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890" yWindow="900" windowWidth="20760" windowHeight="10215" tabRatio="931"/>
  </bookViews>
  <sheets>
    <sheet name="Exh. JAP-9 Page 1" sheetId="120" r:id="rId1"/>
    <sheet name="Exh. JAP-9 Page 2" sheetId="5" r:id="rId2"/>
    <sheet name="Exh. JAP-9 Page 3" sheetId="189" r:id="rId3"/>
    <sheet name="Exh. JAP-9 Page 3a" sheetId="215" r:id="rId4"/>
    <sheet name="Exh. JAP-9 Page 4" sheetId="54" r:id="rId5"/>
    <sheet name="Work Papers For Exhibits--&gt;" sheetId="36" r:id="rId6"/>
    <sheet name="12ME June2018 Cust Data" sheetId="302" r:id="rId7"/>
    <sheet name="PCA Cost Allocation" sheetId="303" r:id="rId8"/>
    <sheet name="Exhibit A-1" sheetId="305" r:id="rId9"/>
    <sheet name="(JAP4) Rate Spread" sheetId="306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45621"/>
</workbook>
</file>

<file path=xl/calcChain.xml><?xml version="1.0" encoding="utf-8"?>
<calcChain xmlns="http://schemas.openxmlformats.org/spreadsheetml/2006/main">
  <c r="E28" i="306" l="1"/>
  <c r="D28" i="306"/>
  <c r="J32" i="306"/>
  <c r="J26" i="306"/>
  <c r="E32" i="306"/>
  <c r="D32" i="306"/>
  <c r="E26" i="306"/>
  <c r="D26" i="306"/>
  <c r="E24" i="306"/>
  <c r="D24" i="306"/>
  <c r="E22" i="306"/>
  <c r="D22" i="306"/>
  <c r="E19" i="306"/>
  <c r="D19" i="306"/>
  <c r="E18" i="306"/>
  <c r="D18" i="306"/>
  <c r="E17" i="306"/>
  <c r="D17" i="306"/>
  <c r="E13" i="306"/>
  <c r="D13" i="306"/>
  <c r="E12" i="306"/>
  <c r="D12" i="306"/>
  <c r="E11" i="306"/>
  <c r="D11" i="306"/>
  <c r="E8" i="306"/>
  <c r="D8" i="306"/>
  <c r="G14" i="215"/>
  <c r="F14" i="215"/>
  <c r="M15" i="120"/>
  <c r="L15" i="120"/>
  <c r="I15" i="120"/>
  <c r="M11" i="120"/>
  <c r="L11" i="120"/>
  <c r="I11" i="120"/>
  <c r="G15" i="120"/>
  <c r="G11" i="120"/>
  <c r="E14" i="215"/>
  <c r="D14" i="215"/>
  <c r="K15" i="120"/>
  <c r="H15" i="120"/>
  <c r="E15" i="120"/>
  <c r="K11" i="120"/>
  <c r="H11" i="120"/>
  <c r="E11" i="120"/>
  <c r="D15" i="120"/>
  <c r="D11" i="120"/>
  <c r="F34" i="306"/>
  <c r="M33" i="306" l="1"/>
  <c r="O32" i="306"/>
  <c r="M32" i="306"/>
  <c r="M31" i="306"/>
  <c r="M29" i="306"/>
  <c r="M27" i="306"/>
  <c r="M25" i="306"/>
  <c r="M23" i="306"/>
  <c r="O22" i="306"/>
  <c r="M22" i="306"/>
  <c r="I22" i="306"/>
  <c r="M21" i="306"/>
  <c r="D20" i="306"/>
  <c r="M16" i="306"/>
  <c r="M15" i="306"/>
  <c r="D14" i="306"/>
  <c r="M10" i="306"/>
  <c r="A10" i="306"/>
  <c r="A11" i="306" s="1"/>
  <c r="A12" i="306" s="1"/>
  <c r="A13" i="306" s="1"/>
  <c r="A14" i="306" s="1"/>
  <c r="A15" i="306" s="1"/>
  <c r="A16" i="306" s="1"/>
  <c r="A17" i="306" s="1"/>
  <c r="A18" i="306" s="1"/>
  <c r="A19" i="306" s="1"/>
  <c r="A20" i="306" s="1"/>
  <c r="A21" i="306" s="1"/>
  <c r="A22" i="306" s="1"/>
  <c r="A23" i="306" s="1"/>
  <c r="A24" i="306" s="1"/>
  <c r="A25" i="306" s="1"/>
  <c r="A26" i="306" s="1"/>
  <c r="A27" i="306" s="1"/>
  <c r="A28" i="306" s="1"/>
  <c r="A29" i="306" s="1"/>
  <c r="A30" i="306" s="1"/>
  <c r="A31" i="306" s="1"/>
  <c r="A32" i="306" s="1"/>
  <c r="A33" i="306" s="1"/>
  <c r="A34" i="306" s="1"/>
  <c r="A35" i="306" s="1"/>
  <c r="A36" i="306" s="1"/>
  <c r="A37" i="306" s="1"/>
  <c r="A38" i="306" s="1"/>
  <c r="A39" i="306" s="1"/>
  <c r="A40" i="306" s="1"/>
  <c r="M9" i="306"/>
  <c r="A9" i="306"/>
  <c r="K22" i="306" l="1"/>
  <c r="D30" i="306"/>
  <c r="D34" i="306" s="1"/>
  <c r="C21" i="303" s="1"/>
  <c r="K32" i="306"/>
  <c r="I32" i="306"/>
  <c r="E14" i="306"/>
  <c r="O26" i="306"/>
  <c r="I26" i="306"/>
  <c r="M26" i="306"/>
  <c r="K26" i="306"/>
  <c r="E20" i="306"/>
  <c r="E30" i="306" s="1"/>
  <c r="E34" i="306" s="1"/>
  <c r="I34" i="306" l="1"/>
  <c r="I37" i="306"/>
  <c r="G8" i="306"/>
  <c r="G24" i="306"/>
  <c r="G17" i="306"/>
  <c r="I38" i="306"/>
  <c r="G12" i="306"/>
  <c r="G11" i="306"/>
  <c r="G28" i="306"/>
  <c r="G18" i="306"/>
  <c r="G13" i="306"/>
  <c r="G19" i="306"/>
  <c r="I39" i="306" l="1"/>
  <c r="I40" i="306" s="1"/>
  <c r="G34" i="306"/>
  <c r="I19" i="306" l="1"/>
  <c r="J19" i="306" s="1"/>
  <c r="I18" i="306"/>
  <c r="J18" i="306" s="1"/>
  <c r="I17" i="306"/>
  <c r="J17" i="306" s="1"/>
  <c r="I12" i="306"/>
  <c r="J12" i="306" s="1"/>
  <c r="I28" i="306"/>
  <c r="J28" i="306" s="1"/>
  <c r="I11" i="306"/>
  <c r="J11" i="306" s="1"/>
  <c r="I24" i="306"/>
  <c r="J24" i="306" s="1"/>
  <c r="I8" i="306"/>
  <c r="J8" i="306" s="1"/>
  <c r="I13" i="306"/>
  <c r="J13" i="306" s="1"/>
  <c r="O8" i="306" l="1"/>
  <c r="M8" i="306"/>
  <c r="K8" i="306"/>
  <c r="O12" i="306"/>
  <c r="M12" i="306"/>
  <c r="K12" i="306"/>
  <c r="O24" i="306"/>
  <c r="M24" i="306"/>
  <c r="K24" i="306"/>
  <c r="J20" i="306"/>
  <c r="M17" i="306"/>
  <c r="K17" i="306"/>
  <c r="O11" i="306"/>
  <c r="M11" i="306"/>
  <c r="J14" i="306"/>
  <c r="M14" i="306" s="1"/>
  <c r="K11" i="306"/>
  <c r="M18" i="306"/>
  <c r="K18" i="306"/>
  <c r="M13" i="306"/>
  <c r="O13" i="306"/>
  <c r="K13" i="306"/>
  <c r="O28" i="306"/>
  <c r="J30" i="306"/>
  <c r="M28" i="306"/>
  <c r="K28" i="306"/>
  <c r="M19" i="306"/>
  <c r="K19" i="306"/>
  <c r="K20" i="306" l="1"/>
  <c r="K14" i="306"/>
  <c r="M30" i="306"/>
  <c r="I30" i="306"/>
  <c r="J34" i="306"/>
  <c r="M34" i="306" s="1"/>
  <c r="O20" i="306"/>
  <c r="O34" i="306" s="1"/>
  <c r="M20" i="306"/>
  <c r="K30" i="306"/>
  <c r="K34" i="306" s="1"/>
  <c r="F55" i="305" l="1"/>
  <c r="F53" i="305"/>
  <c r="F51" i="305"/>
  <c r="F49" i="305"/>
  <c r="F56" i="305"/>
  <c r="D37" i="305"/>
  <c r="F37" i="305" s="1"/>
  <c r="G37" i="305" s="1"/>
  <c r="A34" i="305"/>
  <c r="A35" i="305" s="1"/>
  <c r="A36" i="305" s="1"/>
  <c r="A37" i="305" s="1"/>
  <c r="A38" i="305" s="1"/>
  <c r="A39" i="305" s="1"/>
  <c r="A40" i="305" s="1"/>
  <c r="A41" i="305" s="1"/>
  <c r="A42" i="305" s="1"/>
  <c r="A43" i="305" s="1"/>
  <c r="A44" i="305" s="1"/>
  <c r="A45" i="305" s="1"/>
  <c r="F33" i="305"/>
  <c r="D33" i="305"/>
  <c r="F32" i="305"/>
  <c r="F31" i="305"/>
  <c r="G30" i="305"/>
  <c r="D30" i="305"/>
  <c r="G29" i="305"/>
  <c r="D29" i="305"/>
  <c r="F28" i="305"/>
  <c r="F27" i="305"/>
  <c r="G26" i="305"/>
  <c r="D26" i="305"/>
  <c r="G25" i="305"/>
  <c r="D25" i="305"/>
  <c r="D24" i="305"/>
  <c r="F23" i="305"/>
  <c r="G22" i="305"/>
  <c r="D22" i="305"/>
  <c r="F21" i="305"/>
  <c r="D21" i="305"/>
  <c r="F20" i="305"/>
  <c r="F19" i="305"/>
  <c r="G18" i="305"/>
  <c r="D18" i="305"/>
  <c r="G17" i="305"/>
  <c r="D17" i="305"/>
  <c r="D16" i="305"/>
  <c r="G14" i="305"/>
  <c r="D14" i="305"/>
  <c r="F13" i="305"/>
  <c r="D13" i="305"/>
  <c r="C8" i="305"/>
  <c r="G36" i="305" l="1"/>
  <c r="D20" i="305"/>
  <c r="D28" i="305"/>
  <c r="D32" i="305"/>
  <c r="D57" i="305"/>
  <c r="D15" i="305"/>
  <c r="F16" i="305"/>
  <c r="D19" i="305"/>
  <c r="D23" i="305"/>
  <c r="G24" i="305"/>
  <c r="D27" i="305"/>
  <c r="D31" i="305"/>
  <c r="F15" i="305"/>
  <c r="F50" i="305"/>
  <c r="F57" i="305" s="1"/>
  <c r="F52" i="305"/>
  <c r="F54" i="305"/>
  <c r="F58" i="305" l="1"/>
  <c r="C34" i="305"/>
  <c r="G42" i="305"/>
  <c r="G38" i="305"/>
  <c r="G43" i="305" s="1"/>
  <c r="D34" i="305" l="1"/>
  <c r="D36" i="305" s="1"/>
  <c r="D38" i="305" s="1"/>
  <c r="F34" i="305"/>
  <c r="F36" i="305" s="1"/>
  <c r="C36" i="305"/>
  <c r="C38" i="305" s="1"/>
  <c r="F42" i="305" l="1"/>
  <c r="D42" i="305" s="1"/>
  <c r="F38" i="305"/>
  <c r="F43" i="305" s="1"/>
  <c r="D43" i="305" s="1"/>
  <c r="Q30" i="303" l="1"/>
  <c r="P30" i="303"/>
  <c r="M30" i="303"/>
  <c r="L30" i="303"/>
  <c r="I30" i="303"/>
  <c r="H30" i="303"/>
  <c r="E30" i="303"/>
  <c r="Q29" i="303"/>
  <c r="P29" i="303"/>
  <c r="O29" i="303"/>
  <c r="N29" i="303"/>
  <c r="M29" i="303"/>
  <c r="L29" i="303"/>
  <c r="K29" i="303"/>
  <c r="J29" i="303"/>
  <c r="I29" i="303"/>
  <c r="H29" i="303"/>
  <c r="G29" i="303"/>
  <c r="C29" i="303" s="1"/>
  <c r="F29" i="303"/>
  <c r="E29" i="303"/>
  <c r="Q28" i="303"/>
  <c r="P28" i="303"/>
  <c r="O28" i="303"/>
  <c r="O30" i="303" s="1"/>
  <c r="N28" i="303"/>
  <c r="N30" i="303" s="1"/>
  <c r="M28" i="303"/>
  <c r="L28" i="303"/>
  <c r="K28" i="303"/>
  <c r="K30" i="303" s="1"/>
  <c r="J28" i="303"/>
  <c r="J30" i="303" s="1"/>
  <c r="I28" i="303"/>
  <c r="H28" i="303"/>
  <c r="G28" i="303"/>
  <c r="G30" i="303" s="1"/>
  <c r="F28" i="303"/>
  <c r="F30" i="303" s="1"/>
  <c r="E28" i="303"/>
  <c r="J24" i="303"/>
  <c r="J23" i="303"/>
  <c r="C17" i="303"/>
  <c r="C15" i="303"/>
  <c r="Q11" i="303"/>
  <c r="P11" i="303"/>
  <c r="O11" i="303"/>
  <c r="N11" i="303"/>
  <c r="M11" i="303"/>
  <c r="L11" i="303"/>
  <c r="K11" i="303"/>
  <c r="J11" i="303"/>
  <c r="I11" i="303"/>
  <c r="H11" i="303"/>
  <c r="G11" i="303"/>
  <c r="C11" i="303" s="1"/>
  <c r="F11" i="303"/>
  <c r="E11" i="303"/>
  <c r="A11" i="303"/>
  <c r="A12" i="303" s="1"/>
  <c r="A13" i="303" s="1"/>
  <c r="A14" i="303" s="1"/>
  <c r="A15" i="303" s="1"/>
  <c r="A16" i="303" s="1"/>
  <c r="A17" i="303" s="1"/>
  <c r="A18" i="303" s="1"/>
  <c r="A19" i="303" s="1"/>
  <c r="A20" i="303" s="1"/>
  <c r="A21" i="303" s="1"/>
  <c r="A22" i="303" s="1"/>
  <c r="A23" i="303" s="1"/>
  <c r="A24" i="303" s="1"/>
  <c r="A25" i="303" s="1"/>
  <c r="A26" i="303" s="1"/>
  <c r="A27" i="303" s="1"/>
  <c r="A28" i="303" s="1"/>
  <c r="A29" i="303" s="1"/>
  <c r="A30" i="303" s="1"/>
  <c r="A10" i="303"/>
  <c r="I23" i="303" l="1"/>
  <c r="Q23" i="303"/>
  <c r="E23" i="303"/>
  <c r="J25" i="303"/>
  <c r="L12" i="120" s="1"/>
  <c r="M23" i="303"/>
  <c r="C30" i="303"/>
  <c r="F24" i="303"/>
  <c r="N24" i="303"/>
  <c r="F23" i="303"/>
  <c r="N23" i="303"/>
  <c r="G24" i="303"/>
  <c r="K24" i="303"/>
  <c r="O24" i="303"/>
  <c r="G23" i="303"/>
  <c r="K23" i="303"/>
  <c r="O23" i="303"/>
  <c r="H24" i="303"/>
  <c r="L24" i="303"/>
  <c r="P24" i="303"/>
  <c r="C28" i="303"/>
  <c r="H23" i="303"/>
  <c r="H25" i="303" s="1"/>
  <c r="H12" i="120" s="1"/>
  <c r="L23" i="303"/>
  <c r="P23" i="303"/>
  <c r="P25" i="303" s="1"/>
  <c r="E24" i="303"/>
  <c r="I24" i="303"/>
  <c r="I25" i="303" s="1"/>
  <c r="I12" i="120" s="1"/>
  <c r="M24" i="303"/>
  <c r="Q24" i="303"/>
  <c r="E25" i="303" l="1"/>
  <c r="D12" i="120" s="1"/>
  <c r="Q25" i="303"/>
  <c r="O25" i="303"/>
  <c r="M25" i="303"/>
  <c r="L25" i="303"/>
  <c r="G12" i="120" s="1"/>
  <c r="C23" i="303"/>
  <c r="K25" i="303"/>
  <c r="M12" i="120" s="1"/>
  <c r="G25" i="303"/>
  <c r="K12" i="120" s="1"/>
  <c r="N25" i="303"/>
  <c r="C24" i="303"/>
  <c r="F25" i="303"/>
  <c r="E12" i="120" s="1"/>
  <c r="D30" i="54"/>
  <c r="D26" i="54"/>
  <c r="D22" i="54"/>
  <c r="D18" i="54"/>
  <c r="D14" i="54"/>
  <c r="D39" i="54"/>
  <c r="C25" i="303" l="1"/>
  <c r="O23" i="302" l="1"/>
  <c r="O7" i="302"/>
  <c r="O8" i="302"/>
  <c r="O9" i="302"/>
  <c r="O10" i="302"/>
  <c r="O11" i="302"/>
  <c r="O12" i="302"/>
  <c r="O13" i="302"/>
  <c r="O14" i="302"/>
  <c r="O15" i="302"/>
  <c r="O16" i="302"/>
  <c r="O17" i="302"/>
  <c r="O18" i="302"/>
  <c r="O19" i="302"/>
  <c r="O20" i="302"/>
  <c r="O21" i="302"/>
  <c r="O22" i="302"/>
  <c r="O6" i="302"/>
  <c r="L24" i="302"/>
  <c r="M24" i="302"/>
  <c r="N24" i="302"/>
  <c r="P23" i="302" l="1"/>
  <c r="P22" i="302"/>
  <c r="P21" i="302"/>
  <c r="P20" i="302"/>
  <c r="P19" i="302"/>
  <c r="P18" i="302"/>
  <c r="P17" i="302"/>
  <c r="P16" i="302"/>
  <c r="G13" i="5" s="1"/>
  <c r="P15" i="302"/>
  <c r="P14" i="302"/>
  <c r="I13" i="5" s="1"/>
  <c r="P13" i="302"/>
  <c r="P12" i="302"/>
  <c r="H13" i="5" s="1"/>
  <c r="P11" i="302"/>
  <c r="P10" i="302"/>
  <c r="E13" i="5" s="1"/>
  <c r="P9" i="302"/>
  <c r="P8" i="302"/>
  <c r="D13" i="5" s="1"/>
  <c r="P7" i="302"/>
  <c r="K24" i="302"/>
  <c r="J24" i="302"/>
  <c r="I24" i="302"/>
  <c r="H24" i="302"/>
  <c r="G24" i="302"/>
  <c r="F24" i="302"/>
  <c r="E24" i="302"/>
  <c r="D24" i="302"/>
  <c r="C24" i="302"/>
  <c r="D5" i="302"/>
  <c r="E5" i="302" s="1"/>
  <c r="F5" i="302" s="1"/>
  <c r="G5" i="302" s="1"/>
  <c r="H5" i="302" s="1"/>
  <c r="I5" i="302" s="1"/>
  <c r="J5" i="302" s="1"/>
  <c r="K5" i="302" s="1"/>
  <c r="L5" i="302" s="1"/>
  <c r="M5" i="302" s="1"/>
  <c r="N5" i="302" s="1"/>
  <c r="F13" i="5" l="1"/>
  <c r="P6" i="302"/>
  <c r="P24" i="302" s="1"/>
  <c r="O24" i="302"/>
  <c r="C16" i="215" l="1"/>
  <c r="A12" i="189" l="1"/>
  <c r="A13" i="189" s="1"/>
  <c r="A14" i="189" s="1"/>
  <c r="A15" i="189" s="1"/>
  <c r="C15" i="189" l="1"/>
  <c r="C30" i="54" l="1"/>
  <c r="B42" i="54"/>
  <c r="D55" i="54"/>
  <c r="B54" i="54"/>
  <c r="D51" i="54"/>
  <c r="B50" i="54"/>
  <c r="D47" i="54"/>
  <c r="B46" i="54"/>
  <c r="D43" i="54"/>
  <c r="C22" i="54"/>
  <c r="C18" i="54"/>
  <c r="C14" i="54"/>
  <c r="Q26" i="54" l="1"/>
  <c r="N27" i="54" s="1"/>
  <c r="Q30" i="54"/>
  <c r="P31" i="54" s="1"/>
  <c r="K27" i="54" l="1"/>
  <c r="O27" i="54"/>
  <c r="E27" i="54"/>
  <c r="E31" i="54"/>
  <c r="G31" i="54"/>
  <c r="H31" i="54"/>
  <c r="I27" i="54"/>
  <c r="F27" i="54"/>
  <c r="K31" i="54"/>
  <c r="F31" i="54"/>
  <c r="M27" i="54"/>
  <c r="M31" i="54"/>
  <c r="J31" i="54"/>
  <c r="O31" i="54"/>
  <c r="L31" i="54"/>
  <c r="N31" i="54"/>
  <c r="I31" i="54"/>
  <c r="G27" i="54"/>
  <c r="P27" i="54"/>
  <c r="L27" i="54"/>
  <c r="H27" i="54"/>
  <c r="J27" i="54"/>
  <c r="Q31" i="54" l="1"/>
  <c r="Q27" i="54"/>
  <c r="Q18" i="54" l="1"/>
  <c r="Q22" i="54"/>
  <c r="F23" i="54" l="1"/>
  <c r="L19" i="54"/>
  <c r="M19" i="54"/>
  <c r="H19" i="54"/>
  <c r="J19" i="54"/>
  <c r="I23" i="54"/>
  <c r="F19" i="54"/>
  <c r="E19" i="54"/>
  <c r="O19" i="54"/>
  <c r="H23" i="54"/>
  <c r="N19" i="54"/>
  <c r="K19" i="54"/>
  <c r="L23" i="54"/>
  <c r="M23" i="54"/>
  <c r="G23" i="54"/>
  <c r="J23" i="54"/>
  <c r="P23" i="54"/>
  <c r="K23" i="54"/>
  <c r="E23" i="54"/>
  <c r="N23" i="54"/>
  <c r="I19" i="54"/>
  <c r="O23" i="54"/>
  <c r="G19" i="54"/>
  <c r="P19" i="54"/>
  <c r="Q23" i="54" l="1"/>
  <c r="Q19" i="54"/>
  <c r="B38" i="54" l="1"/>
  <c r="B34" i="54"/>
  <c r="A11" i="120" l="1"/>
  <c r="A12" i="120" l="1"/>
  <c r="A13" i="120" s="1"/>
  <c r="A14" i="120" l="1"/>
  <c r="A15" i="120" s="1"/>
  <c r="A16" i="120" s="1"/>
  <c r="A17" i="120" s="1"/>
  <c r="C13" i="120"/>
  <c r="C17" i="120" l="1"/>
  <c r="A10" i="54" l="1"/>
  <c r="A11" i="54" s="1"/>
  <c r="A12" i="54" l="1"/>
  <c r="A13" i="54" s="1"/>
  <c r="A14" i="54" s="1"/>
  <c r="A15" i="54" s="1"/>
  <c r="A16" i="54" l="1"/>
  <c r="A17" i="54" s="1"/>
  <c r="A18" i="54" s="1"/>
  <c r="A19" i="54" s="1"/>
  <c r="A20" i="54" l="1"/>
  <c r="A21" i="54" s="1"/>
  <c r="A22" i="54" s="1"/>
  <c r="A23" i="54" s="1"/>
  <c r="A12" i="5"/>
  <c r="A24" i="54" l="1"/>
  <c r="A25" i="54" s="1"/>
  <c r="A26" i="54" s="1"/>
  <c r="A27" i="54" s="1"/>
  <c r="A28" i="54" l="1"/>
  <c r="A29" i="54" s="1"/>
  <c r="A30" i="54" s="1"/>
  <c r="A31" i="54" s="1"/>
  <c r="A32" i="54" l="1"/>
  <c r="A33" i="54" s="1"/>
  <c r="A34" i="54" s="1"/>
  <c r="A35" i="54" s="1"/>
  <c r="Q10" i="54"/>
  <c r="K11" i="54" l="1"/>
  <c r="A36" i="54"/>
  <c r="A37" i="54" s="1"/>
  <c r="A38" i="54" s="1"/>
  <c r="A39" i="54" s="1"/>
  <c r="D36" i="54"/>
  <c r="Q14" i="54"/>
  <c r="N11" i="54"/>
  <c r="E11" i="54"/>
  <c r="O11" i="54"/>
  <c r="I11" i="54"/>
  <c r="F11" i="54"/>
  <c r="M11" i="54"/>
  <c r="G11" i="54"/>
  <c r="H11" i="54"/>
  <c r="L11" i="54"/>
  <c r="P11" i="54"/>
  <c r="J11" i="54"/>
  <c r="A40" i="54" l="1"/>
  <c r="A41" i="54" s="1"/>
  <c r="A42" i="54" s="1"/>
  <c r="A43" i="54" s="1"/>
  <c r="D40" i="54"/>
  <c r="P15" i="54"/>
  <c r="F15" i="54"/>
  <c r="I15" i="54"/>
  <c r="G15" i="54"/>
  <c r="E15" i="54"/>
  <c r="J15" i="54"/>
  <c r="O15" i="54"/>
  <c r="M15" i="54"/>
  <c r="N15" i="54"/>
  <c r="H15" i="54"/>
  <c r="L15" i="54"/>
  <c r="K15" i="54"/>
  <c r="Q11" i="54"/>
  <c r="A44" i="54" l="1"/>
  <c r="A45" i="54" s="1"/>
  <c r="A46" i="54" s="1"/>
  <c r="A47" i="54" s="1"/>
  <c r="D44" i="54"/>
  <c r="Q15" i="54"/>
  <c r="A48" i="54" l="1"/>
  <c r="A49" i="54" s="1"/>
  <c r="A50" i="54" s="1"/>
  <c r="A51" i="54" s="1"/>
  <c r="D48" i="54"/>
  <c r="A52" i="54" l="1"/>
  <c r="A53" i="54" s="1"/>
  <c r="A54" i="54" s="1"/>
  <c r="A55" i="54" s="1"/>
  <c r="D52" i="54"/>
  <c r="A56" i="54" l="1"/>
  <c r="D56" i="54"/>
  <c r="A13" i="5"/>
  <c r="C15" i="5" l="1"/>
  <c r="A14" i="5"/>
  <c r="A15" i="5" s="1"/>
  <c r="F12" i="120" l="1"/>
  <c r="D13" i="120" l="1"/>
  <c r="D17" i="120" s="1"/>
  <c r="D11" i="189" l="1"/>
  <c r="D15" i="189" s="1"/>
  <c r="D11" i="5"/>
  <c r="D15" i="5" s="1"/>
  <c r="Q35" i="54" l="1"/>
  <c r="E36" i="54" s="1"/>
  <c r="J36" i="54" l="1"/>
  <c r="N36" i="54"/>
  <c r="P36" i="54"/>
  <c r="K36" i="54"/>
  <c r="M36" i="54"/>
  <c r="H36" i="54"/>
  <c r="O36" i="54"/>
  <c r="F36" i="54"/>
  <c r="I36" i="54"/>
  <c r="G36" i="54"/>
  <c r="L36" i="54"/>
  <c r="Q36" i="54" l="1"/>
  <c r="E13" i="120"/>
  <c r="E17" i="120" s="1"/>
  <c r="E11" i="5" l="1"/>
  <c r="E15" i="5" s="1"/>
  <c r="E11" i="189"/>
  <c r="E15" i="189" s="1"/>
  <c r="F15" i="120"/>
  <c r="I13" i="120"/>
  <c r="I17" i="120" s="1"/>
  <c r="G13" i="120"/>
  <c r="G17" i="120" s="1"/>
  <c r="F12" i="215" l="1"/>
  <c r="F16" i="215" s="1"/>
  <c r="G12" i="215"/>
  <c r="G16" i="215" s="1"/>
  <c r="Q39" i="54"/>
  <c r="L40" i="54" s="1"/>
  <c r="G11" i="5"/>
  <c r="G15" i="5" s="1"/>
  <c r="G11" i="189"/>
  <c r="G15" i="189" s="1"/>
  <c r="I11" i="5"/>
  <c r="I15" i="5" s="1"/>
  <c r="M13" i="120"/>
  <c r="M17" i="120" s="1"/>
  <c r="F40" i="54" l="1"/>
  <c r="H40" i="54"/>
  <c r="M40" i="54"/>
  <c r="K40" i="54"/>
  <c r="E40" i="54"/>
  <c r="I40" i="54"/>
  <c r="Q47" i="54"/>
  <c r="G48" i="54" s="1"/>
  <c r="Q55" i="54"/>
  <c r="J56" i="54" s="1"/>
  <c r="J40" i="54"/>
  <c r="O40" i="54"/>
  <c r="N40" i="54"/>
  <c r="G40" i="54"/>
  <c r="P40" i="54"/>
  <c r="H13" i="120"/>
  <c r="H17" i="120" s="1"/>
  <c r="D12" i="215" l="1"/>
  <c r="E12" i="215"/>
  <c r="E16" i="215" s="1"/>
  <c r="E56" i="54"/>
  <c r="M56" i="54"/>
  <c r="P56" i="54"/>
  <c r="D16" i="215"/>
  <c r="H56" i="54"/>
  <c r="N56" i="54"/>
  <c r="O56" i="54"/>
  <c r="G56" i="54"/>
  <c r="L56" i="54"/>
  <c r="Q40" i="54"/>
  <c r="I56" i="54"/>
  <c r="L48" i="54"/>
  <c r="F56" i="54"/>
  <c r="K56" i="54"/>
  <c r="N48" i="54"/>
  <c r="F48" i="54"/>
  <c r="H48" i="54"/>
  <c r="P48" i="54"/>
  <c r="M48" i="54"/>
  <c r="O48" i="54"/>
  <c r="E48" i="54"/>
  <c r="K48" i="54"/>
  <c r="I48" i="54"/>
  <c r="J48" i="54"/>
  <c r="H11" i="5"/>
  <c r="H15" i="5" s="1"/>
  <c r="Q56" i="54" l="1"/>
  <c r="Q48" i="54"/>
  <c r="Q51" i="54"/>
  <c r="M52" i="54" s="1"/>
  <c r="K13" i="120"/>
  <c r="K17" i="120" s="1"/>
  <c r="L13" i="120"/>
  <c r="L17" i="120" s="1"/>
  <c r="I52" i="54" l="1"/>
  <c r="J52" i="54"/>
  <c r="N52" i="54"/>
  <c r="O52" i="54"/>
  <c r="P52" i="54"/>
  <c r="L52" i="54"/>
  <c r="E52" i="54"/>
  <c r="K52" i="54"/>
  <c r="G52" i="54"/>
  <c r="H52" i="54"/>
  <c r="F52" i="54"/>
  <c r="F11" i="120"/>
  <c r="F13" i="120" s="1"/>
  <c r="F17" i="120" s="1"/>
  <c r="Q52" i="54" l="1"/>
  <c r="F11" i="189"/>
  <c r="F15" i="189" s="1"/>
  <c r="F11" i="5"/>
  <c r="F15" i="5" s="1"/>
  <c r="Q43" i="54" l="1"/>
  <c r="M44" i="54" s="1"/>
  <c r="O44" i="54" l="1"/>
  <c r="N44" i="54"/>
  <c r="K44" i="54"/>
  <c r="F44" i="54"/>
  <c r="P44" i="54"/>
  <c r="L44" i="54"/>
  <c r="H44" i="54"/>
  <c r="J44" i="54"/>
  <c r="G44" i="54"/>
  <c r="I44" i="54"/>
  <c r="E44" i="54"/>
  <c r="Q44" i="54" l="1"/>
</calcChain>
</file>

<file path=xl/sharedStrings.xml><?xml version="1.0" encoding="utf-8"?>
<sst xmlns="http://schemas.openxmlformats.org/spreadsheetml/2006/main" count="416" uniqueCount="263">
  <si>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</si>
  <si>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</si>
  <si>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</si>
  <si>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</si>
  <si>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</si>
  <si>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</si>
  <si>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</si>
  <si>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</si>
  <si>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</si>
  <si>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</si>
  <si>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</si>
  <si>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</si>
  <si>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</si>
  <si>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</si>
  <si>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</si>
  <si>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</si>
  <si>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</si>
  <si>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</si>
  <si>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</si>
  <si>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</si>
  <si>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</si>
  <si>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</si>
  <si>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</si>
  <si>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</si>
  <si>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</si>
  <si>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</si>
  <si>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</si>
  <si>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</si>
  <si>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</si>
  <si>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</si>
  <si>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</si>
  <si>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</si>
  <si>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</si>
  <si>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</si>
  <si>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Average</t>
  </si>
  <si>
    <t>Development of Monthly Allowed Delivery Revenue Per Customer</t>
  </si>
  <si>
    <t>% of Annual Total</t>
  </si>
  <si>
    <t>Sales</t>
  </si>
  <si>
    <t>Schedule 7</t>
  </si>
  <si>
    <t>Lights</t>
  </si>
  <si>
    <t>Other</t>
  </si>
  <si>
    <t>7A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</si>
  <si>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</si>
  <si>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</si>
  <si>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</si>
  <si>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</si>
  <si>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</si>
  <si>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</si>
  <si>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 xml:space="preserve">   Basic Charge Revenue</t>
  </si>
  <si>
    <t xml:space="preserve">   Allocated Power Costs</t>
  </si>
  <si>
    <t>Delivery Revenue:</t>
  </si>
  <si>
    <t>Schedule 12 &amp; 26</t>
  </si>
  <si>
    <t>Test Year Demand Charges (KW)</t>
  </si>
  <si>
    <t>Schedule 10 &amp; 31</t>
  </si>
  <si>
    <t>Test Year Base Sales (kWh)</t>
  </si>
  <si>
    <t xml:space="preserve">Winter  </t>
  </si>
  <si>
    <t xml:space="preserve">Summer   </t>
  </si>
  <si>
    <t>Oct - Mar</t>
  </si>
  <si>
    <t>Apr-Sept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</si>
  <si>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</si>
  <si>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</si>
  <si>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</si>
  <si>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</si>
  <si>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</si>
  <si>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</si>
  <si>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</si>
  <si>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Development of Delivery Revenue Per Unit Rates ($/KW)</t>
  </si>
  <si>
    <t>Annual Allowed Delivery Revenue Per Customer</t>
  </si>
  <si>
    <t>Test Year Delivery Revenue</t>
  </si>
  <si>
    <t>Volumetric Delivery Revenue Per Unit ($/kWh)</t>
  </si>
  <si>
    <t>Volumetric Delivery Revenue Per Unit ($/KW)</t>
  </si>
  <si>
    <t>Allowed Delivery Revenue Per Customer</t>
  </si>
  <si>
    <t>Monthly Allowed Delivery Revenue Per Customer</t>
  </si>
  <si>
    <t>(e) = Σ (i thru k)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</si>
  <si>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</si>
  <si>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</si>
  <si>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</si>
  <si>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</si>
  <si>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</si>
  <si>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</si>
  <si>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Development of Decoupled Delivery Revenue by Decoupling Group</t>
  </si>
  <si>
    <t>Development of Allowed Delivery Revenue Per Customer</t>
  </si>
  <si>
    <t>Development of Delivery Revenue Per Unit Rates ($/kWh)</t>
  </si>
  <si>
    <t>Schedule 40</t>
  </si>
  <si>
    <t>Electric Customers by Rate Schedule</t>
  </si>
  <si>
    <t>Rate Class</t>
  </si>
  <si>
    <t>Total Revenue</t>
  </si>
  <si>
    <t>2018 Electric Expedited Rate Filing (ERF)</t>
  </si>
  <si>
    <t>Electric Decoupling Mechanism (Schedule 142)</t>
  </si>
  <si>
    <t>Work Paper</t>
  </si>
  <si>
    <t>Net Revenue</t>
  </si>
  <si>
    <t>Net Delivery Revenue</t>
  </si>
  <si>
    <t>11 &amp; 25</t>
  </si>
  <si>
    <t>Test Year Ended June 30, 2018</t>
  </si>
  <si>
    <t xml:space="preserve">Weather-Normalized kWh Sales </t>
  </si>
  <si>
    <t xml:space="preserve">Demand Charge Revenue </t>
  </si>
  <si>
    <t>Exhibit JAP-4</t>
  </si>
  <si>
    <t>JAP-9 Page 1</t>
  </si>
  <si>
    <t>JAP-9 Page 2</t>
  </si>
  <si>
    <t>ELECTRIC COST OF SERVICE SUMMARY</t>
  </si>
  <si>
    <t>Adjusted Test Year Twelve Months ended September 2016 @ Proforma Rev Requirement</t>
  </si>
  <si>
    <t>Description</t>
  </si>
  <si>
    <t>Total Company</t>
  </si>
  <si>
    <t>Residential Sch 7</t>
  </si>
  <si>
    <t>Sec Volt Sch 24 (kW&lt; 50)</t>
  </si>
  <si>
    <t>Sec Volt Sch 25 (kW &gt; 50 &amp; &lt; 350)</t>
  </si>
  <si>
    <t>Sec Volt Sch 26 (kW &gt; 350)</t>
  </si>
  <si>
    <t>Pri Volt Sch 31 (General Service)</t>
  </si>
  <si>
    <t>Pri Volt Sch 35 (Irrigation)</t>
  </si>
  <si>
    <t>Pri Svc 43</t>
  </si>
  <si>
    <t>Campus 40</t>
  </si>
  <si>
    <t>High Volt 46/49</t>
  </si>
  <si>
    <t>Choice/Retail Wheeling PV</t>
  </si>
  <si>
    <t>Choice/Retail Wheeling HV</t>
  </si>
  <si>
    <t>Lighting 50-59</t>
  </si>
  <si>
    <t>Firm Resale Small</t>
  </si>
  <si>
    <t>(p)</t>
  </si>
  <si>
    <t>PC-3</t>
  </si>
  <si>
    <t>NRG</t>
  </si>
  <si>
    <t>DEM</t>
  </si>
  <si>
    <t>Rate Year Fixed PCA Costs (Exhibit A-1)</t>
  </si>
  <si>
    <t>Variable PCA Costs (Exhibit A-1)</t>
  </si>
  <si>
    <t>Allocate Fixed PCA Costs on PC-3</t>
  </si>
  <si>
    <t>Allocate Variable PCA Costs on PC-3</t>
  </si>
  <si>
    <t>Total PCA Costs Net of Other Revenue</t>
  </si>
  <si>
    <t>Peak Credit Allocation</t>
  </si>
  <si>
    <t>% Applicable to Energy</t>
  </si>
  <si>
    <t>% Applicable to Demand</t>
  </si>
  <si>
    <t>Total Allocation to Class</t>
  </si>
  <si>
    <t>Delivery Costs (ECOS Model - 2017 GRC - UE-170033)</t>
  </si>
  <si>
    <t>kWh</t>
  </si>
  <si>
    <t>Demand</t>
  </si>
  <si>
    <t>Total Revenue Requirement</t>
  </si>
  <si>
    <t xml:space="preserve">Revenues Other Than Rate Sch. Rev. </t>
  </si>
  <si>
    <t>Exhibit A-1 Power Cost Baseline Rate</t>
  </si>
  <si>
    <t>Exhibit H to Settlement Agreement</t>
  </si>
  <si>
    <t>2017 GRC (Per Settlement)</t>
  </si>
  <si>
    <t>Row</t>
  </si>
  <si>
    <t xml:space="preserve">Test Year </t>
  </si>
  <si>
    <t>Regulatory Assets (1) (Fixed)</t>
  </si>
  <si>
    <t>Transmission Rate Base (Fixed)</t>
  </si>
  <si>
    <t>Production Rate Base (Fixed)</t>
  </si>
  <si>
    <t>Net of tax rate of return</t>
  </si>
  <si>
    <t xml:space="preserve">Fixed </t>
  </si>
  <si>
    <t xml:space="preserve">Variable </t>
  </si>
  <si>
    <t>Test Yr</t>
  </si>
  <si>
    <t>Prod Cost</t>
  </si>
  <si>
    <t>$/MWh</t>
  </si>
  <si>
    <t>F/V</t>
  </si>
  <si>
    <t>In Decoupling</t>
  </si>
  <si>
    <t>In PCA</t>
  </si>
  <si>
    <t>9A</t>
  </si>
  <si>
    <t>(I)</t>
  </si>
  <si>
    <t>(II)</t>
  </si>
  <si>
    <t>(III)</t>
  </si>
  <si>
    <t>(IV)</t>
  </si>
  <si>
    <t>(V)</t>
  </si>
  <si>
    <t>Regulatory Asset Recovery (on Row 3)</t>
  </si>
  <si>
    <t>F</t>
  </si>
  <si>
    <t>10a</t>
  </si>
  <si>
    <t>Equity Adder Centralia Coal Transition PPA</t>
  </si>
  <si>
    <t>V</t>
  </si>
  <si>
    <t>Fixed Asset Recovery Other (on Row 4)</t>
  </si>
  <si>
    <t>Fixed Asset Recovery-Prod Factored (on Row 5)</t>
  </si>
  <si>
    <t>501-Steam Fuel Incl PC Reg Amort</t>
  </si>
  <si>
    <t>555-Purchased power Incl PC Reg Amort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</si>
  <si>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</si>
  <si>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</si>
  <si>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</si>
  <si>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</si>
  <si>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</si>
  <si>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</si>
  <si>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</si>
  <si>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</si>
  <si>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</si>
  <si>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15e</t>
  </si>
  <si>
    <t>Brokerage Fees 55700003</t>
  </si>
  <si>
    <t>547-Fuel Incl PC Reg Amort</t>
  </si>
  <si>
    <t>565-Wheeling Incl PC Reg Amort</t>
  </si>
  <si>
    <t>Transmission Revenue 456.1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</si>
  <si>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</si>
  <si>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</si>
  <si>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</si>
  <si>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</si>
  <si>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</si>
  <si>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</si>
  <si>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&amp; Liab - Non PC Only (1)</t>
  </si>
  <si>
    <t>N/A (formerly hedging line of credit)</t>
  </si>
  <si>
    <t>Subtotal &amp; Baseline Rate</t>
  </si>
  <si>
    <t>Revenue Sensitive Items</t>
  </si>
  <si>
    <t>Grossed up for RSI</t>
  </si>
  <si>
    <t>Test Year DELIVERED Load (MWH's)</t>
  </si>
  <si>
    <t xml:space="preserve"> &lt;-- includes Firm Wholesale</t>
  </si>
  <si>
    <t>Variable</t>
  </si>
  <si>
    <t>Baseline Rate Summarized</t>
  </si>
  <si>
    <t>BLR Net of RSI</t>
  </si>
  <si>
    <t>(1) - Amortization is picked up in Regulatory Assets and Liabilities Adjustment and White River Adjustment.</t>
  </si>
  <si>
    <t>Rate Year</t>
  </si>
  <si>
    <t>PF'd</t>
  </si>
  <si>
    <t>NON POWER COST RELATED REG ASSETS &amp; LIAB</t>
  </si>
  <si>
    <t>(Pre-PF)</t>
  </si>
  <si>
    <t>WHITE RIVER PLANT COSTS</t>
  </si>
  <si>
    <t>CARRYING CHARGES ON LSR PREPAID TRANSM</t>
  </si>
  <si>
    <t>MINT FARM DEFFRED - UE-090704 (ends Mar 2025)</t>
  </si>
  <si>
    <t>FERNDALE PLANT DEFERRAL (ends Oct 2019)</t>
  </si>
  <si>
    <t>SNOQUALMIE UPGRADE PLANT DEFERRAL (ends Oct 2019)</t>
  </si>
  <si>
    <t>BAKER UPGRADE PLANT DEFERRAL (ends Oct 2019)</t>
  </si>
  <si>
    <t>TREASURY GRANT DEFERRAL SNOQ &amp; BAKER (ends Dec 2018)</t>
  </si>
  <si>
    <t>ELECTRON UNRECOVERED COSTS</t>
  </si>
  <si>
    <t>TOTAL NON-POWER COST RELATED</t>
  </si>
  <si>
    <t>Check=&gt;</t>
  </si>
  <si>
    <t>Twelve Months ended December 2008</t>
  </si>
  <si>
    <t>Twelve Months ended June 2018</t>
  </si>
  <si>
    <t>Summary - ERF Rate Spread</t>
  </si>
  <si>
    <t>Summary - Rate Spread</t>
  </si>
  <si>
    <t>Voltage Level</t>
  </si>
  <si>
    <t>MWh</t>
  </si>
  <si>
    <t>Annualized
Revenue
($000)</t>
  </si>
  <si>
    <t>Proposed
Increase
($)</t>
  </si>
  <si>
    <t>Percent of Total w/o Schedule 40, 449 &amp; Firm Resale</t>
  </si>
  <si>
    <t>Percent of Uniform Increase</t>
  </si>
  <si>
    <t>Proposed Revenue Increase (%)</t>
  </si>
  <si>
    <t>Proposed
Revenue
Increase
($000)</t>
  </si>
  <si>
    <t>Proposed
Revenue
($000)</t>
  </si>
  <si>
    <t>Proposed
Revenue
Increase
($)</t>
  </si>
  <si>
    <t>Proposed
Revenue
Increase
($x1M)</t>
  </si>
  <si>
    <t>A</t>
  </si>
  <si>
    <t>B</t>
  </si>
  <si>
    <t>C</t>
  </si>
  <si>
    <t>D</t>
  </si>
  <si>
    <t>E</t>
  </si>
  <si>
    <t>G  = B * F</t>
  </si>
  <si>
    <t>H = B + G</t>
  </si>
  <si>
    <t>Residential</t>
  </si>
  <si>
    <t>Secondary Voltage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</si>
  <si>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</si>
  <si>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</si>
  <si>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</si>
  <si>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</si>
  <si>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</si>
  <si>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</si>
  <si>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</si>
  <si>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Primary Voltage</t>
  </si>
  <si>
    <t>General Service</t>
  </si>
  <si>
    <t>10 / 31</t>
  </si>
  <si>
    <t>Irrigation</t>
  </si>
  <si>
    <t>Interruptible Total Electric Schools</t>
  </si>
  <si>
    <t>Total Primary Voltage</t>
  </si>
  <si>
    <t>Campus Rate</t>
  </si>
  <si>
    <t>Total High Voltage</t>
  </si>
  <si>
    <t>46 / 49</t>
  </si>
  <si>
    <t>Choice / Retail Wheeling</t>
  </si>
  <si>
    <t>449 / 459</t>
  </si>
  <si>
    <t>Lighting</t>
  </si>
  <si>
    <t>50-59</t>
  </si>
  <si>
    <t>Total Jurisdictional Retail Sales</t>
  </si>
  <si>
    <t>Firm Resale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</si>
  <si>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</si>
  <si>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</si>
  <si>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</si>
  <si>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</si>
  <si>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</si>
  <si>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From work papers filed in support of the Tax Reform filing in UE-180282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</si>
</sst>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&quot;Adj.&quot;\ 0.00"/>
    <numFmt numFmtId="170" formatCode="_(&quot;$&quot;* #,##0.000_);_(&quot;$&quot;* \(#,##0.000\);_(&quot;$&quot;* &quot;-&quot;??_);_(@_)"/>
    <numFmt numFmtId="171" formatCode="_(* #,##0.0000000_);_(* \(#,##0.0000000\);_(* &quot;-&quot;??_);_(@_)"/>
    <numFmt numFmtId="172" formatCode="0.000000"/>
    <numFmt numFmtId="173" formatCode="0.00000"/>
    <numFmt numFmtId="174" formatCode="_(&quot;$&quot;* #,##0.0_);_(&quot;$&quot;* \(#,##0.0\);_(&quot;$&quot;* &quot;-&quot;??_);_(@_)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808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FF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5" fillId="0" borderId="0" applyFont="0" applyFill="0" applyBorder="0" applyAlignment="0" applyProtection="0"/>
  </cellStyleXfs>
  <cellXfs count="25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44" fontId="3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41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2" fillId="0" borderId="0" xfId="0" applyFont="1" applyFill="1" applyAlignment="1"/>
    <xf numFmtId="0" fontId="5" fillId="0" borderId="0" xfId="0" applyFont="1" applyFill="1" applyAlignment="1">
      <alignment horizontal="left"/>
    </xf>
    <xf numFmtId="164" fontId="4" fillId="0" borderId="0" xfId="0" applyNumberFormat="1" applyFont="1" applyFill="1" applyBorder="1"/>
    <xf numFmtId="0" fontId="4" fillId="0" borderId="0" xfId="0" quotePrefix="1" applyFont="1" applyFill="1" applyAlignment="1">
      <alignment horizontal="center"/>
    </xf>
    <xf numFmtId="41" fontId="2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3" fontId="4" fillId="0" borderId="0" xfId="0" applyNumberFormat="1" applyFont="1" applyFill="1"/>
    <xf numFmtId="3" fontId="1" fillId="0" borderId="0" xfId="0" applyNumberFormat="1" applyFont="1" applyFill="1"/>
    <xf numFmtId="10" fontId="1" fillId="0" borderId="0" xfId="0" applyNumberFormat="1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10" fontId="4" fillId="0" borderId="0" xfId="0" applyNumberFormat="1" applyFont="1" applyFill="1"/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0" fontId="9" fillId="0" borderId="0" xfId="0" applyFont="1" applyFill="1"/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0" fontId="0" fillId="0" borderId="0" xfId="0" applyFill="1"/>
    <xf numFmtId="10" fontId="4" fillId="0" borderId="0" xfId="0" applyNumberFormat="1" applyFont="1" applyFill="1"/>
    <xf numFmtId="0" fontId="1" fillId="0" borderId="0" xfId="0" applyFont="1" applyFill="1"/>
    <xf numFmtId="0" fontId="2" fillId="0" borderId="0" xfId="0" applyFont="1" applyAlignment="1"/>
    <xf numFmtId="0" fontId="4" fillId="0" borderId="0" xfId="0" applyFont="1" applyFill="1"/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165" fontId="4" fillId="0" borderId="0" xfId="0" applyNumberFormat="1" applyFont="1" applyFill="1"/>
    <xf numFmtId="10" fontId="1" fillId="0" borderId="0" xfId="0" applyNumberFormat="1" applyFont="1" applyFill="1"/>
    <xf numFmtId="0" fontId="4" fillId="0" borderId="3" xfId="0" applyFont="1" applyFill="1" applyBorder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Alignment="1">
      <alignment horizontal="center"/>
    </xf>
    <xf numFmtId="165" fontId="7" fillId="0" borderId="0" xfId="0" applyNumberFormat="1" applyFont="1" applyFill="1"/>
    <xf numFmtId="0" fontId="3" fillId="0" borderId="0" xfId="0" applyFont="1"/>
    <xf numFmtId="0" fontId="3" fillId="0" borderId="0" xfId="0" applyFont="1" applyFill="1"/>
    <xf numFmtId="3" fontId="4" fillId="0" borderId="0" xfId="0" applyNumberFormat="1" applyFont="1" applyFill="1"/>
    <xf numFmtId="0" fontId="9" fillId="0" borderId="0" xfId="0" applyFont="1" applyFill="1"/>
    <xf numFmtId="0" fontId="6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4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7" fontId="0" fillId="0" borderId="0" xfId="0" applyNumberFormat="1" applyFont="1" applyFill="1"/>
    <xf numFmtId="0" fontId="4" fillId="0" borderId="0" xfId="0" quotePrefix="1" applyFont="1" applyFill="1" applyAlignment="1">
      <alignment horizontal="left"/>
    </xf>
    <xf numFmtId="165" fontId="1" fillId="0" borderId="0" xfId="0" applyNumberFormat="1" applyFont="1" applyFill="1"/>
    <xf numFmtId="164" fontId="7" fillId="0" borderId="0" xfId="0" applyNumberFormat="1" applyFont="1" applyFill="1" applyBorder="1"/>
    <xf numFmtId="165" fontId="4" fillId="0" borderId="2" xfId="0" applyNumberFormat="1" applyFont="1" applyFill="1" applyBorder="1"/>
    <xf numFmtId="165" fontId="7" fillId="0" borderId="3" xfId="0" applyNumberFormat="1" applyFont="1" applyFill="1" applyBorder="1"/>
    <xf numFmtId="0" fontId="2" fillId="0" borderId="3" xfId="0" applyNumberFormat="1" applyFont="1" applyFill="1" applyBorder="1" applyAlignment="1">
      <alignment horizontal="center"/>
    </xf>
    <xf numFmtId="165" fontId="7" fillId="0" borderId="0" xfId="0" applyNumberFormat="1" applyFont="1" applyFill="1" applyBorder="1"/>
    <xf numFmtId="0" fontId="1" fillId="0" borderId="0" xfId="0" quotePrefix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4" fillId="0" borderId="1" xfId="0" applyNumberFormat="1" applyFont="1" applyFill="1" applyBorder="1"/>
    <xf numFmtId="0" fontId="2" fillId="0" borderId="0" xfId="0" applyFont="1" applyFill="1" applyAlignment="1">
      <alignment horizontal="center"/>
    </xf>
    <xf numFmtId="167" fontId="4" fillId="0" borderId="1" xfId="0" applyNumberFormat="1" applyFont="1" applyFill="1" applyBorder="1"/>
    <xf numFmtId="44" fontId="7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center" wrapText="1"/>
    </xf>
    <xf numFmtId="41" fontId="2" fillId="0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wrapText="1"/>
    </xf>
    <xf numFmtId="0" fontId="4" fillId="0" borderId="3" xfId="0" applyFont="1" applyFill="1" applyBorder="1" applyAlignment="1"/>
    <xf numFmtId="0" fontId="3" fillId="0" borderId="0" xfId="0" applyFont="1" applyAlignment="1"/>
    <xf numFmtId="41" fontId="2" fillId="0" borderId="0" xfId="0" applyNumberFormat="1" applyFont="1" applyFill="1" applyBorder="1" applyAlignment="1">
      <alignment horizontal="center" wrapText="1"/>
    </xf>
    <xf numFmtId="41" fontId="2" fillId="0" borderId="0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 wrapText="1"/>
    </xf>
    <xf numFmtId="0" fontId="10" fillId="0" borderId="0" xfId="0" applyFont="1"/>
    <xf numFmtId="0" fontId="0" fillId="0" borderId="0" xfId="0" applyFont="1"/>
    <xf numFmtId="0" fontId="10" fillId="0" borderId="0" xfId="0" applyFont="1" applyBorder="1" applyAlignment="1">
      <alignment horizontal="left"/>
    </xf>
    <xf numFmtId="3" fontId="10" fillId="0" borderId="0" xfId="0" applyNumberFormat="1" applyFont="1" applyFill="1" applyBorder="1"/>
    <xf numFmtId="0" fontId="1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3" fontId="10" fillId="0" borderId="3" xfId="0" applyNumberFormat="1" applyFont="1" applyFill="1" applyBorder="1"/>
    <xf numFmtId="3" fontId="10" fillId="0" borderId="0" xfId="0" applyNumberFormat="1" applyFont="1"/>
    <xf numFmtId="0" fontId="11" fillId="0" borderId="0" xfId="0" applyFont="1"/>
    <xf numFmtId="43" fontId="11" fillId="0" borderId="0" xfId="0" applyNumberFormat="1" applyFont="1" applyFill="1"/>
    <xf numFmtId="3" fontId="12" fillId="0" borderId="0" xfId="0" applyNumberFormat="1" applyFont="1" applyFill="1" applyBorder="1"/>
    <xf numFmtId="3" fontId="12" fillId="0" borderId="3" xfId="0" applyNumberFormat="1" applyFont="1" applyFill="1" applyBorder="1"/>
    <xf numFmtId="0" fontId="10" fillId="0" borderId="0" xfId="0" applyFont="1"/>
    <xf numFmtId="0" fontId="1" fillId="2" borderId="0" xfId="0" applyNumberFormat="1" applyFont="1" applyFill="1" applyAlignment="1"/>
    <xf numFmtId="0" fontId="2" fillId="2" borderId="3" xfId="0" applyNumberFormat="1" applyFont="1" applyFill="1" applyBorder="1" applyAlignment="1">
      <alignment horizontal="center" wrapText="1"/>
    </xf>
    <xf numFmtId="0" fontId="2" fillId="2" borderId="0" xfId="0" applyNumberFormat="1" applyFont="1" applyFill="1" applyAlignment="1">
      <alignment wrapText="1"/>
    </xf>
    <xf numFmtId="0" fontId="2" fillId="2" borderId="0" xfId="0" applyNumberFormat="1" applyFont="1" applyFill="1" applyAlignment="1">
      <alignment horizontal="center" wrapText="1"/>
    </xf>
    <xf numFmtId="165" fontId="14" fillId="0" borderId="0" xfId="0" quotePrefix="1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/>
    <xf numFmtId="164" fontId="1" fillId="0" borderId="0" xfId="0" quotePrefix="1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wrapText="1"/>
    </xf>
    <xf numFmtId="0" fontId="2" fillId="2" borderId="0" xfId="0" quotePrefix="1" applyNumberFormat="1" applyFont="1" applyFill="1" applyAlignment="1">
      <alignment horizontal="left"/>
    </xf>
    <xf numFmtId="168" fontId="4" fillId="0" borderId="0" xfId="0" quotePrefix="1" applyNumberFormat="1" applyFont="1" applyFill="1" applyAlignment="1">
      <alignment horizontal="left"/>
    </xf>
    <xf numFmtId="168" fontId="1" fillId="2" borderId="0" xfId="0" applyNumberFormat="1" applyFont="1" applyFill="1" applyAlignment="1"/>
    <xf numFmtId="0" fontId="2" fillId="2" borderId="0" xfId="0" quotePrefix="1" applyNumberFormat="1" applyFont="1" applyFill="1" applyAlignment="1">
      <alignment horizontal="left" indent="1"/>
    </xf>
    <xf numFmtId="9" fontId="1" fillId="0" borderId="8" xfId="0" quotePrefix="1" applyNumberFormat="1" applyFont="1" applyBorder="1"/>
    <xf numFmtId="165" fontId="4" fillId="0" borderId="0" xfId="0" quotePrefix="1" applyNumberFormat="1" applyFont="1" applyFill="1" applyAlignment="1">
      <alignment horizontal="left"/>
    </xf>
    <xf numFmtId="165" fontId="1" fillId="0" borderId="0" xfId="0" quotePrefix="1" applyNumberFormat="1" applyFont="1" applyFill="1" applyAlignment="1">
      <alignment horizontal="left"/>
    </xf>
    <xf numFmtId="0" fontId="1" fillId="0" borderId="0" xfId="0" applyNumberFormat="1" applyFont="1" applyFill="1" applyAlignment="1"/>
    <xf numFmtId="0" fontId="2" fillId="0" borderId="0" xfId="0" quotePrefix="1" applyNumberFormat="1" applyFont="1" applyFill="1" applyAlignment="1">
      <alignment horizontal="left"/>
    </xf>
    <xf numFmtId="0" fontId="2" fillId="0" borderId="0" xfId="0" quotePrefix="1" applyNumberFormat="1" applyFont="1" applyFill="1" applyAlignment="1">
      <alignment horizontal="left" indent="1"/>
    </xf>
    <xf numFmtId="0" fontId="2" fillId="0" borderId="0" xfId="0" applyNumberFormat="1" applyFont="1" applyFill="1" applyAlignment="1"/>
    <xf numFmtId="168" fontId="1" fillId="0" borderId="0" xfId="0" applyNumberFormat="1" applyFont="1" applyFill="1" applyAlignment="1"/>
    <xf numFmtId="0" fontId="1" fillId="2" borderId="0" xfId="0" applyNumberFormat="1" applyFont="1" applyFill="1" applyAlignment="1">
      <alignment horizontal="center"/>
    </xf>
    <xf numFmtId="0" fontId="13" fillId="0" borderId="3" xfId="0" applyFont="1" applyBorder="1" applyAlignment="1">
      <alignment horizontal="center"/>
    </xf>
    <xf numFmtId="17" fontId="14" fillId="0" borderId="3" xfId="0" applyNumberFormat="1" applyFont="1" applyBorder="1" applyAlignment="1">
      <alignment horizontal="center"/>
    </xf>
    <xf numFmtId="0" fontId="13" fillId="0" borderId="0" xfId="0" applyFont="1"/>
    <xf numFmtId="165" fontId="4" fillId="0" borderId="3" xfId="0" applyNumberFormat="1" applyFont="1" applyFill="1" applyBorder="1"/>
    <xf numFmtId="165" fontId="7" fillId="0" borderId="0" xfId="0" quotePrefix="1" applyNumberFormat="1" applyFont="1" applyFill="1" applyAlignment="1">
      <alignment horizontal="left"/>
    </xf>
    <xf numFmtId="0" fontId="16" fillId="0" borderId="0" xfId="0" applyNumberFormat="1" applyFont="1" applyFill="1" applyAlignment="1">
      <alignment horizontal="left"/>
    </xf>
    <xf numFmtId="0" fontId="17" fillId="0" borderId="0" xfId="0" applyNumberFormat="1" applyFont="1" applyAlignment="1"/>
    <xf numFmtId="0" fontId="18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left"/>
    </xf>
    <xf numFmtId="0" fontId="19" fillId="0" borderId="0" xfId="0" applyNumberFormat="1" applyFont="1" applyFill="1" applyAlignment="1"/>
    <xf numFmtId="0" fontId="2" fillId="0" borderId="0" xfId="0" applyNumberFormat="1" applyFont="1" applyFill="1" applyAlignment="1">
      <alignment horizontal="left"/>
    </xf>
    <xf numFmtId="41" fontId="17" fillId="0" borderId="0" xfId="0" applyNumberFormat="1" applyFont="1" applyAlignment="1"/>
    <xf numFmtId="169" fontId="18" fillId="0" borderId="0" xfId="0" applyNumberFormat="1" applyFont="1" applyFill="1" applyBorder="1" applyAlignment="1"/>
    <xf numFmtId="0" fontId="20" fillId="0" borderId="0" xfId="0" applyNumberFormat="1" applyFont="1" applyFill="1" applyAlignment="1">
      <alignment horizontal="center"/>
    </xf>
    <xf numFmtId="0" fontId="20" fillId="0" borderId="0" xfId="0" quotePrefix="1" applyNumberFormat="1" applyFont="1" applyFill="1" applyAlignment="1">
      <alignment horizontal="left"/>
    </xf>
    <xf numFmtId="0" fontId="21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/>
    <xf numFmtId="0" fontId="20" fillId="0" borderId="0" xfId="0" applyNumberFormat="1" applyFont="1" applyFill="1" applyAlignment="1">
      <alignment horizontal="left"/>
    </xf>
    <xf numFmtId="165" fontId="20" fillId="0" borderId="0" xfId="0" applyNumberFormat="1" applyFont="1" applyFill="1" applyBorder="1" applyAlignment="1"/>
    <xf numFmtId="0" fontId="20" fillId="0" borderId="0" xfId="0" applyNumberFormat="1" applyFont="1" applyAlignment="1"/>
    <xf numFmtId="164" fontId="20" fillId="0" borderId="0" xfId="0" applyNumberFormat="1" applyFont="1" applyFill="1" applyAlignment="1">
      <alignment horizontal="right"/>
    </xf>
    <xf numFmtId="164" fontId="20" fillId="0" borderId="0" xfId="0" applyNumberFormat="1" applyFont="1" applyFill="1" applyBorder="1" applyAlignment="1">
      <alignment horizontal="right"/>
    </xf>
    <xf numFmtId="164" fontId="20" fillId="0" borderId="0" xfId="0" applyNumberFormat="1" applyFont="1" applyAlignment="1"/>
    <xf numFmtId="43" fontId="20" fillId="0" borderId="0" xfId="0" applyNumberFormat="1" applyFont="1" applyAlignment="1"/>
    <xf numFmtId="0" fontId="20" fillId="0" borderId="0" xfId="0" applyNumberFormat="1" applyFont="1" applyFill="1" applyAlignment="1"/>
    <xf numFmtId="165" fontId="20" fillId="0" borderId="9" xfId="0" applyNumberFormat="1" applyFont="1" applyFill="1" applyBorder="1" applyAlignment="1">
      <alignment horizontal="right"/>
    </xf>
    <xf numFmtId="10" fontId="20" fillId="0" borderId="0" xfId="0" applyNumberFormat="1" applyFont="1" applyAlignment="1"/>
    <xf numFmtId="43" fontId="20" fillId="0" borderId="0" xfId="0" applyNumberFormat="1" applyFont="1" applyFill="1" applyAlignment="1">
      <alignment horizontal="right"/>
    </xf>
    <xf numFmtId="165" fontId="20" fillId="0" borderId="0" xfId="0" applyNumberFormat="1" applyFont="1" applyFill="1" applyAlignment="1">
      <alignment horizontal="left"/>
    </xf>
    <xf numFmtId="43" fontId="20" fillId="0" borderId="0" xfId="0" applyNumberFormat="1" applyFont="1" applyFill="1" applyAlignment="1">
      <alignment horizontal="left"/>
    </xf>
    <xf numFmtId="0" fontId="20" fillId="0" borderId="0" xfId="0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/>
    </xf>
    <xf numFmtId="170" fontId="20" fillId="0" borderId="0" xfId="0" applyNumberFormat="1" applyFont="1" applyFill="1" applyBorder="1" applyAlignment="1"/>
    <xf numFmtId="164" fontId="20" fillId="0" borderId="0" xfId="0" applyNumberFormat="1" applyFont="1" applyFill="1" applyAlignment="1">
      <alignment horizontal="center"/>
    </xf>
    <xf numFmtId="165" fontId="20" fillId="0" borderId="0" xfId="0" applyNumberFormat="1" applyFont="1" applyAlignment="1"/>
    <xf numFmtId="164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left" indent="1"/>
    </xf>
    <xf numFmtId="0" fontId="20" fillId="0" borderId="0" xfId="0" applyNumberFormat="1" applyFont="1" applyFill="1" applyAlignment="1">
      <alignment horizontal="center" vertical="top"/>
    </xf>
    <xf numFmtId="0" fontId="20" fillId="0" borderId="0" xfId="0" applyNumberFormat="1" applyFont="1" applyFill="1" applyAlignment="1">
      <alignment vertical="top"/>
    </xf>
    <xf numFmtId="0" fontId="20" fillId="0" borderId="0" xfId="0" quotePrefix="1" applyNumberFormat="1" applyFont="1" applyFill="1" applyBorder="1" applyAlignment="1">
      <alignment horizontal="left"/>
    </xf>
    <xf numFmtId="0" fontId="23" fillId="0" borderId="0" xfId="0" applyNumberFormat="1" applyFont="1" applyAlignment="1"/>
    <xf numFmtId="0" fontId="22" fillId="0" borderId="0" xfId="0" applyNumberFormat="1" applyFont="1" applyFill="1" applyAlignment="1"/>
    <xf numFmtId="0" fontId="20" fillId="0" borderId="0" xfId="0" applyNumberFormat="1" applyFont="1" applyFill="1" applyAlignment="1">
      <alignment horizontal="left" vertical="center" indent="1"/>
    </xf>
    <xf numFmtId="165" fontId="20" fillId="0" borderId="9" xfId="0" applyNumberFormat="1" applyFont="1" applyFill="1" applyBorder="1" applyAlignment="1"/>
    <xf numFmtId="170" fontId="20" fillId="0" borderId="9" xfId="0" applyNumberFormat="1" applyFont="1" applyBorder="1" applyAlignment="1"/>
    <xf numFmtId="171" fontId="20" fillId="0" borderId="0" xfId="0" applyNumberFormat="1" applyFont="1" applyFill="1" applyAlignment="1">
      <alignment horizontal="right"/>
    </xf>
    <xf numFmtId="171" fontId="20" fillId="0" borderId="0" xfId="0" applyNumberFormat="1" applyFont="1" applyAlignment="1"/>
    <xf numFmtId="164" fontId="20" fillId="0" borderId="0" xfId="1" applyNumberFormat="1" applyFont="1" applyFill="1" applyBorder="1"/>
    <xf numFmtId="0" fontId="20" fillId="0" borderId="0" xfId="0" applyNumberFormat="1" applyFont="1" applyAlignment="1">
      <alignment horizontal="center" wrapText="1"/>
    </xf>
    <xf numFmtId="165" fontId="22" fillId="0" borderId="0" xfId="0" applyNumberFormat="1" applyFont="1" applyAlignment="1"/>
    <xf numFmtId="170" fontId="20" fillId="0" borderId="0" xfId="0" applyNumberFormat="1" applyFont="1" applyBorder="1" applyAlignment="1"/>
    <xf numFmtId="0" fontId="24" fillId="0" borderId="0" xfId="0" applyFont="1" applyFill="1" applyBorder="1" applyAlignment="1"/>
    <xf numFmtId="172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/>
    <xf numFmtId="0" fontId="25" fillId="0" borderId="0" xfId="0" applyNumberFormat="1" applyFont="1" applyFill="1" applyBorder="1" applyAlignment="1">
      <alignment horizontal="center"/>
    </xf>
    <xf numFmtId="172" fontId="26" fillId="0" borderId="10" xfId="0" applyNumberFormat="1" applyFont="1" applyFill="1" applyBorder="1" applyAlignment="1">
      <alignment horizontal="left"/>
    </xf>
    <xf numFmtId="0" fontId="25" fillId="0" borderId="11" xfId="0" applyNumberFormat="1" applyFont="1" applyFill="1" applyBorder="1" applyAlignment="1"/>
    <xf numFmtId="0" fontId="26" fillId="0" borderId="11" xfId="0" applyNumberFormat="1" applyFont="1" applyFill="1" applyBorder="1" applyAlignment="1">
      <alignment horizontal="center"/>
    </xf>
    <xf numFmtId="173" fontId="26" fillId="0" borderId="12" xfId="0" applyNumberFormat="1" applyFont="1" applyFill="1" applyBorder="1" applyAlignment="1"/>
    <xf numFmtId="172" fontId="25" fillId="0" borderId="13" xfId="0" applyNumberFormat="1" applyFont="1" applyFill="1" applyBorder="1" applyAlignment="1">
      <alignment horizontal="left"/>
    </xf>
    <xf numFmtId="0" fontId="25" fillId="0" borderId="9" xfId="0" applyNumberFormat="1" applyFont="1" applyFill="1" applyBorder="1" applyAlignment="1">
      <alignment horizontal="center"/>
    </xf>
    <xf numFmtId="41" fontId="25" fillId="0" borderId="9" xfId="0" applyNumberFormat="1" applyFont="1" applyFill="1" applyBorder="1" applyAlignment="1"/>
    <xf numFmtId="164" fontId="25" fillId="0" borderId="14" xfId="0" applyNumberFormat="1" applyFont="1" applyFill="1" applyBorder="1" applyAlignment="1"/>
    <xf numFmtId="172" fontId="25" fillId="0" borderId="15" xfId="0" applyNumberFormat="1" applyFont="1" applyFill="1" applyBorder="1" applyAlignment="1">
      <alignment horizontal="left"/>
    </xf>
    <xf numFmtId="41" fontId="25" fillId="0" borderId="0" xfId="0" applyNumberFormat="1" applyFont="1" applyFill="1" applyBorder="1" applyAlignment="1"/>
    <xf numFmtId="41" fontId="25" fillId="0" borderId="16" xfId="0" applyNumberFormat="1" applyFont="1" applyFill="1" applyBorder="1" applyAlignment="1"/>
    <xf numFmtId="0" fontId="25" fillId="0" borderId="15" xfId="0" applyNumberFormat="1" applyFont="1" applyFill="1" applyBorder="1" applyAlignment="1"/>
    <xf numFmtId="41" fontId="25" fillId="0" borderId="3" xfId="0" applyNumberFormat="1" applyFont="1" applyFill="1" applyBorder="1" applyAlignment="1"/>
    <xf numFmtId="41" fontId="25" fillId="0" borderId="17" xfId="0" applyNumberFormat="1" applyFont="1" applyFill="1" applyBorder="1" applyAlignment="1"/>
    <xf numFmtId="0" fontId="25" fillId="0" borderId="0" xfId="0" applyNumberFormat="1" applyFont="1" applyFill="1" applyBorder="1" applyAlignment="1"/>
    <xf numFmtId="0" fontId="25" fillId="0" borderId="18" xfId="0" applyNumberFormat="1" applyFont="1" applyBorder="1" applyAlignment="1"/>
    <xf numFmtId="0" fontId="25" fillId="0" borderId="19" xfId="0" applyNumberFormat="1" applyFont="1" applyBorder="1" applyAlignment="1">
      <alignment horizontal="right"/>
    </xf>
    <xf numFmtId="41" fontId="25" fillId="0" borderId="19" xfId="0" applyNumberFormat="1" applyFont="1" applyBorder="1" applyAlignment="1"/>
    <xf numFmtId="10" fontId="25" fillId="0" borderId="20" xfId="0" applyNumberFormat="1" applyFont="1" applyBorder="1" applyAlignment="1"/>
    <xf numFmtId="0" fontId="0" fillId="0" borderId="0" xfId="0" applyNumberFormat="1" applyFont="1" applyAlignment="1"/>
    <xf numFmtId="0" fontId="27" fillId="0" borderId="0" xfId="0" applyFont="1" applyFill="1"/>
    <xf numFmtId="0" fontId="27" fillId="0" borderId="0" xfId="0" applyFont="1" applyFill="1" applyAlignment="1">
      <alignment horizontal="centerContinuous"/>
    </xf>
    <xf numFmtId="0" fontId="27" fillId="0" borderId="3" xfId="0" applyFont="1" applyFill="1" applyBorder="1" applyAlignment="1">
      <alignment horizontal="center" wrapText="1"/>
    </xf>
    <xf numFmtId="0" fontId="27" fillId="0" borderId="3" xfId="0" quotePrefix="1" applyFont="1" applyFill="1" applyBorder="1" applyAlignment="1">
      <alignment horizontal="center" wrapText="1"/>
    </xf>
    <xf numFmtId="0" fontId="27" fillId="0" borderId="0" xfId="0" applyFont="1" applyFill="1" applyAlignment="1">
      <alignment horizontal="center" vertical="top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center" vertical="top" wrapText="1"/>
    </xf>
    <xf numFmtId="0" fontId="27" fillId="0" borderId="0" xfId="0" quotePrefix="1" applyFont="1" applyFill="1" applyAlignment="1">
      <alignment horizontal="center" vertical="top" wrapText="1"/>
    </xf>
    <xf numFmtId="0" fontId="27" fillId="0" borderId="0" xfId="0" applyFont="1" applyFill="1" applyAlignment="1">
      <alignment horizontal="center" wrapText="1"/>
    </xf>
    <xf numFmtId="0" fontId="27" fillId="0" borderId="0" xfId="0" applyFont="1" applyFill="1" applyAlignment="1">
      <alignment horizontal="left"/>
    </xf>
    <xf numFmtId="0" fontId="27" fillId="0" borderId="0" xfId="0" applyFont="1" applyFill="1" applyAlignment="1">
      <alignment horizontal="center"/>
    </xf>
    <xf numFmtId="164" fontId="27" fillId="0" borderId="1" xfId="0" applyNumberFormat="1" applyFont="1" applyFill="1" applyBorder="1"/>
    <xf numFmtId="165" fontId="27" fillId="0" borderId="1" xfId="0" applyNumberFormat="1" applyFont="1" applyFill="1" applyBorder="1"/>
    <xf numFmtId="10" fontId="27" fillId="0" borderId="0" xfId="0" applyNumberFormat="1" applyFont="1" applyFill="1" applyBorder="1"/>
    <xf numFmtId="9" fontId="27" fillId="0" borderId="0" xfId="0" applyNumberFormat="1" applyFont="1" applyFill="1"/>
    <xf numFmtId="10" fontId="27" fillId="0" borderId="0" xfId="0" applyNumberFormat="1" applyFont="1" applyFill="1"/>
    <xf numFmtId="165" fontId="27" fillId="0" borderId="0" xfId="0" applyNumberFormat="1" applyFont="1" applyFill="1"/>
    <xf numFmtId="174" fontId="27" fillId="0" borderId="0" xfId="2" applyNumberFormat="1" applyFont="1" applyFill="1"/>
    <xf numFmtId="164" fontId="27" fillId="0" borderId="0" xfId="0" applyNumberFormat="1" applyFont="1" applyFill="1" applyBorder="1"/>
    <xf numFmtId="165" fontId="27" fillId="0" borderId="0" xfId="0" applyNumberFormat="1" applyFont="1" applyFill="1" applyBorder="1"/>
    <xf numFmtId="0" fontId="27" fillId="0" borderId="0" xfId="0" quotePrefix="1" applyFont="1" applyFill="1" applyAlignment="1">
      <alignment horizontal="left" indent="1"/>
    </xf>
    <xf numFmtId="0" fontId="27" fillId="0" borderId="0" xfId="0" quotePrefix="1" applyFont="1" applyFill="1" applyAlignment="1">
      <alignment horizontal="center"/>
    </xf>
    <xf numFmtId="3" fontId="27" fillId="0" borderId="0" xfId="0" applyNumberFormat="1" applyFont="1" applyFill="1" applyBorder="1"/>
    <xf numFmtId="0" fontId="27" fillId="0" borderId="0" xfId="0" quotePrefix="1" applyFont="1" applyFill="1" applyAlignment="1">
      <alignment horizontal="left"/>
    </xf>
    <xf numFmtId="3" fontId="27" fillId="0" borderId="1" xfId="0" applyNumberFormat="1" applyFont="1" applyFill="1" applyBorder="1"/>
    <xf numFmtId="0" fontId="27" fillId="0" borderId="0" xfId="0" applyFont="1" applyFill="1" applyAlignment="1">
      <alignment horizontal="left" indent="1"/>
    </xf>
    <xf numFmtId="3" fontId="27" fillId="0" borderId="0" xfId="0" applyNumberFormat="1" applyFont="1" applyFill="1"/>
    <xf numFmtId="0" fontId="27" fillId="0" borderId="0" xfId="0" applyFont="1" applyFill="1" applyBorder="1"/>
    <xf numFmtId="164" fontId="27" fillId="0" borderId="0" xfId="0" applyNumberFormat="1" applyFont="1" applyFill="1"/>
    <xf numFmtId="164" fontId="27" fillId="0" borderId="2" xfId="0" applyNumberFormat="1" applyFont="1" applyFill="1" applyBorder="1"/>
    <xf numFmtId="165" fontId="27" fillId="0" borderId="2" xfId="0" applyNumberFormat="1" applyFont="1" applyFill="1" applyBorder="1"/>
    <xf numFmtId="10" fontId="27" fillId="0" borderId="2" xfId="0" applyNumberFormat="1" applyFont="1" applyFill="1" applyBorder="1"/>
    <xf numFmtId="44" fontId="27" fillId="0" borderId="0" xfId="0" applyNumberFormat="1" applyFont="1" applyFill="1" applyBorder="1"/>
    <xf numFmtId="9" fontId="28" fillId="0" borderId="11" xfId="0" applyNumberFormat="1" applyFont="1" applyFill="1" applyBorder="1"/>
    <xf numFmtId="0" fontId="27" fillId="0" borderId="11" xfId="0" applyFont="1" applyFill="1" applyBorder="1"/>
    <xf numFmtId="10" fontId="27" fillId="0" borderId="12" xfId="0" applyNumberFormat="1" applyFont="1" applyFill="1" applyBorder="1"/>
    <xf numFmtId="10" fontId="27" fillId="0" borderId="16" xfId="0" applyNumberFormat="1" applyFont="1" applyFill="1" applyBorder="1"/>
    <xf numFmtId="0" fontId="27" fillId="0" borderId="16" xfId="0" applyFont="1" applyFill="1" applyBorder="1"/>
    <xf numFmtId="0" fontId="27" fillId="0" borderId="19" xfId="0" applyFont="1" applyFill="1" applyBorder="1"/>
    <xf numFmtId="10" fontId="28" fillId="0" borderId="20" xfId="0" applyNumberFormat="1" applyFont="1" applyFill="1" applyBorder="1"/>
    <xf numFmtId="0" fontId="28" fillId="0" borderId="0" xfId="0" quotePrefix="1" applyFont="1" applyFill="1" applyAlignment="1">
      <alignment wrapText="1"/>
    </xf>
    <xf numFmtId="165" fontId="3" fillId="0" borderId="0" xfId="0" applyNumberFormat="1" applyFont="1"/>
    <xf numFmtId="0" fontId="29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7" fillId="0" borderId="18" xfId="0" quotePrefix="1" applyFont="1" applyFill="1" applyBorder="1" applyAlignment="1">
      <alignment horizontal="left"/>
    </xf>
    <xf numFmtId="0" fontId="27" fillId="0" borderId="19" xfId="0" quotePrefix="1" applyFont="1" applyFill="1" applyBorder="1" applyAlignment="1">
      <alignment horizontal="left"/>
    </xf>
    <xf numFmtId="0" fontId="27" fillId="0" borderId="0" xfId="0" quotePrefix="1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10" xfId="0" quotePrefix="1" applyFont="1" applyFill="1" applyBorder="1" applyAlignment="1">
      <alignment horizontal="left"/>
    </xf>
    <xf numFmtId="0" fontId="27" fillId="0" borderId="11" xfId="0" quotePrefix="1" applyFont="1" applyFill="1" applyBorder="1" applyAlignment="1">
      <alignment horizontal="left"/>
    </xf>
    <xf numFmtId="0" fontId="27" fillId="0" borderId="15" xfId="0" quotePrefix="1" applyFont="1" applyFill="1" applyBorder="1" applyAlignment="1">
      <alignment horizontal="left"/>
    </xf>
    <xf numFmtId="0" fontId="27" fillId="0" borderId="0" xfId="0" quotePrefix="1" applyFont="1" applyFill="1" applyBorder="1" applyAlignment="1">
      <alignment horizontal="left"/>
    </xf>
    <xf numFmtId="0" fontId="27" fillId="0" borderId="15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/>
    </xf>
  </cellXfs>
  <cellStyles count="3">
    <cellStyle name="Comma 10 2 2 3" xfId="1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008080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63" Type="http://schemas.openxmlformats.org/officeDocument/2006/relationships/externalLink" Target="externalLinks/externalLink53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8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1.xml"/><Relationship Id="rId19" Type="http://schemas.openxmlformats.org/officeDocument/2006/relationships/externalLink" Target="externalLinks/externalLink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54.xml"/><Relationship Id="rId6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72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49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62" Type="http://schemas.openxmlformats.org/officeDocument/2006/relationships/externalLink" Target="externalLinks/externalLink52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externalLink" Target="externalLinks/externalLink47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0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9" Type="http://schemas.openxmlformats.org/officeDocument/2006/relationships/externalLink" Target="externalLinks/externalLink29.xml"/><Relationship Id="rId34" Type="http://schemas.openxmlformats.org/officeDocument/2006/relationships/externalLink" Target="externalLinks/externalLink24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180899-180900-PSE-WP-PSE-Compliance-Elec-Def-02-25-19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180899-180900-PSE-WP-PSE-Compliance-Elec-Rate-Spread-Design-02-25-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te ARAM Schedule"/>
      <sheetName val="From Staff 50 Att D ===&gt;"/>
      <sheetName val="Deficiency"/>
      <sheetName val="ERF ROR"/>
      <sheetName val="E ERF Conv Factr"/>
      <sheetName val="ERF Main Summary"/>
      <sheetName val="ERF Adj Summary"/>
      <sheetName val="ERF Adj Pages"/>
      <sheetName val="Restating Print Macros"/>
      <sheetName val="Module13"/>
      <sheetName val="Module14"/>
      <sheetName val="Module15"/>
      <sheetName val="Module1"/>
      <sheetName val="EOP Adj Summary"/>
      <sheetName val="EOP Adj Pages"/>
      <sheetName val="Remove Non-ERF"/>
      <sheetName val="CBR Model"/>
      <sheetName val="Summary"/>
      <sheetName val="9.04E Annualize FIT"/>
    </sheetNames>
    <sheetDataSet>
      <sheetData sheetId="0">
        <row r="13">
          <cell r="C13">
            <v>25925903.212886147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(JAP4)-Tariff Summary"/>
      <sheetName val="(JAP4)-Light Tariff Summary"/>
      <sheetName val="Rate Spread-Design====&gt;"/>
      <sheetName val="(JAP4) Rate Spread"/>
      <sheetName val="(JAP4) Rate Des Summary"/>
      <sheetName val="(JAP4) Proposed ERF Rev"/>
      <sheetName val="(JAP4) Res RD"/>
      <sheetName val="(JAP4) SecVolt RD"/>
      <sheetName val="(JAP4) PriVolt RD"/>
      <sheetName val="(JAP4) CAMP RD"/>
      <sheetName val="(JAP4) HighVolt RD"/>
      <sheetName val="(JAP4) TRANSP RD"/>
      <sheetName val="(JAP4) LIGHT Sum"/>
      <sheetName val="(JAP4) LIGHT RD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J17">
            <v>10657340</v>
          </cell>
          <cell r="L17">
            <v>1109032.567</v>
          </cell>
        </row>
        <row r="21">
          <cell r="J21">
            <v>2769974</v>
          </cell>
          <cell r="L21">
            <v>269558.01400000002</v>
          </cell>
        </row>
        <row r="22">
          <cell r="J22">
            <v>2962665</v>
          </cell>
          <cell r="L22">
            <v>267247.141</v>
          </cell>
        </row>
        <row r="23">
          <cell r="J23">
            <v>1872505.8629326143</v>
          </cell>
          <cell r="L23">
            <v>155148.611</v>
          </cell>
        </row>
        <row r="24">
          <cell r="J24">
            <v>18243</v>
          </cell>
          <cell r="L24">
            <v>1449.5150000000001</v>
          </cell>
        </row>
        <row r="28">
          <cell r="J28">
            <v>1321181.4175556169</v>
          </cell>
          <cell r="L28">
            <v>107151.91499999999</v>
          </cell>
        </row>
        <row r="29">
          <cell r="J29">
            <v>3789.48</v>
          </cell>
          <cell r="L29">
            <v>226.02600000000001</v>
          </cell>
        </row>
        <row r="30">
          <cell r="J30">
            <v>123046.16422024449</v>
          </cell>
          <cell r="L30">
            <v>10794.427</v>
          </cell>
        </row>
        <row r="33">
          <cell r="J33">
            <v>534767.4366040678</v>
          </cell>
          <cell r="L33">
            <v>39012.15</v>
          </cell>
        </row>
        <row r="38">
          <cell r="J38">
            <v>634643.13800000004</v>
          </cell>
          <cell r="L38">
            <v>41454.387999999999</v>
          </cell>
        </row>
        <row r="40">
          <cell r="J40">
            <v>1993600.694324</v>
          </cell>
          <cell r="L40">
            <v>8376.0509999999995</v>
          </cell>
        </row>
        <row r="46">
          <cell r="J46">
            <v>7237.6555782419</v>
          </cell>
          <cell r="L46">
            <v>329.85399999999998</v>
          </cell>
        </row>
      </sheetData>
      <sheetData sheetId="7">
        <row r="16">
          <cell r="F16">
            <v>92016057</v>
          </cell>
        </row>
        <row r="23">
          <cell r="F23">
            <v>1109032567</v>
          </cell>
        </row>
      </sheetData>
      <sheetData sheetId="8">
        <row r="17">
          <cell r="F17">
            <v>22282212</v>
          </cell>
        </row>
        <row r="25">
          <cell r="F25">
            <v>269558014</v>
          </cell>
        </row>
        <row r="31">
          <cell r="F31">
            <v>4743244</v>
          </cell>
        </row>
        <row r="47">
          <cell r="F47">
            <v>267247141</v>
          </cell>
        </row>
        <row r="65">
          <cell r="F65">
            <v>1046403</v>
          </cell>
        </row>
        <row r="73">
          <cell r="C73">
            <v>2241694</v>
          </cell>
          <cell r="I73">
            <v>26967579</v>
          </cell>
        </row>
        <row r="74">
          <cell r="C74">
            <v>2352310</v>
          </cell>
          <cell r="I74">
            <v>18842003</v>
          </cell>
        </row>
        <row r="75">
          <cell r="I75">
            <v>45809582</v>
          </cell>
        </row>
        <row r="79">
          <cell r="F79">
            <v>154154705</v>
          </cell>
        </row>
        <row r="87">
          <cell r="F87">
            <v>8248</v>
          </cell>
        </row>
        <row r="96">
          <cell r="C96">
            <v>16171</v>
          </cell>
          <cell r="I96">
            <v>194537</v>
          </cell>
        </row>
        <row r="97">
          <cell r="C97">
            <v>13611</v>
          </cell>
          <cell r="I97">
            <v>109024</v>
          </cell>
        </row>
        <row r="98">
          <cell r="I98">
            <v>-11615</v>
          </cell>
        </row>
        <row r="99">
          <cell r="I99">
            <v>291946</v>
          </cell>
        </row>
        <row r="105">
          <cell r="F105">
            <v>993906</v>
          </cell>
        </row>
        <row r="118">
          <cell r="F118">
            <v>156521</v>
          </cell>
        </row>
        <row r="136">
          <cell r="F136">
            <v>1449515</v>
          </cell>
        </row>
      </sheetData>
      <sheetData sheetId="9">
        <row r="15">
          <cell r="F15">
            <v>2019346</v>
          </cell>
        </row>
        <row r="23">
          <cell r="C23">
            <v>1610241</v>
          </cell>
          <cell r="I23">
            <v>18630488</v>
          </cell>
        </row>
        <row r="24">
          <cell r="C24">
            <v>1661410</v>
          </cell>
          <cell r="I24">
            <v>12809471</v>
          </cell>
        </row>
        <row r="25">
          <cell r="I25">
            <v>31439959</v>
          </cell>
        </row>
        <row r="29">
          <cell r="F29">
            <v>107151915</v>
          </cell>
        </row>
        <row r="37">
          <cell r="F37">
            <v>11341</v>
          </cell>
        </row>
        <row r="51">
          <cell r="F51">
            <v>226026</v>
          </cell>
        </row>
        <row r="60">
          <cell r="F60">
            <v>649174</v>
          </cell>
        </row>
        <row r="75">
          <cell r="F75">
            <v>10794427</v>
          </cell>
        </row>
      </sheetData>
      <sheetData sheetId="10">
        <row r="18">
          <cell r="G18">
            <v>238018</v>
          </cell>
        </row>
        <row r="40">
          <cell r="G40">
            <v>39012150</v>
          </cell>
        </row>
      </sheetData>
      <sheetData sheetId="11"/>
      <sheetData sheetId="12">
        <row r="25">
          <cell r="F25">
            <v>8376051</v>
          </cell>
          <cell r="I25">
            <v>8383201</v>
          </cell>
        </row>
        <row r="43">
          <cell r="I43">
            <v>4220.2384602422635</v>
          </cell>
        </row>
      </sheetData>
      <sheetData sheetId="13">
        <row r="22">
          <cell r="F22">
            <v>16588931</v>
          </cell>
          <cell r="J22">
            <v>70906886.296500012</v>
          </cell>
        </row>
      </sheetData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workbookViewId="0">
      <selection activeCell="C21" sqref="C21"/>
    </sheetView>
  </sheetViews>
  <sheetFormatPr defaultRowHeight="15" x14ac:dyDescent="0.25"/>
  <cols>
    <col min="1" max="1" width="5.28515625" customWidth="1"/>
    <col min="2" max="2" width="21.7109375" bestFit="1" customWidth="1"/>
    <col min="3" max="3" width="13.140625" bestFit="1" customWidth="1"/>
    <col min="4" max="4" width="15.140625" bestFit="1" customWidth="1"/>
    <col min="5" max="5" width="13.5703125" bestFit="1" customWidth="1"/>
    <col min="6" max="6" width="20.28515625" bestFit="1" customWidth="1"/>
    <col min="7" max="7" width="12.42578125" bestFit="1" customWidth="1"/>
    <col min="8" max="9" width="13.5703125" bestFit="1" customWidth="1"/>
    <col min="10" max="10" width="3.7109375" customWidth="1"/>
    <col min="11" max="11" width="14" bestFit="1" customWidth="1"/>
    <col min="12" max="12" width="12.140625" bestFit="1" customWidth="1"/>
    <col min="13" max="13" width="12.42578125" bestFit="1" customWidth="1"/>
    <col min="14" max="14" width="15.28515625" bestFit="1" customWidth="1"/>
    <col min="15" max="15" width="13.42578125" bestFit="1" customWidth="1"/>
  </cols>
  <sheetData>
    <row r="1" spans="1:17" x14ac:dyDescent="0.25">
      <c r="A1" s="239" t="s">
        <v>16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39"/>
      <c r="O1" s="34"/>
      <c r="P1" s="34"/>
      <c r="Q1" s="34"/>
    </row>
    <row r="2" spans="1:17" x14ac:dyDescent="0.25">
      <c r="A2" s="239" t="s">
        <v>87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39"/>
      <c r="O2" s="34"/>
      <c r="P2" s="34"/>
      <c r="Q2" s="34"/>
    </row>
    <row r="3" spans="1:17" x14ac:dyDescent="0.25">
      <c r="A3" s="239" t="s">
        <v>88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39"/>
      <c r="O3" s="34"/>
      <c r="P3" s="34"/>
      <c r="Q3" s="34"/>
    </row>
    <row r="4" spans="1:17" x14ac:dyDescent="0.25">
      <c r="A4" s="239" t="s">
        <v>80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39"/>
      <c r="O4" s="34"/>
      <c r="P4" s="34"/>
      <c r="Q4" s="34"/>
    </row>
    <row r="5" spans="1:17" x14ac:dyDescent="0.25">
      <c r="A5" s="52"/>
      <c r="B5" s="52"/>
      <c r="C5" s="52"/>
      <c r="D5" s="52"/>
      <c r="E5" s="52"/>
      <c r="F5" s="52"/>
      <c r="G5" s="66"/>
      <c r="H5" s="52"/>
      <c r="I5" s="52"/>
      <c r="J5" s="52"/>
      <c r="K5" s="52"/>
      <c r="L5" s="52"/>
      <c r="M5" s="52"/>
      <c r="N5" s="34"/>
      <c r="O5" s="34"/>
      <c r="P5" s="34"/>
      <c r="Q5" s="34"/>
    </row>
    <row r="6" spans="1:17" x14ac:dyDescent="0.25">
      <c r="A6" s="74"/>
      <c r="B6" s="52"/>
      <c r="C6" s="52"/>
      <c r="D6" s="52"/>
      <c r="E6" s="52"/>
      <c r="F6" s="52"/>
      <c r="G6" s="66"/>
      <c r="H6" s="52"/>
      <c r="J6" s="52"/>
      <c r="K6" s="52"/>
      <c r="L6" s="52"/>
      <c r="M6" s="52"/>
      <c r="N6" s="52"/>
      <c r="O6" s="52"/>
      <c r="P6" s="34"/>
      <c r="Q6" s="34"/>
    </row>
    <row r="7" spans="1:17" ht="15" customHeight="1" x14ac:dyDescent="0.25">
      <c r="A7" s="80" t="s">
        <v>59</v>
      </c>
      <c r="B7" s="73"/>
      <c r="C7" s="73"/>
      <c r="D7" s="73" t="s">
        <v>61</v>
      </c>
      <c r="E7" s="73" t="s">
        <v>62</v>
      </c>
      <c r="F7" s="73" t="s">
        <v>62</v>
      </c>
      <c r="G7" s="73" t="s">
        <v>33</v>
      </c>
      <c r="H7" s="73" t="s">
        <v>62</v>
      </c>
      <c r="I7" s="73" t="s">
        <v>62</v>
      </c>
      <c r="J7" s="73"/>
      <c r="K7" s="73" t="s">
        <v>62</v>
      </c>
      <c r="L7" s="73" t="s">
        <v>33</v>
      </c>
      <c r="M7" s="73" t="s">
        <v>33</v>
      </c>
      <c r="N7" s="73"/>
      <c r="O7" s="73"/>
      <c r="P7" s="34"/>
      <c r="Q7" s="34"/>
    </row>
    <row r="8" spans="1:17" ht="15" customHeight="1" x14ac:dyDescent="0.25">
      <c r="A8" s="75" t="s">
        <v>60</v>
      </c>
      <c r="B8" s="43"/>
      <c r="C8" s="76" t="s">
        <v>14</v>
      </c>
      <c r="D8" s="63">
        <v>7</v>
      </c>
      <c r="E8" s="63" t="s">
        <v>45</v>
      </c>
      <c r="F8" s="63" t="s">
        <v>63</v>
      </c>
      <c r="G8" s="63">
        <v>40</v>
      </c>
      <c r="H8" s="63" t="s">
        <v>46</v>
      </c>
      <c r="I8" s="63" t="s">
        <v>47</v>
      </c>
      <c r="J8" s="77"/>
      <c r="K8" s="63" t="s">
        <v>64</v>
      </c>
      <c r="L8" s="63">
        <v>35</v>
      </c>
      <c r="M8" s="63">
        <v>43</v>
      </c>
      <c r="Q8" s="34"/>
    </row>
    <row r="9" spans="1:17" x14ac:dyDescent="0.25">
      <c r="A9" s="38"/>
      <c r="B9" s="31" t="s">
        <v>13</v>
      </c>
      <c r="C9" s="31" t="s">
        <v>12</v>
      </c>
      <c r="D9" s="31" t="s">
        <v>11</v>
      </c>
      <c r="E9" s="31" t="s">
        <v>10</v>
      </c>
      <c r="F9" s="54" t="s">
        <v>73</v>
      </c>
      <c r="G9" s="54" t="s">
        <v>8</v>
      </c>
      <c r="H9" s="31" t="s">
        <v>7</v>
      </c>
      <c r="I9" s="31" t="s">
        <v>6</v>
      </c>
      <c r="J9" s="30"/>
      <c r="K9" s="31" t="s">
        <v>5</v>
      </c>
      <c r="L9" s="54" t="s">
        <v>4</v>
      </c>
      <c r="M9" s="31" t="s">
        <v>3</v>
      </c>
      <c r="N9" s="31"/>
      <c r="Q9" s="34"/>
    </row>
    <row r="10" spans="1:17" x14ac:dyDescent="0.25">
      <c r="A10" s="31">
        <v>1</v>
      </c>
      <c r="B10" s="44" t="s">
        <v>50</v>
      </c>
      <c r="C10" s="31"/>
      <c r="D10" s="54"/>
      <c r="E10" s="54"/>
      <c r="F10" s="54"/>
      <c r="G10" s="54"/>
      <c r="H10" s="54"/>
      <c r="I10" s="54"/>
      <c r="J10" s="30"/>
      <c r="K10" s="54"/>
      <c r="L10" s="54"/>
      <c r="M10" s="54"/>
      <c r="Q10" s="34"/>
    </row>
    <row r="11" spans="1:17" x14ac:dyDescent="0.25">
      <c r="A11" s="31">
        <f>A10+1</f>
        <v>2</v>
      </c>
      <c r="B11" s="58" t="s">
        <v>86</v>
      </c>
      <c r="C11" s="54" t="s">
        <v>96</v>
      </c>
      <c r="D11" s="46">
        <f>'[54](JAP4) Res RD'!$F$23</f>
        <v>1109032567</v>
      </c>
      <c r="E11" s="46">
        <f>'[54](JAP4) SecVolt RD'!$F$25</f>
        <v>269558014</v>
      </c>
      <c r="F11" s="41">
        <f>SUM(K11:M11)</f>
        <v>279717109</v>
      </c>
      <c r="G11" s="46">
        <f>'[54](JAP4) CAMP RD'!$G$40</f>
        <v>39012150</v>
      </c>
      <c r="H11" s="46">
        <f>'[54](JAP4) SecVolt RD'!$F$79+'[54](JAP4) SecVolt RD'!$F$105</f>
        <v>155148611</v>
      </c>
      <c r="I11" s="46">
        <f>'[54](JAP4) PriVolt RD'!$F$29</f>
        <v>107151915</v>
      </c>
      <c r="J11" s="33"/>
      <c r="K11" s="46">
        <f>'[54](JAP4) SecVolt RD'!$F$47+'[54](JAP4) SecVolt RD'!$F$136</f>
        <v>268696656</v>
      </c>
      <c r="L11" s="46">
        <f>'[54](JAP4) PriVolt RD'!$F$51</f>
        <v>226026</v>
      </c>
      <c r="M11" s="46">
        <f>'[54](JAP4) PriVolt RD'!$F$75</f>
        <v>10794427</v>
      </c>
      <c r="Q11" s="34"/>
    </row>
    <row r="12" spans="1:17" x14ac:dyDescent="0.25">
      <c r="A12" s="31">
        <f t="shared" ref="A12:A17" si="0">A11+1</f>
        <v>3</v>
      </c>
      <c r="B12" s="38" t="s">
        <v>49</v>
      </c>
      <c r="C12" s="54" t="s">
        <v>89</v>
      </c>
      <c r="D12" s="62">
        <f>'PCA Cost Allocation'!E25</f>
        <v>684554175.04511344</v>
      </c>
      <c r="E12" s="62">
        <f>'PCA Cost Allocation'!F25</f>
        <v>167825427.28655797</v>
      </c>
      <c r="F12" s="124">
        <f>SUM(K12:M12)</f>
        <v>175027738.08634326</v>
      </c>
      <c r="G12" s="62">
        <f>'PCA Cost Allocation'!L25</f>
        <v>34082074.729610875</v>
      </c>
      <c r="H12" s="62">
        <f>'PCA Cost Allocation'!H25</f>
        <v>109590711.72582525</v>
      </c>
      <c r="I12" s="62">
        <f>'PCA Cost Allocation'!I25</f>
        <v>72394838.319535881</v>
      </c>
      <c r="J12" s="33"/>
      <c r="K12" s="62">
        <f>'PCA Cost Allocation'!G25</f>
        <v>169446807.7872144</v>
      </c>
      <c r="L12" s="62">
        <f>'PCA Cost Allocation'!J25</f>
        <v>198210.81872943015</v>
      </c>
      <c r="M12" s="62">
        <f>'PCA Cost Allocation'!K25</f>
        <v>5382719.4803994419</v>
      </c>
      <c r="Q12" s="34"/>
    </row>
    <row r="13" spans="1:17" x14ac:dyDescent="0.25">
      <c r="A13" s="31">
        <f t="shared" si="0"/>
        <v>4</v>
      </c>
      <c r="B13" s="58" t="s">
        <v>90</v>
      </c>
      <c r="C13" s="54" t="str">
        <f>"("&amp;A11&amp;") - ("&amp;A$12&amp;")"</f>
        <v>(2) - (3)</v>
      </c>
      <c r="D13" s="41">
        <f>D11-D12</f>
        <v>424478391.95488656</v>
      </c>
      <c r="E13" s="41">
        <f t="shared" ref="E13:L13" si="1">E11-E12</f>
        <v>101732586.71344203</v>
      </c>
      <c r="F13" s="41">
        <f t="shared" si="1"/>
        <v>104689370.91365674</v>
      </c>
      <c r="G13" s="41">
        <f>G11-G12</f>
        <v>4930075.2703891248</v>
      </c>
      <c r="H13" s="41">
        <f>H11-H12</f>
        <v>45557899.27417475</v>
      </c>
      <c r="I13" s="41">
        <f>I11-I12</f>
        <v>34757076.680464119</v>
      </c>
      <c r="J13" s="33"/>
      <c r="K13" s="41">
        <f t="shared" si="1"/>
        <v>99249848.212785602</v>
      </c>
      <c r="L13" s="41">
        <f t="shared" si="1"/>
        <v>27815.181270569854</v>
      </c>
      <c r="M13" s="41">
        <f>M11-M12</f>
        <v>5411707.5196005581</v>
      </c>
      <c r="Q13" s="34"/>
    </row>
    <row r="14" spans="1:17" x14ac:dyDescent="0.25">
      <c r="A14" s="54">
        <f t="shared" si="0"/>
        <v>5</v>
      </c>
      <c r="B14" s="58"/>
      <c r="C14" s="45"/>
      <c r="D14" s="41"/>
      <c r="E14" s="41"/>
      <c r="F14" s="41"/>
      <c r="G14" s="41"/>
      <c r="H14" s="41"/>
      <c r="I14" s="41"/>
      <c r="J14" s="33"/>
      <c r="K14" s="41"/>
      <c r="L14" s="41"/>
      <c r="M14" s="41"/>
      <c r="Q14" s="34"/>
    </row>
    <row r="15" spans="1:17" x14ac:dyDescent="0.25">
      <c r="A15" s="54">
        <f t="shared" si="0"/>
        <v>6</v>
      </c>
      <c r="B15" s="38" t="s">
        <v>48</v>
      </c>
      <c r="C15" s="54" t="s">
        <v>96</v>
      </c>
      <c r="D15" s="46">
        <f>'[54](JAP4) Res RD'!$F$16</f>
        <v>92016057</v>
      </c>
      <c r="E15" s="46">
        <f>'[54](JAP4) SecVolt RD'!$F$17</f>
        <v>22282212</v>
      </c>
      <c r="F15" s="41">
        <f>SUM(K15:M15)</f>
        <v>5560280</v>
      </c>
      <c r="G15" s="46">
        <f>'[54](JAP4) CAMP RD'!$G$18</f>
        <v>238018</v>
      </c>
      <c r="H15" s="46">
        <f>'[54](JAP4) SecVolt RD'!$F$65+'[54](JAP4) SecVolt RD'!$F$87</f>
        <v>1054651</v>
      </c>
      <c r="I15" s="46">
        <f>'[54](JAP4) PriVolt RD'!$F$15</f>
        <v>2019346</v>
      </c>
      <c r="J15" s="33"/>
      <c r="K15" s="46">
        <f>'[54](JAP4) SecVolt RD'!$F$31+'[54](JAP4) SecVolt RD'!$F$118</f>
        <v>4899765</v>
      </c>
      <c r="L15" s="46">
        <f>'[54](JAP4) PriVolt RD'!$F$37</f>
        <v>11341</v>
      </c>
      <c r="M15" s="46">
        <f>'[54](JAP4) PriVolt RD'!$F$60</f>
        <v>649174</v>
      </c>
      <c r="Q15" s="34"/>
    </row>
    <row r="16" spans="1:17" x14ac:dyDescent="0.25">
      <c r="A16" s="54">
        <f t="shared" si="0"/>
        <v>7</v>
      </c>
      <c r="B16" s="53"/>
      <c r="C16" s="51"/>
      <c r="D16" s="33"/>
      <c r="E16" s="33"/>
      <c r="F16" s="33"/>
      <c r="G16" s="33"/>
      <c r="H16" s="33"/>
      <c r="I16" s="33"/>
      <c r="J16" s="33"/>
      <c r="K16" s="33"/>
      <c r="L16" s="33"/>
      <c r="M16" s="33"/>
      <c r="Q16" s="34"/>
    </row>
    <row r="17" spans="1:17" ht="15.75" thickBot="1" x14ac:dyDescent="0.3">
      <c r="A17" s="54">
        <f t="shared" si="0"/>
        <v>8</v>
      </c>
      <c r="B17" s="38" t="s">
        <v>91</v>
      </c>
      <c r="C17" s="54" t="str">
        <f>"("&amp;A13&amp;") - ("&amp;A15&amp;")"</f>
        <v>(4) - (6)</v>
      </c>
      <c r="D17" s="61">
        <f>D13-D15</f>
        <v>332462334.95488656</v>
      </c>
      <c r="E17" s="61">
        <f t="shared" ref="E17:I17" si="2">E13-E15</f>
        <v>79450374.713442028</v>
      </c>
      <c r="F17" s="61">
        <f t="shared" si="2"/>
        <v>99129090.913656741</v>
      </c>
      <c r="G17" s="61">
        <f t="shared" si="2"/>
        <v>4692057.2703891248</v>
      </c>
      <c r="H17" s="61">
        <f t="shared" si="2"/>
        <v>44503248.27417475</v>
      </c>
      <c r="I17" s="61">
        <f t="shared" si="2"/>
        <v>32737730.680464119</v>
      </c>
      <c r="J17" s="41"/>
      <c r="K17" s="61">
        <f>K13-K15</f>
        <v>94350083.212785602</v>
      </c>
      <c r="L17" s="61">
        <f t="shared" ref="L17:M17" si="3">L13-L15</f>
        <v>16474.181270569854</v>
      </c>
      <c r="M17" s="61">
        <f t="shared" si="3"/>
        <v>4762533.5196005581</v>
      </c>
      <c r="Q17" s="34"/>
    </row>
    <row r="18" spans="1:17" ht="15.75" thickTop="1" x14ac:dyDescent="0.25">
      <c r="A18" s="34"/>
      <c r="B18" s="38"/>
      <c r="C18" s="34"/>
      <c r="D18" s="57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25">
      <c r="A19" s="31"/>
      <c r="B19" s="38"/>
      <c r="C19" s="45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34"/>
      <c r="Q19" s="34"/>
    </row>
    <row r="20" spans="1:17" x14ac:dyDescent="0.25">
      <c r="A20" s="34"/>
      <c r="B20" s="38"/>
      <c r="C20" s="34"/>
      <c r="D20" s="57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25">
      <c r="A21" s="34"/>
      <c r="B21" s="34"/>
      <c r="C21" s="34"/>
      <c r="D21" s="34"/>
    </row>
    <row r="22" spans="1:17" x14ac:dyDescent="0.25">
      <c r="A22" s="34"/>
      <c r="B22" s="34"/>
      <c r="C22" s="34"/>
      <c r="D22" s="34"/>
    </row>
    <row r="23" spans="1:17" ht="14.45" x14ac:dyDescent="0.3">
      <c r="A23" s="34"/>
      <c r="B23" s="34"/>
      <c r="C23" s="34"/>
      <c r="D23" s="34"/>
    </row>
  </sheetData>
  <mergeCells count="4">
    <mergeCell ref="A1:M1"/>
    <mergeCell ref="A3:M3"/>
    <mergeCell ref="A4:M4"/>
    <mergeCell ref="A2:M2"/>
  </mergeCells>
  <printOptions horizontalCentered="1"/>
  <pageMargins left="0.7" right="0.7" top="0.75" bottom="0.75" header="0.3" footer="0.3"/>
  <pageSetup scale="73" orientation="landscape" blackAndWhite="1" horizontalDpi="300" verticalDpi="300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workbookViewId="0">
      <selection activeCell="D26" sqref="D26"/>
    </sheetView>
  </sheetViews>
  <sheetFormatPr defaultColWidth="9.7109375" defaultRowHeight="12" x14ac:dyDescent="0.2"/>
  <cols>
    <col min="1" max="1" width="3.5703125" style="196" bestFit="1" customWidth="1"/>
    <col min="2" max="2" width="25.28515625" style="196" bestFit="1" customWidth="1"/>
    <col min="3" max="3" width="11" style="196" bestFit="1" customWidth="1"/>
    <col min="4" max="4" width="10.140625" style="196" customWidth="1"/>
    <col min="5" max="5" width="11.28515625" style="196" customWidth="1"/>
    <col min="6" max="6" width="11.5703125" style="196" customWidth="1"/>
    <col min="7" max="7" width="9" style="196" bestFit="1" customWidth="1"/>
    <col min="8" max="8" width="7.7109375" style="196" bestFit="1" customWidth="1"/>
    <col min="9" max="9" width="9.42578125" style="196" bestFit="1" customWidth="1"/>
    <col min="10" max="10" width="7.7109375" style="196" bestFit="1" customWidth="1"/>
    <col min="11" max="11" width="9.7109375" style="196" customWidth="1"/>
    <col min="12" max="12" width="3.85546875" style="196" customWidth="1"/>
    <col min="13" max="13" width="9.5703125" style="196" bestFit="1" customWidth="1"/>
    <col min="14" max="14" width="1.85546875" style="196" customWidth="1"/>
    <col min="15" max="15" width="6.85546875" style="196" bestFit="1" customWidth="1"/>
    <col min="16" max="16384" width="9.7109375" style="196"/>
  </cols>
  <sheetData>
    <row r="1" spans="1:17" x14ac:dyDescent="0.25">
      <c r="A1" s="246" t="s">
        <v>16</v>
      </c>
      <c r="B1" s="247" t="s">
        <v>211</v>
      </c>
      <c r="C1" s="247"/>
      <c r="D1" s="247"/>
      <c r="E1" s="247"/>
      <c r="F1" s="247"/>
      <c r="G1" s="247"/>
      <c r="H1" s="247"/>
      <c r="I1" s="247"/>
      <c r="J1" s="247"/>
      <c r="K1" s="247"/>
    </row>
    <row r="2" spans="1:17" x14ac:dyDescent="0.25">
      <c r="A2" s="246" t="s">
        <v>212</v>
      </c>
      <c r="B2" s="247" t="s">
        <v>211</v>
      </c>
      <c r="C2" s="247"/>
      <c r="D2" s="247"/>
      <c r="E2" s="247"/>
      <c r="F2" s="247"/>
      <c r="G2" s="247"/>
      <c r="H2" s="247"/>
      <c r="I2" s="247"/>
      <c r="J2" s="247"/>
      <c r="K2" s="247"/>
    </row>
    <row r="3" spans="1:17" x14ac:dyDescent="0.25">
      <c r="A3" s="246" t="s">
        <v>213</v>
      </c>
      <c r="B3" s="247" t="s">
        <v>214</v>
      </c>
      <c r="C3" s="247"/>
      <c r="D3" s="247"/>
      <c r="E3" s="247"/>
      <c r="F3" s="247"/>
      <c r="G3" s="247"/>
      <c r="H3" s="247"/>
      <c r="I3" s="247"/>
      <c r="J3" s="247"/>
      <c r="K3" s="247"/>
    </row>
    <row r="4" spans="1:17" x14ac:dyDescent="0.25">
      <c r="B4" s="197"/>
      <c r="C4" s="197"/>
      <c r="D4" s="197"/>
      <c r="E4" s="197"/>
      <c r="F4" s="197"/>
      <c r="G4" s="197"/>
      <c r="H4" s="197"/>
      <c r="I4" s="197"/>
      <c r="J4" s="197"/>
      <c r="K4" s="197"/>
    </row>
    <row r="5" spans="1:17" ht="60" x14ac:dyDescent="0.25">
      <c r="A5" s="198" t="s">
        <v>15</v>
      </c>
      <c r="B5" s="198" t="s">
        <v>215</v>
      </c>
      <c r="C5" s="198" t="s">
        <v>33</v>
      </c>
      <c r="D5" s="199" t="s">
        <v>216</v>
      </c>
      <c r="E5" s="199" t="s">
        <v>217</v>
      </c>
      <c r="F5" s="199" t="s">
        <v>218</v>
      </c>
      <c r="G5" s="199" t="s">
        <v>219</v>
      </c>
      <c r="H5" s="199" t="s">
        <v>220</v>
      </c>
      <c r="I5" s="199" t="s">
        <v>221</v>
      </c>
      <c r="J5" s="199" t="s">
        <v>222</v>
      </c>
      <c r="K5" s="199" t="s">
        <v>223</v>
      </c>
      <c r="M5" s="199" t="s">
        <v>224</v>
      </c>
      <c r="O5" s="199" t="s">
        <v>225</v>
      </c>
    </row>
    <row r="6" spans="1:17" x14ac:dyDescent="0.25">
      <c r="A6" s="200"/>
      <c r="B6" s="201"/>
      <c r="C6" s="202"/>
      <c r="D6" s="202" t="s">
        <v>226</v>
      </c>
      <c r="E6" s="202" t="s">
        <v>227</v>
      </c>
      <c r="F6" s="200" t="s">
        <v>228</v>
      </c>
      <c r="G6" s="202" t="s">
        <v>229</v>
      </c>
      <c r="H6" s="200" t="s">
        <v>230</v>
      </c>
      <c r="I6" s="200" t="s">
        <v>158</v>
      </c>
      <c r="J6" s="203" t="s">
        <v>231</v>
      </c>
      <c r="K6" s="203" t="s">
        <v>232</v>
      </c>
    </row>
    <row r="7" spans="1:17" x14ac:dyDescent="0.25">
      <c r="A7" s="200"/>
      <c r="B7" s="201"/>
      <c r="C7" s="202"/>
      <c r="D7" s="202"/>
      <c r="E7" s="202"/>
      <c r="F7" s="200"/>
      <c r="G7" s="202"/>
      <c r="H7" s="200"/>
      <c r="I7" s="200"/>
      <c r="J7" s="200"/>
      <c r="K7" s="200"/>
    </row>
    <row r="8" spans="1:17" x14ac:dyDescent="0.25">
      <c r="A8" s="204">
        <v>1</v>
      </c>
      <c r="B8" s="205" t="s">
        <v>233</v>
      </c>
      <c r="C8" s="206">
        <v>7</v>
      </c>
      <c r="D8" s="207">
        <f>+'[54](JAP4) Proposed ERF Rev'!J17</f>
        <v>10657340</v>
      </c>
      <c r="E8" s="208">
        <f>+'[54](JAP4) Proposed ERF Rev'!L17</f>
        <v>1109032.567</v>
      </c>
      <c r="G8" s="209">
        <f>E8/(E$34-E$22-E$32-$E$26)</f>
        <v>0.56049918208564198</v>
      </c>
      <c r="H8" s="210">
        <v>1</v>
      </c>
      <c r="I8" s="211">
        <f>+$I$40*H8</f>
        <v>1.4956181644721709E-2</v>
      </c>
      <c r="J8" s="208">
        <f>+E8*I8</f>
        <v>16586.892521964</v>
      </c>
      <c r="K8" s="208">
        <f>+E8+J8</f>
        <v>1125619.459521964</v>
      </c>
      <c r="M8" s="212">
        <f>+J8*1000</f>
        <v>16586892.521964001</v>
      </c>
      <c r="O8" s="213">
        <f>ROUND(J8/1000,1)</f>
        <v>16.600000000000001</v>
      </c>
      <c r="Q8" s="212"/>
    </row>
    <row r="9" spans="1:17" x14ac:dyDescent="0.25">
      <c r="A9" s="204">
        <f>+A8+1</f>
        <v>2</v>
      </c>
      <c r="C9" s="206"/>
      <c r="D9" s="214"/>
      <c r="E9" s="215"/>
      <c r="G9" s="209"/>
      <c r="J9" s="215"/>
      <c r="K9" s="215"/>
      <c r="M9" s="212">
        <f t="shared" ref="M9:M34" si="0">+J9*1000</f>
        <v>0</v>
      </c>
      <c r="O9" s="213"/>
      <c r="Q9" s="212"/>
    </row>
    <row r="10" spans="1:17" x14ac:dyDescent="0.25">
      <c r="A10" s="204">
        <f t="shared" ref="A10:A40" si="1">+A9+1</f>
        <v>3</v>
      </c>
      <c r="B10" s="196" t="s">
        <v>234</v>
      </c>
      <c r="C10" s="206"/>
      <c r="D10" s="214"/>
      <c r="E10" s="215"/>
      <c r="G10" s="209"/>
      <c r="J10" s="215"/>
      <c r="K10" s="215"/>
      <c r="M10" s="212">
        <f t="shared" si="0"/>
        <v>0</v>
      </c>
      <c r="O10" s="213"/>
      <c r="Q10" s="212"/>
    </row>
    <row r="11" spans="1:17" x14ac:dyDescent="0.25">
      <c r="A11" s="204">
        <f t="shared" si="1"/>
        <v>4</v>
      </c>
      <c r="B11" s="216" t="s">
        <v>235</v>
      </c>
      <c r="C11" s="217" t="s">
        <v>236</v>
      </c>
      <c r="D11" s="218">
        <f>SUM('[54](JAP4) Proposed ERF Rev'!J21)</f>
        <v>2769974</v>
      </c>
      <c r="E11" s="215">
        <f>SUM('[54](JAP4) Proposed ERF Rev'!L21)</f>
        <v>269558.01400000002</v>
      </c>
      <c r="G11" s="209">
        <f>E11/(E$34-E$22-E$32-$E$26)</f>
        <v>0.13623319176309637</v>
      </c>
      <c r="H11" s="210">
        <v>0.75</v>
      </c>
      <c r="I11" s="211">
        <f>+$I$40*H11</f>
        <v>1.1217136233541283E-2</v>
      </c>
      <c r="J11" s="215">
        <f>+E11*I11</f>
        <v>3023.6689658808286</v>
      </c>
      <c r="K11" s="215">
        <f>+E11+J11</f>
        <v>272581.68296588084</v>
      </c>
      <c r="M11" s="212">
        <f t="shared" si="0"/>
        <v>3023668.9658808284</v>
      </c>
      <c r="O11" s="213">
        <f t="shared" ref="O11:O13" si="2">ROUND(J11/1000,1)</f>
        <v>3</v>
      </c>
      <c r="Q11" s="212"/>
    </row>
    <row r="12" spans="1:17" x14ac:dyDescent="0.25">
      <c r="A12" s="204">
        <f t="shared" si="1"/>
        <v>5</v>
      </c>
      <c r="B12" s="216" t="s">
        <v>237</v>
      </c>
      <c r="C12" s="217" t="s">
        <v>238</v>
      </c>
      <c r="D12" s="218">
        <f>SUM('[54](JAP4) Proposed ERF Rev'!J22,'[54](JAP4) Proposed ERF Rev'!J24)</f>
        <v>2980908</v>
      </c>
      <c r="E12" s="215">
        <f>SUM('[54](JAP4) Proposed ERF Rev'!L22,'[54](JAP4) Proposed ERF Rev'!L24)</f>
        <v>268696.65600000002</v>
      </c>
      <c r="G12" s="209">
        <f>E12/(E$34-E$22-E$32-$E$26)</f>
        <v>0.13579786599463053</v>
      </c>
      <c r="H12" s="210">
        <v>0.65</v>
      </c>
      <c r="I12" s="211">
        <f>+$I$40*H12</f>
        <v>9.7215180690691117E-3</v>
      </c>
      <c r="J12" s="215">
        <f>+E12*I12</f>
        <v>2612.1393964024473</v>
      </c>
      <c r="K12" s="215">
        <f>+E12+J12</f>
        <v>271308.79539640248</v>
      </c>
      <c r="M12" s="212">
        <f t="shared" si="0"/>
        <v>2612139.3964024475</v>
      </c>
      <c r="O12" s="213">
        <f t="shared" si="2"/>
        <v>2.6</v>
      </c>
      <c r="Q12" s="212"/>
    </row>
    <row r="13" spans="1:17" x14ac:dyDescent="0.25">
      <c r="A13" s="204">
        <f t="shared" si="1"/>
        <v>6</v>
      </c>
      <c r="B13" s="216" t="s">
        <v>239</v>
      </c>
      <c r="C13" s="217" t="s">
        <v>240</v>
      </c>
      <c r="D13" s="218">
        <f>SUM('[54](JAP4) Proposed ERF Rev'!J23)</f>
        <v>1872505.8629326143</v>
      </c>
      <c r="E13" s="215">
        <f>SUM('[54](JAP4) Proposed ERF Rev'!L23)</f>
        <v>155148.611</v>
      </c>
      <c r="G13" s="209">
        <f>E13/(E$34-E$22-E$32-$E$26)</f>
        <v>7.8411285795201929E-2</v>
      </c>
      <c r="H13" s="210">
        <v>0.65</v>
      </c>
      <c r="I13" s="211">
        <f>+$I$40*H13</f>
        <v>9.7215180690691117E-3</v>
      </c>
      <c r="J13" s="215">
        <f>+E13*I13</f>
        <v>1508.2800252274749</v>
      </c>
      <c r="K13" s="215">
        <f>+E13+J13</f>
        <v>156656.89102522747</v>
      </c>
      <c r="M13" s="212">
        <f t="shared" si="0"/>
        <v>1508280.025227475</v>
      </c>
      <c r="O13" s="213">
        <f t="shared" si="2"/>
        <v>1.5</v>
      </c>
      <c r="Q13" s="212"/>
    </row>
    <row r="14" spans="1:17" x14ac:dyDescent="0.25">
      <c r="A14" s="204">
        <f t="shared" si="1"/>
        <v>7</v>
      </c>
      <c r="B14" s="219" t="s">
        <v>241</v>
      </c>
      <c r="C14" s="206"/>
      <c r="D14" s="220">
        <f>SUM(D11:D13)</f>
        <v>7623387.8629326141</v>
      </c>
      <c r="E14" s="208">
        <f>SUM(E11:E13)</f>
        <v>693403.28100000008</v>
      </c>
      <c r="G14" s="209"/>
      <c r="J14" s="208">
        <f>SUM(J11:J13)</f>
        <v>7144.0883875107511</v>
      </c>
      <c r="K14" s="208">
        <f>SUM(K11:K13)</f>
        <v>700547.36938751081</v>
      </c>
      <c r="M14" s="212">
        <f t="shared" si="0"/>
        <v>7144088.3875107514</v>
      </c>
      <c r="O14" s="213"/>
      <c r="Q14" s="212"/>
    </row>
    <row r="15" spans="1:17" x14ac:dyDescent="0.25">
      <c r="A15" s="204">
        <f t="shared" si="1"/>
        <v>8</v>
      </c>
      <c r="C15" s="206"/>
      <c r="D15" s="218"/>
      <c r="E15" s="215"/>
      <c r="G15" s="209"/>
      <c r="J15" s="215"/>
      <c r="K15" s="215"/>
      <c r="M15" s="212">
        <f t="shared" si="0"/>
        <v>0</v>
      </c>
      <c r="O15" s="213"/>
      <c r="Q15" s="212"/>
    </row>
    <row r="16" spans="1:17" x14ac:dyDescent="0.25">
      <c r="A16" s="204">
        <f t="shared" si="1"/>
        <v>9</v>
      </c>
      <c r="B16" s="196" t="s">
        <v>242</v>
      </c>
      <c r="C16" s="206"/>
      <c r="D16" s="218"/>
      <c r="E16" s="215"/>
      <c r="G16" s="209"/>
      <c r="J16" s="215"/>
      <c r="K16" s="215"/>
      <c r="M16" s="212">
        <f t="shared" si="0"/>
        <v>0</v>
      </c>
      <c r="O16" s="213"/>
      <c r="Q16" s="212"/>
    </row>
    <row r="17" spans="1:17" x14ac:dyDescent="0.25">
      <c r="A17" s="204">
        <f t="shared" si="1"/>
        <v>10</v>
      </c>
      <c r="B17" s="216" t="s">
        <v>243</v>
      </c>
      <c r="C17" s="217" t="s">
        <v>244</v>
      </c>
      <c r="D17" s="218">
        <f>SUM('[54](JAP4) Proposed ERF Rev'!J28)</f>
        <v>1321181.4175556169</v>
      </c>
      <c r="E17" s="215">
        <f>SUM('[54](JAP4) Proposed ERF Rev'!L28)</f>
        <v>107151.91499999999</v>
      </c>
      <c r="G17" s="209">
        <f>E17/(E$34-E$22-E$32-$E$26)</f>
        <v>5.4154009993477699E-2</v>
      </c>
      <c r="H17" s="210">
        <v>0.65</v>
      </c>
      <c r="I17" s="211">
        <f>+$I$40*H17</f>
        <v>9.7215180690691117E-3</v>
      </c>
      <c r="J17" s="215">
        <f>+E17*I17</f>
        <v>1041.6792778078575</v>
      </c>
      <c r="K17" s="215">
        <f>+E17+J17</f>
        <v>108193.59427780785</v>
      </c>
      <c r="M17" s="212">
        <f t="shared" si="0"/>
        <v>1041679.2778078575</v>
      </c>
      <c r="O17" s="213"/>
      <c r="Q17" s="212"/>
    </row>
    <row r="18" spans="1:17" x14ac:dyDescent="0.25">
      <c r="A18" s="204">
        <f t="shared" si="1"/>
        <v>11</v>
      </c>
      <c r="B18" s="216" t="s">
        <v>245</v>
      </c>
      <c r="C18" s="217">
        <v>35</v>
      </c>
      <c r="D18" s="218">
        <f>SUM('[54](JAP4) Proposed ERF Rev'!J29)</f>
        <v>3789.48</v>
      </c>
      <c r="E18" s="215">
        <f>SUM('[54](JAP4) Proposed ERF Rev'!L29)</f>
        <v>226.02600000000001</v>
      </c>
      <c r="G18" s="209">
        <f>E18/(E$34-E$22-E$32-$E$26)</f>
        <v>1.1423234258375868E-4</v>
      </c>
      <c r="H18" s="210">
        <v>1.5</v>
      </c>
      <c r="I18" s="211">
        <f>+$I$40*H18</f>
        <v>2.2434272467082565E-2</v>
      </c>
      <c r="J18" s="215">
        <f>+E18*I18</f>
        <v>5.070728868644804</v>
      </c>
      <c r="K18" s="215">
        <f>+E18+J18</f>
        <v>231.09672886864482</v>
      </c>
      <c r="M18" s="212">
        <f>+J18*1000</f>
        <v>5070.7288686448037</v>
      </c>
      <c r="O18" s="213"/>
      <c r="Q18" s="212"/>
    </row>
    <row r="19" spans="1:17" x14ac:dyDescent="0.25">
      <c r="A19" s="204">
        <f t="shared" si="1"/>
        <v>12</v>
      </c>
      <c r="B19" s="221" t="s">
        <v>246</v>
      </c>
      <c r="C19" s="206">
        <v>43</v>
      </c>
      <c r="D19" s="218">
        <f>SUM('[54](JAP4) Proposed ERF Rev'!J30)</f>
        <v>123046.16422024449</v>
      </c>
      <c r="E19" s="215">
        <f>SUM('[54](JAP4) Proposed ERF Rev'!L30)</f>
        <v>10794.427</v>
      </c>
      <c r="G19" s="209">
        <f>E19/(E$34-E$22-E$32-$E$26)</f>
        <v>5.4554462011422332E-3</v>
      </c>
      <c r="H19" s="210">
        <v>1</v>
      </c>
      <c r="I19" s="211">
        <f>+$I$40*H19</f>
        <v>1.4956181644721709E-2</v>
      </c>
      <c r="J19" s="215">
        <f>+E19*I19</f>
        <v>161.44341096268843</v>
      </c>
      <c r="K19" s="215">
        <f>+E19+J19</f>
        <v>10955.870410962689</v>
      </c>
      <c r="M19" s="212">
        <f t="shared" si="0"/>
        <v>161443.41096268845</v>
      </c>
      <c r="O19" s="213"/>
      <c r="Q19" s="212"/>
    </row>
    <row r="20" spans="1:17" x14ac:dyDescent="0.25">
      <c r="A20" s="204">
        <f t="shared" si="1"/>
        <v>13</v>
      </c>
      <c r="B20" s="205" t="s">
        <v>247</v>
      </c>
      <c r="C20" s="206"/>
      <c r="D20" s="220">
        <f>SUM(D17:D19)</f>
        <v>1448017.0617758613</v>
      </c>
      <c r="E20" s="208">
        <f>SUM(E17:E19)</f>
        <v>118172.36799999999</v>
      </c>
      <c r="G20" s="209"/>
      <c r="J20" s="208">
        <f>SUM(J17:J19)</f>
        <v>1208.1934176391908</v>
      </c>
      <c r="K20" s="208">
        <f>SUM(K17:K19)</f>
        <v>119380.56141763918</v>
      </c>
      <c r="M20" s="212">
        <f t="shared" si="0"/>
        <v>1208193.4176391908</v>
      </c>
      <c r="O20" s="213">
        <f t="shared" ref="O20" si="3">ROUND(J20/1000,1)</f>
        <v>1.2</v>
      </c>
      <c r="Q20" s="212"/>
    </row>
    <row r="21" spans="1:17" x14ac:dyDescent="0.25">
      <c r="A21" s="204">
        <f t="shared" si="1"/>
        <v>14</v>
      </c>
      <c r="C21" s="206"/>
      <c r="D21" s="222"/>
      <c r="E21" s="212"/>
      <c r="G21" s="211"/>
      <c r="M21" s="212">
        <f t="shared" si="0"/>
        <v>0</v>
      </c>
      <c r="O21" s="213"/>
      <c r="Q21" s="212"/>
    </row>
    <row r="22" spans="1:17" x14ac:dyDescent="0.25">
      <c r="A22" s="204">
        <f t="shared" si="1"/>
        <v>15</v>
      </c>
      <c r="B22" s="205" t="s">
        <v>248</v>
      </c>
      <c r="C22" s="206">
        <v>40</v>
      </c>
      <c r="D22" s="220">
        <f>SUM('[54](JAP4) Proposed ERF Rev'!J33)</f>
        <v>534767.4366040678</v>
      </c>
      <c r="E22" s="208">
        <f>SUM('[54](JAP4) Proposed ERF Rev'!L33)</f>
        <v>39012.15</v>
      </c>
      <c r="G22" s="209"/>
      <c r="I22" s="211">
        <f>((J22)/E22)</f>
        <v>8.3115644741446216E-3</v>
      </c>
      <c r="J22" s="208">
        <v>324.25200000000109</v>
      </c>
      <c r="K22" s="208">
        <f>+E22+J22</f>
        <v>39336.402000000002</v>
      </c>
      <c r="M22" s="212">
        <f t="shared" si="0"/>
        <v>324252.00000000111</v>
      </c>
      <c r="O22" s="213">
        <f t="shared" ref="O22:O28" si="4">ROUND(J22/1000,1)</f>
        <v>0.3</v>
      </c>
      <c r="Q22" s="212"/>
    </row>
    <row r="23" spans="1:17" x14ac:dyDescent="0.25">
      <c r="A23" s="204">
        <f t="shared" si="1"/>
        <v>16</v>
      </c>
      <c r="C23" s="206"/>
      <c r="D23" s="222"/>
      <c r="E23" s="212"/>
      <c r="G23" s="211"/>
      <c r="M23" s="212">
        <f t="shared" si="0"/>
        <v>0</v>
      </c>
      <c r="O23" s="213"/>
      <c r="Q23" s="212"/>
    </row>
    <row r="24" spans="1:17" x14ac:dyDescent="0.25">
      <c r="A24" s="204">
        <f t="shared" si="1"/>
        <v>17</v>
      </c>
      <c r="B24" s="219" t="s">
        <v>249</v>
      </c>
      <c r="C24" s="206" t="s">
        <v>250</v>
      </c>
      <c r="D24" s="220">
        <f>SUM('[54](JAP4) Proposed ERF Rev'!J38)</f>
        <v>634643.13800000004</v>
      </c>
      <c r="E24" s="208">
        <f>SUM('[54](JAP4) Proposed ERF Rev'!L38)</f>
        <v>41454.387999999999</v>
      </c>
      <c r="G24" s="209">
        <f>E24/(E$34-E$22-E$32-$E$26)</f>
        <v>2.0950828009238118E-2</v>
      </c>
      <c r="H24" s="210">
        <v>0.65</v>
      </c>
      <c r="I24" s="211">
        <f>+$I$40*H24</f>
        <v>9.7215180690691117E-3</v>
      </c>
      <c r="J24" s="208">
        <f>+E24*I24</f>
        <v>402.99958198420177</v>
      </c>
      <c r="K24" s="208">
        <f>+E24+J24</f>
        <v>41857.3875819842</v>
      </c>
      <c r="M24" s="212">
        <f t="shared" si="0"/>
        <v>402999.5819842018</v>
      </c>
      <c r="O24" s="213">
        <f t="shared" si="4"/>
        <v>0.4</v>
      </c>
      <c r="Q24" s="212"/>
    </row>
    <row r="25" spans="1:17" x14ac:dyDescent="0.25">
      <c r="A25" s="204">
        <f t="shared" si="1"/>
        <v>18</v>
      </c>
      <c r="C25" s="206"/>
      <c r="D25" s="222"/>
      <c r="E25" s="212"/>
      <c r="G25" s="211"/>
      <c r="J25" s="223"/>
      <c r="K25" s="223"/>
      <c r="M25" s="212">
        <f t="shared" si="0"/>
        <v>0</v>
      </c>
      <c r="O25" s="213"/>
      <c r="Q25" s="212"/>
    </row>
    <row r="26" spans="1:17" x14ac:dyDescent="0.25">
      <c r="A26" s="204">
        <f t="shared" si="1"/>
        <v>19</v>
      </c>
      <c r="B26" s="205" t="s">
        <v>251</v>
      </c>
      <c r="C26" s="217" t="s">
        <v>252</v>
      </c>
      <c r="D26" s="220">
        <f>SUM('[54](JAP4) Proposed ERF Rev'!J40)</f>
        <v>1993600.694324</v>
      </c>
      <c r="E26" s="208">
        <f>SUM('[54](JAP4) Proposed ERF Rev'!L40)</f>
        <v>8376.0509999999995</v>
      </c>
      <c r="G26" s="209"/>
      <c r="H26" s="210"/>
      <c r="I26" s="211">
        <f>((J26)/E26)</f>
        <v>8.5362421981432547E-4</v>
      </c>
      <c r="J26" s="208">
        <f>(+'[54](JAP4) TRANSP RD'!I25-'[54](JAP4) TRANSP RD'!F25)/1000</f>
        <v>7.15</v>
      </c>
      <c r="K26" s="208">
        <f>+E26+J26</f>
        <v>8383.2009999999991</v>
      </c>
      <c r="M26" s="212">
        <f t="shared" si="0"/>
        <v>7150</v>
      </c>
      <c r="O26" s="213">
        <f t="shared" si="4"/>
        <v>0</v>
      </c>
      <c r="Q26" s="212"/>
    </row>
    <row r="27" spans="1:17" x14ac:dyDescent="0.25">
      <c r="A27" s="204">
        <f t="shared" si="1"/>
        <v>20</v>
      </c>
      <c r="C27" s="206"/>
      <c r="D27" s="222"/>
      <c r="E27" s="212"/>
      <c r="G27" s="211"/>
      <c r="M27" s="212">
        <f t="shared" si="0"/>
        <v>0</v>
      </c>
      <c r="O27" s="213"/>
      <c r="Q27" s="212"/>
    </row>
    <row r="28" spans="1:17" x14ac:dyDescent="0.25">
      <c r="A28" s="204">
        <f t="shared" si="1"/>
        <v>21</v>
      </c>
      <c r="B28" s="196" t="s">
        <v>253</v>
      </c>
      <c r="C28" s="206" t="s">
        <v>254</v>
      </c>
      <c r="D28" s="220">
        <f>+'[54](JAP4) LIGHT Sum'!J22/1000</f>
        <v>70906.886296500015</v>
      </c>
      <c r="E28" s="208">
        <f>+'[54](JAP4) LIGHT Sum'!F22/1000</f>
        <v>16588.931</v>
      </c>
      <c r="G28" s="209">
        <f>E28/(E$34-E$22-E$32-$E$26)</f>
        <v>8.3839578149873667E-3</v>
      </c>
      <c r="H28" s="210">
        <v>1</v>
      </c>
      <c r="I28" s="211">
        <f>+$I$40*H28</f>
        <v>1.4956181644721709E-2</v>
      </c>
      <c r="J28" s="208">
        <f>+E28*I28</f>
        <v>248.10706532775495</v>
      </c>
      <c r="K28" s="208">
        <f>+E28+J28</f>
        <v>16837.038065327757</v>
      </c>
      <c r="M28" s="212">
        <f t="shared" si="0"/>
        <v>248107.06532775494</v>
      </c>
      <c r="N28" s="212"/>
      <c r="O28" s="213">
        <f t="shared" si="4"/>
        <v>0.2</v>
      </c>
      <c r="Q28" s="212"/>
    </row>
    <row r="29" spans="1:17" x14ac:dyDescent="0.25">
      <c r="A29" s="204">
        <f t="shared" si="1"/>
        <v>22</v>
      </c>
      <c r="C29" s="206"/>
      <c r="D29" s="224"/>
      <c r="E29" s="212"/>
      <c r="G29" s="212"/>
      <c r="M29" s="212">
        <f t="shared" si="0"/>
        <v>0</v>
      </c>
      <c r="O29" s="213"/>
      <c r="Q29" s="212"/>
    </row>
    <row r="30" spans="1:17" ht="12.6" thickBot="1" x14ac:dyDescent="0.3">
      <c r="A30" s="204">
        <f t="shared" si="1"/>
        <v>23</v>
      </c>
      <c r="B30" s="219" t="s">
        <v>255</v>
      </c>
      <c r="C30" s="206"/>
      <c r="D30" s="225">
        <f>SUM(D28,D26,D22,D24,D20,D14,D8)</f>
        <v>22962663.079933044</v>
      </c>
      <c r="E30" s="226">
        <f>SUM(E28,E26,E22,E24,E20,E14,E8)</f>
        <v>2026039.736</v>
      </c>
      <c r="I30" s="211">
        <f>((J30)/E30)</f>
        <v>1.2794261886295946E-2</v>
      </c>
      <c r="J30" s="226">
        <f>SUM(J28,J26,J22,J24,J20,J14,J8)</f>
        <v>25921.682974425901</v>
      </c>
      <c r="K30" s="226">
        <f>SUM(K28,K26,K22,K24,K20,K14,K8)</f>
        <v>2051961.4189744259</v>
      </c>
      <c r="M30" s="212">
        <f t="shared" si="0"/>
        <v>25921682.974425901</v>
      </c>
      <c r="O30" s="213"/>
      <c r="Q30" s="212"/>
    </row>
    <row r="31" spans="1:17" ht="12.6" thickTop="1" x14ac:dyDescent="0.25">
      <c r="A31" s="204">
        <f t="shared" si="1"/>
        <v>24</v>
      </c>
      <c r="C31" s="206"/>
      <c r="D31" s="222"/>
      <c r="E31" s="212"/>
      <c r="G31" s="211"/>
      <c r="J31" s="223"/>
      <c r="K31" s="223"/>
      <c r="M31" s="212">
        <f t="shared" si="0"/>
        <v>0</v>
      </c>
      <c r="O31" s="213"/>
      <c r="Q31" s="212"/>
    </row>
    <row r="32" spans="1:17" x14ac:dyDescent="0.25">
      <c r="A32" s="204">
        <f t="shared" si="1"/>
        <v>25</v>
      </c>
      <c r="B32" s="219" t="s">
        <v>256</v>
      </c>
      <c r="C32" s="217"/>
      <c r="D32" s="220">
        <f>SUM('[54](JAP4) Proposed ERF Rev'!J46)</f>
        <v>7237.6555782419</v>
      </c>
      <c r="E32" s="208">
        <f>SUM('[54](JAP4) Proposed ERF Rev'!L46)</f>
        <v>329.85399999999998</v>
      </c>
      <c r="G32" s="209"/>
      <c r="H32" s="211"/>
      <c r="I32" s="211">
        <f>((J32)/E32)</f>
        <v>1.2794261886295948E-2</v>
      </c>
      <c r="J32" s="208">
        <f>+'[54](JAP4) TRANSP RD'!I43/1000</f>
        <v>4.2202384602422631</v>
      </c>
      <c r="K32" s="208">
        <f>+E32+J32</f>
        <v>334.07423846024227</v>
      </c>
      <c r="M32" s="212">
        <f t="shared" si="0"/>
        <v>4220.2384602422635</v>
      </c>
      <c r="O32" s="213">
        <f t="shared" ref="O32" si="5">ROUND(J32/1000,1)</f>
        <v>0</v>
      </c>
      <c r="Q32" s="212"/>
    </row>
    <row r="33" spans="1:17" x14ac:dyDescent="0.25">
      <c r="A33" s="204">
        <f t="shared" si="1"/>
        <v>26</v>
      </c>
      <c r="C33" s="206"/>
      <c r="D33" s="224"/>
      <c r="E33" s="212"/>
      <c r="G33" s="212"/>
      <c r="M33" s="212">
        <f t="shared" si="0"/>
        <v>0</v>
      </c>
      <c r="O33" s="213"/>
      <c r="Q33" s="212"/>
    </row>
    <row r="34" spans="1:17" ht="12.6" thickBot="1" x14ac:dyDescent="0.3">
      <c r="A34" s="204">
        <f t="shared" si="1"/>
        <v>27</v>
      </c>
      <c r="B34" s="196" t="s">
        <v>257</v>
      </c>
      <c r="C34" s="206"/>
      <c r="D34" s="225">
        <f>SUM(D32,D30)</f>
        <v>22969900.735511284</v>
      </c>
      <c r="E34" s="226">
        <f>SUM(E32,E30)</f>
        <v>2026369.59</v>
      </c>
      <c r="F34" s="226">
        <f>+'[53]Separate ARAM Schedule'!$C$13</f>
        <v>25925903.212886147</v>
      </c>
      <c r="G34" s="227">
        <f>SUM(G8:G32)</f>
        <v>1</v>
      </c>
      <c r="I34" s="227">
        <f>(+F34/1000)/E34</f>
        <v>1.2794261886295948E-2</v>
      </c>
      <c r="J34" s="226">
        <f>SUM(J32,J30)</f>
        <v>25925.903212886144</v>
      </c>
      <c r="K34" s="226">
        <f>SUM(K32,K30)</f>
        <v>2052295.4932128862</v>
      </c>
      <c r="M34" s="212">
        <f t="shared" si="0"/>
        <v>25925903.212886143</v>
      </c>
      <c r="O34" s="213">
        <f>SUM(O8:O32)</f>
        <v>25.8</v>
      </c>
    </row>
    <row r="35" spans="1:17" ht="12.75" thickTop="1" x14ac:dyDescent="0.2">
      <c r="A35" s="204">
        <f t="shared" si="1"/>
        <v>28</v>
      </c>
      <c r="C35" s="206"/>
      <c r="D35" s="214"/>
      <c r="E35" s="215"/>
      <c r="F35" s="215"/>
      <c r="G35" s="209"/>
      <c r="H35" s="215"/>
      <c r="I35" s="209"/>
      <c r="J35" s="228"/>
      <c r="K35" s="215"/>
    </row>
    <row r="36" spans="1:17" ht="12.75" thickBot="1" x14ac:dyDescent="0.25">
      <c r="A36" s="204">
        <f t="shared" si="1"/>
        <v>29</v>
      </c>
      <c r="C36" s="206"/>
      <c r="D36" s="206"/>
      <c r="J36" s="212"/>
      <c r="K36" s="212"/>
    </row>
    <row r="37" spans="1:17" x14ac:dyDescent="0.2">
      <c r="A37" s="204">
        <f t="shared" si="1"/>
        <v>30</v>
      </c>
      <c r="B37" s="248" t="s">
        <v>258</v>
      </c>
      <c r="C37" s="249"/>
      <c r="D37" s="249"/>
      <c r="E37" s="249"/>
      <c r="F37" s="229">
        <v>1</v>
      </c>
      <c r="G37" s="230"/>
      <c r="H37" s="229"/>
      <c r="I37" s="231">
        <f>(F34)/(E34*1000)</f>
        <v>1.2794261886295948E-2</v>
      </c>
    </row>
    <row r="38" spans="1:17" x14ac:dyDescent="0.2">
      <c r="A38" s="204">
        <f t="shared" si="1"/>
        <v>31</v>
      </c>
      <c r="B38" s="250" t="s">
        <v>259</v>
      </c>
      <c r="C38" s="251"/>
      <c r="D38" s="251"/>
      <c r="E38" s="251"/>
      <c r="F38" s="223"/>
      <c r="G38" s="223"/>
      <c r="H38" s="223"/>
      <c r="I38" s="232">
        <f>((F34/1000)-(J22)-(J26)-(J32))/(E34-E22-E26-E32)</f>
        <v>1.2933192389748355E-2</v>
      </c>
      <c r="K38" s="212"/>
    </row>
    <row r="39" spans="1:17" x14ac:dyDescent="0.2">
      <c r="A39" s="204">
        <f t="shared" si="1"/>
        <v>32</v>
      </c>
      <c r="B39" s="252" t="s">
        <v>260</v>
      </c>
      <c r="C39" s="253"/>
      <c r="D39" s="253"/>
      <c r="E39" s="253"/>
      <c r="F39" s="223"/>
      <c r="G39" s="223"/>
      <c r="H39" s="223"/>
      <c r="I39" s="233">
        <f>1/SUMPRODUCT($H$8:$H$32,$G$8:$G$32)</f>
        <v>1.1564183995729391</v>
      </c>
      <c r="K39" s="212"/>
    </row>
    <row r="40" spans="1:17" ht="12.75" thickBot="1" x14ac:dyDescent="0.25">
      <c r="A40" s="204">
        <f t="shared" si="1"/>
        <v>33</v>
      </c>
      <c r="B40" s="244" t="s">
        <v>261</v>
      </c>
      <c r="C40" s="245"/>
      <c r="D40" s="245"/>
      <c r="E40" s="245"/>
      <c r="F40" s="234"/>
      <c r="G40" s="234"/>
      <c r="H40" s="234"/>
      <c r="I40" s="235">
        <f>I39*I38</f>
        <v>1.4956181644721709E-2</v>
      </c>
      <c r="K40" s="212"/>
    </row>
    <row r="41" spans="1:17" x14ac:dyDescent="0.2">
      <c r="B41" s="236"/>
      <c r="C41" s="236"/>
      <c r="D41" s="236"/>
      <c r="E41" s="236"/>
      <c r="F41" s="236"/>
      <c r="G41" s="236"/>
    </row>
    <row r="50" spans="6:6" x14ac:dyDescent="0.2">
      <c r="F50" s="212"/>
    </row>
    <row r="51" spans="6:6" x14ac:dyDescent="0.2">
      <c r="F51" s="212"/>
    </row>
    <row r="52" spans="6:6" x14ac:dyDescent="0.2">
      <c r="F52" s="212"/>
    </row>
  </sheetData>
  <mergeCells count="7">
    <mergeCell ref="B40:E40"/>
    <mergeCell ref="A1:K1"/>
    <mergeCell ref="A2:K2"/>
    <mergeCell ref="A3:K3"/>
    <mergeCell ref="B37:E37"/>
    <mergeCell ref="B38:E38"/>
    <mergeCell ref="B39:E39"/>
  </mergeCells>
  <pageMargins left="0.7" right="0.7" top="0.75" bottom="0.75" header="0.3" footer="0.3"/>
  <pageSetup scale="88" orientation="landscape" r:id="rId1"/>
  <headerFooter>
    <oddFooter>&amp;L&amp;F
&amp;A&amp;C&amp;P&amp;R&amp;D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"/>
  <sheetViews>
    <sheetView zoomScaleNormal="100" workbookViewId="0">
      <selection activeCell="D11" sqref="D11"/>
    </sheetView>
  </sheetViews>
  <sheetFormatPr defaultColWidth="9.140625" defaultRowHeight="12.75" x14ac:dyDescent="0.2"/>
  <cols>
    <col min="1" max="1" width="5.28515625" style="3" customWidth="1"/>
    <col min="2" max="2" width="40.42578125" style="3" bestFit="1" customWidth="1"/>
    <col min="3" max="3" width="12.42578125" style="3" bestFit="1" customWidth="1"/>
    <col min="4" max="4" width="13.5703125" style="3" bestFit="1" customWidth="1"/>
    <col min="5" max="5" width="12.42578125" style="3" bestFit="1" customWidth="1"/>
    <col min="6" max="6" width="20.28515625" style="3" bestFit="1" customWidth="1"/>
    <col min="7" max="7" width="11.85546875" style="47" bestFit="1" customWidth="1"/>
    <col min="8" max="9" width="12.42578125" style="47" bestFit="1" customWidth="1"/>
    <col min="10" max="10" width="17.7109375" style="47" customWidth="1"/>
    <col min="11" max="11" width="14.5703125" style="3" bestFit="1" customWidth="1"/>
    <col min="12" max="12" width="9.140625" style="3"/>
    <col min="13" max="13" width="10.28515625" style="3" bestFit="1" customWidth="1"/>
    <col min="14" max="16384" width="9.140625" style="3"/>
  </cols>
  <sheetData>
    <row r="1" spans="1:20" x14ac:dyDescent="0.2">
      <c r="A1" s="239" t="s">
        <v>16</v>
      </c>
      <c r="B1" s="239"/>
      <c r="C1" s="239"/>
      <c r="D1" s="239"/>
      <c r="E1" s="239"/>
      <c r="F1" s="239"/>
      <c r="G1" s="239"/>
      <c r="H1" s="239"/>
      <c r="I1" s="239"/>
      <c r="J1" s="39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s="47" customFormat="1" x14ac:dyDescent="0.2">
      <c r="A2" s="239" t="s">
        <v>87</v>
      </c>
      <c r="B2" s="239"/>
      <c r="C2" s="239"/>
      <c r="D2" s="239"/>
      <c r="E2" s="239"/>
      <c r="F2" s="239"/>
      <c r="G2" s="239"/>
      <c r="H2" s="239"/>
      <c r="I2" s="239"/>
      <c r="J2" s="39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x14ac:dyDescent="0.2">
      <c r="A3" s="239" t="s">
        <v>88</v>
      </c>
      <c r="B3" s="239"/>
      <c r="C3" s="239"/>
      <c r="D3" s="239"/>
      <c r="E3" s="239"/>
      <c r="F3" s="239"/>
      <c r="G3" s="239"/>
      <c r="H3" s="239"/>
      <c r="I3" s="239"/>
      <c r="J3" s="39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x14ac:dyDescent="0.2">
      <c r="A4" s="239" t="s">
        <v>81</v>
      </c>
      <c r="B4" s="239"/>
      <c r="C4" s="239"/>
      <c r="D4" s="239"/>
      <c r="E4" s="239"/>
      <c r="F4" s="239"/>
      <c r="G4" s="239"/>
      <c r="H4" s="239"/>
      <c r="I4" s="239"/>
      <c r="J4" s="39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x14ac:dyDescent="0.2">
      <c r="A5" s="12"/>
      <c r="B5" s="12"/>
      <c r="C5" s="12"/>
      <c r="D5" s="12"/>
      <c r="E5" s="12"/>
      <c r="F5" s="9"/>
      <c r="G5" s="66"/>
      <c r="H5" s="52"/>
      <c r="I5" s="52"/>
      <c r="J5" s="52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2">
      <c r="A6" s="8"/>
      <c r="B6" s="8"/>
      <c r="C6" s="8"/>
      <c r="D6" s="8"/>
      <c r="E6" s="8"/>
      <c r="F6" s="8"/>
      <c r="G6" s="48"/>
      <c r="H6" s="48"/>
      <c r="I6" s="48"/>
      <c r="J6" s="48"/>
    </row>
    <row r="7" spans="1:20" s="47" customFormat="1" ht="12.75" customHeight="1" x14ac:dyDescent="0.2">
      <c r="A7" s="80" t="s">
        <v>59</v>
      </c>
      <c r="B7" s="48"/>
      <c r="C7" s="48"/>
      <c r="D7" s="73" t="s">
        <v>61</v>
      </c>
      <c r="E7" s="73" t="s">
        <v>62</v>
      </c>
      <c r="F7" s="73" t="s">
        <v>62</v>
      </c>
      <c r="G7" s="73" t="s">
        <v>33</v>
      </c>
      <c r="H7" s="73" t="s">
        <v>62</v>
      </c>
      <c r="I7" s="73" t="s">
        <v>62</v>
      </c>
      <c r="J7" s="48"/>
    </row>
    <row r="8" spans="1:20" s="79" customFormat="1" x14ac:dyDescent="0.2">
      <c r="A8" s="75" t="s">
        <v>60</v>
      </c>
      <c r="B8" s="78"/>
      <c r="C8" s="76" t="s">
        <v>14</v>
      </c>
      <c r="D8" s="63">
        <v>7</v>
      </c>
      <c r="E8" s="63" t="s">
        <v>45</v>
      </c>
      <c r="F8" s="63" t="s">
        <v>63</v>
      </c>
      <c r="G8" s="63">
        <v>40</v>
      </c>
      <c r="H8" s="63" t="s">
        <v>46</v>
      </c>
      <c r="I8" s="63" t="s">
        <v>47</v>
      </c>
    </row>
    <row r="9" spans="1:20" x14ac:dyDescent="0.2">
      <c r="A9" s="6"/>
      <c r="B9" s="7" t="s">
        <v>13</v>
      </c>
      <c r="C9" s="7" t="s">
        <v>12</v>
      </c>
      <c r="D9" s="7" t="s">
        <v>11</v>
      </c>
      <c r="E9" s="7" t="s">
        <v>10</v>
      </c>
      <c r="F9" s="7" t="s">
        <v>9</v>
      </c>
      <c r="G9" s="31" t="s">
        <v>8</v>
      </c>
      <c r="H9" s="31" t="s">
        <v>7</v>
      </c>
      <c r="I9" s="31" t="s">
        <v>6</v>
      </c>
    </row>
    <row r="10" spans="1:20" x14ac:dyDescent="0.2">
      <c r="A10" s="7"/>
      <c r="B10" s="13"/>
      <c r="C10" s="7"/>
      <c r="D10" s="7"/>
      <c r="E10" s="7"/>
      <c r="F10" s="7"/>
      <c r="G10" s="31"/>
      <c r="H10" s="31"/>
      <c r="I10" s="31"/>
    </row>
    <row r="11" spans="1:20" x14ac:dyDescent="0.2">
      <c r="A11" s="7">
        <v>1</v>
      </c>
      <c r="B11" s="53" t="s">
        <v>68</v>
      </c>
      <c r="C11" s="45" t="s">
        <v>97</v>
      </c>
      <c r="D11" s="46">
        <f>'Exh. JAP-9 Page 1'!$D$17</f>
        <v>332462334.95488656</v>
      </c>
      <c r="E11" s="46">
        <f>'Exh. JAP-9 Page 1'!$E$17</f>
        <v>79450374.713442028</v>
      </c>
      <c r="F11" s="46">
        <f>'Exh. JAP-9 Page 1'!$F$17</f>
        <v>99129090.913656741</v>
      </c>
      <c r="G11" s="46">
        <f>'Exh. JAP-9 Page 1'!$G$17</f>
        <v>4692057.2703891248</v>
      </c>
      <c r="H11" s="46">
        <f>'Exh. JAP-9 Page 1'!$H$17</f>
        <v>44503248.27417475</v>
      </c>
      <c r="I11" s="46">
        <f>'Exh. JAP-9 Page 1'!$I$17</f>
        <v>32737730.680464119</v>
      </c>
      <c r="J11" s="237"/>
      <c r="K11" s="41"/>
    </row>
    <row r="12" spans="1:20" x14ac:dyDescent="0.2">
      <c r="A12" s="7">
        <f>A11+1</f>
        <v>2</v>
      </c>
      <c r="B12" s="53"/>
      <c r="C12" s="6"/>
      <c r="D12" s="6"/>
      <c r="E12" s="6"/>
      <c r="F12" s="6"/>
      <c r="G12" s="38"/>
      <c r="H12" s="38"/>
      <c r="I12" s="38"/>
    </row>
    <row r="13" spans="1:20" x14ac:dyDescent="0.2">
      <c r="A13" s="7">
        <f t="shared" ref="A13:A15" si="0">A12+1</f>
        <v>3</v>
      </c>
      <c r="B13" s="53" t="s">
        <v>17</v>
      </c>
      <c r="C13" s="45" t="s">
        <v>89</v>
      </c>
      <c r="D13" s="60">
        <f>'12ME June2018 Cust Data'!P8</f>
        <v>1003972</v>
      </c>
      <c r="E13" s="60">
        <f>'12ME June2018 Cust Data'!P10</f>
        <v>120913</v>
      </c>
      <c r="F13" s="60">
        <f>SUM('12ME June2018 Cust Data'!P9,'12ME June2018 Cust Data'!P11,'12ME June2018 Cust Data'!P13,'12ME June2018 Cust Data'!P15,'12ME June2018 Cust Data'!P17)</f>
        <v>8105</v>
      </c>
      <c r="G13" s="60">
        <f>'12ME June2018 Cust Data'!P16</f>
        <v>130</v>
      </c>
      <c r="H13" s="60">
        <f>'12ME June2018 Cust Data'!P12</f>
        <v>807</v>
      </c>
      <c r="I13" s="60">
        <f>'12ME June2018 Cust Data'!P14</f>
        <v>481</v>
      </c>
    </row>
    <row r="14" spans="1:20" x14ac:dyDescent="0.2">
      <c r="A14" s="7">
        <f t="shared" si="0"/>
        <v>4</v>
      </c>
      <c r="B14" s="53"/>
      <c r="C14" s="6"/>
      <c r="D14" s="14"/>
      <c r="E14" s="14"/>
      <c r="F14" s="14"/>
      <c r="G14" s="32"/>
      <c r="H14" s="32"/>
      <c r="I14" s="32"/>
    </row>
    <row r="15" spans="1:20" s="47" customFormat="1" x14ac:dyDescent="0.2">
      <c r="A15" s="31">
        <f t="shared" si="0"/>
        <v>5</v>
      </c>
      <c r="B15" s="53" t="s">
        <v>67</v>
      </c>
      <c r="C15" s="31" t="str">
        <f>"("&amp;A11&amp;") / ("&amp;A13&amp;")"</f>
        <v>(1) / (3)</v>
      </c>
      <c r="D15" s="67">
        <f>ROUND(D11/D13,2)</f>
        <v>331.15</v>
      </c>
      <c r="E15" s="67">
        <f t="shared" ref="E15:I15" si="1">ROUND(E11/E13,2)</f>
        <v>657.09</v>
      </c>
      <c r="F15" s="67">
        <f t="shared" si="1"/>
        <v>12230.61</v>
      </c>
      <c r="G15" s="67">
        <f>ROUND(G11/G13,2)</f>
        <v>36092.75</v>
      </c>
      <c r="H15" s="67">
        <f t="shared" si="1"/>
        <v>55146.53</v>
      </c>
      <c r="I15" s="67">
        <f t="shared" si="1"/>
        <v>68061.81</v>
      </c>
    </row>
    <row r="16" spans="1:20" x14ac:dyDescent="0.2">
      <c r="A16" s="8"/>
      <c r="B16" s="8"/>
      <c r="C16" s="8"/>
      <c r="D16" s="8"/>
      <c r="E16" s="8"/>
      <c r="F16" s="8"/>
      <c r="G16" s="48"/>
      <c r="H16" s="48"/>
      <c r="I16" s="48"/>
      <c r="J16" s="48"/>
      <c r="K16" s="8"/>
    </row>
  </sheetData>
  <mergeCells count="4">
    <mergeCell ref="A1:I1"/>
    <mergeCell ref="A3:I3"/>
    <mergeCell ref="A4:I4"/>
    <mergeCell ref="A2:I2"/>
  </mergeCells>
  <printOptions horizontalCentered="1"/>
  <pageMargins left="0.7" right="0.7" top="0.75" bottom="0.75" header="0.3" footer="0.3"/>
  <pageSetup scale="86" orientation="landscape" blackAndWhite="1" horizontalDpi="1200" verticalDpi="1200" r:id="rId1"/>
  <headerFooter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zoomScaleNormal="100" workbookViewId="0">
      <selection activeCell="D11" sqref="D11"/>
    </sheetView>
  </sheetViews>
  <sheetFormatPr defaultColWidth="9.140625" defaultRowHeight="12.75" x14ac:dyDescent="0.2"/>
  <cols>
    <col min="1" max="1" width="5.28515625" style="47" customWidth="1"/>
    <col min="2" max="2" width="39.28515625" style="47" bestFit="1" customWidth="1"/>
    <col min="3" max="3" width="12.42578125" style="47" bestFit="1" customWidth="1"/>
    <col min="4" max="4" width="15.140625" style="47" bestFit="1" customWidth="1"/>
    <col min="5" max="5" width="14.140625" style="47" bestFit="1" customWidth="1"/>
    <col min="6" max="6" width="20.28515625" style="47" bestFit="1" customWidth="1"/>
    <col min="7" max="7" width="12.42578125" style="47" bestFit="1" customWidth="1"/>
    <col min="8" max="8" width="9.140625" style="47"/>
    <col min="9" max="9" width="10.28515625" style="47" bestFit="1" customWidth="1"/>
    <col min="10" max="16384" width="9.140625" style="47"/>
  </cols>
  <sheetData>
    <row r="1" spans="1:16" x14ac:dyDescent="0.2">
      <c r="A1" s="239" t="s">
        <v>16</v>
      </c>
      <c r="B1" s="239"/>
      <c r="C1" s="239"/>
      <c r="D1" s="239"/>
      <c r="E1" s="239"/>
      <c r="F1" s="239"/>
      <c r="G1" s="239"/>
      <c r="H1" s="37"/>
      <c r="I1" s="37"/>
      <c r="J1" s="37"/>
      <c r="K1" s="37"/>
      <c r="L1" s="37"/>
      <c r="M1" s="37"/>
      <c r="N1" s="37"/>
      <c r="O1" s="37"/>
      <c r="P1" s="37"/>
    </row>
    <row r="2" spans="1:16" x14ac:dyDescent="0.2">
      <c r="A2" s="239" t="s">
        <v>87</v>
      </c>
      <c r="B2" s="239"/>
      <c r="C2" s="239"/>
      <c r="D2" s="239"/>
      <c r="E2" s="239"/>
      <c r="F2" s="239"/>
      <c r="G2" s="239"/>
      <c r="H2" s="37"/>
      <c r="I2" s="37"/>
      <c r="J2" s="37"/>
      <c r="K2" s="37"/>
      <c r="L2" s="37"/>
      <c r="M2" s="37"/>
      <c r="N2" s="37"/>
      <c r="O2" s="37"/>
      <c r="P2" s="37"/>
    </row>
    <row r="3" spans="1:16" x14ac:dyDescent="0.2">
      <c r="A3" s="239" t="s">
        <v>88</v>
      </c>
      <c r="B3" s="239"/>
      <c r="C3" s="239"/>
      <c r="D3" s="239"/>
      <c r="E3" s="239"/>
      <c r="F3" s="239"/>
      <c r="G3" s="239"/>
      <c r="H3" s="37"/>
      <c r="I3" s="37"/>
      <c r="J3" s="37"/>
      <c r="K3" s="37"/>
      <c r="L3" s="37"/>
      <c r="M3" s="37"/>
      <c r="N3" s="37"/>
      <c r="O3" s="37"/>
      <c r="P3" s="37"/>
    </row>
    <row r="4" spans="1:16" x14ac:dyDescent="0.2">
      <c r="A4" s="239" t="s">
        <v>82</v>
      </c>
      <c r="B4" s="239"/>
      <c r="C4" s="239"/>
      <c r="D4" s="239"/>
      <c r="E4" s="239"/>
      <c r="F4" s="239"/>
      <c r="G4" s="239"/>
      <c r="H4" s="37"/>
      <c r="I4" s="37"/>
      <c r="J4" s="37"/>
      <c r="K4" s="37"/>
      <c r="L4" s="37"/>
      <c r="M4" s="37"/>
      <c r="N4" s="37"/>
      <c r="O4" s="37"/>
      <c r="P4" s="37"/>
    </row>
    <row r="5" spans="1:16" x14ac:dyDescent="0.2">
      <c r="A5" s="39"/>
      <c r="B5" s="39"/>
      <c r="C5" s="39"/>
      <c r="D5" s="39"/>
      <c r="E5" s="39"/>
      <c r="F5" s="68"/>
      <c r="G5" s="68"/>
      <c r="H5" s="37"/>
      <c r="I5" s="37"/>
      <c r="J5" s="37"/>
      <c r="K5" s="37"/>
      <c r="L5" s="37"/>
      <c r="M5" s="37"/>
      <c r="N5" s="37"/>
      <c r="O5" s="37"/>
      <c r="P5" s="37"/>
    </row>
    <row r="6" spans="1:16" x14ac:dyDescent="0.2">
      <c r="A6" s="48"/>
      <c r="B6" s="48"/>
      <c r="C6" s="48"/>
      <c r="D6" s="48"/>
      <c r="E6" s="48"/>
      <c r="F6" s="48"/>
      <c r="G6" s="48"/>
    </row>
    <row r="7" spans="1:16" ht="12.75" customHeight="1" x14ac:dyDescent="0.2">
      <c r="A7" s="80" t="s">
        <v>59</v>
      </c>
      <c r="B7" s="48"/>
      <c r="C7" s="48"/>
      <c r="D7" s="73" t="s">
        <v>61</v>
      </c>
      <c r="E7" s="73" t="s">
        <v>62</v>
      </c>
      <c r="F7" s="73" t="s">
        <v>62</v>
      </c>
      <c r="G7" s="73" t="s">
        <v>33</v>
      </c>
    </row>
    <row r="8" spans="1:16" x14ac:dyDescent="0.2">
      <c r="A8" s="75" t="s">
        <v>60</v>
      </c>
      <c r="B8" s="78"/>
      <c r="C8" s="76" t="s">
        <v>14</v>
      </c>
      <c r="D8" s="63">
        <v>7</v>
      </c>
      <c r="E8" s="63" t="s">
        <v>45</v>
      </c>
      <c r="F8" s="63" t="s">
        <v>63</v>
      </c>
      <c r="G8" s="63">
        <v>40</v>
      </c>
    </row>
    <row r="9" spans="1:16" x14ac:dyDescent="0.2">
      <c r="A9" s="53"/>
      <c r="B9" s="54" t="s">
        <v>13</v>
      </c>
      <c r="C9" s="54" t="s">
        <v>12</v>
      </c>
      <c r="D9" s="54" t="s">
        <v>11</v>
      </c>
      <c r="E9" s="54" t="s">
        <v>10</v>
      </c>
      <c r="F9" s="54" t="s">
        <v>9</v>
      </c>
      <c r="G9" s="54" t="s">
        <v>8</v>
      </c>
    </row>
    <row r="10" spans="1:16" x14ac:dyDescent="0.2">
      <c r="A10" s="54"/>
      <c r="B10" s="44"/>
      <c r="C10" s="54"/>
      <c r="D10" s="54"/>
      <c r="E10" s="54"/>
      <c r="F10" s="54"/>
      <c r="G10" s="54"/>
    </row>
    <row r="11" spans="1:16" x14ac:dyDescent="0.2">
      <c r="A11" s="54">
        <v>1</v>
      </c>
      <c r="B11" s="53" t="s">
        <v>68</v>
      </c>
      <c r="C11" s="45" t="s">
        <v>97</v>
      </c>
      <c r="D11" s="46">
        <f>'Exh. JAP-9 Page 1'!$D$17</f>
        <v>332462334.95488656</v>
      </c>
      <c r="E11" s="46">
        <f>'Exh. JAP-9 Page 1'!$E$17</f>
        <v>79450374.713442028</v>
      </c>
      <c r="F11" s="46">
        <f>'Exh. JAP-9 Page 1'!$F$17</f>
        <v>99129090.913656741</v>
      </c>
      <c r="G11" s="46">
        <f>'Exh. JAP-9 Page 1'!$G$17</f>
        <v>4692057.2703891248</v>
      </c>
    </row>
    <row r="12" spans="1:16" x14ac:dyDescent="0.2">
      <c r="A12" s="54">
        <f>A11+1</f>
        <v>2</v>
      </c>
      <c r="B12" s="53"/>
      <c r="C12" s="53"/>
      <c r="D12" s="53"/>
      <c r="E12" s="53"/>
      <c r="F12" s="53"/>
      <c r="G12" s="53"/>
    </row>
    <row r="13" spans="1:16" x14ac:dyDescent="0.2">
      <c r="A13" s="54">
        <f t="shared" ref="A13:A15" si="0">A12+1</f>
        <v>3</v>
      </c>
      <c r="B13" s="53" t="s">
        <v>54</v>
      </c>
      <c r="C13" s="54" t="s">
        <v>96</v>
      </c>
      <c r="D13" s="60">
        <v>10657340059.648607</v>
      </c>
      <c r="E13" s="60">
        <v>2769974283.3973694</v>
      </c>
      <c r="F13" s="60">
        <v>3107743561.5533676</v>
      </c>
      <c r="G13" s="60">
        <v>534767436.60406774</v>
      </c>
    </row>
    <row r="14" spans="1:16" x14ac:dyDescent="0.2">
      <c r="A14" s="54">
        <f t="shared" si="0"/>
        <v>4</v>
      </c>
      <c r="B14" s="53"/>
      <c r="C14" s="53"/>
      <c r="D14" s="32"/>
      <c r="E14" s="32"/>
      <c r="F14" s="32"/>
      <c r="G14" s="32"/>
    </row>
    <row r="15" spans="1:16" x14ac:dyDescent="0.2">
      <c r="A15" s="54">
        <f t="shared" si="0"/>
        <v>5</v>
      </c>
      <c r="B15" s="53" t="s">
        <v>69</v>
      </c>
      <c r="C15" s="54" t="str">
        <f>"("&amp;A11&amp;") / ("&amp;A13&amp;")"</f>
        <v>(1) / (3)</v>
      </c>
      <c r="D15" s="69">
        <f>ROUND(D11/D13,6)</f>
        <v>3.1196000000000002E-2</v>
      </c>
      <c r="E15" s="69">
        <f>ROUND(E11/E13,6)</f>
        <v>2.8683E-2</v>
      </c>
      <c r="F15" s="69">
        <f t="shared" ref="F15:G15" si="1">ROUND(F11/F13,6)</f>
        <v>3.1897000000000002E-2</v>
      </c>
      <c r="G15" s="69">
        <f t="shared" si="1"/>
        <v>8.7740000000000005E-3</v>
      </c>
    </row>
    <row r="16" spans="1:16" x14ac:dyDescent="0.2">
      <c r="A16" s="48"/>
      <c r="B16" s="48"/>
      <c r="C16" s="48"/>
      <c r="D16" s="48"/>
      <c r="E16" s="48"/>
      <c r="F16" s="48"/>
      <c r="G16" s="48"/>
    </row>
    <row r="17" spans="4:7" x14ac:dyDescent="0.2">
      <c r="D17" s="5"/>
      <c r="E17" s="5"/>
      <c r="F17" s="5"/>
      <c r="G17" s="5"/>
    </row>
    <row r="18" spans="4:7" x14ac:dyDescent="0.2">
      <c r="D18" s="5"/>
      <c r="E18" s="5"/>
      <c r="F18" s="5"/>
      <c r="G18" s="5"/>
    </row>
  </sheetData>
  <mergeCells count="4">
    <mergeCell ref="A1:G1"/>
    <mergeCell ref="A3:G3"/>
    <mergeCell ref="A4:G4"/>
    <mergeCell ref="A2:G2"/>
  </mergeCells>
  <printOptions horizontalCentered="1"/>
  <pageMargins left="0.7" right="0.7" top="0.75" bottom="0.75" header="0.3" footer="0.3"/>
  <pageSetup orientation="landscape" blackAndWhite="1" horizontalDpi="1200" verticalDpi="1200" r:id="rId1"/>
  <headerFoot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zoomScaleNormal="100" workbookViewId="0">
      <selection activeCell="D11" sqref="D11"/>
    </sheetView>
  </sheetViews>
  <sheetFormatPr defaultColWidth="9.140625" defaultRowHeight="12.75" x14ac:dyDescent="0.2"/>
  <cols>
    <col min="1" max="1" width="5.28515625" style="47" customWidth="1"/>
    <col min="2" max="2" width="43.42578125" style="47" customWidth="1"/>
    <col min="3" max="3" width="15.5703125" style="47" customWidth="1"/>
    <col min="4" max="7" width="15.7109375" style="47" customWidth="1"/>
    <col min="8" max="9" width="9.140625" style="47" customWidth="1"/>
    <col min="10" max="10" width="9.140625" style="47"/>
    <col min="11" max="11" width="10.28515625" style="47" bestFit="1" customWidth="1"/>
    <col min="12" max="16384" width="9.140625" style="47"/>
  </cols>
  <sheetData>
    <row r="1" spans="1:18" x14ac:dyDescent="0.2">
      <c r="A1" s="239" t="s">
        <v>16</v>
      </c>
      <c r="B1" s="239"/>
      <c r="C1" s="239"/>
      <c r="D1" s="239"/>
      <c r="E1" s="239"/>
      <c r="F1" s="239"/>
      <c r="G1" s="239"/>
      <c r="H1" s="39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x14ac:dyDescent="0.2">
      <c r="A2" s="239" t="s">
        <v>87</v>
      </c>
      <c r="B2" s="239"/>
      <c r="C2" s="239"/>
      <c r="D2" s="239"/>
      <c r="E2" s="239"/>
      <c r="F2" s="239"/>
      <c r="G2" s="239"/>
      <c r="H2" s="39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">
      <c r="A3" s="239" t="s">
        <v>88</v>
      </c>
      <c r="B3" s="239"/>
      <c r="C3" s="239"/>
      <c r="D3" s="239"/>
      <c r="E3" s="239"/>
      <c r="F3" s="239"/>
      <c r="G3" s="239"/>
      <c r="H3" s="39"/>
      <c r="I3" s="37"/>
      <c r="J3" s="37"/>
      <c r="K3" s="37"/>
      <c r="L3" s="37"/>
      <c r="M3" s="37"/>
      <c r="N3" s="37"/>
      <c r="O3" s="37"/>
      <c r="P3" s="37"/>
      <c r="Q3" s="37"/>
      <c r="R3" s="37"/>
    </row>
    <row r="4" spans="1:18" x14ac:dyDescent="0.2">
      <c r="A4" s="239" t="s">
        <v>66</v>
      </c>
      <c r="B4" s="239"/>
      <c r="C4" s="239"/>
      <c r="D4" s="239"/>
      <c r="E4" s="239"/>
      <c r="F4" s="239"/>
      <c r="G4" s="239"/>
      <c r="H4" s="39"/>
      <c r="I4" s="37"/>
      <c r="J4" s="37"/>
      <c r="K4" s="37"/>
      <c r="L4" s="37"/>
      <c r="M4" s="37"/>
      <c r="N4" s="37"/>
      <c r="O4" s="37"/>
      <c r="P4" s="37"/>
      <c r="Q4" s="37"/>
      <c r="R4" s="37"/>
    </row>
    <row r="5" spans="1:18" x14ac:dyDescent="0.2">
      <c r="A5" s="39"/>
      <c r="B5" s="39"/>
      <c r="C5" s="39"/>
      <c r="D5" s="71"/>
      <c r="E5" s="71"/>
      <c r="F5" s="72"/>
      <c r="G5" s="71"/>
      <c r="H5" s="71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18" x14ac:dyDescent="0.2">
      <c r="A6" s="48"/>
      <c r="B6" s="48"/>
      <c r="C6" s="48"/>
      <c r="D6" s="48"/>
      <c r="E6" s="48"/>
      <c r="F6" s="48"/>
      <c r="G6" s="48"/>
      <c r="H6" s="48"/>
    </row>
    <row r="7" spans="1:18" ht="12.75" customHeight="1" x14ac:dyDescent="0.2">
      <c r="A7" s="48"/>
      <c r="B7" s="48"/>
      <c r="C7" s="48"/>
      <c r="D7" s="240" t="s">
        <v>51</v>
      </c>
      <c r="E7" s="241"/>
      <c r="F7" s="240" t="s">
        <v>53</v>
      </c>
      <c r="G7" s="241"/>
      <c r="H7" s="48"/>
    </row>
    <row r="8" spans="1:18" ht="12.75" customHeight="1" x14ac:dyDescent="0.2">
      <c r="A8" s="81" t="s">
        <v>59</v>
      </c>
      <c r="B8" s="48"/>
      <c r="C8" s="48"/>
      <c r="D8" s="82" t="s">
        <v>55</v>
      </c>
      <c r="E8" s="83" t="s">
        <v>56</v>
      </c>
      <c r="F8" s="82" t="s">
        <v>55</v>
      </c>
      <c r="G8" s="83" t="s">
        <v>56</v>
      </c>
      <c r="H8" s="48"/>
    </row>
    <row r="9" spans="1:18" ht="12.75" customHeight="1" x14ac:dyDescent="0.2">
      <c r="A9" s="76" t="s">
        <v>60</v>
      </c>
      <c r="B9" s="43"/>
      <c r="C9" s="76" t="s">
        <v>14</v>
      </c>
      <c r="D9" s="84" t="s">
        <v>57</v>
      </c>
      <c r="E9" s="85" t="s">
        <v>58</v>
      </c>
      <c r="F9" s="84" t="s">
        <v>57</v>
      </c>
      <c r="G9" s="85" t="s">
        <v>58</v>
      </c>
    </row>
    <row r="10" spans="1:18" x14ac:dyDescent="0.2">
      <c r="A10" s="53"/>
      <c r="B10" s="54" t="s">
        <v>13</v>
      </c>
      <c r="C10" s="54" t="s">
        <v>12</v>
      </c>
      <c r="D10" s="54" t="s">
        <v>11</v>
      </c>
      <c r="E10" s="54" t="s">
        <v>10</v>
      </c>
      <c r="F10" s="54" t="s">
        <v>9</v>
      </c>
      <c r="G10" s="54" t="s">
        <v>8</v>
      </c>
    </row>
    <row r="11" spans="1:18" x14ac:dyDescent="0.2">
      <c r="A11" s="54"/>
      <c r="B11" s="44"/>
      <c r="C11" s="54"/>
      <c r="D11" s="54"/>
      <c r="E11" s="54"/>
      <c r="F11" s="54"/>
      <c r="G11" s="54"/>
    </row>
    <row r="12" spans="1:18" x14ac:dyDescent="0.2">
      <c r="A12" s="54">
        <v>1</v>
      </c>
      <c r="B12" s="53" t="s">
        <v>68</v>
      </c>
      <c r="C12" s="45" t="s">
        <v>97</v>
      </c>
      <c r="D12" s="46">
        <f>'Exh. JAP-9 Page 1'!$H$17*(('[54](JAP4) SecVolt RD'!$I$73+'[54](JAP4) SecVolt RD'!$I$96)/('[54](JAP4) SecVolt RD'!$I$75+'[54](JAP4) SecVolt RD'!$I$99-'[54](JAP4) SecVolt RD'!$I$98))</f>
        <v>26213836.519448139</v>
      </c>
      <c r="E12" s="46">
        <f>'Exh. JAP-9 Page 1'!$H$17*(('[54](JAP4) SecVolt RD'!$I$74+'[54](JAP4) SecVolt RD'!$I$97)/('[54](JAP4) SecVolt RD'!$I$75+'[54](JAP4) SecVolt RD'!$I$99-'[54](JAP4) SecVolt RD'!$I$98))</f>
        <v>18289411.754726611</v>
      </c>
      <c r="F12" s="46">
        <f>'Exh. JAP-9 Page 1'!$I$17*('[54](JAP4) PriVolt RD'!$I$23/'[54](JAP4) PriVolt RD'!$I$25)</f>
        <v>19399513.16697387</v>
      </c>
      <c r="G12" s="46">
        <f>'Exh. JAP-9 Page 1'!$I$17*('[54](JAP4) PriVolt RD'!$I$24/'[54](JAP4) PriVolt RD'!$I$25)</f>
        <v>13338217.51349025</v>
      </c>
      <c r="I12" s="41"/>
    </row>
    <row r="13" spans="1:18" x14ac:dyDescent="0.2">
      <c r="A13" s="54">
        <v>2</v>
      </c>
      <c r="B13" s="53"/>
      <c r="C13" s="53"/>
      <c r="D13" s="53"/>
      <c r="E13" s="53"/>
      <c r="F13" s="53"/>
      <c r="G13" s="53"/>
    </row>
    <row r="14" spans="1:18" x14ac:dyDescent="0.2">
      <c r="A14" s="54">
        <v>3</v>
      </c>
      <c r="B14" s="53" t="s">
        <v>52</v>
      </c>
      <c r="C14" s="54" t="s">
        <v>96</v>
      </c>
      <c r="D14" s="60">
        <f>'[54](JAP4) SecVolt RD'!$C$73+'[54](JAP4) SecVolt RD'!$C$96</f>
        <v>2257865</v>
      </c>
      <c r="E14" s="60">
        <f>'[54](JAP4) SecVolt RD'!$C$74+'[54](JAP4) SecVolt RD'!$C$97</f>
        <v>2365921</v>
      </c>
      <c r="F14" s="60">
        <f>'[54](JAP4) PriVolt RD'!$C$23</f>
        <v>1610241</v>
      </c>
      <c r="G14" s="60">
        <f>'[54](JAP4) PriVolt RD'!$C$24</f>
        <v>1661410</v>
      </c>
    </row>
    <row r="15" spans="1:18" x14ac:dyDescent="0.2">
      <c r="A15" s="54">
        <v>4</v>
      </c>
      <c r="B15" s="53"/>
      <c r="C15" s="53"/>
      <c r="D15" s="32"/>
      <c r="E15" s="32"/>
      <c r="F15" s="32"/>
      <c r="G15" s="32"/>
    </row>
    <row r="16" spans="1:18" x14ac:dyDescent="0.2">
      <c r="A16" s="54">
        <v>5</v>
      </c>
      <c r="B16" s="53" t="s">
        <v>70</v>
      </c>
      <c r="C16" s="54" t="str">
        <f>"("&amp;A12&amp;") / ("&amp;A14&amp;")"</f>
        <v>(1) / (3)</v>
      </c>
      <c r="D16" s="67">
        <f>ROUND(D12/D14,2)</f>
        <v>11.61</v>
      </c>
      <c r="E16" s="67">
        <f>ROUND(E12/E14,2)</f>
        <v>7.73</v>
      </c>
      <c r="F16" s="67">
        <f>ROUND(F12/F14,2)</f>
        <v>12.05</v>
      </c>
      <c r="G16" s="67">
        <f>ROUND(G12/G14,2)</f>
        <v>8.0299999999999994</v>
      </c>
    </row>
    <row r="17" spans="4:8" x14ac:dyDescent="0.2">
      <c r="D17" s="5"/>
      <c r="E17" s="5"/>
      <c r="F17" s="5"/>
      <c r="G17" s="5"/>
      <c r="H17" s="5"/>
    </row>
    <row r="18" spans="4:8" x14ac:dyDescent="0.2">
      <c r="D18" s="5"/>
      <c r="E18" s="5"/>
      <c r="F18" s="5"/>
      <c r="G18" s="5"/>
      <c r="H18" s="5"/>
    </row>
    <row r="19" spans="4:8" x14ac:dyDescent="0.2">
      <c r="D19" s="5"/>
      <c r="E19" s="5"/>
      <c r="F19" s="5"/>
      <c r="G19" s="5"/>
      <c r="H19" s="5"/>
    </row>
  </sheetData>
  <mergeCells count="6">
    <mergeCell ref="A1:G1"/>
    <mergeCell ref="A3:G3"/>
    <mergeCell ref="A4:G4"/>
    <mergeCell ref="D7:E7"/>
    <mergeCell ref="F7:G7"/>
    <mergeCell ref="A2:G2"/>
  </mergeCells>
  <printOptions horizontalCentered="1"/>
  <pageMargins left="0.7" right="0.7" top="0.75" bottom="0.75" header="0.3" footer="0.3"/>
  <pageSetup scale="96" orientation="landscape" blackAndWhite="1" horizontalDpi="1200" verticalDpi="1200" r:id="rId1"/>
  <headerFoot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workbookViewId="0">
      <pane ySplit="7" topLeftCell="A8" activePane="bottomLeft" state="frozen"/>
      <selection activeCell="D11" sqref="D11"/>
      <selection pane="bottomLeft" activeCell="D11" sqref="D11"/>
    </sheetView>
  </sheetViews>
  <sheetFormatPr defaultColWidth="9.140625" defaultRowHeight="12.75" x14ac:dyDescent="0.2"/>
  <cols>
    <col min="1" max="1" width="5.28515625" style="1" customWidth="1"/>
    <col min="2" max="2" width="2.7109375" style="1" customWidth="1"/>
    <col min="3" max="3" width="43.140625" style="1" customWidth="1"/>
    <col min="4" max="4" width="15.5703125" style="2" bestFit="1" customWidth="1"/>
    <col min="5" max="7" width="14" style="2" bestFit="1" customWidth="1"/>
    <col min="8" max="8" width="12.28515625" style="2" customWidth="1"/>
    <col min="9" max="14" width="12.28515625" style="1" customWidth="1"/>
    <col min="15" max="16" width="14" style="1" bestFit="1" customWidth="1"/>
    <col min="17" max="17" width="13.85546875" style="1" customWidth="1"/>
    <col min="18" max="16384" width="9.140625" style="1"/>
  </cols>
  <sheetData>
    <row r="1" spans="1:17" ht="13.15" x14ac:dyDescent="0.25">
      <c r="A1" s="239" t="s">
        <v>16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</row>
    <row r="2" spans="1:17" s="29" customFormat="1" ht="13.15" x14ac:dyDescent="0.25">
      <c r="A2" s="239" t="s">
        <v>87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</row>
    <row r="3" spans="1:17" ht="13.15" x14ac:dyDescent="0.25">
      <c r="A3" s="239" t="s">
        <v>88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</row>
    <row r="4" spans="1:17" ht="13.15" x14ac:dyDescent="0.25">
      <c r="A4" s="239" t="s">
        <v>35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ht="13.15" x14ac:dyDescent="0.25">
      <c r="A5" s="6"/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6"/>
      <c r="Q5" s="6"/>
    </row>
    <row r="6" spans="1:17" ht="26.45" x14ac:dyDescent="0.25">
      <c r="A6" s="10" t="s">
        <v>15</v>
      </c>
      <c r="B6" s="10"/>
      <c r="C6" s="11"/>
      <c r="D6" s="16" t="s">
        <v>14</v>
      </c>
      <c r="E6" s="17" t="s">
        <v>20</v>
      </c>
      <c r="F6" s="17" t="s">
        <v>21</v>
      </c>
      <c r="G6" s="17" t="s">
        <v>22</v>
      </c>
      <c r="H6" s="17" t="s">
        <v>23</v>
      </c>
      <c r="I6" s="17" t="s">
        <v>24</v>
      </c>
      <c r="J6" s="17" t="s">
        <v>25</v>
      </c>
      <c r="K6" s="17" t="s">
        <v>26</v>
      </c>
      <c r="L6" s="17" t="s">
        <v>27</v>
      </c>
      <c r="M6" s="17" t="s">
        <v>28</v>
      </c>
      <c r="N6" s="17" t="s">
        <v>29</v>
      </c>
      <c r="O6" s="17" t="s">
        <v>30</v>
      </c>
      <c r="P6" s="17" t="s">
        <v>31</v>
      </c>
      <c r="Q6" s="10" t="s">
        <v>32</v>
      </c>
    </row>
    <row r="7" spans="1:17" ht="13.15" x14ac:dyDescent="0.25">
      <c r="A7" s="6"/>
      <c r="B7" s="6"/>
      <c r="C7" s="7" t="s">
        <v>13</v>
      </c>
      <c r="D7" s="7" t="s">
        <v>12</v>
      </c>
      <c r="E7" s="7" t="s">
        <v>11</v>
      </c>
      <c r="F7" s="7" t="s">
        <v>10</v>
      </c>
      <c r="G7" s="7" t="s">
        <v>9</v>
      </c>
      <c r="H7" s="7" t="s">
        <v>8</v>
      </c>
      <c r="I7" s="7" t="s">
        <v>7</v>
      </c>
      <c r="J7" s="7" t="s">
        <v>6</v>
      </c>
      <c r="K7" s="7" t="s">
        <v>5</v>
      </c>
      <c r="L7" s="7" t="s">
        <v>4</v>
      </c>
      <c r="M7" s="7" t="s">
        <v>3</v>
      </c>
      <c r="N7" s="7" t="s">
        <v>2</v>
      </c>
      <c r="O7" s="7" t="s">
        <v>1</v>
      </c>
      <c r="P7" s="7" t="s">
        <v>0</v>
      </c>
      <c r="Q7" s="7" t="s">
        <v>19</v>
      </c>
    </row>
    <row r="8" spans="1:17" ht="13.15" x14ac:dyDescent="0.25">
      <c r="A8" s="7"/>
      <c r="B8" s="18" t="s">
        <v>37</v>
      </c>
      <c r="C8" s="13"/>
      <c r="D8" s="7"/>
      <c r="E8" s="7"/>
      <c r="F8" s="7"/>
      <c r="G8" s="7"/>
      <c r="H8" s="7"/>
      <c r="I8" s="7"/>
      <c r="J8" s="7"/>
      <c r="K8" s="6"/>
      <c r="L8" s="6"/>
      <c r="M8" s="6"/>
      <c r="N8" s="6"/>
      <c r="O8" s="6"/>
      <c r="P8" s="6"/>
      <c r="Q8" s="6"/>
    </row>
    <row r="9" spans="1:17" ht="13.15" x14ac:dyDescent="0.25">
      <c r="A9" s="7">
        <v>1</v>
      </c>
      <c r="B9" s="28" t="s">
        <v>38</v>
      </c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9"/>
    </row>
    <row r="10" spans="1:17" ht="13.15" x14ac:dyDescent="0.25">
      <c r="A10" s="7">
        <f t="shared" ref="A10:A56" si="0">A9+1</f>
        <v>2</v>
      </c>
      <c r="B10" s="7"/>
      <c r="C10" s="6" t="s">
        <v>94</v>
      </c>
      <c r="D10" s="54" t="s">
        <v>96</v>
      </c>
      <c r="E10" s="60">
        <v>1217809396.3717051</v>
      </c>
      <c r="F10" s="60">
        <v>1029221052.455801</v>
      </c>
      <c r="G10" s="60">
        <v>1042285607.8058866</v>
      </c>
      <c r="H10" s="60">
        <v>848382820.3486625</v>
      </c>
      <c r="I10" s="60">
        <v>682087265.04118538</v>
      </c>
      <c r="J10" s="60">
        <v>662181951.97669625</v>
      </c>
      <c r="K10" s="60">
        <v>683028854.42198575</v>
      </c>
      <c r="L10" s="60">
        <v>689494898.41436493</v>
      </c>
      <c r="M10" s="60">
        <v>658439734.18934715</v>
      </c>
      <c r="N10" s="60">
        <v>840421026.72084284</v>
      </c>
      <c r="O10" s="60">
        <v>1034613281.7917739</v>
      </c>
      <c r="P10" s="60">
        <v>1269374170.1103554</v>
      </c>
      <c r="Q10" s="20">
        <f>SUM(E10:P10)</f>
        <v>10657340059.648607</v>
      </c>
    </row>
    <row r="11" spans="1:17" ht="13.15" x14ac:dyDescent="0.25">
      <c r="A11" s="7">
        <f t="shared" si="0"/>
        <v>3</v>
      </c>
      <c r="B11" s="7"/>
      <c r="C11" s="6" t="s">
        <v>36</v>
      </c>
      <c r="D11" s="65" t="s">
        <v>74</v>
      </c>
      <c r="E11" s="21">
        <f t="shared" ref="E11:P11" si="1">E10/$Q10</f>
        <v>0.11426954470399611</v>
      </c>
      <c r="F11" s="21">
        <f t="shared" si="1"/>
        <v>9.6573914944564174E-2</v>
      </c>
      <c r="G11" s="21">
        <f t="shared" si="1"/>
        <v>9.7799788875297722E-2</v>
      </c>
      <c r="H11" s="21">
        <f t="shared" si="1"/>
        <v>7.9605494016359205E-2</v>
      </c>
      <c r="I11" s="21">
        <f t="shared" si="1"/>
        <v>6.4001642175587584E-2</v>
      </c>
      <c r="J11" s="21">
        <f t="shared" si="1"/>
        <v>6.2133885966901357E-2</v>
      </c>
      <c r="K11" s="21">
        <f t="shared" si="1"/>
        <v>6.4089993431673084E-2</v>
      </c>
      <c r="L11" s="21">
        <f t="shared" si="1"/>
        <v>6.4696715555222592E-2</v>
      </c>
      <c r="M11" s="21">
        <f t="shared" si="1"/>
        <v>6.1782746023312796E-2</v>
      </c>
      <c r="N11" s="21">
        <f t="shared" si="1"/>
        <v>7.8858422647400547E-2</v>
      </c>
      <c r="O11" s="21">
        <f t="shared" si="1"/>
        <v>9.7079878844166967E-2</v>
      </c>
      <c r="P11" s="21">
        <f t="shared" si="1"/>
        <v>0.11910797281551783</v>
      </c>
      <c r="Q11" s="21">
        <f>SUM(E11:P11)</f>
        <v>0.99999999999999978</v>
      </c>
    </row>
    <row r="12" spans="1:17" ht="13.15" x14ac:dyDescent="0.25">
      <c r="A12" s="7">
        <f t="shared" si="0"/>
        <v>4</v>
      </c>
      <c r="B12" s="7"/>
      <c r="C12" s="6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17" ht="13.15" x14ac:dyDescent="0.25">
      <c r="A13" s="7">
        <f t="shared" si="0"/>
        <v>5</v>
      </c>
      <c r="B13" s="28" t="s">
        <v>42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</row>
    <row r="14" spans="1:17" ht="13.15" x14ac:dyDescent="0.25">
      <c r="A14" s="7">
        <f t="shared" si="0"/>
        <v>6</v>
      </c>
      <c r="B14" s="7"/>
      <c r="C14" s="6" t="str">
        <f>C10</f>
        <v xml:space="preserve">Weather-Normalized kWh Sales </v>
      </c>
      <c r="D14" s="54" t="str">
        <f>D10</f>
        <v>Exhibit JAP-4</v>
      </c>
      <c r="E14" s="60">
        <v>268307038.57199278</v>
      </c>
      <c r="F14" s="60">
        <v>227207898.53795847</v>
      </c>
      <c r="G14" s="60">
        <v>244652400.50093108</v>
      </c>
      <c r="H14" s="60">
        <v>211402682.75275233</v>
      </c>
      <c r="I14" s="60">
        <v>207943010.22681922</v>
      </c>
      <c r="J14" s="60">
        <v>200088798.37976211</v>
      </c>
      <c r="K14" s="60">
        <v>224981849.41511604</v>
      </c>
      <c r="L14" s="60">
        <v>236629518.22228226</v>
      </c>
      <c r="M14" s="60">
        <v>211269345.82597348</v>
      </c>
      <c r="N14" s="60">
        <v>222924321.4157142</v>
      </c>
      <c r="O14" s="60">
        <v>241969138.58819419</v>
      </c>
      <c r="P14" s="60">
        <v>272598280.9598729</v>
      </c>
      <c r="Q14" s="20">
        <f>SUM(E14:P14)</f>
        <v>2769974283.3973689</v>
      </c>
    </row>
    <row r="15" spans="1:17" ht="13.15" x14ac:dyDescent="0.25">
      <c r="A15" s="7">
        <f t="shared" si="0"/>
        <v>7</v>
      </c>
      <c r="B15" s="7"/>
      <c r="C15" s="6" t="s">
        <v>36</v>
      </c>
      <c r="D15" s="45" t="s">
        <v>75</v>
      </c>
      <c r="E15" s="24">
        <f t="shared" ref="E15:P15" si="2">E14/$Q14</f>
        <v>9.6862646046993128E-2</v>
      </c>
      <c r="F15" s="24">
        <f t="shared" si="2"/>
        <v>8.2025273627915549E-2</v>
      </c>
      <c r="G15" s="24">
        <f t="shared" si="2"/>
        <v>8.8322986233960746E-2</v>
      </c>
      <c r="H15" s="24">
        <f t="shared" si="2"/>
        <v>7.6319366580352252E-2</v>
      </c>
      <c r="I15" s="24">
        <f t="shared" si="2"/>
        <v>7.5070375733516728E-2</v>
      </c>
      <c r="J15" s="24">
        <f t="shared" si="2"/>
        <v>7.2234893868528452E-2</v>
      </c>
      <c r="K15" s="24">
        <f t="shared" si="2"/>
        <v>8.1221638324806458E-2</v>
      </c>
      <c r="L15" s="24">
        <f t="shared" si="2"/>
        <v>8.5426611951088777E-2</v>
      </c>
      <c r="M15" s="24">
        <f t="shared" si="2"/>
        <v>7.627123005880472E-2</v>
      </c>
      <c r="N15" s="24">
        <f t="shared" si="2"/>
        <v>8.0478841537221027E-2</v>
      </c>
      <c r="O15" s="24">
        <f t="shared" si="2"/>
        <v>8.735429062952145E-2</v>
      </c>
      <c r="P15" s="24">
        <f t="shared" si="2"/>
        <v>9.8411845407290768E-2</v>
      </c>
      <c r="Q15" s="24">
        <f>SUM(E15:P15)</f>
        <v>1.0000000000000002</v>
      </c>
    </row>
    <row r="16" spans="1:17" ht="13.15" x14ac:dyDescent="0.25">
      <c r="A16" s="7">
        <f t="shared" si="0"/>
        <v>8</v>
      </c>
      <c r="B16" s="7"/>
      <c r="C16" s="6"/>
      <c r="D16" s="15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s="29" customFormat="1" ht="13.15" x14ac:dyDescent="0.25">
      <c r="A17" s="54">
        <f t="shared" si="0"/>
        <v>9</v>
      </c>
      <c r="B17" s="50" t="s">
        <v>65</v>
      </c>
      <c r="D17" s="31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49"/>
    </row>
    <row r="18" spans="1:17" s="29" customFormat="1" ht="13.15" x14ac:dyDescent="0.25">
      <c r="A18" s="54">
        <f t="shared" si="0"/>
        <v>10</v>
      </c>
      <c r="B18" s="31"/>
      <c r="C18" s="38" t="str">
        <f>C10</f>
        <v xml:space="preserve">Weather-Normalized kWh Sales </v>
      </c>
      <c r="D18" s="54" t="str">
        <f>D10</f>
        <v>Exhibit JAP-4</v>
      </c>
      <c r="E18" s="60">
        <v>283862215.19315606</v>
      </c>
      <c r="F18" s="60">
        <v>262024120.92486566</v>
      </c>
      <c r="G18" s="60">
        <v>277745663.5656966</v>
      </c>
      <c r="H18" s="60">
        <v>250222352.4840396</v>
      </c>
      <c r="I18" s="60">
        <v>257053131.41416478</v>
      </c>
      <c r="J18" s="60">
        <v>239676309.07878903</v>
      </c>
      <c r="K18" s="60">
        <v>250744317.60794047</v>
      </c>
      <c r="L18" s="60">
        <v>265696179.81656981</v>
      </c>
      <c r="M18" s="60">
        <v>238697893.00688696</v>
      </c>
      <c r="N18" s="60">
        <v>246709067.32583916</v>
      </c>
      <c r="O18" s="60">
        <v>257220758.2833263</v>
      </c>
      <c r="P18" s="60">
        <v>278091552.8520931</v>
      </c>
      <c r="Q18" s="20">
        <f>SUM(E18:P18)</f>
        <v>3107743561.5533671</v>
      </c>
    </row>
    <row r="19" spans="1:17" s="29" customFormat="1" ht="13.15" x14ac:dyDescent="0.25">
      <c r="A19" s="54">
        <f t="shared" si="0"/>
        <v>11</v>
      </c>
      <c r="B19" s="31"/>
      <c r="C19" s="38" t="s">
        <v>36</v>
      </c>
      <c r="D19" s="65" t="s">
        <v>76</v>
      </c>
      <c r="E19" s="42">
        <f t="shared" ref="E19:P19" si="3">E18/$Q18</f>
        <v>9.1340295481545791E-2</v>
      </c>
      <c r="F19" s="42">
        <f t="shared" si="3"/>
        <v>8.431330183301744E-2</v>
      </c>
      <c r="G19" s="42">
        <f t="shared" si="3"/>
        <v>8.9372130635794439E-2</v>
      </c>
      <c r="H19" s="42">
        <f t="shared" si="3"/>
        <v>8.0515765708470827E-2</v>
      </c>
      <c r="I19" s="42">
        <f t="shared" si="3"/>
        <v>8.2713752381061961E-2</v>
      </c>
      <c r="J19" s="42">
        <f t="shared" si="3"/>
        <v>7.7122292857068869E-2</v>
      </c>
      <c r="K19" s="42">
        <f t="shared" si="3"/>
        <v>8.0683722012960757E-2</v>
      </c>
      <c r="L19" s="42">
        <f t="shared" si="3"/>
        <v>8.5494885454372838E-2</v>
      </c>
      <c r="M19" s="42">
        <f t="shared" si="3"/>
        <v>7.6807461194634982E-2</v>
      </c>
      <c r="N19" s="42">
        <f t="shared" si="3"/>
        <v>7.9385271802324867E-2</v>
      </c>
      <c r="O19" s="42">
        <f t="shared" si="3"/>
        <v>8.2767690830564442E-2</v>
      </c>
      <c r="P19" s="42">
        <f t="shared" si="3"/>
        <v>8.9483429808182913E-2</v>
      </c>
      <c r="Q19" s="42">
        <f>SUM(E19:P19)</f>
        <v>1.0000000000000002</v>
      </c>
    </row>
    <row r="20" spans="1:17" s="29" customFormat="1" ht="13.15" x14ac:dyDescent="0.25">
      <c r="A20" s="54">
        <f t="shared" si="0"/>
        <v>12</v>
      </c>
      <c r="B20" s="31"/>
      <c r="C20" s="38"/>
      <c r="D20" s="40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17" s="29" customFormat="1" ht="13.15" x14ac:dyDescent="0.25">
      <c r="A21" s="54">
        <f t="shared" si="0"/>
        <v>13</v>
      </c>
      <c r="B21" s="50" t="s">
        <v>83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 s="29" customFormat="1" ht="13.15" x14ac:dyDescent="0.25">
      <c r="A22" s="54">
        <f t="shared" si="0"/>
        <v>14</v>
      </c>
      <c r="B22" s="31"/>
      <c r="C22" s="38" t="str">
        <f>C10</f>
        <v xml:space="preserve">Weather-Normalized kWh Sales </v>
      </c>
      <c r="D22" s="54" t="str">
        <f>D10</f>
        <v>Exhibit JAP-4</v>
      </c>
      <c r="E22" s="60">
        <v>43421693.337666631</v>
      </c>
      <c r="F22" s="60">
        <v>39770860.813243046</v>
      </c>
      <c r="G22" s="60">
        <v>40691019.266715772</v>
      </c>
      <c r="H22" s="60">
        <v>44812754.65020173</v>
      </c>
      <c r="I22" s="60">
        <v>41305701.634680897</v>
      </c>
      <c r="J22" s="60">
        <v>38069361.050450101</v>
      </c>
      <c r="K22" s="60">
        <v>50913265.541981056</v>
      </c>
      <c r="L22" s="60">
        <v>50212645.794358425</v>
      </c>
      <c r="M22" s="60">
        <v>48165570.860954307</v>
      </c>
      <c r="N22" s="60">
        <v>46776939.313044958</v>
      </c>
      <c r="O22" s="60">
        <v>43352576.854941517</v>
      </c>
      <c r="P22" s="60">
        <v>47275047.485829301</v>
      </c>
      <c r="Q22" s="20">
        <f>SUM(E22:P22)</f>
        <v>534767436.60406774</v>
      </c>
    </row>
    <row r="23" spans="1:17" s="29" customFormat="1" ht="13.15" x14ac:dyDescent="0.25">
      <c r="A23" s="54">
        <f t="shared" si="0"/>
        <v>15</v>
      </c>
      <c r="B23" s="31"/>
      <c r="C23" s="38" t="s">
        <v>36</v>
      </c>
      <c r="D23" s="45" t="s">
        <v>77</v>
      </c>
      <c r="E23" s="35">
        <f t="shared" ref="E23:P23" si="4">E22/$Q22</f>
        <v>8.119733993791263E-2</v>
      </c>
      <c r="F23" s="35">
        <f t="shared" si="4"/>
        <v>7.4370386248272413E-2</v>
      </c>
      <c r="G23" s="35">
        <f t="shared" si="4"/>
        <v>7.6091056563047002E-2</v>
      </c>
      <c r="H23" s="35">
        <f t="shared" si="4"/>
        <v>8.3798585296771338E-2</v>
      </c>
      <c r="I23" s="35">
        <f t="shared" si="4"/>
        <v>7.7240495227204539E-2</v>
      </c>
      <c r="J23" s="35">
        <f t="shared" si="4"/>
        <v>7.1188629756893704E-2</v>
      </c>
      <c r="K23" s="35">
        <f t="shared" si="4"/>
        <v>9.520636833329911E-2</v>
      </c>
      <c r="L23" s="35">
        <f t="shared" si="4"/>
        <v>9.3896229196795633E-2</v>
      </c>
      <c r="M23" s="35">
        <f t="shared" si="4"/>
        <v>9.0068256898400562E-2</v>
      </c>
      <c r="N23" s="35">
        <f t="shared" si="4"/>
        <v>8.7471555130754469E-2</v>
      </c>
      <c r="O23" s="35">
        <f t="shared" si="4"/>
        <v>8.1068094067662896E-2</v>
      </c>
      <c r="P23" s="35">
        <f t="shared" si="4"/>
        <v>8.8403003342985717E-2</v>
      </c>
      <c r="Q23" s="35">
        <f>SUM(E23:P23)</f>
        <v>1</v>
      </c>
    </row>
    <row r="24" spans="1:17" s="29" customFormat="1" ht="13.15" x14ac:dyDescent="0.25">
      <c r="A24" s="54">
        <f t="shared" si="0"/>
        <v>16</v>
      </c>
      <c r="B24" s="54"/>
      <c r="C24" s="53"/>
      <c r="D24" s="4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9" customFormat="1" ht="13.15" x14ac:dyDescent="0.25">
      <c r="A25" s="54">
        <f t="shared" si="0"/>
        <v>17</v>
      </c>
      <c r="B25" s="50" t="s">
        <v>43</v>
      </c>
      <c r="C25" s="38"/>
      <c r="D25" s="31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49"/>
    </row>
    <row r="26" spans="1:17" s="29" customFormat="1" ht="13.15" x14ac:dyDescent="0.25">
      <c r="A26" s="54">
        <f t="shared" si="0"/>
        <v>18</v>
      </c>
      <c r="B26" s="31"/>
      <c r="C26" s="58" t="s">
        <v>95</v>
      </c>
      <c r="D26" s="54" t="str">
        <f>D10</f>
        <v>Exhibit JAP-4</v>
      </c>
      <c r="E26" s="64">
        <v>4464881</v>
      </c>
      <c r="F26" s="64">
        <v>4646175</v>
      </c>
      <c r="G26" s="64">
        <v>4343817</v>
      </c>
      <c r="H26" s="64">
        <v>3656074</v>
      </c>
      <c r="I26" s="64">
        <v>3142193</v>
      </c>
      <c r="J26" s="64">
        <v>3134589</v>
      </c>
      <c r="K26" s="64">
        <v>3084350</v>
      </c>
      <c r="L26" s="64">
        <v>3208640</v>
      </c>
      <c r="M26" s="64">
        <v>3219916</v>
      </c>
      <c r="N26" s="64">
        <v>3771620</v>
      </c>
      <c r="O26" s="64">
        <v>4410791</v>
      </c>
      <c r="P26" s="64">
        <v>4581926</v>
      </c>
      <c r="Q26" s="59">
        <f>SUM(E26:P26)</f>
        <v>45664972</v>
      </c>
    </row>
    <row r="27" spans="1:17" s="29" customFormat="1" ht="13.15" x14ac:dyDescent="0.25">
      <c r="A27" s="54">
        <f t="shared" si="0"/>
        <v>19</v>
      </c>
      <c r="B27" s="31"/>
      <c r="C27" s="38" t="s">
        <v>36</v>
      </c>
      <c r="D27" s="65" t="s">
        <v>78</v>
      </c>
      <c r="E27" s="42">
        <f t="shared" ref="E27:P27" si="5">E26/$Q26</f>
        <v>9.7774745159156129E-2</v>
      </c>
      <c r="F27" s="42">
        <f t="shared" si="5"/>
        <v>0.10174483409296736</v>
      </c>
      <c r="G27" s="42">
        <f t="shared" si="5"/>
        <v>9.5123610280545015E-2</v>
      </c>
      <c r="H27" s="42">
        <f t="shared" si="5"/>
        <v>8.0062985695031189E-2</v>
      </c>
      <c r="I27" s="42">
        <f t="shared" si="5"/>
        <v>6.880969947819085E-2</v>
      </c>
      <c r="J27" s="42">
        <f t="shared" si="5"/>
        <v>6.8643182349920201E-2</v>
      </c>
      <c r="K27" s="42">
        <f t="shared" si="5"/>
        <v>6.7543017435771124E-2</v>
      </c>
      <c r="L27" s="42">
        <f t="shared" si="5"/>
        <v>7.0264797271746934E-2</v>
      </c>
      <c r="M27" s="42">
        <f t="shared" si="5"/>
        <v>7.0511726143180381E-2</v>
      </c>
      <c r="N27" s="42">
        <f t="shared" si="5"/>
        <v>8.2593283972669462E-2</v>
      </c>
      <c r="O27" s="42">
        <f t="shared" si="5"/>
        <v>9.6590248648351307E-2</v>
      </c>
      <c r="P27" s="42">
        <f t="shared" si="5"/>
        <v>0.10033786947247006</v>
      </c>
      <c r="Q27" s="42">
        <f>SUM(E27:P27)</f>
        <v>0.99999999999999978</v>
      </c>
    </row>
    <row r="28" spans="1:17" s="29" customFormat="1" ht="13.15" x14ac:dyDescent="0.25">
      <c r="A28" s="54">
        <f t="shared" si="0"/>
        <v>20</v>
      </c>
      <c r="B28" s="31"/>
      <c r="C28" s="38"/>
      <c r="D28" s="40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 s="29" customFormat="1" ht="13.15" x14ac:dyDescent="0.25">
      <c r="A29" s="54">
        <f t="shared" si="0"/>
        <v>21</v>
      </c>
      <c r="B29" s="50" t="s">
        <v>44</v>
      </c>
      <c r="C29" s="38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 s="29" customFormat="1" ht="13.15" x14ac:dyDescent="0.25">
      <c r="A30" s="54">
        <f t="shared" si="0"/>
        <v>22</v>
      </c>
      <c r="B30" s="31"/>
      <c r="C30" s="58" t="str">
        <f>C26</f>
        <v xml:space="preserve">Demand Charge Revenue </v>
      </c>
      <c r="D30" s="54" t="str">
        <f>D10</f>
        <v>Exhibit JAP-4</v>
      </c>
      <c r="E30" s="64">
        <v>3166387</v>
      </c>
      <c r="F30" s="64">
        <v>3172185</v>
      </c>
      <c r="G30" s="64">
        <v>2884024</v>
      </c>
      <c r="H30" s="64">
        <v>2690713</v>
      </c>
      <c r="I30" s="64">
        <v>2154594</v>
      </c>
      <c r="J30" s="64">
        <v>1972205</v>
      </c>
      <c r="K30" s="64">
        <v>2000656</v>
      </c>
      <c r="L30" s="64">
        <v>2302719</v>
      </c>
      <c r="M30" s="64">
        <v>2126762</v>
      </c>
      <c r="N30" s="64">
        <v>2624184</v>
      </c>
      <c r="O30" s="64">
        <v>2947401</v>
      </c>
      <c r="P30" s="64">
        <v>3104705</v>
      </c>
      <c r="Q30" s="59">
        <f>SUM(E30:P30)</f>
        <v>31146535</v>
      </c>
    </row>
    <row r="31" spans="1:17" s="29" customFormat="1" ht="13.15" x14ac:dyDescent="0.25">
      <c r="A31" s="54">
        <f t="shared" si="0"/>
        <v>23</v>
      </c>
      <c r="B31" s="31"/>
      <c r="C31" s="38" t="s">
        <v>36</v>
      </c>
      <c r="D31" s="45" t="s">
        <v>79</v>
      </c>
      <c r="E31" s="35">
        <f t="shared" ref="E31:P31" si="6">E30/$Q30</f>
        <v>0.10166097127658021</v>
      </c>
      <c r="F31" s="35">
        <f t="shared" si="6"/>
        <v>0.10184712360459999</v>
      </c>
      <c r="G31" s="35">
        <f t="shared" si="6"/>
        <v>9.2595340059496184E-2</v>
      </c>
      <c r="H31" s="35">
        <f t="shared" si="6"/>
        <v>8.638883907953164E-2</v>
      </c>
      <c r="I31" s="35">
        <f t="shared" si="6"/>
        <v>6.9176041572521635E-2</v>
      </c>
      <c r="J31" s="35">
        <f t="shared" si="6"/>
        <v>6.3320205602324625E-2</v>
      </c>
      <c r="K31" s="35">
        <f t="shared" si="6"/>
        <v>6.4233661946665979E-2</v>
      </c>
      <c r="L31" s="35">
        <f t="shared" si="6"/>
        <v>7.3931787275855892E-2</v>
      </c>
      <c r="M31" s="35">
        <f t="shared" si="6"/>
        <v>6.8282459027946441E-2</v>
      </c>
      <c r="N31" s="35">
        <f t="shared" si="6"/>
        <v>8.4252839039719821E-2</v>
      </c>
      <c r="O31" s="35">
        <f t="shared" si="6"/>
        <v>9.463014104137106E-2</v>
      </c>
      <c r="P31" s="35">
        <f t="shared" si="6"/>
        <v>9.9680590473386524E-2</v>
      </c>
      <c r="Q31" s="35">
        <f>SUM(E31:P31)</f>
        <v>1</v>
      </c>
    </row>
    <row r="32" spans="1:17" s="29" customFormat="1" ht="13.15" x14ac:dyDescent="0.25">
      <c r="A32" s="54">
        <f t="shared" si="0"/>
        <v>24</v>
      </c>
      <c r="B32" s="54"/>
      <c r="C32" s="53"/>
      <c r="D32" s="4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</row>
    <row r="33" spans="1:17" ht="13.15" x14ac:dyDescent="0.25">
      <c r="A33" s="54">
        <f t="shared" si="0"/>
        <v>25</v>
      </c>
      <c r="B33" s="18" t="s">
        <v>72</v>
      </c>
      <c r="D33" s="7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ht="13.15" x14ac:dyDescent="0.25">
      <c r="A34" s="54">
        <f t="shared" si="0"/>
        <v>26</v>
      </c>
      <c r="B34" s="28" t="str">
        <f>B9</f>
        <v>Schedule 7</v>
      </c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3.15" x14ac:dyDescent="0.25">
      <c r="A35" s="54">
        <f t="shared" si="0"/>
        <v>27</v>
      </c>
      <c r="B35" s="7"/>
      <c r="C35" s="6" t="s">
        <v>71</v>
      </c>
      <c r="D35" s="54" t="s">
        <v>98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0">
        <f>'Exh. JAP-9 Page 2'!D15</f>
        <v>331.15</v>
      </c>
    </row>
    <row r="36" spans="1:17" ht="13.15" x14ac:dyDescent="0.25">
      <c r="A36" s="54">
        <f t="shared" si="0"/>
        <v>28</v>
      </c>
      <c r="B36" s="7"/>
      <c r="C36" s="6" t="s">
        <v>72</v>
      </c>
      <c r="D36" s="7" t="str">
        <f>"("&amp;A$11&amp;") x ("&amp;A35&amp;")"</f>
        <v>(3) x (27)</v>
      </c>
      <c r="E36" s="26">
        <f>$Q35*E$11</f>
        <v>37.840359728728309</v>
      </c>
      <c r="F36" s="26">
        <f t="shared" ref="F36:P36" si="7">$Q35*F$11</f>
        <v>31.980451933892425</v>
      </c>
      <c r="G36" s="26">
        <f t="shared" si="7"/>
        <v>32.386400086054842</v>
      </c>
      <c r="H36" s="26">
        <f t="shared" si="7"/>
        <v>26.36135934351735</v>
      </c>
      <c r="I36" s="26">
        <f t="shared" si="7"/>
        <v>21.194143806445826</v>
      </c>
      <c r="J36" s="26">
        <f t="shared" si="7"/>
        <v>20.575636337939383</v>
      </c>
      <c r="K36" s="26">
        <f t="shared" si="7"/>
        <v>21.223401324898539</v>
      </c>
      <c r="L36" s="26">
        <f t="shared" si="7"/>
        <v>21.42431735611196</v>
      </c>
      <c r="M36" s="26">
        <f t="shared" si="7"/>
        <v>20.45935634562003</v>
      </c>
      <c r="N36" s="26">
        <f t="shared" si="7"/>
        <v>26.113966659686689</v>
      </c>
      <c r="O36" s="26">
        <f t="shared" si="7"/>
        <v>32.148001879245889</v>
      </c>
      <c r="P36" s="26">
        <f t="shared" si="7"/>
        <v>39.442605197858725</v>
      </c>
      <c r="Q36" s="25">
        <f>SUM(E36:P36)</f>
        <v>331.15</v>
      </c>
    </row>
    <row r="37" spans="1:17" ht="13.15" x14ac:dyDescent="0.25">
      <c r="A37" s="54">
        <f t="shared" si="0"/>
        <v>29</v>
      </c>
      <c r="B37" s="7"/>
      <c r="C37" s="6"/>
      <c r="D37" s="2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25"/>
    </row>
    <row r="38" spans="1:17" ht="13.15" x14ac:dyDescent="0.25">
      <c r="A38" s="54">
        <f t="shared" si="0"/>
        <v>30</v>
      </c>
      <c r="B38" s="28" t="str">
        <f>B13</f>
        <v>Schedules 8 &amp; 24</v>
      </c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25"/>
    </row>
    <row r="39" spans="1:17" ht="13.15" x14ac:dyDescent="0.25">
      <c r="A39" s="54">
        <f t="shared" si="0"/>
        <v>31</v>
      </c>
      <c r="B39" s="7"/>
      <c r="C39" s="53" t="s">
        <v>71</v>
      </c>
      <c r="D39" s="54" t="str">
        <f>$D$35</f>
        <v>JAP-9 Page 2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70">
        <f>'Exh. JAP-9 Page 2'!E15</f>
        <v>657.09</v>
      </c>
    </row>
    <row r="40" spans="1:17" ht="13.15" x14ac:dyDescent="0.25">
      <c r="A40" s="54">
        <f t="shared" si="0"/>
        <v>32</v>
      </c>
      <c r="B40" s="7"/>
      <c r="C40" s="53" t="s">
        <v>72</v>
      </c>
      <c r="D40" s="7" t="str">
        <f>"("&amp;A$15&amp;") x ("&amp;A39&amp;")"</f>
        <v>(7) x (31)</v>
      </c>
      <c r="E40" s="26">
        <f>$Q39*E$15</f>
        <v>63.647476091018717</v>
      </c>
      <c r="F40" s="26">
        <f t="shared" ref="F40:P40" si="8">$Q39*F$15</f>
        <v>53.897987048167032</v>
      </c>
      <c r="G40" s="26">
        <f t="shared" si="8"/>
        <v>58.03615102447327</v>
      </c>
      <c r="H40" s="26">
        <f t="shared" si="8"/>
        <v>50.148692586283666</v>
      </c>
      <c r="I40" s="26">
        <f t="shared" si="8"/>
        <v>49.327993190736507</v>
      </c>
      <c r="J40" s="26">
        <f t="shared" si="8"/>
        <v>47.464826412071361</v>
      </c>
      <c r="K40" s="26">
        <f t="shared" si="8"/>
        <v>53.369926326847079</v>
      </c>
      <c r="L40" s="26">
        <f t="shared" si="8"/>
        <v>56.132972446940926</v>
      </c>
      <c r="M40" s="26">
        <f t="shared" si="8"/>
        <v>50.117062559339999</v>
      </c>
      <c r="N40" s="26">
        <f>$Q39*N$15</f>
        <v>52.881841985692567</v>
      </c>
      <c r="O40" s="26">
        <f t="shared" si="8"/>
        <v>57.399630829752255</v>
      </c>
      <c r="P40" s="26">
        <f t="shared" si="8"/>
        <v>64.66543949867669</v>
      </c>
      <c r="Q40" s="25">
        <f>SUM(E40:P40)</f>
        <v>657.09000000000015</v>
      </c>
    </row>
    <row r="41" spans="1:17" ht="13.15" x14ac:dyDescent="0.25">
      <c r="A41" s="54">
        <f t="shared" si="0"/>
        <v>33</v>
      </c>
      <c r="B41" s="7"/>
      <c r="C41" s="6"/>
      <c r="D41" s="27"/>
      <c r="E41" s="7"/>
      <c r="F41" s="7"/>
      <c r="G41" s="7"/>
      <c r="H41" s="7"/>
      <c r="I41" s="6"/>
      <c r="J41" s="6"/>
      <c r="K41" s="6"/>
      <c r="L41" s="6"/>
      <c r="M41" s="6"/>
      <c r="N41" s="6"/>
      <c r="O41" s="6"/>
      <c r="P41" s="6"/>
      <c r="Q41" s="25"/>
    </row>
    <row r="42" spans="1:17" ht="13.15" x14ac:dyDescent="0.25">
      <c r="A42" s="54">
        <f t="shared" si="0"/>
        <v>34</v>
      </c>
      <c r="B42" s="50" t="str">
        <f>B17</f>
        <v>Schedules 7A, 11, 25, 29, 35 &amp; 43</v>
      </c>
      <c r="C42" s="29"/>
      <c r="D42" s="54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5"/>
    </row>
    <row r="43" spans="1:17" ht="13.15" x14ac:dyDescent="0.25">
      <c r="A43" s="54">
        <f t="shared" si="0"/>
        <v>35</v>
      </c>
      <c r="B43" s="54"/>
      <c r="C43" s="53" t="s">
        <v>71</v>
      </c>
      <c r="D43" s="54" t="str">
        <f>$D$35</f>
        <v>JAP-9 Page 2</v>
      </c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70">
        <f>'Exh. JAP-9 Page 2'!F15</f>
        <v>12230.61</v>
      </c>
    </row>
    <row r="44" spans="1:17" ht="13.15" x14ac:dyDescent="0.25">
      <c r="A44" s="54">
        <f t="shared" si="0"/>
        <v>36</v>
      </c>
      <c r="B44" s="54"/>
      <c r="C44" s="53" t="s">
        <v>72</v>
      </c>
      <c r="D44" s="54" t="str">
        <f>"("&amp;A$19&amp;") x ("&amp;A43&amp;")"</f>
        <v>(11) x (35)</v>
      </c>
      <c r="E44" s="56">
        <f t="shared" ref="E44:P44" si="9">$Q43*E$19</f>
        <v>1117.1475313195488</v>
      </c>
      <c r="F44" s="56">
        <f t="shared" si="9"/>
        <v>1031.2031125319215</v>
      </c>
      <c r="G44" s="56">
        <f t="shared" si="9"/>
        <v>1093.0756746754539</v>
      </c>
      <c r="H44" s="56">
        <f t="shared" si="9"/>
        <v>984.75692923168037</v>
      </c>
      <c r="I44" s="56">
        <f t="shared" si="9"/>
        <v>1011.6396470093403</v>
      </c>
      <c r="J44" s="56">
        <f t="shared" si="9"/>
        <v>943.25268624059515</v>
      </c>
      <c r="K44" s="56">
        <f t="shared" si="9"/>
        <v>986.81113728893797</v>
      </c>
      <c r="L44" s="56">
        <f t="shared" si="9"/>
        <v>1045.654600987107</v>
      </c>
      <c r="M44" s="56">
        <f t="shared" si="9"/>
        <v>939.4021029617146</v>
      </c>
      <c r="N44" s="56">
        <f t="shared" si="9"/>
        <v>970.93029915823263</v>
      </c>
      <c r="O44" s="56">
        <f t="shared" si="9"/>
        <v>1012.2993471492098</v>
      </c>
      <c r="P44" s="56">
        <f t="shared" si="9"/>
        <v>1094.4369314462601</v>
      </c>
      <c r="Q44" s="55">
        <f>SUM(E44:P44)</f>
        <v>12230.610000000002</v>
      </c>
    </row>
    <row r="45" spans="1:17" x14ac:dyDescent="0.2">
      <c r="A45" s="54">
        <f t="shared" si="0"/>
        <v>37</v>
      </c>
    </row>
    <row r="46" spans="1:17" x14ac:dyDescent="0.2">
      <c r="A46" s="54">
        <f t="shared" si="0"/>
        <v>38</v>
      </c>
      <c r="B46" s="50" t="str">
        <f>B21</f>
        <v>Schedule 40</v>
      </c>
      <c r="C46" s="29"/>
      <c r="D46" s="54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5"/>
    </row>
    <row r="47" spans="1:17" x14ac:dyDescent="0.2">
      <c r="A47" s="54">
        <f t="shared" si="0"/>
        <v>39</v>
      </c>
      <c r="B47" s="54"/>
      <c r="C47" s="53" t="s">
        <v>71</v>
      </c>
      <c r="D47" s="54" t="str">
        <f>$D$35</f>
        <v>JAP-9 Page 2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70">
        <f>'Exh. JAP-9 Page 2'!G15</f>
        <v>36092.75</v>
      </c>
    </row>
    <row r="48" spans="1:17" x14ac:dyDescent="0.2">
      <c r="A48" s="54">
        <f t="shared" si="0"/>
        <v>40</v>
      </c>
      <c r="B48" s="54"/>
      <c r="C48" s="53" t="s">
        <v>72</v>
      </c>
      <c r="D48" s="54" t="str">
        <f>"("&amp;A$23&amp;") x ("&amp;A47&amp;")"</f>
        <v>(15) x (39)</v>
      </c>
      <c r="E48" s="56">
        <f t="shared" ref="E48:P48" si="10">$Q47*E$23</f>
        <v>2930.635291044096</v>
      </c>
      <c r="F48" s="56">
        <f t="shared" si="10"/>
        <v>2684.2317582623341</v>
      </c>
      <c r="G48" s="56">
        <f t="shared" si="10"/>
        <v>2746.3354817659147</v>
      </c>
      <c r="H48" s="56">
        <f t="shared" si="10"/>
        <v>3024.5213894700437</v>
      </c>
      <c r="I48" s="56">
        <f t="shared" si="10"/>
        <v>2787.8218841116868</v>
      </c>
      <c r="J48" s="56">
        <f t="shared" si="10"/>
        <v>2569.3934166581253</v>
      </c>
      <c r="K48" s="56">
        <f t="shared" si="10"/>
        <v>3436.2596506616815</v>
      </c>
      <c r="L48" s="56">
        <f t="shared" si="10"/>
        <v>3388.9731263426456</v>
      </c>
      <c r="M48" s="56">
        <f t="shared" si="10"/>
        <v>3250.8110791697468</v>
      </c>
      <c r="N48" s="56">
        <f t="shared" si="10"/>
        <v>3157.0889714455384</v>
      </c>
      <c r="O48" s="56">
        <f t="shared" si="10"/>
        <v>2925.97045216064</v>
      </c>
      <c r="P48" s="56">
        <f t="shared" si="10"/>
        <v>3190.7074989075477</v>
      </c>
      <c r="Q48" s="55">
        <f>SUM(E48:P48)</f>
        <v>36092.75</v>
      </c>
    </row>
    <row r="49" spans="1:17" x14ac:dyDescent="0.2">
      <c r="A49" s="54">
        <f t="shared" si="0"/>
        <v>41</v>
      </c>
    </row>
    <row r="50" spans="1:17" x14ac:dyDescent="0.2">
      <c r="A50" s="54">
        <f t="shared" si="0"/>
        <v>42</v>
      </c>
      <c r="B50" s="50" t="str">
        <f>B25</f>
        <v>Schedules 12 &amp; 26</v>
      </c>
      <c r="C50" s="29"/>
      <c r="D50" s="54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5"/>
    </row>
    <row r="51" spans="1:17" x14ac:dyDescent="0.2">
      <c r="A51" s="54">
        <f t="shared" si="0"/>
        <v>43</v>
      </c>
      <c r="B51" s="54"/>
      <c r="C51" s="53" t="s">
        <v>71</v>
      </c>
      <c r="D51" s="54" t="str">
        <f>$D$35</f>
        <v>JAP-9 Page 2</v>
      </c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70">
        <f>'Exh. JAP-9 Page 2'!H15</f>
        <v>55146.53</v>
      </c>
    </row>
    <row r="52" spans="1:17" x14ac:dyDescent="0.2">
      <c r="A52" s="54">
        <f t="shared" si="0"/>
        <v>44</v>
      </c>
      <c r="B52" s="54"/>
      <c r="C52" s="53" t="s">
        <v>72</v>
      </c>
      <c r="D52" s="54" t="str">
        <f>"("&amp;A$27&amp;") x ("&amp;A51&amp;")"</f>
        <v>(19) x (43)</v>
      </c>
      <c r="E52" s="56">
        <f t="shared" ref="E52:P52" si="11">$Q51*E$27</f>
        <v>5391.9379171617584</v>
      </c>
      <c r="F52" s="56">
        <f t="shared" si="11"/>
        <v>5610.8745456528477</v>
      </c>
      <c r="G52" s="56">
        <f t="shared" si="11"/>
        <v>5245.7370280443838</v>
      </c>
      <c r="H52" s="56">
        <f t="shared" si="11"/>
        <v>4415.1958425206085</v>
      </c>
      <c r="I52" s="56">
        <f t="shared" si="11"/>
        <v>3794.6161565650359</v>
      </c>
      <c r="J52" s="56">
        <f t="shared" si="11"/>
        <v>3785.4333147553448</v>
      </c>
      <c r="K52" s="56">
        <f t="shared" si="11"/>
        <v>3724.7630373122752</v>
      </c>
      <c r="L52" s="56">
        <f t="shared" si="11"/>
        <v>3874.8597506903102</v>
      </c>
      <c r="M52" s="56">
        <f t="shared" si="11"/>
        <v>3888.4770211066811</v>
      </c>
      <c r="N52" s="56">
        <f t="shared" si="11"/>
        <v>4554.7330123973352</v>
      </c>
      <c r="O52" s="56">
        <f t="shared" si="11"/>
        <v>5326.6170447937648</v>
      </c>
      <c r="P52" s="56">
        <f t="shared" si="11"/>
        <v>5533.2853289996538</v>
      </c>
      <c r="Q52" s="55">
        <f>SUM(E52:P52)</f>
        <v>55146.53</v>
      </c>
    </row>
    <row r="53" spans="1:17" x14ac:dyDescent="0.2">
      <c r="A53" s="54">
        <f t="shared" si="0"/>
        <v>45</v>
      </c>
    </row>
    <row r="54" spans="1:17" x14ac:dyDescent="0.2">
      <c r="A54" s="54">
        <f t="shared" si="0"/>
        <v>46</v>
      </c>
      <c r="B54" s="50" t="str">
        <f>B29</f>
        <v>Schedules 10 &amp; 31</v>
      </c>
      <c r="C54" s="29"/>
      <c r="D54" s="54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5"/>
    </row>
    <row r="55" spans="1:17" x14ac:dyDescent="0.2">
      <c r="A55" s="54">
        <f t="shared" si="0"/>
        <v>47</v>
      </c>
      <c r="B55" s="54"/>
      <c r="C55" s="53" t="s">
        <v>71</v>
      </c>
      <c r="D55" s="54" t="str">
        <f>$D$35</f>
        <v>JAP-9 Page 2</v>
      </c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70">
        <f>'Exh. JAP-9 Page 2'!I15</f>
        <v>68061.81</v>
      </c>
    </row>
    <row r="56" spans="1:17" x14ac:dyDescent="0.2">
      <c r="A56" s="54">
        <f t="shared" si="0"/>
        <v>48</v>
      </c>
      <c r="B56" s="54"/>
      <c r="C56" s="53" t="s">
        <v>72</v>
      </c>
      <c r="D56" s="54" t="str">
        <f>"("&amp;A$31&amp;") x ("&amp;A55&amp;")"</f>
        <v>(23) x (47)</v>
      </c>
      <c r="E56" s="56">
        <f t="shared" ref="E56:P56" si="12">$Q55*E$31</f>
        <v>6919.2297114420589</v>
      </c>
      <c r="F56" s="56">
        <f t="shared" si="12"/>
        <v>6931.8995758227993</v>
      </c>
      <c r="G56" s="56">
        <f t="shared" si="12"/>
        <v>6302.2064420148181</v>
      </c>
      <c r="H56" s="56">
        <f t="shared" si="12"/>
        <v>5879.780751551657</v>
      </c>
      <c r="I56" s="56">
        <f t="shared" si="12"/>
        <v>4708.2465980610687</v>
      </c>
      <c r="J56" s="56">
        <f t="shared" si="12"/>
        <v>4309.6878028663541</v>
      </c>
      <c r="K56" s="56">
        <f t="shared" si="12"/>
        <v>4371.8592950182101</v>
      </c>
      <c r="L56" s="56">
        <f t="shared" si="12"/>
        <v>5031.9312585297212</v>
      </c>
      <c r="M56" s="56">
        <f t="shared" si="12"/>
        <v>4647.4277526928754</v>
      </c>
      <c r="N56" s="56">
        <f t="shared" si="12"/>
        <v>5734.4007226819931</v>
      </c>
      <c r="O56" s="56">
        <f t="shared" si="12"/>
        <v>6440.698679830999</v>
      </c>
      <c r="P56" s="56">
        <f t="shared" si="12"/>
        <v>6784.4414094874437</v>
      </c>
      <c r="Q56" s="55">
        <f>SUM(E56:P56)</f>
        <v>68061.810000000012</v>
      </c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4" orientation="landscape" blackAndWhite="1" horizontalDpi="1200" verticalDpi="1200" r:id="rId1"/>
  <headerFooter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N34" sqref="N34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6"/>
  <sheetViews>
    <sheetView topLeftCell="B1" zoomScaleNormal="100" workbookViewId="0">
      <selection activeCell="H14" sqref="H14"/>
    </sheetView>
  </sheetViews>
  <sheetFormatPr defaultColWidth="13.7109375" defaultRowHeight="15" x14ac:dyDescent="0.25"/>
  <cols>
    <col min="1" max="1" width="3" style="86" customWidth="1"/>
    <col min="2" max="2" width="14.28515625" style="86" customWidth="1"/>
    <col min="3" max="5" width="8.85546875" style="86" bestFit="1" customWidth="1"/>
    <col min="6" max="11" width="9.140625" style="86" bestFit="1" customWidth="1"/>
    <col min="12" max="14" width="9.140625" style="98" customWidth="1"/>
    <col min="15" max="15" width="9.85546875" style="86" bestFit="1" customWidth="1"/>
    <col min="16" max="16" width="8.85546875" style="86" bestFit="1" customWidth="1"/>
    <col min="17" max="16384" width="13.7109375" style="86"/>
  </cols>
  <sheetData>
    <row r="1" spans="2:16" x14ac:dyDescent="0.3">
      <c r="B1" s="242" t="s">
        <v>16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</row>
    <row r="2" spans="2:16" x14ac:dyDescent="0.3">
      <c r="B2" s="242" t="s">
        <v>84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</row>
    <row r="3" spans="2:16" x14ac:dyDescent="0.3">
      <c r="B3" s="242" t="s">
        <v>93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</row>
    <row r="5" spans="2:16" s="123" customFormat="1" x14ac:dyDescent="0.3">
      <c r="B5" s="121" t="s">
        <v>85</v>
      </c>
      <c r="C5" s="122">
        <v>42917</v>
      </c>
      <c r="D5" s="122">
        <f t="shared" ref="D5:K5" si="0">EDATE(C5,1)</f>
        <v>42948</v>
      </c>
      <c r="E5" s="122">
        <f t="shared" si="0"/>
        <v>42979</v>
      </c>
      <c r="F5" s="122">
        <f t="shared" si="0"/>
        <v>43009</v>
      </c>
      <c r="G5" s="122">
        <f t="shared" si="0"/>
        <v>43040</v>
      </c>
      <c r="H5" s="122">
        <f t="shared" si="0"/>
        <v>43070</v>
      </c>
      <c r="I5" s="122">
        <f t="shared" si="0"/>
        <v>43101</v>
      </c>
      <c r="J5" s="122">
        <f t="shared" si="0"/>
        <v>43132</v>
      </c>
      <c r="K5" s="122">
        <f t="shared" si="0"/>
        <v>43160</v>
      </c>
      <c r="L5" s="122">
        <f t="shared" ref="L5" si="1">EDATE(K5,1)</f>
        <v>43191</v>
      </c>
      <c r="M5" s="122">
        <f t="shared" ref="M5" si="2">EDATE(L5,1)</f>
        <v>43221</v>
      </c>
      <c r="N5" s="122">
        <f t="shared" ref="N5" si="3">EDATE(M5,1)</f>
        <v>43252</v>
      </c>
      <c r="O5" s="121" t="s">
        <v>18</v>
      </c>
      <c r="P5" s="121" t="s">
        <v>34</v>
      </c>
    </row>
    <row r="6" spans="2:16" x14ac:dyDescent="0.3">
      <c r="B6" s="88">
        <v>3</v>
      </c>
      <c r="C6" s="96">
        <v>1</v>
      </c>
      <c r="D6" s="96">
        <v>1</v>
      </c>
      <c r="E6" s="96">
        <v>1</v>
      </c>
      <c r="F6" s="96">
        <v>1</v>
      </c>
      <c r="G6" s="96">
        <v>1</v>
      </c>
      <c r="H6" s="96">
        <v>1</v>
      </c>
      <c r="I6" s="96">
        <v>1</v>
      </c>
      <c r="J6" s="96">
        <v>1</v>
      </c>
      <c r="K6" s="96">
        <v>1</v>
      </c>
      <c r="L6" s="96">
        <v>1</v>
      </c>
      <c r="M6" s="96">
        <v>1</v>
      </c>
      <c r="N6" s="96">
        <v>1</v>
      </c>
      <c r="O6" s="89">
        <f t="shared" ref="O6:O23" si="4">SUM(C6:N6)</f>
        <v>12</v>
      </c>
      <c r="P6" s="89">
        <f>ROUND(O6/12,0)</f>
        <v>1</v>
      </c>
    </row>
    <row r="7" spans="2:16" x14ac:dyDescent="0.3">
      <c r="B7" s="88">
        <v>5</v>
      </c>
      <c r="C7" s="96">
        <v>8</v>
      </c>
      <c r="D7" s="96">
        <v>8</v>
      </c>
      <c r="E7" s="96">
        <v>8</v>
      </c>
      <c r="F7" s="96">
        <v>8</v>
      </c>
      <c r="G7" s="96">
        <v>8</v>
      </c>
      <c r="H7" s="96">
        <v>8</v>
      </c>
      <c r="I7" s="96">
        <v>8</v>
      </c>
      <c r="J7" s="96">
        <v>8</v>
      </c>
      <c r="K7" s="96">
        <v>8</v>
      </c>
      <c r="L7" s="96">
        <v>8</v>
      </c>
      <c r="M7" s="96">
        <v>8</v>
      </c>
      <c r="N7" s="96">
        <v>8</v>
      </c>
      <c r="O7" s="89">
        <f t="shared" si="4"/>
        <v>96</v>
      </c>
      <c r="P7" s="89">
        <f t="shared" ref="P7:P23" si="5">ROUND(O7/12,0)</f>
        <v>8</v>
      </c>
    </row>
    <row r="8" spans="2:16" x14ac:dyDescent="0.3">
      <c r="B8" s="88">
        <v>7</v>
      </c>
      <c r="C8" s="96">
        <v>997450</v>
      </c>
      <c r="D8" s="96">
        <v>998447</v>
      </c>
      <c r="E8" s="96">
        <v>999831</v>
      </c>
      <c r="F8" s="96">
        <v>1001369</v>
      </c>
      <c r="G8" s="96">
        <v>1002683</v>
      </c>
      <c r="H8" s="96">
        <v>1003979</v>
      </c>
      <c r="I8" s="96">
        <v>1005060</v>
      </c>
      <c r="J8" s="96">
        <v>1006215</v>
      </c>
      <c r="K8" s="96">
        <v>1006855</v>
      </c>
      <c r="L8" s="96">
        <v>1007514</v>
      </c>
      <c r="M8" s="96">
        <v>1008561</v>
      </c>
      <c r="N8" s="96">
        <v>1009696</v>
      </c>
      <c r="O8" s="89">
        <f t="shared" si="4"/>
        <v>12047660</v>
      </c>
      <c r="P8" s="89">
        <f t="shared" si="5"/>
        <v>1003972</v>
      </c>
    </row>
    <row r="9" spans="2:16" x14ac:dyDescent="0.3">
      <c r="B9" s="90" t="s">
        <v>41</v>
      </c>
      <c r="C9" s="96">
        <v>3</v>
      </c>
      <c r="D9" s="96">
        <v>2</v>
      </c>
      <c r="E9" s="96">
        <v>2</v>
      </c>
      <c r="F9" s="96">
        <v>2</v>
      </c>
      <c r="G9" s="96">
        <v>2</v>
      </c>
      <c r="H9" s="96">
        <v>5</v>
      </c>
      <c r="I9" s="96">
        <v>2</v>
      </c>
      <c r="J9" s="96">
        <v>2</v>
      </c>
      <c r="K9" s="96">
        <v>2</v>
      </c>
      <c r="L9" s="96">
        <v>2</v>
      </c>
      <c r="M9" s="96">
        <v>2</v>
      </c>
      <c r="N9" s="96">
        <v>2</v>
      </c>
      <c r="O9" s="89">
        <f t="shared" si="4"/>
        <v>28</v>
      </c>
      <c r="P9" s="89">
        <f t="shared" si="5"/>
        <v>2</v>
      </c>
    </row>
    <row r="10" spans="2:16" x14ac:dyDescent="0.3">
      <c r="B10" s="88" t="s">
        <v>45</v>
      </c>
      <c r="C10" s="96">
        <v>120042</v>
      </c>
      <c r="D10" s="96">
        <v>120387</v>
      </c>
      <c r="E10" s="96">
        <v>120428</v>
      </c>
      <c r="F10" s="96">
        <v>120577</v>
      </c>
      <c r="G10" s="96">
        <v>120947</v>
      </c>
      <c r="H10" s="96">
        <v>120997</v>
      </c>
      <c r="I10" s="96">
        <v>120955</v>
      </c>
      <c r="J10" s="96">
        <v>121123</v>
      </c>
      <c r="K10" s="96">
        <v>121264</v>
      </c>
      <c r="L10" s="96">
        <v>121274</v>
      </c>
      <c r="M10" s="96">
        <v>121372</v>
      </c>
      <c r="N10" s="96">
        <v>121592</v>
      </c>
      <c r="O10" s="89">
        <f t="shared" si="4"/>
        <v>1450958</v>
      </c>
      <c r="P10" s="89">
        <f t="shared" si="5"/>
        <v>120913</v>
      </c>
    </row>
    <row r="11" spans="2:16" x14ac:dyDescent="0.3">
      <c r="B11" s="88" t="s">
        <v>92</v>
      </c>
      <c r="C11" s="96">
        <v>7154</v>
      </c>
      <c r="D11" s="96">
        <v>7164</v>
      </c>
      <c r="E11" s="96">
        <v>7170</v>
      </c>
      <c r="F11" s="96">
        <v>7175</v>
      </c>
      <c r="G11" s="96">
        <v>7208</v>
      </c>
      <c r="H11" s="96">
        <v>7229</v>
      </c>
      <c r="I11" s="96">
        <v>7282</v>
      </c>
      <c r="J11" s="96">
        <v>7383</v>
      </c>
      <c r="K11" s="96">
        <v>7504</v>
      </c>
      <c r="L11" s="96">
        <v>7620</v>
      </c>
      <c r="M11" s="96">
        <v>7675</v>
      </c>
      <c r="N11" s="96">
        <v>7576</v>
      </c>
      <c r="O11" s="89">
        <f t="shared" si="4"/>
        <v>88140</v>
      </c>
      <c r="P11" s="89">
        <f t="shared" si="5"/>
        <v>7345</v>
      </c>
    </row>
    <row r="12" spans="2:16" x14ac:dyDescent="0.3">
      <c r="B12" s="88" t="s">
        <v>46</v>
      </c>
      <c r="C12" s="96">
        <v>794</v>
      </c>
      <c r="D12" s="96">
        <v>798</v>
      </c>
      <c r="E12" s="96">
        <v>796</v>
      </c>
      <c r="F12" s="96">
        <v>797</v>
      </c>
      <c r="G12" s="96">
        <v>800</v>
      </c>
      <c r="H12" s="96">
        <v>800</v>
      </c>
      <c r="I12" s="96">
        <v>803</v>
      </c>
      <c r="J12" s="96">
        <v>798</v>
      </c>
      <c r="K12" s="96">
        <v>799</v>
      </c>
      <c r="L12" s="96">
        <v>803</v>
      </c>
      <c r="M12" s="96">
        <v>832</v>
      </c>
      <c r="N12" s="96">
        <v>861</v>
      </c>
      <c r="O12" s="89">
        <f t="shared" si="4"/>
        <v>9681</v>
      </c>
      <c r="P12" s="89">
        <f t="shared" si="5"/>
        <v>807</v>
      </c>
    </row>
    <row r="13" spans="2:16" x14ac:dyDescent="0.3">
      <c r="B13" s="88">
        <v>29</v>
      </c>
      <c r="C13" s="96">
        <v>667</v>
      </c>
      <c r="D13" s="96">
        <v>685</v>
      </c>
      <c r="E13" s="96">
        <v>683</v>
      </c>
      <c r="F13" s="96">
        <v>638</v>
      </c>
      <c r="G13" s="96">
        <v>551</v>
      </c>
      <c r="H13" s="96">
        <v>539</v>
      </c>
      <c r="I13" s="96">
        <v>533</v>
      </c>
      <c r="J13" s="96">
        <v>521</v>
      </c>
      <c r="K13" s="96">
        <v>529</v>
      </c>
      <c r="L13" s="96">
        <v>564</v>
      </c>
      <c r="M13" s="96">
        <v>629</v>
      </c>
      <c r="N13" s="96">
        <v>665</v>
      </c>
      <c r="O13" s="89">
        <f t="shared" si="4"/>
        <v>7204</v>
      </c>
      <c r="P13" s="89">
        <f t="shared" si="5"/>
        <v>600</v>
      </c>
    </row>
    <row r="14" spans="2:16" x14ac:dyDescent="0.3">
      <c r="B14" s="88" t="s">
        <v>47</v>
      </c>
      <c r="C14" s="96">
        <v>480</v>
      </c>
      <c r="D14" s="96">
        <v>482</v>
      </c>
      <c r="E14" s="96">
        <v>481</v>
      </c>
      <c r="F14" s="96">
        <v>482</v>
      </c>
      <c r="G14" s="96">
        <v>480</v>
      </c>
      <c r="H14" s="96">
        <v>481</v>
      </c>
      <c r="I14" s="96">
        <v>482</v>
      </c>
      <c r="J14" s="96">
        <v>480</v>
      </c>
      <c r="K14" s="96">
        <v>481</v>
      </c>
      <c r="L14" s="96">
        <v>483</v>
      </c>
      <c r="M14" s="96">
        <v>482</v>
      </c>
      <c r="N14" s="96">
        <v>483</v>
      </c>
      <c r="O14" s="89">
        <f t="shared" si="4"/>
        <v>5777</v>
      </c>
      <c r="P14" s="89">
        <f t="shared" si="5"/>
        <v>481</v>
      </c>
    </row>
    <row r="15" spans="2:16" x14ac:dyDescent="0.3">
      <c r="B15" s="88">
        <v>35</v>
      </c>
      <c r="C15" s="96">
        <v>1</v>
      </c>
      <c r="D15" s="96">
        <v>1</v>
      </c>
      <c r="E15" s="96">
        <v>1</v>
      </c>
      <c r="F15" s="96">
        <v>1</v>
      </c>
      <c r="G15" s="96">
        <v>1</v>
      </c>
      <c r="H15" s="96">
        <v>1</v>
      </c>
      <c r="I15" s="96">
        <v>1</v>
      </c>
      <c r="J15" s="96">
        <v>1</v>
      </c>
      <c r="K15" s="96">
        <v>1</v>
      </c>
      <c r="L15" s="96">
        <v>1</v>
      </c>
      <c r="M15" s="96">
        <v>2</v>
      </c>
      <c r="N15" s="96">
        <v>2</v>
      </c>
      <c r="O15" s="89">
        <f t="shared" si="4"/>
        <v>14</v>
      </c>
      <c r="P15" s="89">
        <f t="shared" si="5"/>
        <v>1</v>
      </c>
    </row>
    <row r="16" spans="2:16" x14ac:dyDescent="0.3">
      <c r="B16" s="88">
        <v>40</v>
      </c>
      <c r="C16" s="96">
        <v>131</v>
      </c>
      <c r="D16" s="96">
        <v>131</v>
      </c>
      <c r="E16" s="96">
        <v>131</v>
      </c>
      <c r="F16" s="96">
        <v>131</v>
      </c>
      <c r="G16" s="96">
        <v>130</v>
      </c>
      <c r="H16" s="96">
        <v>130</v>
      </c>
      <c r="I16" s="96">
        <v>130</v>
      </c>
      <c r="J16" s="96">
        <v>128</v>
      </c>
      <c r="K16" s="96">
        <v>128</v>
      </c>
      <c r="L16" s="96">
        <v>128</v>
      </c>
      <c r="M16" s="96">
        <v>128</v>
      </c>
      <c r="N16" s="96">
        <v>128</v>
      </c>
      <c r="O16" s="89">
        <f t="shared" si="4"/>
        <v>1554</v>
      </c>
      <c r="P16" s="89">
        <f t="shared" si="5"/>
        <v>130</v>
      </c>
    </row>
    <row r="17" spans="2:16" x14ac:dyDescent="0.3">
      <c r="B17" s="88">
        <v>43</v>
      </c>
      <c r="C17" s="96">
        <v>158</v>
      </c>
      <c r="D17" s="96">
        <v>158</v>
      </c>
      <c r="E17" s="96">
        <v>157</v>
      </c>
      <c r="F17" s="96">
        <v>157</v>
      </c>
      <c r="G17" s="96">
        <v>157</v>
      </c>
      <c r="H17" s="96">
        <v>157</v>
      </c>
      <c r="I17" s="96">
        <v>157</v>
      </c>
      <c r="J17" s="96">
        <v>156</v>
      </c>
      <c r="K17" s="96">
        <v>156</v>
      </c>
      <c r="L17" s="96">
        <v>155</v>
      </c>
      <c r="M17" s="96">
        <v>155</v>
      </c>
      <c r="N17" s="96">
        <v>155</v>
      </c>
      <c r="O17" s="89">
        <f t="shared" si="4"/>
        <v>1878</v>
      </c>
      <c r="P17" s="89">
        <f t="shared" si="5"/>
        <v>157</v>
      </c>
    </row>
    <row r="18" spans="2:16" x14ac:dyDescent="0.3">
      <c r="B18" s="88">
        <v>46</v>
      </c>
      <c r="C18" s="96">
        <v>6</v>
      </c>
      <c r="D18" s="96">
        <v>6</v>
      </c>
      <c r="E18" s="96">
        <v>6</v>
      </c>
      <c r="F18" s="96">
        <v>6</v>
      </c>
      <c r="G18" s="96">
        <v>6</v>
      </c>
      <c r="H18" s="96">
        <v>6</v>
      </c>
      <c r="I18" s="96">
        <v>6</v>
      </c>
      <c r="J18" s="96">
        <v>6</v>
      </c>
      <c r="K18" s="96">
        <v>6</v>
      </c>
      <c r="L18" s="96">
        <v>6</v>
      </c>
      <c r="M18" s="96">
        <v>6</v>
      </c>
      <c r="N18" s="96">
        <v>6</v>
      </c>
      <c r="O18" s="89">
        <f t="shared" si="4"/>
        <v>72</v>
      </c>
      <c r="P18" s="89">
        <f t="shared" si="5"/>
        <v>6</v>
      </c>
    </row>
    <row r="19" spans="2:16" x14ac:dyDescent="0.3">
      <c r="B19" s="88">
        <v>49</v>
      </c>
      <c r="C19" s="96">
        <v>19</v>
      </c>
      <c r="D19" s="96">
        <v>19</v>
      </c>
      <c r="E19" s="96">
        <v>19</v>
      </c>
      <c r="F19" s="96">
        <v>19</v>
      </c>
      <c r="G19" s="96">
        <v>19</v>
      </c>
      <c r="H19" s="96">
        <v>19</v>
      </c>
      <c r="I19" s="96">
        <v>19</v>
      </c>
      <c r="J19" s="96">
        <v>19</v>
      </c>
      <c r="K19" s="96">
        <v>19</v>
      </c>
      <c r="L19" s="96">
        <v>19</v>
      </c>
      <c r="M19" s="96">
        <v>19</v>
      </c>
      <c r="N19" s="96">
        <v>19</v>
      </c>
      <c r="O19" s="89">
        <f t="shared" si="4"/>
        <v>228</v>
      </c>
      <c r="P19" s="89">
        <f t="shared" si="5"/>
        <v>19</v>
      </c>
    </row>
    <row r="20" spans="2:16" x14ac:dyDescent="0.3">
      <c r="B20" s="88">
        <v>449</v>
      </c>
      <c r="C20" s="96">
        <v>13</v>
      </c>
      <c r="D20" s="96">
        <v>13</v>
      </c>
      <c r="E20" s="96">
        <v>13</v>
      </c>
      <c r="F20" s="96">
        <v>13</v>
      </c>
      <c r="G20" s="96">
        <v>13</v>
      </c>
      <c r="H20" s="96">
        <v>13</v>
      </c>
      <c r="I20" s="96">
        <v>13</v>
      </c>
      <c r="J20" s="96">
        <v>13</v>
      </c>
      <c r="K20" s="96">
        <v>13</v>
      </c>
      <c r="L20" s="96">
        <v>13</v>
      </c>
      <c r="M20" s="96">
        <v>13</v>
      </c>
      <c r="N20" s="96">
        <v>13</v>
      </c>
      <c r="O20" s="89">
        <f t="shared" si="4"/>
        <v>156</v>
      </c>
      <c r="P20" s="89">
        <f t="shared" si="5"/>
        <v>13</v>
      </c>
    </row>
    <row r="21" spans="2:16" x14ac:dyDescent="0.3">
      <c r="B21" s="91">
        <v>459</v>
      </c>
      <c r="C21" s="96">
        <v>3</v>
      </c>
      <c r="D21" s="96">
        <v>3</v>
      </c>
      <c r="E21" s="96">
        <v>3</v>
      </c>
      <c r="F21" s="96">
        <v>3</v>
      </c>
      <c r="G21" s="96">
        <v>3</v>
      </c>
      <c r="H21" s="96">
        <v>3</v>
      </c>
      <c r="I21" s="96">
        <v>3</v>
      </c>
      <c r="J21" s="96">
        <v>3</v>
      </c>
      <c r="K21" s="96">
        <v>3</v>
      </c>
      <c r="L21" s="96">
        <v>3</v>
      </c>
      <c r="M21" s="96">
        <v>3</v>
      </c>
      <c r="N21" s="96">
        <v>3</v>
      </c>
      <c r="O21" s="89">
        <f t="shared" si="4"/>
        <v>36</v>
      </c>
      <c r="P21" s="89">
        <f t="shared" si="5"/>
        <v>3</v>
      </c>
    </row>
    <row r="22" spans="2:16" x14ac:dyDescent="0.3">
      <c r="B22" s="86" t="s">
        <v>39</v>
      </c>
      <c r="C22" s="96">
        <v>7582</v>
      </c>
      <c r="D22" s="96">
        <v>7627</v>
      </c>
      <c r="E22" s="96">
        <v>7628</v>
      </c>
      <c r="F22" s="96">
        <v>7629</v>
      </c>
      <c r="G22" s="96">
        <v>7656</v>
      </c>
      <c r="H22" s="96">
        <v>7685</v>
      </c>
      <c r="I22" s="96">
        <v>7687</v>
      </c>
      <c r="J22" s="96">
        <v>7710</v>
      </c>
      <c r="K22" s="96">
        <v>7731</v>
      </c>
      <c r="L22" s="96">
        <v>7766</v>
      </c>
      <c r="M22" s="96">
        <v>7803</v>
      </c>
      <c r="N22" s="96">
        <v>7849</v>
      </c>
      <c r="O22" s="89">
        <f t="shared" si="4"/>
        <v>92353</v>
      </c>
      <c r="P22" s="89">
        <f t="shared" si="5"/>
        <v>7696</v>
      </c>
    </row>
    <row r="23" spans="2:16" x14ac:dyDescent="0.3">
      <c r="B23" s="86" t="s">
        <v>40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2">
        <f t="shared" si="4"/>
        <v>0</v>
      </c>
      <c r="P23" s="92">
        <f t="shared" si="5"/>
        <v>0</v>
      </c>
    </row>
    <row r="24" spans="2:16" x14ac:dyDescent="0.3">
      <c r="B24" s="87" t="s">
        <v>18</v>
      </c>
      <c r="C24" s="93">
        <f t="shared" ref="C24:P24" si="6">SUM(C6:C23)</f>
        <v>1134512</v>
      </c>
      <c r="D24" s="93">
        <f t="shared" si="6"/>
        <v>1135932</v>
      </c>
      <c r="E24" s="93">
        <f t="shared" si="6"/>
        <v>1137358</v>
      </c>
      <c r="F24" s="93">
        <f t="shared" si="6"/>
        <v>1139008</v>
      </c>
      <c r="G24" s="93">
        <f t="shared" si="6"/>
        <v>1140665</v>
      </c>
      <c r="H24" s="93">
        <f t="shared" si="6"/>
        <v>1142053</v>
      </c>
      <c r="I24" s="93">
        <f t="shared" si="6"/>
        <v>1143142</v>
      </c>
      <c r="J24" s="93">
        <f t="shared" si="6"/>
        <v>1144567</v>
      </c>
      <c r="K24" s="93">
        <f t="shared" si="6"/>
        <v>1145500</v>
      </c>
      <c r="L24" s="93">
        <f t="shared" si="6"/>
        <v>1146360</v>
      </c>
      <c r="M24" s="93">
        <f t="shared" si="6"/>
        <v>1147691</v>
      </c>
      <c r="N24" s="93">
        <f t="shared" si="6"/>
        <v>1149059</v>
      </c>
      <c r="O24" s="93">
        <f t="shared" si="6"/>
        <v>13705847</v>
      </c>
      <c r="P24" s="93">
        <f t="shared" si="6"/>
        <v>1142154</v>
      </c>
    </row>
    <row r="26" spans="2:16" x14ac:dyDescent="0.3">
      <c r="B26" s="94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4"/>
    </row>
  </sheetData>
  <mergeCells count="3">
    <mergeCell ref="B1:P1"/>
    <mergeCell ref="B2:P2"/>
    <mergeCell ref="B3:P3"/>
  </mergeCells>
  <pageMargins left="0.7" right="0.7" top="0.75" bottom="0.75" header="0.3" footer="0.3"/>
  <pageSetup scale="84" orientation="landscape" r:id="rId1"/>
  <headerFooter>
    <oddFooter>&amp;L&amp;F
&amp;A&amp;C&amp;P&amp;R&amp;D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zoomScaleNormal="100" workbookViewId="0">
      <selection activeCell="F21" sqref="F21"/>
    </sheetView>
  </sheetViews>
  <sheetFormatPr defaultRowHeight="12.75" x14ac:dyDescent="0.2"/>
  <cols>
    <col min="1" max="1" width="5.28515625" style="99" customWidth="1"/>
    <col min="2" max="2" width="38.140625" style="99" customWidth="1"/>
    <col min="3" max="3" width="16.140625" style="99" bestFit="1" customWidth="1"/>
    <col min="4" max="4" width="3.28515625" style="99" customWidth="1"/>
    <col min="5" max="5" width="16.28515625" style="99" customWidth="1"/>
    <col min="6" max="7" width="15.28515625" style="99" customWidth="1"/>
    <col min="8" max="8" width="15.42578125" style="99" bestFit="1" customWidth="1"/>
    <col min="9" max="9" width="15" style="99" bestFit="1" customWidth="1"/>
    <col min="10" max="10" width="11.85546875" style="99" customWidth="1"/>
    <col min="11" max="12" width="12.42578125" style="99" bestFit="1" customWidth="1"/>
    <col min="13" max="13" width="14.28515625" style="99" bestFit="1" customWidth="1"/>
    <col min="14" max="15" width="15.28515625" style="99" customWidth="1"/>
    <col min="16" max="16" width="13.42578125" style="99" bestFit="1" customWidth="1"/>
    <col min="17" max="17" width="11.28515625" style="99" bestFit="1" customWidth="1"/>
    <col min="18" max="256" width="8.85546875" style="99"/>
    <col min="257" max="257" width="5.28515625" style="99" customWidth="1"/>
    <col min="258" max="258" width="37.28515625" style="99" bestFit="1" customWidth="1"/>
    <col min="259" max="259" width="15.28515625" style="99" customWidth="1"/>
    <col min="260" max="260" width="3.28515625" style="99" customWidth="1"/>
    <col min="261" max="263" width="15.28515625" style="99" customWidth="1"/>
    <col min="264" max="264" width="14" style="99" customWidth="1"/>
    <col min="265" max="265" width="14.28515625" style="99" customWidth="1"/>
    <col min="266" max="266" width="11.85546875" style="99" customWidth="1"/>
    <col min="267" max="267" width="14.42578125" style="99" customWidth="1"/>
    <col min="268" max="268" width="12.5703125" style="99" customWidth="1"/>
    <col min="269" max="271" width="15.28515625" style="99" customWidth="1"/>
    <col min="272" max="272" width="12.42578125" style="99" customWidth="1"/>
    <col min="273" max="273" width="15.28515625" style="99" customWidth="1"/>
    <col min="274" max="512" width="8.85546875" style="99"/>
    <col min="513" max="513" width="5.28515625" style="99" customWidth="1"/>
    <col min="514" max="514" width="37.28515625" style="99" bestFit="1" customWidth="1"/>
    <col min="515" max="515" width="15.28515625" style="99" customWidth="1"/>
    <col min="516" max="516" width="3.28515625" style="99" customWidth="1"/>
    <col min="517" max="519" width="15.28515625" style="99" customWidth="1"/>
    <col min="520" max="520" width="14" style="99" customWidth="1"/>
    <col min="521" max="521" width="14.28515625" style="99" customWidth="1"/>
    <col min="522" max="522" width="11.85546875" style="99" customWidth="1"/>
    <col min="523" max="523" width="14.42578125" style="99" customWidth="1"/>
    <col min="524" max="524" width="12.5703125" style="99" customWidth="1"/>
    <col min="525" max="527" width="15.28515625" style="99" customWidth="1"/>
    <col min="528" max="528" width="12.42578125" style="99" customWidth="1"/>
    <col min="529" max="529" width="15.28515625" style="99" customWidth="1"/>
    <col min="530" max="768" width="8.85546875" style="99"/>
    <col min="769" max="769" width="5.28515625" style="99" customWidth="1"/>
    <col min="770" max="770" width="37.28515625" style="99" bestFit="1" customWidth="1"/>
    <col min="771" max="771" width="15.28515625" style="99" customWidth="1"/>
    <col min="772" max="772" width="3.28515625" style="99" customWidth="1"/>
    <col min="773" max="775" width="15.28515625" style="99" customWidth="1"/>
    <col min="776" max="776" width="14" style="99" customWidth="1"/>
    <col min="777" max="777" width="14.28515625" style="99" customWidth="1"/>
    <col min="778" max="778" width="11.85546875" style="99" customWidth="1"/>
    <col min="779" max="779" width="14.42578125" style="99" customWidth="1"/>
    <col min="780" max="780" width="12.5703125" style="99" customWidth="1"/>
    <col min="781" max="783" width="15.28515625" style="99" customWidth="1"/>
    <col min="784" max="784" width="12.42578125" style="99" customWidth="1"/>
    <col min="785" max="785" width="15.28515625" style="99" customWidth="1"/>
    <col min="786" max="1024" width="8.85546875" style="99"/>
    <col min="1025" max="1025" width="5.28515625" style="99" customWidth="1"/>
    <col min="1026" max="1026" width="37.28515625" style="99" bestFit="1" customWidth="1"/>
    <col min="1027" max="1027" width="15.28515625" style="99" customWidth="1"/>
    <col min="1028" max="1028" width="3.28515625" style="99" customWidth="1"/>
    <col min="1029" max="1031" width="15.28515625" style="99" customWidth="1"/>
    <col min="1032" max="1032" width="14" style="99" customWidth="1"/>
    <col min="1033" max="1033" width="14.28515625" style="99" customWidth="1"/>
    <col min="1034" max="1034" width="11.85546875" style="99" customWidth="1"/>
    <col min="1035" max="1035" width="14.42578125" style="99" customWidth="1"/>
    <col min="1036" max="1036" width="12.5703125" style="99" customWidth="1"/>
    <col min="1037" max="1039" width="15.28515625" style="99" customWidth="1"/>
    <col min="1040" max="1040" width="12.42578125" style="99" customWidth="1"/>
    <col min="1041" max="1041" width="15.28515625" style="99" customWidth="1"/>
    <col min="1042" max="1280" width="8.85546875" style="99"/>
    <col min="1281" max="1281" width="5.28515625" style="99" customWidth="1"/>
    <col min="1282" max="1282" width="37.28515625" style="99" bestFit="1" customWidth="1"/>
    <col min="1283" max="1283" width="15.28515625" style="99" customWidth="1"/>
    <col min="1284" max="1284" width="3.28515625" style="99" customWidth="1"/>
    <col min="1285" max="1287" width="15.28515625" style="99" customWidth="1"/>
    <col min="1288" max="1288" width="14" style="99" customWidth="1"/>
    <col min="1289" max="1289" width="14.28515625" style="99" customWidth="1"/>
    <col min="1290" max="1290" width="11.85546875" style="99" customWidth="1"/>
    <col min="1291" max="1291" width="14.42578125" style="99" customWidth="1"/>
    <col min="1292" max="1292" width="12.5703125" style="99" customWidth="1"/>
    <col min="1293" max="1295" width="15.28515625" style="99" customWidth="1"/>
    <col min="1296" max="1296" width="12.42578125" style="99" customWidth="1"/>
    <col min="1297" max="1297" width="15.28515625" style="99" customWidth="1"/>
    <col min="1298" max="1536" width="8.85546875" style="99"/>
    <col min="1537" max="1537" width="5.28515625" style="99" customWidth="1"/>
    <col min="1538" max="1538" width="37.28515625" style="99" bestFit="1" customWidth="1"/>
    <col min="1539" max="1539" width="15.28515625" style="99" customWidth="1"/>
    <col min="1540" max="1540" width="3.28515625" style="99" customWidth="1"/>
    <col min="1541" max="1543" width="15.28515625" style="99" customWidth="1"/>
    <col min="1544" max="1544" width="14" style="99" customWidth="1"/>
    <col min="1545" max="1545" width="14.28515625" style="99" customWidth="1"/>
    <col min="1546" max="1546" width="11.85546875" style="99" customWidth="1"/>
    <col min="1547" max="1547" width="14.42578125" style="99" customWidth="1"/>
    <col min="1548" max="1548" width="12.5703125" style="99" customWidth="1"/>
    <col min="1549" max="1551" width="15.28515625" style="99" customWidth="1"/>
    <col min="1552" max="1552" width="12.42578125" style="99" customWidth="1"/>
    <col min="1553" max="1553" width="15.28515625" style="99" customWidth="1"/>
    <col min="1554" max="1792" width="8.85546875" style="99"/>
    <col min="1793" max="1793" width="5.28515625" style="99" customWidth="1"/>
    <col min="1794" max="1794" width="37.28515625" style="99" bestFit="1" customWidth="1"/>
    <col min="1795" max="1795" width="15.28515625" style="99" customWidth="1"/>
    <col min="1796" max="1796" width="3.28515625" style="99" customWidth="1"/>
    <col min="1797" max="1799" width="15.28515625" style="99" customWidth="1"/>
    <col min="1800" max="1800" width="14" style="99" customWidth="1"/>
    <col min="1801" max="1801" width="14.28515625" style="99" customWidth="1"/>
    <col min="1802" max="1802" width="11.85546875" style="99" customWidth="1"/>
    <col min="1803" max="1803" width="14.42578125" style="99" customWidth="1"/>
    <col min="1804" max="1804" width="12.5703125" style="99" customWidth="1"/>
    <col min="1805" max="1807" width="15.28515625" style="99" customWidth="1"/>
    <col min="1808" max="1808" width="12.42578125" style="99" customWidth="1"/>
    <col min="1809" max="1809" width="15.28515625" style="99" customWidth="1"/>
    <col min="1810" max="2048" width="8.85546875" style="99"/>
    <col min="2049" max="2049" width="5.28515625" style="99" customWidth="1"/>
    <col min="2050" max="2050" width="37.28515625" style="99" bestFit="1" customWidth="1"/>
    <col min="2051" max="2051" width="15.28515625" style="99" customWidth="1"/>
    <col min="2052" max="2052" width="3.28515625" style="99" customWidth="1"/>
    <col min="2053" max="2055" width="15.28515625" style="99" customWidth="1"/>
    <col min="2056" max="2056" width="14" style="99" customWidth="1"/>
    <col min="2057" max="2057" width="14.28515625" style="99" customWidth="1"/>
    <col min="2058" max="2058" width="11.85546875" style="99" customWidth="1"/>
    <col min="2059" max="2059" width="14.42578125" style="99" customWidth="1"/>
    <col min="2060" max="2060" width="12.5703125" style="99" customWidth="1"/>
    <col min="2061" max="2063" width="15.28515625" style="99" customWidth="1"/>
    <col min="2064" max="2064" width="12.42578125" style="99" customWidth="1"/>
    <col min="2065" max="2065" width="15.28515625" style="99" customWidth="1"/>
    <col min="2066" max="2304" width="8.85546875" style="99"/>
    <col min="2305" max="2305" width="5.28515625" style="99" customWidth="1"/>
    <col min="2306" max="2306" width="37.28515625" style="99" bestFit="1" customWidth="1"/>
    <col min="2307" max="2307" width="15.28515625" style="99" customWidth="1"/>
    <col min="2308" max="2308" width="3.28515625" style="99" customWidth="1"/>
    <col min="2309" max="2311" width="15.28515625" style="99" customWidth="1"/>
    <col min="2312" max="2312" width="14" style="99" customWidth="1"/>
    <col min="2313" max="2313" width="14.28515625" style="99" customWidth="1"/>
    <col min="2314" max="2314" width="11.85546875" style="99" customWidth="1"/>
    <col min="2315" max="2315" width="14.42578125" style="99" customWidth="1"/>
    <col min="2316" max="2316" width="12.5703125" style="99" customWidth="1"/>
    <col min="2317" max="2319" width="15.28515625" style="99" customWidth="1"/>
    <col min="2320" max="2320" width="12.42578125" style="99" customWidth="1"/>
    <col min="2321" max="2321" width="15.28515625" style="99" customWidth="1"/>
    <col min="2322" max="2560" width="8.85546875" style="99"/>
    <col min="2561" max="2561" width="5.28515625" style="99" customWidth="1"/>
    <col min="2562" max="2562" width="37.28515625" style="99" bestFit="1" customWidth="1"/>
    <col min="2563" max="2563" width="15.28515625" style="99" customWidth="1"/>
    <col min="2564" max="2564" width="3.28515625" style="99" customWidth="1"/>
    <col min="2565" max="2567" width="15.28515625" style="99" customWidth="1"/>
    <col min="2568" max="2568" width="14" style="99" customWidth="1"/>
    <col min="2569" max="2569" width="14.28515625" style="99" customWidth="1"/>
    <col min="2570" max="2570" width="11.85546875" style="99" customWidth="1"/>
    <col min="2571" max="2571" width="14.42578125" style="99" customWidth="1"/>
    <col min="2572" max="2572" width="12.5703125" style="99" customWidth="1"/>
    <col min="2573" max="2575" width="15.28515625" style="99" customWidth="1"/>
    <col min="2576" max="2576" width="12.42578125" style="99" customWidth="1"/>
    <col min="2577" max="2577" width="15.28515625" style="99" customWidth="1"/>
    <col min="2578" max="2816" width="8.85546875" style="99"/>
    <col min="2817" max="2817" width="5.28515625" style="99" customWidth="1"/>
    <col min="2818" max="2818" width="37.28515625" style="99" bestFit="1" customWidth="1"/>
    <col min="2819" max="2819" width="15.28515625" style="99" customWidth="1"/>
    <col min="2820" max="2820" width="3.28515625" style="99" customWidth="1"/>
    <col min="2821" max="2823" width="15.28515625" style="99" customWidth="1"/>
    <col min="2824" max="2824" width="14" style="99" customWidth="1"/>
    <col min="2825" max="2825" width="14.28515625" style="99" customWidth="1"/>
    <col min="2826" max="2826" width="11.85546875" style="99" customWidth="1"/>
    <col min="2827" max="2827" width="14.42578125" style="99" customWidth="1"/>
    <col min="2828" max="2828" width="12.5703125" style="99" customWidth="1"/>
    <col min="2829" max="2831" width="15.28515625" style="99" customWidth="1"/>
    <col min="2832" max="2832" width="12.42578125" style="99" customWidth="1"/>
    <col min="2833" max="2833" width="15.28515625" style="99" customWidth="1"/>
    <col min="2834" max="3072" width="8.85546875" style="99"/>
    <col min="3073" max="3073" width="5.28515625" style="99" customWidth="1"/>
    <col min="3074" max="3074" width="37.28515625" style="99" bestFit="1" customWidth="1"/>
    <col min="3075" max="3075" width="15.28515625" style="99" customWidth="1"/>
    <col min="3076" max="3076" width="3.28515625" style="99" customWidth="1"/>
    <col min="3077" max="3079" width="15.28515625" style="99" customWidth="1"/>
    <col min="3080" max="3080" width="14" style="99" customWidth="1"/>
    <col min="3081" max="3081" width="14.28515625" style="99" customWidth="1"/>
    <col min="3082" max="3082" width="11.85546875" style="99" customWidth="1"/>
    <col min="3083" max="3083" width="14.42578125" style="99" customWidth="1"/>
    <col min="3084" max="3084" width="12.5703125" style="99" customWidth="1"/>
    <col min="3085" max="3087" width="15.28515625" style="99" customWidth="1"/>
    <col min="3088" max="3088" width="12.42578125" style="99" customWidth="1"/>
    <col min="3089" max="3089" width="15.28515625" style="99" customWidth="1"/>
    <col min="3090" max="3328" width="8.85546875" style="99"/>
    <col min="3329" max="3329" width="5.28515625" style="99" customWidth="1"/>
    <col min="3330" max="3330" width="37.28515625" style="99" bestFit="1" customWidth="1"/>
    <col min="3331" max="3331" width="15.28515625" style="99" customWidth="1"/>
    <col min="3332" max="3332" width="3.28515625" style="99" customWidth="1"/>
    <col min="3333" max="3335" width="15.28515625" style="99" customWidth="1"/>
    <col min="3336" max="3336" width="14" style="99" customWidth="1"/>
    <col min="3337" max="3337" width="14.28515625" style="99" customWidth="1"/>
    <col min="3338" max="3338" width="11.85546875" style="99" customWidth="1"/>
    <col min="3339" max="3339" width="14.42578125" style="99" customWidth="1"/>
    <col min="3340" max="3340" width="12.5703125" style="99" customWidth="1"/>
    <col min="3341" max="3343" width="15.28515625" style="99" customWidth="1"/>
    <col min="3344" max="3344" width="12.42578125" style="99" customWidth="1"/>
    <col min="3345" max="3345" width="15.28515625" style="99" customWidth="1"/>
    <col min="3346" max="3584" width="8.85546875" style="99"/>
    <col min="3585" max="3585" width="5.28515625" style="99" customWidth="1"/>
    <col min="3586" max="3586" width="37.28515625" style="99" bestFit="1" customWidth="1"/>
    <col min="3587" max="3587" width="15.28515625" style="99" customWidth="1"/>
    <col min="3588" max="3588" width="3.28515625" style="99" customWidth="1"/>
    <col min="3589" max="3591" width="15.28515625" style="99" customWidth="1"/>
    <col min="3592" max="3592" width="14" style="99" customWidth="1"/>
    <col min="3593" max="3593" width="14.28515625" style="99" customWidth="1"/>
    <col min="3594" max="3594" width="11.85546875" style="99" customWidth="1"/>
    <col min="3595" max="3595" width="14.42578125" style="99" customWidth="1"/>
    <col min="3596" max="3596" width="12.5703125" style="99" customWidth="1"/>
    <col min="3597" max="3599" width="15.28515625" style="99" customWidth="1"/>
    <col min="3600" max="3600" width="12.42578125" style="99" customWidth="1"/>
    <col min="3601" max="3601" width="15.28515625" style="99" customWidth="1"/>
    <col min="3602" max="3840" width="8.85546875" style="99"/>
    <col min="3841" max="3841" width="5.28515625" style="99" customWidth="1"/>
    <col min="3842" max="3842" width="37.28515625" style="99" bestFit="1" customWidth="1"/>
    <col min="3843" max="3843" width="15.28515625" style="99" customWidth="1"/>
    <col min="3844" max="3844" width="3.28515625" style="99" customWidth="1"/>
    <col min="3845" max="3847" width="15.28515625" style="99" customWidth="1"/>
    <col min="3848" max="3848" width="14" style="99" customWidth="1"/>
    <col min="3849" max="3849" width="14.28515625" style="99" customWidth="1"/>
    <col min="3850" max="3850" width="11.85546875" style="99" customWidth="1"/>
    <col min="3851" max="3851" width="14.42578125" style="99" customWidth="1"/>
    <col min="3852" max="3852" width="12.5703125" style="99" customWidth="1"/>
    <col min="3853" max="3855" width="15.28515625" style="99" customWidth="1"/>
    <col min="3856" max="3856" width="12.42578125" style="99" customWidth="1"/>
    <col min="3857" max="3857" width="15.28515625" style="99" customWidth="1"/>
    <col min="3858" max="4096" width="8.85546875" style="99"/>
    <col min="4097" max="4097" width="5.28515625" style="99" customWidth="1"/>
    <col min="4098" max="4098" width="37.28515625" style="99" bestFit="1" customWidth="1"/>
    <col min="4099" max="4099" width="15.28515625" style="99" customWidth="1"/>
    <col min="4100" max="4100" width="3.28515625" style="99" customWidth="1"/>
    <col min="4101" max="4103" width="15.28515625" style="99" customWidth="1"/>
    <col min="4104" max="4104" width="14" style="99" customWidth="1"/>
    <col min="4105" max="4105" width="14.28515625" style="99" customWidth="1"/>
    <col min="4106" max="4106" width="11.85546875" style="99" customWidth="1"/>
    <col min="4107" max="4107" width="14.42578125" style="99" customWidth="1"/>
    <col min="4108" max="4108" width="12.5703125" style="99" customWidth="1"/>
    <col min="4109" max="4111" width="15.28515625" style="99" customWidth="1"/>
    <col min="4112" max="4112" width="12.42578125" style="99" customWidth="1"/>
    <col min="4113" max="4113" width="15.28515625" style="99" customWidth="1"/>
    <col min="4114" max="4352" width="8.85546875" style="99"/>
    <col min="4353" max="4353" width="5.28515625" style="99" customWidth="1"/>
    <col min="4354" max="4354" width="37.28515625" style="99" bestFit="1" customWidth="1"/>
    <col min="4355" max="4355" width="15.28515625" style="99" customWidth="1"/>
    <col min="4356" max="4356" width="3.28515625" style="99" customWidth="1"/>
    <col min="4357" max="4359" width="15.28515625" style="99" customWidth="1"/>
    <col min="4360" max="4360" width="14" style="99" customWidth="1"/>
    <col min="4361" max="4361" width="14.28515625" style="99" customWidth="1"/>
    <col min="4362" max="4362" width="11.85546875" style="99" customWidth="1"/>
    <col min="4363" max="4363" width="14.42578125" style="99" customWidth="1"/>
    <col min="4364" max="4364" width="12.5703125" style="99" customWidth="1"/>
    <col min="4365" max="4367" width="15.28515625" style="99" customWidth="1"/>
    <col min="4368" max="4368" width="12.42578125" style="99" customWidth="1"/>
    <col min="4369" max="4369" width="15.28515625" style="99" customWidth="1"/>
    <col min="4370" max="4608" width="8.85546875" style="99"/>
    <col min="4609" max="4609" width="5.28515625" style="99" customWidth="1"/>
    <col min="4610" max="4610" width="37.28515625" style="99" bestFit="1" customWidth="1"/>
    <col min="4611" max="4611" width="15.28515625" style="99" customWidth="1"/>
    <col min="4612" max="4612" width="3.28515625" style="99" customWidth="1"/>
    <col min="4613" max="4615" width="15.28515625" style="99" customWidth="1"/>
    <col min="4616" max="4616" width="14" style="99" customWidth="1"/>
    <col min="4617" max="4617" width="14.28515625" style="99" customWidth="1"/>
    <col min="4618" max="4618" width="11.85546875" style="99" customWidth="1"/>
    <col min="4619" max="4619" width="14.42578125" style="99" customWidth="1"/>
    <col min="4620" max="4620" width="12.5703125" style="99" customWidth="1"/>
    <col min="4621" max="4623" width="15.28515625" style="99" customWidth="1"/>
    <col min="4624" max="4624" width="12.42578125" style="99" customWidth="1"/>
    <col min="4625" max="4625" width="15.28515625" style="99" customWidth="1"/>
    <col min="4626" max="4864" width="8.85546875" style="99"/>
    <col min="4865" max="4865" width="5.28515625" style="99" customWidth="1"/>
    <col min="4866" max="4866" width="37.28515625" style="99" bestFit="1" customWidth="1"/>
    <col min="4867" max="4867" width="15.28515625" style="99" customWidth="1"/>
    <col min="4868" max="4868" width="3.28515625" style="99" customWidth="1"/>
    <col min="4869" max="4871" width="15.28515625" style="99" customWidth="1"/>
    <col min="4872" max="4872" width="14" style="99" customWidth="1"/>
    <col min="4873" max="4873" width="14.28515625" style="99" customWidth="1"/>
    <col min="4874" max="4874" width="11.85546875" style="99" customWidth="1"/>
    <col min="4875" max="4875" width="14.42578125" style="99" customWidth="1"/>
    <col min="4876" max="4876" width="12.5703125" style="99" customWidth="1"/>
    <col min="4877" max="4879" width="15.28515625" style="99" customWidth="1"/>
    <col min="4880" max="4880" width="12.42578125" style="99" customWidth="1"/>
    <col min="4881" max="4881" width="15.28515625" style="99" customWidth="1"/>
    <col min="4882" max="5120" width="8.85546875" style="99"/>
    <col min="5121" max="5121" width="5.28515625" style="99" customWidth="1"/>
    <col min="5122" max="5122" width="37.28515625" style="99" bestFit="1" customWidth="1"/>
    <col min="5123" max="5123" width="15.28515625" style="99" customWidth="1"/>
    <col min="5124" max="5124" width="3.28515625" style="99" customWidth="1"/>
    <col min="5125" max="5127" width="15.28515625" style="99" customWidth="1"/>
    <col min="5128" max="5128" width="14" style="99" customWidth="1"/>
    <col min="5129" max="5129" width="14.28515625" style="99" customWidth="1"/>
    <col min="5130" max="5130" width="11.85546875" style="99" customWidth="1"/>
    <col min="5131" max="5131" width="14.42578125" style="99" customWidth="1"/>
    <col min="5132" max="5132" width="12.5703125" style="99" customWidth="1"/>
    <col min="5133" max="5135" width="15.28515625" style="99" customWidth="1"/>
    <col min="5136" max="5136" width="12.42578125" style="99" customWidth="1"/>
    <col min="5137" max="5137" width="15.28515625" style="99" customWidth="1"/>
    <col min="5138" max="5376" width="8.85546875" style="99"/>
    <col min="5377" max="5377" width="5.28515625" style="99" customWidth="1"/>
    <col min="5378" max="5378" width="37.28515625" style="99" bestFit="1" customWidth="1"/>
    <col min="5379" max="5379" width="15.28515625" style="99" customWidth="1"/>
    <col min="5380" max="5380" width="3.28515625" style="99" customWidth="1"/>
    <col min="5381" max="5383" width="15.28515625" style="99" customWidth="1"/>
    <col min="5384" max="5384" width="14" style="99" customWidth="1"/>
    <col min="5385" max="5385" width="14.28515625" style="99" customWidth="1"/>
    <col min="5386" max="5386" width="11.85546875" style="99" customWidth="1"/>
    <col min="5387" max="5387" width="14.42578125" style="99" customWidth="1"/>
    <col min="5388" max="5388" width="12.5703125" style="99" customWidth="1"/>
    <col min="5389" max="5391" width="15.28515625" style="99" customWidth="1"/>
    <col min="5392" max="5392" width="12.42578125" style="99" customWidth="1"/>
    <col min="5393" max="5393" width="15.28515625" style="99" customWidth="1"/>
    <col min="5394" max="5632" width="8.85546875" style="99"/>
    <col min="5633" max="5633" width="5.28515625" style="99" customWidth="1"/>
    <col min="5634" max="5634" width="37.28515625" style="99" bestFit="1" customWidth="1"/>
    <col min="5635" max="5635" width="15.28515625" style="99" customWidth="1"/>
    <col min="5636" max="5636" width="3.28515625" style="99" customWidth="1"/>
    <col min="5637" max="5639" width="15.28515625" style="99" customWidth="1"/>
    <col min="5640" max="5640" width="14" style="99" customWidth="1"/>
    <col min="5641" max="5641" width="14.28515625" style="99" customWidth="1"/>
    <col min="5642" max="5642" width="11.85546875" style="99" customWidth="1"/>
    <col min="5643" max="5643" width="14.42578125" style="99" customWidth="1"/>
    <col min="5644" max="5644" width="12.5703125" style="99" customWidth="1"/>
    <col min="5645" max="5647" width="15.28515625" style="99" customWidth="1"/>
    <col min="5648" max="5648" width="12.42578125" style="99" customWidth="1"/>
    <col min="5649" max="5649" width="15.28515625" style="99" customWidth="1"/>
    <col min="5650" max="5888" width="8.85546875" style="99"/>
    <col min="5889" max="5889" width="5.28515625" style="99" customWidth="1"/>
    <col min="5890" max="5890" width="37.28515625" style="99" bestFit="1" customWidth="1"/>
    <col min="5891" max="5891" width="15.28515625" style="99" customWidth="1"/>
    <col min="5892" max="5892" width="3.28515625" style="99" customWidth="1"/>
    <col min="5893" max="5895" width="15.28515625" style="99" customWidth="1"/>
    <col min="5896" max="5896" width="14" style="99" customWidth="1"/>
    <col min="5897" max="5897" width="14.28515625" style="99" customWidth="1"/>
    <col min="5898" max="5898" width="11.85546875" style="99" customWidth="1"/>
    <col min="5899" max="5899" width="14.42578125" style="99" customWidth="1"/>
    <col min="5900" max="5900" width="12.5703125" style="99" customWidth="1"/>
    <col min="5901" max="5903" width="15.28515625" style="99" customWidth="1"/>
    <col min="5904" max="5904" width="12.42578125" style="99" customWidth="1"/>
    <col min="5905" max="5905" width="15.28515625" style="99" customWidth="1"/>
    <col min="5906" max="6144" width="8.85546875" style="99"/>
    <col min="6145" max="6145" width="5.28515625" style="99" customWidth="1"/>
    <col min="6146" max="6146" width="37.28515625" style="99" bestFit="1" customWidth="1"/>
    <col min="6147" max="6147" width="15.28515625" style="99" customWidth="1"/>
    <col min="6148" max="6148" width="3.28515625" style="99" customWidth="1"/>
    <col min="6149" max="6151" width="15.28515625" style="99" customWidth="1"/>
    <col min="6152" max="6152" width="14" style="99" customWidth="1"/>
    <col min="6153" max="6153" width="14.28515625" style="99" customWidth="1"/>
    <col min="6154" max="6154" width="11.85546875" style="99" customWidth="1"/>
    <col min="6155" max="6155" width="14.42578125" style="99" customWidth="1"/>
    <col min="6156" max="6156" width="12.5703125" style="99" customWidth="1"/>
    <col min="6157" max="6159" width="15.28515625" style="99" customWidth="1"/>
    <col min="6160" max="6160" width="12.42578125" style="99" customWidth="1"/>
    <col min="6161" max="6161" width="15.28515625" style="99" customWidth="1"/>
    <col min="6162" max="6400" width="8.85546875" style="99"/>
    <col min="6401" max="6401" width="5.28515625" style="99" customWidth="1"/>
    <col min="6402" max="6402" width="37.28515625" style="99" bestFit="1" customWidth="1"/>
    <col min="6403" max="6403" width="15.28515625" style="99" customWidth="1"/>
    <col min="6404" max="6404" width="3.28515625" style="99" customWidth="1"/>
    <col min="6405" max="6407" width="15.28515625" style="99" customWidth="1"/>
    <col min="6408" max="6408" width="14" style="99" customWidth="1"/>
    <col min="6409" max="6409" width="14.28515625" style="99" customWidth="1"/>
    <col min="6410" max="6410" width="11.85546875" style="99" customWidth="1"/>
    <col min="6411" max="6411" width="14.42578125" style="99" customWidth="1"/>
    <col min="6412" max="6412" width="12.5703125" style="99" customWidth="1"/>
    <col min="6413" max="6415" width="15.28515625" style="99" customWidth="1"/>
    <col min="6416" max="6416" width="12.42578125" style="99" customWidth="1"/>
    <col min="6417" max="6417" width="15.28515625" style="99" customWidth="1"/>
    <col min="6418" max="6656" width="8.85546875" style="99"/>
    <col min="6657" max="6657" width="5.28515625" style="99" customWidth="1"/>
    <col min="6658" max="6658" width="37.28515625" style="99" bestFit="1" customWidth="1"/>
    <col min="6659" max="6659" width="15.28515625" style="99" customWidth="1"/>
    <col min="6660" max="6660" width="3.28515625" style="99" customWidth="1"/>
    <col min="6661" max="6663" width="15.28515625" style="99" customWidth="1"/>
    <col min="6664" max="6664" width="14" style="99" customWidth="1"/>
    <col min="6665" max="6665" width="14.28515625" style="99" customWidth="1"/>
    <col min="6666" max="6666" width="11.85546875" style="99" customWidth="1"/>
    <col min="6667" max="6667" width="14.42578125" style="99" customWidth="1"/>
    <col min="6668" max="6668" width="12.5703125" style="99" customWidth="1"/>
    <col min="6669" max="6671" width="15.28515625" style="99" customWidth="1"/>
    <col min="6672" max="6672" width="12.42578125" style="99" customWidth="1"/>
    <col min="6673" max="6673" width="15.28515625" style="99" customWidth="1"/>
    <col min="6674" max="6912" width="8.85546875" style="99"/>
    <col min="6913" max="6913" width="5.28515625" style="99" customWidth="1"/>
    <col min="6914" max="6914" width="37.28515625" style="99" bestFit="1" customWidth="1"/>
    <col min="6915" max="6915" width="15.28515625" style="99" customWidth="1"/>
    <col min="6916" max="6916" width="3.28515625" style="99" customWidth="1"/>
    <col min="6917" max="6919" width="15.28515625" style="99" customWidth="1"/>
    <col min="6920" max="6920" width="14" style="99" customWidth="1"/>
    <col min="6921" max="6921" width="14.28515625" style="99" customWidth="1"/>
    <col min="6922" max="6922" width="11.85546875" style="99" customWidth="1"/>
    <col min="6923" max="6923" width="14.42578125" style="99" customWidth="1"/>
    <col min="6924" max="6924" width="12.5703125" style="99" customWidth="1"/>
    <col min="6925" max="6927" width="15.28515625" style="99" customWidth="1"/>
    <col min="6928" max="6928" width="12.42578125" style="99" customWidth="1"/>
    <col min="6929" max="6929" width="15.28515625" style="99" customWidth="1"/>
    <col min="6930" max="7168" width="8.85546875" style="99"/>
    <col min="7169" max="7169" width="5.28515625" style="99" customWidth="1"/>
    <col min="7170" max="7170" width="37.28515625" style="99" bestFit="1" customWidth="1"/>
    <col min="7171" max="7171" width="15.28515625" style="99" customWidth="1"/>
    <col min="7172" max="7172" width="3.28515625" style="99" customWidth="1"/>
    <col min="7173" max="7175" width="15.28515625" style="99" customWidth="1"/>
    <col min="7176" max="7176" width="14" style="99" customWidth="1"/>
    <col min="7177" max="7177" width="14.28515625" style="99" customWidth="1"/>
    <col min="7178" max="7178" width="11.85546875" style="99" customWidth="1"/>
    <col min="7179" max="7179" width="14.42578125" style="99" customWidth="1"/>
    <col min="7180" max="7180" width="12.5703125" style="99" customWidth="1"/>
    <col min="7181" max="7183" width="15.28515625" style="99" customWidth="1"/>
    <col min="7184" max="7184" width="12.42578125" style="99" customWidth="1"/>
    <col min="7185" max="7185" width="15.28515625" style="99" customWidth="1"/>
    <col min="7186" max="7424" width="8.85546875" style="99"/>
    <col min="7425" max="7425" width="5.28515625" style="99" customWidth="1"/>
    <col min="7426" max="7426" width="37.28515625" style="99" bestFit="1" customWidth="1"/>
    <col min="7427" max="7427" width="15.28515625" style="99" customWidth="1"/>
    <col min="7428" max="7428" width="3.28515625" style="99" customWidth="1"/>
    <col min="7429" max="7431" width="15.28515625" style="99" customWidth="1"/>
    <col min="7432" max="7432" width="14" style="99" customWidth="1"/>
    <col min="7433" max="7433" width="14.28515625" style="99" customWidth="1"/>
    <col min="7434" max="7434" width="11.85546875" style="99" customWidth="1"/>
    <col min="7435" max="7435" width="14.42578125" style="99" customWidth="1"/>
    <col min="7436" max="7436" width="12.5703125" style="99" customWidth="1"/>
    <col min="7437" max="7439" width="15.28515625" style="99" customWidth="1"/>
    <col min="7440" max="7440" width="12.42578125" style="99" customWidth="1"/>
    <col min="7441" max="7441" width="15.28515625" style="99" customWidth="1"/>
    <col min="7442" max="7680" width="8.85546875" style="99"/>
    <col min="7681" max="7681" width="5.28515625" style="99" customWidth="1"/>
    <col min="7682" max="7682" width="37.28515625" style="99" bestFit="1" customWidth="1"/>
    <col min="7683" max="7683" width="15.28515625" style="99" customWidth="1"/>
    <col min="7684" max="7684" width="3.28515625" style="99" customWidth="1"/>
    <col min="7685" max="7687" width="15.28515625" style="99" customWidth="1"/>
    <col min="7688" max="7688" width="14" style="99" customWidth="1"/>
    <col min="7689" max="7689" width="14.28515625" style="99" customWidth="1"/>
    <col min="7690" max="7690" width="11.85546875" style="99" customWidth="1"/>
    <col min="7691" max="7691" width="14.42578125" style="99" customWidth="1"/>
    <col min="7692" max="7692" width="12.5703125" style="99" customWidth="1"/>
    <col min="7693" max="7695" width="15.28515625" style="99" customWidth="1"/>
    <col min="7696" max="7696" width="12.42578125" style="99" customWidth="1"/>
    <col min="7697" max="7697" width="15.28515625" style="99" customWidth="1"/>
    <col min="7698" max="7936" width="8.85546875" style="99"/>
    <col min="7937" max="7937" width="5.28515625" style="99" customWidth="1"/>
    <col min="7938" max="7938" width="37.28515625" style="99" bestFit="1" customWidth="1"/>
    <col min="7939" max="7939" width="15.28515625" style="99" customWidth="1"/>
    <col min="7940" max="7940" width="3.28515625" style="99" customWidth="1"/>
    <col min="7941" max="7943" width="15.28515625" style="99" customWidth="1"/>
    <col min="7944" max="7944" width="14" style="99" customWidth="1"/>
    <col min="7945" max="7945" width="14.28515625" style="99" customWidth="1"/>
    <col min="7946" max="7946" width="11.85546875" style="99" customWidth="1"/>
    <col min="7947" max="7947" width="14.42578125" style="99" customWidth="1"/>
    <col min="7948" max="7948" width="12.5703125" style="99" customWidth="1"/>
    <col min="7949" max="7951" width="15.28515625" style="99" customWidth="1"/>
    <col min="7952" max="7952" width="12.42578125" style="99" customWidth="1"/>
    <col min="7953" max="7953" width="15.28515625" style="99" customWidth="1"/>
    <col min="7954" max="8192" width="8.85546875" style="99"/>
    <col min="8193" max="8193" width="5.28515625" style="99" customWidth="1"/>
    <col min="8194" max="8194" width="37.28515625" style="99" bestFit="1" customWidth="1"/>
    <col min="8195" max="8195" width="15.28515625" style="99" customWidth="1"/>
    <col min="8196" max="8196" width="3.28515625" style="99" customWidth="1"/>
    <col min="8197" max="8199" width="15.28515625" style="99" customWidth="1"/>
    <col min="8200" max="8200" width="14" style="99" customWidth="1"/>
    <col min="8201" max="8201" width="14.28515625" style="99" customWidth="1"/>
    <col min="8202" max="8202" width="11.85546875" style="99" customWidth="1"/>
    <col min="8203" max="8203" width="14.42578125" style="99" customWidth="1"/>
    <col min="8204" max="8204" width="12.5703125" style="99" customWidth="1"/>
    <col min="8205" max="8207" width="15.28515625" style="99" customWidth="1"/>
    <col min="8208" max="8208" width="12.42578125" style="99" customWidth="1"/>
    <col min="8209" max="8209" width="15.28515625" style="99" customWidth="1"/>
    <col min="8210" max="8448" width="8.85546875" style="99"/>
    <col min="8449" max="8449" width="5.28515625" style="99" customWidth="1"/>
    <col min="8450" max="8450" width="37.28515625" style="99" bestFit="1" customWidth="1"/>
    <col min="8451" max="8451" width="15.28515625" style="99" customWidth="1"/>
    <col min="8452" max="8452" width="3.28515625" style="99" customWidth="1"/>
    <col min="8453" max="8455" width="15.28515625" style="99" customWidth="1"/>
    <col min="8456" max="8456" width="14" style="99" customWidth="1"/>
    <col min="8457" max="8457" width="14.28515625" style="99" customWidth="1"/>
    <col min="8458" max="8458" width="11.85546875" style="99" customWidth="1"/>
    <col min="8459" max="8459" width="14.42578125" style="99" customWidth="1"/>
    <col min="8460" max="8460" width="12.5703125" style="99" customWidth="1"/>
    <col min="8461" max="8463" width="15.28515625" style="99" customWidth="1"/>
    <col min="8464" max="8464" width="12.42578125" style="99" customWidth="1"/>
    <col min="8465" max="8465" width="15.28515625" style="99" customWidth="1"/>
    <col min="8466" max="8704" width="8.85546875" style="99"/>
    <col min="8705" max="8705" width="5.28515625" style="99" customWidth="1"/>
    <col min="8706" max="8706" width="37.28515625" style="99" bestFit="1" customWidth="1"/>
    <col min="8707" max="8707" width="15.28515625" style="99" customWidth="1"/>
    <col min="8708" max="8708" width="3.28515625" style="99" customWidth="1"/>
    <col min="8709" max="8711" width="15.28515625" style="99" customWidth="1"/>
    <col min="8712" max="8712" width="14" style="99" customWidth="1"/>
    <col min="8713" max="8713" width="14.28515625" style="99" customWidth="1"/>
    <col min="8714" max="8714" width="11.85546875" style="99" customWidth="1"/>
    <col min="8715" max="8715" width="14.42578125" style="99" customWidth="1"/>
    <col min="8716" max="8716" width="12.5703125" style="99" customWidth="1"/>
    <col min="8717" max="8719" width="15.28515625" style="99" customWidth="1"/>
    <col min="8720" max="8720" width="12.42578125" style="99" customWidth="1"/>
    <col min="8721" max="8721" width="15.28515625" style="99" customWidth="1"/>
    <col min="8722" max="8960" width="8.85546875" style="99"/>
    <col min="8961" max="8961" width="5.28515625" style="99" customWidth="1"/>
    <col min="8962" max="8962" width="37.28515625" style="99" bestFit="1" customWidth="1"/>
    <col min="8963" max="8963" width="15.28515625" style="99" customWidth="1"/>
    <col min="8964" max="8964" width="3.28515625" style="99" customWidth="1"/>
    <col min="8965" max="8967" width="15.28515625" style="99" customWidth="1"/>
    <col min="8968" max="8968" width="14" style="99" customWidth="1"/>
    <col min="8969" max="8969" width="14.28515625" style="99" customWidth="1"/>
    <col min="8970" max="8970" width="11.85546875" style="99" customWidth="1"/>
    <col min="8971" max="8971" width="14.42578125" style="99" customWidth="1"/>
    <col min="8972" max="8972" width="12.5703125" style="99" customWidth="1"/>
    <col min="8973" max="8975" width="15.28515625" style="99" customWidth="1"/>
    <col min="8976" max="8976" width="12.42578125" style="99" customWidth="1"/>
    <col min="8977" max="8977" width="15.28515625" style="99" customWidth="1"/>
    <col min="8978" max="9216" width="8.85546875" style="99"/>
    <col min="9217" max="9217" width="5.28515625" style="99" customWidth="1"/>
    <col min="9218" max="9218" width="37.28515625" style="99" bestFit="1" customWidth="1"/>
    <col min="9219" max="9219" width="15.28515625" style="99" customWidth="1"/>
    <col min="9220" max="9220" width="3.28515625" style="99" customWidth="1"/>
    <col min="9221" max="9223" width="15.28515625" style="99" customWidth="1"/>
    <col min="9224" max="9224" width="14" style="99" customWidth="1"/>
    <col min="9225" max="9225" width="14.28515625" style="99" customWidth="1"/>
    <col min="9226" max="9226" width="11.85546875" style="99" customWidth="1"/>
    <col min="9227" max="9227" width="14.42578125" style="99" customWidth="1"/>
    <col min="9228" max="9228" width="12.5703125" style="99" customWidth="1"/>
    <col min="9229" max="9231" width="15.28515625" style="99" customWidth="1"/>
    <col min="9232" max="9232" width="12.42578125" style="99" customWidth="1"/>
    <col min="9233" max="9233" width="15.28515625" style="99" customWidth="1"/>
    <col min="9234" max="9472" width="8.85546875" style="99"/>
    <col min="9473" max="9473" width="5.28515625" style="99" customWidth="1"/>
    <col min="9474" max="9474" width="37.28515625" style="99" bestFit="1" customWidth="1"/>
    <col min="9475" max="9475" width="15.28515625" style="99" customWidth="1"/>
    <col min="9476" max="9476" width="3.28515625" style="99" customWidth="1"/>
    <col min="9477" max="9479" width="15.28515625" style="99" customWidth="1"/>
    <col min="9480" max="9480" width="14" style="99" customWidth="1"/>
    <col min="9481" max="9481" width="14.28515625" style="99" customWidth="1"/>
    <col min="9482" max="9482" width="11.85546875" style="99" customWidth="1"/>
    <col min="9483" max="9483" width="14.42578125" style="99" customWidth="1"/>
    <col min="9484" max="9484" width="12.5703125" style="99" customWidth="1"/>
    <col min="9485" max="9487" width="15.28515625" style="99" customWidth="1"/>
    <col min="9488" max="9488" width="12.42578125" style="99" customWidth="1"/>
    <col min="9489" max="9489" width="15.28515625" style="99" customWidth="1"/>
    <col min="9490" max="9728" width="8.85546875" style="99"/>
    <col min="9729" max="9729" width="5.28515625" style="99" customWidth="1"/>
    <col min="9730" max="9730" width="37.28515625" style="99" bestFit="1" customWidth="1"/>
    <col min="9731" max="9731" width="15.28515625" style="99" customWidth="1"/>
    <col min="9732" max="9732" width="3.28515625" style="99" customWidth="1"/>
    <col min="9733" max="9735" width="15.28515625" style="99" customWidth="1"/>
    <col min="9736" max="9736" width="14" style="99" customWidth="1"/>
    <col min="9737" max="9737" width="14.28515625" style="99" customWidth="1"/>
    <col min="9738" max="9738" width="11.85546875" style="99" customWidth="1"/>
    <col min="9739" max="9739" width="14.42578125" style="99" customWidth="1"/>
    <col min="9740" max="9740" width="12.5703125" style="99" customWidth="1"/>
    <col min="9741" max="9743" width="15.28515625" style="99" customWidth="1"/>
    <col min="9744" max="9744" width="12.42578125" style="99" customWidth="1"/>
    <col min="9745" max="9745" width="15.28515625" style="99" customWidth="1"/>
    <col min="9746" max="9984" width="8.85546875" style="99"/>
    <col min="9985" max="9985" width="5.28515625" style="99" customWidth="1"/>
    <col min="9986" max="9986" width="37.28515625" style="99" bestFit="1" customWidth="1"/>
    <col min="9987" max="9987" width="15.28515625" style="99" customWidth="1"/>
    <col min="9988" max="9988" width="3.28515625" style="99" customWidth="1"/>
    <col min="9989" max="9991" width="15.28515625" style="99" customWidth="1"/>
    <col min="9992" max="9992" width="14" style="99" customWidth="1"/>
    <col min="9993" max="9993" width="14.28515625" style="99" customWidth="1"/>
    <col min="9994" max="9994" width="11.85546875" style="99" customWidth="1"/>
    <col min="9995" max="9995" width="14.42578125" style="99" customWidth="1"/>
    <col min="9996" max="9996" width="12.5703125" style="99" customWidth="1"/>
    <col min="9997" max="9999" width="15.28515625" style="99" customWidth="1"/>
    <col min="10000" max="10000" width="12.42578125" style="99" customWidth="1"/>
    <col min="10001" max="10001" width="15.28515625" style="99" customWidth="1"/>
    <col min="10002" max="10240" width="8.85546875" style="99"/>
    <col min="10241" max="10241" width="5.28515625" style="99" customWidth="1"/>
    <col min="10242" max="10242" width="37.28515625" style="99" bestFit="1" customWidth="1"/>
    <col min="10243" max="10243" width="15.28515625" style="99" customWidth="1"/>
    <col min="10244" max="10244" width="3.28515625" style="99" customWidth="1"/>
    <col min="10245" max="10247" width="15.28515625" style="99" customWidth="1"/>
    <col min="10248" max="10248" width="14" style="99" customWidth="1"/>
    <col min="10249" max="10249" width="14.28515625" style="99" customWidth="1"/>
    <col min="10250" max="10250" width="11.85546875" style="99" customWidth="1"/>
    <col min="10251" max="10251" width="14.42578125" style="99" customWidth="1"/>
    <col min="10252" max="10252" width="12.5703125" style="99" customWidth="1"/>
    <col min="10253" max="10255" width="15.28515625" style="99" customWidth="1"/>
    <col min="10256" max="10256" width="12.42578125" style="99" customWidth="1"/>
    <col min="10257" max="10257" width="15.28515625" style="99" customWidth="1"/>
    <col min="10258" max="10496" width="8.85546875" style="99"/>
    <col min="10497" max="10497" width="5.28515625" style="99" customWidth="1"/>
    <col min="10498" max="10498" width="37.28515625" style="99" bestFit="1" customWidth="1"/>
    <col min="10499" max="10499" width="15.28515625" style="99" customWidth="1"/>
    <col min="10500" max="10500" width="3.28515625" style="99" customWidth="1"/>
    <col min="10501" max="10503" width="15.28515625" style="99" customWidth="1"/>
    <col min="10504" max="10504" width="14" style="99" customWidth="1"/>
    <col min="10505" max="10505" width="14.28515625" style="99" customWidth="1"/>
    <col min="10506" max="10506" width="11.85546875" style="99" customWidth="1"/>
    <col min="10507" max="10507" width="14.42578125" style="99" customWidth="1"/>
    <col min="10508" max="10508" width="12.5703125" style="99" customWidth="1"/>
    <col min="10509" max="10511" width="15.28515625" style="99" customWidth="1"/>
    <col min="10512" max="10512" width="12.42578125" style="99" customWidth="1"/>
    <col min="10513" max="10513" width="15.28515625" style="99" customWidth="1"/>
    <col min="10514" max="10752" width="8.85546875" style="99"/>
    <col min="10753" max="10753" width="5.28515625" style="99" customWidth="1"/>
    <col min="10754" max="10754" width="37.28515625" style="99" bestFit="1" customWidth="1"/>
    <col min="10755" max="10755" width="15.28515625" style="99" customWidth="1"/>
    <col min="10756" max="10756" width="3.28515625" style="99" customWidth="1"/>
    <col min="10757" max="10759" width="15.28515625" style="99" customWidth="1"/>
    <col min="10760" max="10760" width="14" style="99" customWidth="1"/>
    <col min="10761" max="10761" width="14.28515625" style="99" customWidth="1"/>
    <col min="10762" max="10762" width="11.85546875" style="99" customWidth="1"/>
    <col min="10763" max="10763" width="14.42578125" style="99" customWidth="1"/>
    <col min="10764" max="10764" width="12.5703125" style="99" customWidth="1"/>
    <col min="10765" max="10767" width="15.28515625" style="99" customWidth="1"/>
    <col min="10768" max="10768" width="12.42578125" style="99" customWidth="1"/>
    <col min="10769" max="10769" width="15.28515625" style="99" customWidth="1"/>
    <col min="10770" max="11008" width="8.85546875" style="99"/>
    <col min="11009" max="11009" width="5.28515625" style="99" customWidth="1"/>
    <col min="11010" max="11010" width="37.28515625" style="99" bestFit="1" customWidth="1"/>
    <col min="11011" max="11011" width="15.28515625" style="99" customWidth="1"/>
    <col min="11012" max="11012" width="3.28515625" style="99" customWidth="1"/>
    <col min="11013" max="11015" width="15.28515625" style="99" customWidth="1"/>
    <col min="11016" max="11016" width="14" style="99" customWidth="1"/>
    <col min="11017" max="11017" width="14.28515625" style="99" customWidth="1"/>
    <col min="11018" max="11018" width="11.85546875" style="99" customWidth="1"/>
    <col min="11019" max="11019" width="14.42578125" style="99" customWidth="1"/>
    <col min="11020" max="11020" width="12.5703125" style="99" customWidth="1"/>
    <col min="11021" max="11023" width="15.28515625" style="99" customWidth="1"/>
    <col min="11024" max="11024" width="12.42578125" style="99" customWidth="1"/>
    <col min="11025" max="11025" width="15.28515625" style="99" customWidth="1"/>
    <col min="11026" max="11264" width="8.85546875" style="99"/>
    <col min="11265" max="11265" width="5.28515625" style="99" customWidth="1"/>
    <col min="11266" max="11266" width="37.28515625" style="99" bestFit="1" customWidth="1"/>
    <col min="11267" max="11267" width="15.28515625" style="99" customWidth="1"/>
    <col min="11268" max="11268" width="3.28515625" style="99" customWidth="1"/>
    <col min="11269" max="11271" width="15.28515625" style="99" customWidth="1"/>
    <col min="11272" max="11272" width="14" style="99" customWidth="1"/>
    <col min="11273" max="11273" width="14.28515625" style="99" customWidth="1"/>
    <col min="11274" max="11274" width="11.85546875" style="99" customWidth="1"/>
    <col min="11275" max="11275" width="14.42578125" style="99" customWidth="1"/>
    <col min="11276" max="11276" width="12.5703125" style="99" customWidth="1"/>
    <col min="11277" max="11279" width="15.28515625" style="99" customWidth="1"/>
    <col min="11280" max="11280" width="12.42578125" style="99" customWidth="1"/>
    <col min="11281" max="11281" width="15.28515625" style="99" customWidth="1"/>
    <col min="11282" max="11520" width="8.85546875" style="99"/>
    <col min="11521" max="11521" width="5.28515625" style="99" customWidth="1"/>
    <col min="11522" max="11522" width="37.28515625" style="99" bestFit="1" customWidth="1"/>
    <col min="11523" max="11523" width="15.28515625" style="99" customWidth="1"/>
    <col min="11524" max="11524" width="3.28515625" style="99" customWidth="1"/>
    <col min="11525" max="11527" width="15.28515625" style="99" customWidth="1"/>
    <col min="11528" max="11528" width="14" style="99" customWidth="1"/>
    <col min="11529" max="11529" width="14.28515625" style="99" customWidth="1"/>
    <col min="11530" max="11530" width="11.85546875" style="99" customWidth="1"/>
    <col min="11531" max="11531" width="14.42578125" style="99" customWidth="1"/>
    <col min="11532" max="11532" width="12.5703125" style="99" customWidth="1"/>
    <col min="11533" max="11535" width="15.28515625" style="99" customWidth="1"/>
    <col min="11536" max="11536" width="12.42578125" style="99" customWidth="1"/>
    <col min="11537" max="11537" width="15.28515625" style="99" customWidth="1"/>
    <col min="11538" max="11776" width="8.85546875" style="99"/>
    <col min="11777" max="11777" width="5.28515625" style="99" customWidth="1"/>
    <col min="11778" max="11778" width="37.28515625" style="99" bestFit="1" customWidth="1"/>
    <col min="11779" max="11779" width="15.28515625" style="99" customWidth="1"/>
    <col min="11780" max="11780" width="3.28515625" style="99" customWidth="1"/>
    <col min="11781" max="11783" width="15.28515625" style="99" customWidth="1"/>
    <col min="11784" max="11784" width="14" style="99" customWidth="1"/>
    <col min="11785" max="11785" width="14.28515625" style="99" customWidth="1"/>
    <col min="11786" max="11786" width="11.85546875" style="99" customWidth="1"/>
    <col min="11787" max="11787" width="14.42578125" style="99" customWidth="1"/>
    <col min="11788" max="11788" width="12.5703125" style="99" customWidth="1"/>
    <col min="11789" max="11791" width="15.28515625" style="99" customWidth="1"/>
    <col min="11792" max="11792" width="12.42578125" style="99" customWidth="1"/>
    <col min="11793" max="11793" width="15.28515625" style="99" customWidth="1"/>
    <col min="11794" max="12032" width="8.85546875" style="99"/>
    <col min="12033" max="12033" width="5.28515625" style="99" customWidth="1"/>
    <col min="12034" max="12034" width="37.28515625" style="99" bestFit="1" customWidth="1"/>
    <col min="12035" max="12035" width="15.28515625" style="99" customWidth="1"/>
    <col min="12036" max="12036" width="3.28515625" style="99" customWidth="1"/>
    <col min="12037" max="12039" width="15.28515625" style="99" customWidth="1"/>
    <col min="12040" max="12040" width="14" style="99" customWidth="1"/>
    <col min="12041" max="12041" width="14.28515625" style="99" customWidth="1"/>
    <col min="12042" max="12042" width="11.85546875" style="99" customWidth="1"/>
    <col min="12043" max="12043" width="14.42578125" style="99" customWidth="1"/>
    <col min="12044" max="12044" width="12.5703125" style="99" customWidth="1"/>
    <col min="12045" max="12047" width="15.28515625" style="99" customWidth="1"/>
    <col min="12048" max="12048" width="12.42578125" style="99" customWidth="1"/>
    <col min="12049" max="12049" width="15.28515625" style="99" customWidth="1"/>
    <col min="12050" max="12288" width="8.85546875" style="99"/>
    <col min="12289" max="12289" width="5.28515625" style="99" customWidth="1"/>
    <col min="12290" max="12290" width="37.28515625" style="99" bestFit="1" customWidth="1"/>
    <col min="12291" max="12291" width="15.28515625" style="99" customWidth="1"/>
    <col min="12292" max="12292" width="3.28515625" style="99" customWidth="1"/>
    <col min="12293" max="12295" width="15.28515625" style="99" customWidth="1"/>
    <col min="12296" max="12296" width="14" style="99" customWidth="1"/>
    <col min="12297" max="12297" width="14.28515625" style="99" customWidth="1"/>
    <col min="12298" max="12298" width="11.85546875" style="99" customWidth="1"/>
    <col min="12299" max="12299" width="14.42578125" style="99" customWidth="1"/>
    <col min="12300" max="12300" width="12.5703125" style="99" customWidth="1"/>
    <col min="12301" max="12303" width="15.28515625" style="99" customWidth="1"/>
    <col min="12304" max="12304" width="12.42578125" style="99" customWidth="1"/>
    <col min="12305" max="12305" width="15.28515625" style="99" customWidth="1"/>
    <col min="12306" max="12544" width="8.85546875" style="99"/>
    <col min="12545" max="12545" width="5.28515625" style="99" customWidth="1"/>
    <col min="12546" max="12546" width="37.28515625" style="99" bestFit="1" customWidth="1"/>
    <col min="12547" max="12547" width="15.28515625" style="99" customWidth="1"/>
    <col min="12548" max="12548" width="3.28515625" style="99" customWidth="1"/>
    <col min="12549" max="12551" width="15.28515625" style="99" customWidth="1"/>
    <col min="12552" max="12552" width="14" style="99" customWidth="1"/>
    <col min="12553" max="12553" width="14.28515625" style="99" customWidth="1"/>
    <col min="12554" max="12554" width="11.85546875" style="99" customWidth="1"/>
    <col min="12555" max="12555" width="14.42578125" style="99" customWidth="1"/>
    <col min="12556" max="12556" width="12.5703125" style="99" customWidth="1"/>
    <col min="12557" max="12559" width="15.28515625" style="99" customWidth="1"/>
    <col min="12560" max="12560" width="12.42578125" style="99" customWidth="1"/>
    <col min="12561" max="12561" width="15.28515625" style="99" customWidth="1"/>
    <col min="12562" max="12800" width="8.85546875" style="99"/>
    <col min="12801" max="12801" width="5.28515625" style="99" customWidth="1"/>
    <col min="12802" max="12802" width="37.28515625" style="99" bestFit="1" customWidth="1"/>
    <col min="12803" max="12803" width="15.28515625" style="99" customWidth="1"/>
    <col min="12804" max="12804" width="3.28515625" style="99" customWidth="1"/>
    <col min="12805" max="12807" width="15.28515625" style="99" customWidth="1"/>
    <col min="12808" max="12808" width="14" style="99" customWidth="1"/>
    <col min="12809" max="12809" width="14.28515625" style="99" customWidth="1"/>
    <col min="12810" max="12810" width="11.85546875" style="99" customWidth="1"/>
    <col min="12811" max="12811" width="14.42578125" style="99" customWidth="1"/>
    <col min="12812" max="12812" width="12.5703125" style="99" customWidth="1"/>
    <col min="12813" max="12815" width="15.28515625" style="99" customWidth="1"/>
    <col min="12816" max="12816" width="12.42578125" style="99" customWidth="1"/>
    <col min="12817" max="12817" width="15.28515625" style="99" customWidth="1"/>
    <col min="12818" max="13056" width="8.85546875" style="99"/>
    <col min="13057" max="13057" width="5.28515625" style="99" customWidth="1"/>
    <col min="13058" max="13058" width="37.28515625" style="99" bestFit="1" customWidth="1"/>
    <col min="13059" max="13059" width="15.28515625" style="99" customWidth="1"/>
    <col min="13060" max="13060" width="3.28515625" style="99" customWidth="1"/>
    <col min="13061" max="13063" width="15.28515625" style="99" customWidth="1"/>
    <col min="13064" max="13064" width="14" style="99" customWidth="1"/>
    <col min="13065" max="13065" width="14.28515625" style="99" customWidth="1"/>
    <col min="13066" max="13066" width="11.85546875" style="99" customWidth="1"/>
    <col min="13067" max="13067" width="14.42578125" style="99" customWidth="1"/>
    <col min="13068" max="13068" width="12.5703125" style="99" customWidth="1"/>
    <col min="13069" max="13071" width="15.28515625" style="99" customWidth="1"/>
    <col min="13072" max="13072" width="12.42578125" style="99" customWidth="1"/>
    <col min="13073" max="13073" width="15.28515625" style="99" customWidth="1"/>
    <col min="13074" max="13312" width="8.85546875" style="99"/>
    <col min="13313" max="13313" width="5.28515625" style="99" customWidth="1"/>
    <col min="13314" max="13314" width="37.28515625" style="99" bestFit="1" customWidth="1"/>
    <col min="13315" max="13315" width="15.28515625" style="99" customWidth="1"/>
    <col min="13316" max="13316" width="3.28515625" style="99" customWidth="1"/>
    <col min="13317" max="13319" width="15.28515625" style="99" customWidth="1"/>
    <col min="13320" max="13320" width="14" style="99" customWidth="1"/>
    <col min="13321" max="13321" width="14.28515625" style="99" customWidth="1"/>
    <col min="13322" max="13322" width="11.85546875" style="99" customWidth="1"/>
    <col min="13323" max="13323" width="14.42578125" style="99" customWidth="1"/>
    <col min="13324" max="13324" width="12.5703125" style="99" customWidth="1"/>
    <col min="13325" max="13327" width="15.28515625" style="99" customWidth="1"/>
    <col min="13328" max="13328" width="12.42578125" style="99" customWidth="1"/>
    <col min="13329" max="13329" width="15.28515625" style="99" customWidth="1"/>
    <col min="13330" max="13568" width="8.85546875" style="99"/>
    <col min="13569" max="13569" width="5.28515625" style="99" customWidth="1"/>
    <col min="13570" max="13570" width="37.28515625" style="99" bestFit="1" customWidth="1"/>
    <col min="13571" max="13571" width="15.28515625" style="99" customWidth="1"/>
    <col min="13572" max="13572" width="3.28515625" style="99" customWidth="1"/>
    <col min="13573" max="13575" width="15.28515625" style="99" customWidth="1"/>
    <col min="13576" max="13576" width="14" style="99" customWidth="1"/>
    <col min="13577" max="13577" width="14.28515625" style="99" customWidth="1"/>
    <col min="13578" max="13578" width="11.85546875" style="99" customWidth="1"/>
    <col min="13579" max="13579" width="14.42578125" style="99" customWidth="1"/>
    <col min="13580" max="13580" width="12.5703125" style="99" customWidth="1"/>
    <col min="13581" max="13583" width="15.28515625" style="99" customWidth="1"/>
    <col min="13584" max="13584" width="12.42578125" style="99" customWidth="1"/>
    <col min="13585" max="13585" width="15.28515625" style="99" customWidth="1"/>
    <col min="13586" max="13824" width="8.85546875" style="99"/>
    <col min="13825" max="13825" width="5.28515625" style="99" customWidth="1"/>
    <col min="13826" max="13826" width="37.28515625" style="99" bestFit="1" customWidth="1"/>
    <col min="13827" max="13827" width="15.28515625" style="99" customWidth="1"/>
    <col min="13828" max="13828" width="3.28515625" style="99" customWidth="1"/>
    <col min="13829" max="13831" width="15.28515625" style="99" customWidth="1"/>
    <col min="13832" max="13832" width="14" style="99" customWidth="1"/>
    <col min="13833" max="13833" width="14.28515625" style="99" customWidth="1"/>
    <col min="13834" max="13834" width="11.85546875" style="99" customWidth="1"/>
    <col min="13835" max="13835" width="14.42578125" style="99" customWidth="1"/>
    <col min="13836" max="13836" width="12.5703125" style="99" customWidth="1"/>
    <col min="13837" max="13839" width="15.28515625" style="99" customWidth="1"/>
    <col min="13840" max="13840" width="12.42578125" style="99" customWidth="1"/>
    <col min="13841" max="13841" width="15.28515625" style="99" customWidth="1"/>
    <col min="13842" max="14080" width="8.85546875" style="99"/>
    <col min="14081" max="14081" width="5.28515625" style="99" customWidth="1"/>
    <col min="14082" max="14082" width="37.28515625" style="99" bestFit="1" customWidth="1"/>
    <col min="14083" max="14083" width="15.28515625" style="99" customWidth="1"/>
    <col min="14084" max="14084" width="3.28515625" style="99" customWidth="1"/>
    <col min="14085" max="14087" width="15.28515625" style="99" customWidth="1"/>
    <col min="14088" max="14088" width="14" style="99" customWidth="1"/>
    <col min="14089" max="14089" width="14.28515625" style="99" customWidth="1"/>
    <col min="14090" max="14090" width="11.85546875" style="99" customWidth="1"/>
    <col min="14091" max="14091" width="14.42578125" style="99" customWidth="1"/>
    <col min="14092" max="14092" width="12.5703125" style="99" customWidth="1"/>
    <col min="14093" max="14095" width="15.28515625" style="99" customWidth="1"/>
    <col min="14096" max="14096" width="12.42578125" style="99" customWidth="1"/>
    <col min="14097" max="14097" width="15.28515625" style="99" customWidth="1"/>
    <col min="14098" max="14336" width="8.85546875" style="99"/>
    <col min="14337" max="14337" width="5.28515625" style="99" customWidth="1"/>
    <col min="14338" max="14338" width="37.28515625" style="99" bestFit="1" customWidth="1"/>
    <col min="14339" max="14339" width="15.28515625" style="99" customWidth="1"/>
    <col min="14340" max="14340" width="3.28515625" style="99" customWidth="1"/>
    <col min="14341" max="14343" width="15.28515625" style="99" customWidth="1"/>
    <col min="14344" max="14344" width="14" style="99" customWidth="1"/>
    <col min="14345" max="14345" width="14.28515625" style="99" customWidth="1"/>
    <col min="14346" max="14346" width="11.85546875" style="99" customWidth="1"/>
    <col min="14347" max="14347" width="14.42578125" style="99" customWidth="1"/>
    <col min="14348" max="14348" width="12.5703125" style="99" customWidth="1"/>
    <col min="14349" max="14351" width="15.28515625" style="99" customWidth="1"/>
    <col min="14352" max="14352" width="12.42578125" style="99" customWidth="1"/>
    <col min="14353" max="14353" width="15.28515625" style="99" customWidth="1"/>
    <col min="14354" max="14592" width="8.85546875" style="99"/>
    <col min="14593" max="14593" width="5.28515625" style="99" customWidth="1"/>
    <col min="14594" max="14594" width="37.28515625" style="99" bestFit="1" customWidth="1"/>
    <col min="14595" max="14595" width="15.28515625" style="99" customWidth="1"/>
    <col min="14596" max="14596" width="3.28515625" style="99" customWidth="1"/>
    <col min="14597" max="14599" width="15.28515625" style="99" customWidth="1"/>
    <col min="14600" max="14600" width="14" style="99" customWidth="1"/>
    <col min="14601" max="14601" width="14.28515625" style="99" customWidth="1"/>
    <col min="14602" max="14602" width="11.85546875" style="99" customWidth="1"/>
    <col min="14603" max="14603" width="14.42578125" style="99" customWidth="1"/>
    <col min="14604" max="14604" width="12.5703125" style="99" customWidth="1"/>
    <col min="14605" max="14607" width="15.28515625" style="99" customWidth="1"/>
    <col min="14608" max="14608" width="12.42578125" style="99" customWidth="1"/>
    <col min="14609" max="14609" width="15.28515625" style="99" customWidth="1"/>
    <col min="14610" max="14848" width="8.85546875" style="99"/>
    <col min="14849" max="14849" width="5.28515625" style="99" customWidth="1"/>
    <col min="14850" max="14850" width="37.28515625" style="99" bestFit="1" customWidth="1"/>
    <col min="14851" max="14851" width="15.28515625" style="99" customWidth="1"/>
    <col min="14852" max="14852" width="3.28515625" style="99" customWidth="1"/>
    <col min="14853" max="14855" width="15.28515625" style="99" customWidth="1"/>
    <col min="14856" max="14856" width="14" style="99" customWidth="1"/>
    <col min="14857" max="14857" width="14.28515625" style="99" customWidth="1"/>
    <col min="14858" max="14858" width="11.85546875" style="99" customWidth="1"/>
    <col min="14859" max="14859" width="14.42578125" style="99" customWidth="1"/>
    <col min="14860" max="14860" width="12.5703125" style="99" customWidth="1"/>
    <col min="14861" max="14863" width="15.28515625" style="99" customWidth="1"/>
    <col min="14864" max="14864" width="12.42578125" style="99" customWidth="1"/>
    <col min="14865" max="14865" width="15.28515625" style="99" customWidth="1"/>
    <col min="14866" max="15104" width="8.85546875" style="99"/>
    <col min="15105" max="15105" width="5.28515625" style="99" customWidth="1"/>
    <col min="15106" max="15106" width="37.28515625" style="99" bestFit="1" customWidth="1"/>
    <col min="15107" max="15107" width="15.28515625" style="99" customWidth="1"/>
    <col min="15108" max="15108" width="3.28515625" style="99" customWidth="1"/>
    <col min="15109" max="15111" width="15.28515625" style="99" customWidth="1"/>
    <col min="15112" max="15112" width="14" style="99" customWidth="1"/>
    <col min="15113" max="15113" width="14.28515625" style="99" customWidth="1"/>
    <col min="15114" max="15114" width="11.85546875" style="99" customWidth="1"/>
    <col min="15115" max="15115" width="14.42578125" style="99" customWidth="1"/>
    <col min="15116" max="15116" width="12.5703125" style="99" customWidth="1"/>
    <col min="15117" max="15119" width="15.28515625" style="99" customWidth="1"/>
    <col min="15120" max="15120" width="12.42578125" style="99" customWidth="1"/>
    <col min="15121" max="15121" width="15.28515625" style="99" customWidth="1"/>
    <col min="15122" max="15360" width="8.85546875" style="99"/>
    <col min="15361" max="15361" width="5.28515625" style="99" customWidth="1"/>
    <col min="15362" max="15362" width="37.28515625" style="99" bestFit="1" customWidth="1"/>
    <col min="15363" max="15363" width="15.28515625" style="99" customWidth="1"/>
    <col min="15364" max="15364" width="3.28515625" style="99" customWidth="1"/>
    <col min="15365" max="15367" width="15.28515625" style="99" customWidth="1"/>
    <col min="15368" max="15368" width="14" style="99" customWidth="1"/>
    <col min="15369" max="15369" width="14.28515625" style="99" customWidth="1"/>
    <col min="15370" max="15370" width="11.85546875" style="99" customWidth="1"/>
    <col min="15371" max="15371" width="14.42578125" style="99" customWidth="1"/>
    <col min="15372" max="15372" width="12.5703125" style="99" customWidth="1"/>
    <col min="15373" max="15375" width="15.28515625" style="99" customWidth="1"/>
    <col min="15376" max="15376" width="12.42578125" style="99" customWidth="1"/>
    <col min="15377" max="15377" width="15.28515625" style="99" customWidth="1"/>
    <col min="15378" max="15616" width="8.85546875" style="99"/>
    <col min="15617" max="15617" width="5.28515625" style="99" customWidth="1"/>
    <col min="15618" max="15618" width="37.28515625" style="99" bestFit="1" customWidth="1"/>
    <col min="15619" max="15619" width="15.28515625" style="99" customWidth="1"/>
    <col min="15620" max="15620" width="3.28515625" style="99" customWidth="1"/>
    <col min="15621" max="15623" width="15.28515625" style="99" customWidth="1"/>
    <col min="15624" max="15624" width="14" style="99" customWidth="1"/>
    <col min="15625" max="15625" width="14.28515625" style="99" customWidth="1"/>
    <col min="15626" max="15626" width="11.85546875" style="99" customWidth="1"/>
    <col min="15627" max="15627" width="14.42578125" style="99" customWidth="1"/>
    <col min="15628" max="15628" width="12.5703125" style="99" customWidth="1"/>
    <col min="15629" max="15631" width="15.28515625" style="99" customWidth="1"/>
    <col min="15632" max="15632" width="12.42578125" style="99" customWidth="1"/>
    <col min="15633" max="15633" width="15.28515625" style="99" customWidth="1"/>
    <col min="15634" max="15872" width="8.85546875" style="99"/>
    <col min="15873" max="15873" width="5.28515625" style="99" customWidth="1"/>
    <col min="15874" max="15874" width="37.28515625" style="99" bestFit="1" customWidth="1"/>
    <col min="15875" max="15875" width="15.28515625" style="99" customWidth="1"/>
    <col min="15876" max="15876" width="3.28515625" style="99" customWidth="1"/>
    <col min="15877" max="15879" width="15.28515625" style="99" customWidth="1"/>
    <col min="15880" max="15880" width="14" style="99" customWidth="1"/>
    <col min="15881" max="15881" width="14.28515625" style="99" customWidth="1"/>
    <col min="15882" max="15882" width="11.85546875" style="99" customWidth="1"/>
    <col min="15883" max="15883" width="14.42578125" style="99" customWidth="1"/>
    <col min="15884" max="15884" width="12.5703125" style="99" customWidth="1"/>
    <col min="15885" max="15887" width="15.28515625" style="99" customWidth="1"/>
    <col min="15888" max="15888" width="12.42578125" style="99" customWidth="1"/>
    <col min="15889" max="15889" width="15.28515625" style="99" customWidth="1"/>
    <col min="15890" max="16128" width="8.85546875" style="99"/>
    <col min="16129" max="16129" width="5.28515625" style="99" customWidth="1"/>
    <col min="16130" max="16130" width="37.28515625" style="99" bestFit="1" customWidth="1"/>
    <col min="16131" max="16131" width="15.28515625" style="99" customWidth="1"/>
    <col min="16132" max="16132" width="3.28515625" style="99" customWidth="1"/>
    <col min="16133" max="16135" width="15.28515625" style="99" customWidth="1"/>
    <col min="16136" max="16136" width="14" style="99" customWidth="1"/>
    <col min="16137" max="16137" width="14.28515625" style="99" customWidth="1"/>
    <col min="16138" max="16138" width="11.85546875" style="99" customWidth="1"/>
    <col min="16139" max="16139" width="14.42578125" style="99" customWidth="1"/>
    <col min="16140" max="16140" width="12.5703125" style="99" customWidth="1"/>
    <col min="16141" max="16143" width="15.28515625" style="99" customWidth="1"/>
    <col min="16144" max="16144" width="12.42578125" style="99" customWidth="1"/>
    <col min="16145" max="16145" width="15.28515625" style="99" customWidth="1"/>
    <col min="16146" max="16384" width="8.85546875" style="99"/>
  </cols>
  <sheetData>
    <row r="1" spans="1:18" ht="13.15" x14ac:dyDescent="0.25">
      <c r="A1" s="243" t="s">
        <v>16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8" ht="13.15" x14ac:dyDescent="0.25">
      <c r="A2" s="243" t="s">
        <v>99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</row>
    <row r="3" spans="1:18" x14ac:dyDescent="0.2">
      <c r="A3" s="243" t="s">
        <v>100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</row>
    <row r="4" spans="1:18" ht="13.15" customHeight="1" x14ac:dyDescent="0.2">
      <c r="A4" s="243" t="s">
        <v>129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</row>
    <row r="6" spans="1:18" ht="39.6" x14ac:dyDescent="0.25">
      <c r="A6" s="100" t="s">
        <v>15</v>
      </c>
      <c r="B6" s="100" t="s">
        <v>101</v>
      </c>
      <c r="C6" s="100" t="s">
        <v>102</v>
      </c>
      <c r="D6" s="100"/>
      <c r="E6" s="100" t="s">
        <v>103</v>
      </c>
      <c r="F6" s="100" t="s">
        <v>104</v>
      </c>
      <c r="G6" s="100" t="s">
        <v>105</v>
      </c>
      <c r="H6" s="100" t="s">
        <v>106</v>
      </c>
      <c r="I6" s="100" t="s">
        <v>107</v>
      </c>
      <c r="J6" s="100" t="s">
        <v>108</v>
      </c>
      <c r="K6" s="100" t="s">
        <v>109</v>
      </c>
      <c r="L6" s="100" t="s">
        <v>110</v>
      </c>
      <c r="M6" s="100" t="s">
        <v>111</v>
      </c>
      <c r="N6" s="100" t="s">
        <v>112</v>
      </c>
      <c r="O6" s="100" t="s">
        <v>113</v>
      </c>
      <c r="P6" s="100" t="s">
        <v>114</v>
      </c>
      <c r="Q6" s="100" t="s">
        <v>115</v>
      </c>
    </row>
    <row r="7" spans="1:18" ht="12.75" customHeight="1" x14ac:dyDescent="0.25">
      <c r="A7" s="101"/>
      <c r="B7" s="102" t="s">
        <v>13</v>
      </c>
      <c r="C7" s="102" t="s">
        <v>12</v>
      </c>
      <c r="D7" s="102"/>
      <c r="E7" s="102" t="s">
        <v>11</v>
      </c>
      <c r="F7" s="102" t="s">
        <v>10</v>
      </c>
      <c r="G7" s="102" t="s">
        <v>9</v>
      </c>
      <c r="H7" s="102" t="s">
        <v>7</v>
      </c>
      <c r="I7" s="102" t="s">
        <v>6</v>
      </c>
      <c r="J7" s="102" t="s">
        <v>5</v>
      </c>
      <c r="K7" s="102" t="s">
        <v>4</v>
      </c>
      <c r="L7" s="102" t="s">
        <v>3</v>
      </c>
      <c r="M7" s="102" t="s">
        <v>2</v>
      </c>
      <c r="N7" s="102" t="s">
        <v>1</v>
      </c>
      <c r="O7" s="102" t="s">
        <v>0</v>
      </c>
      <c r="P7" s="102" t="s">
        <v>19</v>
      </c>
      <c r="Q7" s="102" t="s">
        <v>116</v>
      </c>
    </row>
    <row r="8" spans="1:18" ht="12.75" customHeight="1" x14ac:dyDescent="0.25">
      <c r="C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</row>
    <row r="9" spans="1:18" ht="12.75" customHeight="1" x14ac:dyDescent="0.25">
      <c r="A9" s="104">
        <v>1</v>
      </c>
      <c r="B9" s="105" t="s">
        <v>130</v>
      </c>
      <c r="C9" s="106">
        <v>22311829039.999996</v>
      </c>
      <c r="D9" s="106"/>
      <c r="E9" s="106">
        <v>11362694034.5944</v>
      </c>
      <c r="F9" s="106">
        <v>2983833723.3713889</v>
      </c>
      <c r="G9" s="106">
        <v>3080584885.4856691</v>
      </c>
      <c r="H9" s="106">
        <v>2051022389.543107</v>
      </c>
      <c r="I9" s="106">
        <v>1342870567.1184549</v>
      </c>
      <c r="J9" s="106">
        <v>4594563.3633324662</v>
      </c>
      <c r="K9" s="106">
        <v>124979540.86316925</v>
      </c>
      <c r="L9" s="106">
        <v>639599439.09802258</v>
      </c>
      <c r="M9" s="106">
        <v>632887813.72208166</v>
      </c>
      <c r="N9" s="106">
        <v>0</v>
      </c>
      <c r="O9" s="106">
        <v>0</v>
      </c>
      <c r="P9" s="106">
        <v>81534389.017231286</v>
      </c>
      <c r="Q9" s="106">
        <v>7227693.8231415441</v>
      </c>
      <c r="R9" s="107"/>
    </row>
    <row r="10" spans="1:18" ht="12.75" customHeight="1" x14ac:dyDescent="0.25">
      <c r="A10" s="104">
        <f t="shared" ref="A10:A30" si="0">+A9+1</f>
        <v>2</v>
      </c>
      <c r="B10" s="105" t="s">
        <v>131</v>
      </c>
      <c r="C10" s="106">
        <v>3941657.8585261339</v>
      </c>
      <c r="D10" s="106"/>
      <c r="E10" s="106">
        <v>2401760.8159533199</v>
      </c>
      <c r="F10" s="106">
        <v>483797.35950569448</v>
      </c>
      <c r="G10" s="106">
        <v>452472.55815379717</v>
      </c>
      <c r="H10" s="106">
        <v>261562.891393383</v>
      </c>
      <c r="I10" s="106">
        <v>179157.07260351363</v>
      </c>
      <c r="J10" s="106">
        <v>4.0419526549894496</v>
      </c>
      <c r="K10" s="106">
        <v>0</v>
      </c>
      <c r="L10" s="106">
        <v>80420.565981487191</v>
      </c>
      <c r="M10" s="106">
        <v>67179.705291231017</v>
      </c>
      <c r="N10" s="106">
        <v>0</v>
      </c>
      <c r="O10" s="106">
        <v>0</v>
      </c>
      <c r="P10" s="106">
        <v>13772.381425311305</v>
      </c>
      <c r="Q10" s="106">
        <v>1530.4662657410647</v>
      </c>
    </row>
    <row r="11" spans="1:18" ht="12.75" customHeight="1" x14ac:dyDescent="0.25">
      <c r="A11" s="104">
        <f t="shared" si="0"/>
        <v>3</v>
      </c>
      <c r="B11" s="108" t="s">
        <v>117</v>
      </c>
      <c r="C11" s="109">
        <f>SUM(E11:Q11)</f>
        <v>1.0000000000000002</v>
      </c>
      <c r="D11" s="110"/>
      <c r="E11" s="109">
        <f t="shared" ref="E11:Q11" si="1">(E9/$C$9*$C$12+E10/$C$10*$C$13)</f>
        <v>0.53428267414961672</v>
      </c>
      <c r="F11" s="109">
        <f t="shared" si="1"/>
        <v>0.13098483852655646</v>
      </c>
      <c r="G11" s="109">
        <f t="shared" si="1"/>
        <v>0.13225029791791532</v>
      </c>
      <c r="H11" s="109">
        <f t="shared" si="1"/>
        <v>8.5533651911442882E-2</v>
      </c>
      <c r="I11" s="109">
        <f t="shared" si="1"/>
        <v>5.6502917113085652E-2</v>
      </c>
      <c r="J11" s="109">
        <f t="shared" si="1"/>
        <v>1.5470011013980859E-4</v>
      </c>
      <c r="K11" s="109">
        <f t="shared" si="1"/>
        <v>4.2011193022020825E-3</v>
      </c>
      <c r="L11" s="109">
        <f t="shared" si="1"/>
        <v>2.6600468875824963E-2</v>
      </c>
      <c r="M11" s="109">
        <f t="shared" si="1"/>
        <v>2.5535058472508355E-2</v>
      </c>
      <c r="N11" s="109">
        <f t="shared" si="1"/>
        <v>0</v>
      </c>
      <c r="O11" s="109">
        <f t="shared" si="1"/>
        <v>0</v>
      </c>
      <c r="P11" s="109">
        <f t="shared" si="1"/>
        <v>3.614248664337222E-3</v>
      </c>
      <c r="Q11" s="109">
        <f t="shared" si="1"/>
        <v>3.4002495637072092E-4</v>
      </c>
    </row>
    <row r="12" spans="1:18" ht="12.75" customHeight="1" x14ac:dyDescent="0.25">
      <c r="A12" s="104">
        <f t="shared" si="0"/>
        <v>4</v>
      </c>
      <c r="B12" s="111" t="s">
        <v>118</v>
      </c>
      <c r="C12" s="112">
        <v>0.75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8" ht="12.75" customHeight="1" x14ac:dyDescent="0.25">
      <c r="A13" s="104">
        <f t="shared" si="0"/>
        <v>5</v>
      </c>
      <c r="B13" s="111" t="s">
        <v>119</v>
      </c>
      <c r="C13" s="112">
        <v>0.25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8" ht="12.75" customHeight="1" x14ac:dyDescent="0.25">
      <c r="A14" s="104">
        <f t="shared" si="0"/>
        <v>6</v>
      </c>
      <c r="C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8" ht="12.75" customHeight="1" x14ac:dyDescent="0.25">
      <c r="A15" s="104">
        <f t="shared" si="0"/>
        <v>7</v>
      </c>
      <c r="B15" s="108" t="s">
        <v>132</v>
      </c>
      <c r="C15" s="113">
        <f>SUM(E15:Q15)</f>
        <v>2108200587.7086906</v>
      </c>
      <c r="E15" s="114">
        <v>1199530845.961303</v>
      </c>
      <c r="F15" s="114">
        <v>267214405.57393074</v>
      </c>
      <c r="G15" s="114">
        <v>251912322.65464625</v>
      </c>
      <c r="H15" s="114">
        <v>153008096.02665669</v>
      </c>
      <c r="I15" s="114">
        <v>104103146.19852759</v>
      </c>
      <c r="J15" s="114">
        <v>429180.35752772924</v>
      </c>
      <c r="K15" s="114">
        <v>10935459.949142268</v>
      </c>
      <c r="L15" s="114">
        <v>46953616.608873129</v>
      </c>
      <c r="M15" s="114">
        <v>42557366.967938654</v>
      </c>
      <c r="N15" s="114">
        <v>1121279.5765295029</v>
      </c>
      <c r="O15" s="114">
        <v>11216018.725058943</v>
      </c>
      <c r="P15" s="114">
        <v>18495472.952828079</v>
      </c>
      <c r="Q15" s="114">
        <v>723376.15572802676</v>
      </c>
    </row>
    <row r="16" spans="1:18" ht="12.75" customHeight="1" x14ac:dyDescent="0.25">
      <c r="A16" s="104">
        <f t="shared" si="0"/>
        <v>8</v>
      </c>
      <c r="B16" s="10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7" ht="12.75" customHeight="1" x14ac:dyDescent="0.25">
      <c r="A17" s="104">
        <f t="shared" si="0"/>
        <v>9</v>
      </c>
      <c r="B17" s="105" t="s">
        <v>133</v>
      </c>
      <c r="C17" s="113">
        <f>SUM(E17:Q17)</f>
        <v>111225825.98513673</v>
      </c>
      <c r="E17" s="114">
        <v>60792526.492355719</v>
      </c>
      <c r="F17" s="114">
        <v>16929189.203066148</v>
      </c>
      <c r="G17" s="114">
        <v>11900165.035182636</v>
      </c>
      <c r="H17" s="114">
        <v>7202400.4051362295</v>
      </c>
      <c r="I17" s="114">
        <v>5549720.1749180267</v>
      </c>
      <c r="J17" s="114">
        <v>22319.875382678936</v>
      </c>
      <c r="K17" s="114">
        <v>479441.21714901226</v>
      </c>
      <c r="L17" s="114">
        <v>2170923.4248753381</v>
      </c>
      <c r="M17" s="114">
        <v>4835975.8716102857</v>
      </c>
      <c r="N17" s="114">
        <v>2850.6248341625537</v>
      </c>
      <c r="O17" s="114">
        <v>875638.69411477575</v>
      </c>
      <c r="P17" s="114">
        <v>425733.74896333064</v>
      </c>
      <c r="Q17" s="114">
        <v>38941.217548381959</v>
      </c>
    </row>
    <row r="18" spans="1:17" ht="12.75" customHeight="1" x14ac:dyDescent="0.25">
      <c r="A18" s="104">
        <f t="shared" si="0"/>
        <v>10</v>
      </c>
      <c r="C18" s="113"/>
    </row>
    <row r="19" spans="1:17" ht="12.75" customHeight="1" x14ac:dyDescent="0.25">
      <c r="A19" s="104">
        <f t="shared" si="0"/>
        <v>11</v>
      </c>
      <c r="B19" s="105" t="s">
        <v>120</v>
      </c>
      <c r="C19" s="125">
        <v>556740939.36561978</v>
      </c>
      <c r="E19" s="54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ht="12.75" customHeight="1" x14ac:dyDescent="0.25">
      <c r="A20" s="104">
        <f t="shared" si="0"/>
        <v>12</v>
      </c>
      <c r="B20" s="105"/>
      <c r="C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7" ht="12.75" customHeight="1" x14ac:dyDescent="0.25">
      <c r="A21" s="104">
        <f t="shared" si="0"/>
        <v>13</v>
      </c>
      <c r="B21" s="105" t="s">
        <v>121</v>
      </c>
      <c r="C21" s="125">
        <f>('(JAP4) Rate Spread'!D34-'(JAP4) Rate Spread'!D26)*'Exhibit A-1'!G43</f>
        <v>724517480.87919581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 ht="12.75" customHeight="1" x14ac:dyDescent="0.25">
      <c r="A22" s="104">
        <f t="shared" si="0"/>
        <v>14</v>
      </c>
      <c r="B22" s="105"/>
      <c r="C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7" ht="12.75" customHeight="1" x14ac:dyDescent="0.25">
      <c r="A23" s="104">
        <f t="shared" si="0"/>
        <v>15</v>
      </c>
      <c r="B23" s="116" t="s">
        <v>122</v>
      </c>
      <c r="C23" s="113">
        <f>SUM(E23:Q23)</f>
        <v>556740939.3656199</v>
      </c>
      <c r="D23" s="115"/>
      <c r="E23" s="113">
        <f t="shared" ref="E23:Q23" si="2">+$C$19*E$11</f>
        <v>297457037.89283293</v>
      </c>
      <c r="F23" s="113">
        <f t="shared" si="2"/>
        <v>72924622.04392907</v>
      </c>
      <c r="G23" s="113">
        <f t="shared" si="2"/>
        <v>73629155.094203249</v>
      </c>
      <c r="H23" s="113">
        <f t="shared" si="2"/>
        <v>47620085.712548651</v>
      </c>
      <c r="I23" s="113">
        <f t="shared" si="2"/>
        <v>31457487.150437061</v>
      </c>
      <c r="J23" s="113">
        <f t="shared" si="2"/>
        <v>86127.884639201875</v>
      </c>
      <c r="K23" s="113">
        <f t="shared" si="2"/>
        <v>2338935.1066950243</v>
      </c>
      <c r="L23" s="113">
        <f t="shared" si="2"/>
        <v>14809570.029492723</v>
      </c>
      <c r="M23" s="113">
        <f t="shared" si="2"/>
        <v>14216412.44074033</v>
      </c>
      <c r="N23" s="113">
        <f t="shared" si="2"/>
        <v>0</v>
      </c>
      <c r="O23" s="113">
        <f t="shared" si="2"/>
        <v>0</v>
      </c>
      <c r="P23" s="113">
        <f t="shared" si="2"/>
        <v>2012200.1964840416</v>
      </c>
      <c r="Q23" s="113">
        <f t="shared" si="2"/>
        <v>189305.81361758904</v>
      </c>
    </row>
    <row r="24" spans="1:17" ht="12.75" customHeight="1" x14ac:dyDescent="0.25">
      <c r="A24" s="104">
        <f t="shared" si="0"/>
        <v>16</v>
      </c>
      <c r="B24" s="116" t="s">
        <v>123</v>
      </c>
      <c r="C24" s="113">
        <f>SUM(E24:Q24)</f>
        <v>724517480.87919605</v>
      </c>
      <c r="D24" s="115"/>
      <c r="E24" s="113">
        <f t="shared" ref="E24:Q24" si="3">+$C$21*E$11</f>
        <v>387097137.15228051</v>
      </c>
      <c r="F24" s="113">
        <f t="shared" si="3"/>
        <v>94900805.242628917</v>
      </c>
      <c r="G24" s="113">
        <f t="shared" si="3"/>
        <v>95817652.693011165</v>
      </c>
      <c r="H24" s="113">
        <f t="shared" si="3"/>
        <v>61970626.013276607</v>
      </c>
      <c r="I24" s="113">
        <f t="shared" si="3"/>
        <v>40937351.169098817</v>
      </c>
      <c r="J24" s="113">
        <f t="shared" si="3"/>
        <v>112082.93409022826</v>
      </c>
      <c r="K24" s="113">
        <f t="shared" si="3"/>
        <v>3043784.3737044176</v>
      </c>
      <c r="L24" s="113">
        <f t="shared" si="3"/>
        <v>19272504.700118154</v>
      </c>
      <c r="M24" s="113">
        <f t="shared" si="3"/>
        <v>18500596.238604721</v>
      </c>
      <c r="N24" s="113">
        <f t="shared" si="3"/>
        <v>0</v>
      </c>
      <c r="O24" s="113">
        <f t="shared" si="3"/>
        <v>0</v>
      </c>
      <c r="P24" s="113">
        <f t="shared" si="3"/>
        <v>2618586.3375566024</v>
      </c>
      <c r="Q24" s="113">
        <f t="shared" si="3"/>
        <v>246354.02482577317</v>
      </c>
    </row>
    <row r="25" spans="1:17" ht="12.75" customHeight="1" x14ac:dyDescent="0.25">
      <c r="A25" s="104">
        <f t="shared" si="0"/>
        <v>17</v>
      </c>
      <c r="B25" s="117" t="s">
        <v>124</v>
      </c>
      <c r="C25" s="113">
        <f>SUM(E25:Q25)</f>
        <v>1281258420.2448158</v>
      </c>
      <c r="D25" s="115"/>
      <c r="E25" s="113">
        <f t="shared" ref="E25:Q25" si="4">SUM(E23:E24)</f>
        <v>684554175.04511344</v>
      </c>
      <c r="F25" s="113">
        <f t="shared" si="4"/>
        <v>167825427.28655797</v>
      </c>
      <c r="G25" s="113">
        <f t="shared" si="4"/>
        <v>169446807.7872144</v>
      </c>
      <c r="H25" s="113">
        <f t="shared" si="4"/>
        <v>109590711.72582525</v>
      </c>
      <c r="I25" s="113">
        <f t="shared" si="4"/>
        <v>72394838.319535881</v>
      </c>
      <c r="J25" s="113">
        <f t="shared" si="4"/>
        <v>198210.81872943015</v>
      </c>
      <c r="K25" s="113">
        <f t="shared" si="4"/>
        <v>5382719.4803994419</v>
      </c>
      <c r="L25" s="113">
        <f t="shared" si="4"/>
        <v>34082074.729610875</v>
      </c>
      <c r="M25" s="113">
        <f t="shared" si="4"/>
        <v>32717008.679345049</v>
      </c>
      <c r="N25" s="113">
        <f t="shared" si="4"/>
        <v>0</v>
      </c>
      <c r="O25" s="113">
        <f t="shared" si="4"/>
        <v>0</v>
      </c>
      <c r="P25" s="113">
        <f t="shared" si="4"/>
        <v>4630786.5340406438</v>
      </c>
      <c r="Q25" s="113">
        <f t="shared" si="4"/>
        <v>435659.83844336221</v>
      </c>
    </row>
    <row r="26" spans="1:17" ht="12.75" customHeight="1" x14ac:dyDescent="0.25">
      <c r="A26" s="104">
        <f t="shared" si="0"/>
        <v>18</v>
      </c>
      <c r="B26" s="105"/>
      <c r="C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7" s="115" customFormat="1" ht="12.75" customHeight="1" x14ac:dyDescent="0.25">
      <c r="A27" s="104">
        <f t="shared" si="0"/>
        <v>19</v>
      </c>
      <c r="B27" s="118" t="s">
        <v>125</v>
      </c>
    </row>
    <row r="28" spans="1:17" s="115" customFormat="1" ht="12.75" customHeight="1" x14ac:dyDescent="0.25">
      <c r="A28" s="104">
        <f t="shared" si="0"/>
        <v>20</v>
      </c>
      <c r="B28" s="118" t="s">
        <v>126</v>
      </c>
      <c r="C28" s="119">
        <f>SUM(E28:Q28)</f>
        <v>0.74999999999999989</v>
      </c>
      <c r="D28" s="119"/>
      <c r="E28" s="119">
        <f t="shared" ref="E28:Q28" si="5">ROUND(+$C$12*E9/$C$9,6)</f>
        <v>0.38195099999999998</v>
      </c>
      <c r="F28" s="119">
        <f t="shared" si="5"/>
        <v>0.1003</v>
      </c>
      <c r="G28" s="119">
        <f t="shared" si="5"/>
        <v>0.10355200000000001</v>
      </c>
      <c r="H28" s="119">
        <f t="shared" si="5"/>
        <v>6.8944000000000005E-2</v>
      </c>
      <c r="I28" s="119">
        <f t="shared" si="5"/>
        <v>4.514E-2</v>
      </c>
      <c r="J28" s="119">
        <f t="shared" si="5"/>
        <v>1.54E-4</v>
      </c>
      <c r="K28" s="119">
        <f t="shared" si="5"/>
        <v>4.2009999999999999E-3</v>
      </c>
      <c r="L28" s="119">
        <f t="shared" si="5"/>
        <v>2.1499999999999998E-2</v>
      </c>
      <c r="M28" s="119">
        <f t="shared" si="5"/>
        <v>2.1274000000000001E-2</v>
      </c>
      <c r="N28" s="119">
        <f t="shared" si="5"/>
        <v>0</v>
      </c>
      <c r="O28" s="119">
        <f t="shared" si="5"/>
        <v>0</v>
      </c>
      <c r="P28" s="119">
        <f t="shared" si="5"/>
        <v>2.7409999999999999E-3</v>
      </c>
      <c r="Q28" s="119">
        <f t="shared" si="5"/>
        <v>2.43E-4</v>
      </c>
    </row>
    <row r="29" spans="1:17" s="115" customFormat="1" ht="12.75" customHeight="1" x14ac:dyDescent="0.25">
      <c r="A29" s="104">
        <f t="shared" si="0"/>
        <v>21</v>
      </c>
      <c r="B29" s="118" t="s">
        <v>127</v>
      </c>
      <c r="C29" s="119">
        <f>SUM(E29:Q29)</f>
        <v>0.25</v>
      </c>
      <c r="D29" s="119"/>
      <c r="E29" s="119">
        <f>ROUND(+$C$13*E10/$C$10,6)-0.000001</f>
        <v>0.15233099999999999</v>
      </c>
      <c r="F29" s="119">
        <f t="shared" ref="F29:Q29" si="6">ROUND(+$C$13*F10/$C$10,6)</f>
        <v>3.0685E-2</v>
      </c>
      <c r="G29" s="119">
        <f t="shared" si="6"/>
        <v>2.8698000000000001E-2</v>
      </c>
      <c r="H29" s="119">
        <f t="shared" si="6"/>
        <v>1.6590000000000001E-2</v>
      </c>
      <c r="I29" s="119">
        <f t="shared" si="6"/>
        <v>1.1363E-2</v>
      </c>
      <c r="J29" s="119">
        <f t="shared" si="6"/>
        <v>0</v>
      </c>
      <c r="K29" s="119">
        <f t="shared" si="6"/>
        <v>0</v>
      </c>
      <c r="L29" s="119">
        <f t="shared" si="6"/>
        <v>5.1009999999999996E-3</v>
      </c>
      <c r="M29" s="119">
        <f t="shared" si="6"/>
        <v>4.261E-3</v>
      </c>
      <c r="N29" s="119">
        <f t="shared" si="6"/>
        <v>0</v>
      </c>
      <c r="O29" s="119">
        <f t="shared" si="6"/>
        <v>0</v>
      </c>
      <c r="P29" s="119">
        <f t="shared" si="6"/>
        <v>8.7399999999999999E-4</v>
      </c>
      <c r="Q29" s="119">
        <f t="shared" si="6"/>
        <v>9.7E-5</v>
      </c>
    </row>
    <row r="30" spans="1:17" s="115" customFormat="1" ht="12.75" customHeight="1" x14ac:dyDescent="0.25">
      <c r="A30" s="104">
        <f t="shared" si="0"/>
        <v>22</v>
      </c>
      <c r="B30" s="118" t="s">
        <v>128</v>
      </c>
      <c r="C30" s="119">
        <f>SUM(E30:Q30)</f>
        <v>0.99999999999999989</v>
      </c>
      <c r="E30" s="119">
        <f t="shared" ref="E30:Q30" si="7">SUM(E28:E29)</f>
        <v>0.53428199999999992</v>
      </c>
      <c r="F30" s="119">
        <f t="shared" si="7"/>
        <v>0.13098499999999999</v>
      </c>
      <c r="G30" s="119">
        <f t="shared" si="7"/>
        <v>0.13225000000000001</v>
      </c>
      <c r="H30" s="119">
        <f t="shared" si="7"/>
        <v>8.5533999999999999E-2</v>
      </c>
      <c r="I30" s="119">
        <f t="shared" si="7"/>
        <v>5.6502999999999998E-2</v>
      </c>
      <c r="J30" s="119">
        <f t="shared" si="7"/>
        <v>1.54E-4</v>
      </c>
      <c r="K30" s="119">
        <f t="shared" si="7"/>
        <v>4.2009999999999999E-3</v>
      </c>
      <c r="L30" s="119">
        <f t="shared" si="7"/>
        <v>2.6601E-2</v>
      </c>
      <c r="M30" s="119">
        <f t="shared" si="7"/>
        <v>2.5535000000000002E-2</v>
      </c>
      <c r="N30" s="119">
        <f t="shared" si="7"/>
        <v>0</v>
      </c>
      <c r="O30" s="119">
        <f t="shared" si="7"/>
        <v>0</v>
      </c>
      <c r="P30" s="119">
        <f t="shared" si="7"/>
        <v>3.6150000000000002E-3</v>
      </c>
      <c r="Q30" s="119">
        <f t="shared" si="7"/>
        <v>3.4000000000000002E-4</v>
      </c>
    </row>
    <row r="31" spans="1:17" s="115" customFormat="1" ht="13.15" x14ac:dyDescent="0.25">
      <c r="A31" s="104"/>
    </row>
    <row r="32" spans="1:17" ht="13.15" x14ac:dyDescent="0.25">
      <c r="A32" s="120"/>
    </row>
    <row r="33" spans="1:1" ht="13.15" x14ac:dyDescent="0.25">
      <c r="A33" s="120"/>
    </row>
    <row r="34" spans="1:1" ht="13.15" x14ac:dyDescent="0.25">
      <c r="A34" s="120"/>
    </row>
    <row r="35" spans="1:1" x14ac:dyDescent="0.2">
      <c r="A35" s="120"/>
    </row>
    <row r="36" spans="1:1" x14ac:dyDescent="0.2">
      <c r="A36" s="120"/>
    </row>
    <row r="37" spans="1:1" x14ac:dyDescent="0.2">
      <c r="A37" s="120"/>
    </row>
    <row r="38" spans="1:1" x14ac:dyDescent="0.2">
      <c r="A38" s="120"/>
    </row>
    <row r="39" spans="1:1" x14ac:dyDescent="0.2">
      <c r="A39" s="120"/>
    </row>
    <row r="40" spans="1:1" x14ac:dyDescent="0.2">
      <c r="A40" s="120"/>
    </row>
    <row r="41" spans="1:1" x14ac:dyDescent="0.2">
      <c r="A41" s="120"/>
    </row>
    <row r="42" spans="1:1" x14ac:dyDescent="0.2">
      <c r="A42" s="120"/>
    </row>
    <row r="43" spans="1:1" x14ac:dyDescent="0.2">
      <c r="A43" s="120"/>
    </row>
    <row r="44" spans="1:1" x14ac:dyDescent="0.2">
      <c r="A44" s="120"/>
    </row>
    <row r="45" spans="1:1" x14ac:dyDescent="0.2">
      <c r="A45" s="120"/>
    </row>
    <row r="46" spans="1:1" x14ac:dyDescent="0.2">
      <c r="A46" s="120"/>
    </row>
    <row r="47" spans="1:1" x14ac:dyDescent="0.2">
      <c r="A47" s="120"/>
    </row>
  </sheetData>
  <mergeCells count="4">
    <mergeCell ref="A1:Q1"/>
    <mergeCell ref="A2:Q2"/>
    <mergeCell ref="A3:Q3"/>
    <mergeCell ref="A4:Q4"/>
  </mergeCells>
  <printOptions horizontalCentered="1"/>
  <pageMargins left="0.5" right="0.5" top="0.57999999999999996" bottom="0.72" header="0.22" footer="0.46"/>
  <pageSetup scale="49" pageOrder="overThenDown" orientation="landscape" blackAndWhite="1" r:id="rId1"/>
  <headerFooter alignWithMargins="0">
    <oddFooter>&amp;L&amp;F
&amp;A&amp;C&amp;P&amp;R&amp;D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zoomScaleNormal="100" workbookViewId="0">
      <selection activeCell="M46" sqref="M46"/>
    </sheetView>
  </sheetViews>
  <sheetFormatPr defaultRowHeight="15" x14ac:dyDescent="0.25"/>
  <cols>
    <col min="1" max="1" width="8.140625" customWidth="1"/>
    <col min="2" max="2" width="41.7109375" customWidth="1"/>
    <col min="3" max="3" width="17.42578125" customWidth="1"/>
    <col min="4" max="4" width="12.5703125" customWidth="1"/>
    <col min="5" max="5" width="5.42578125" customWidth="1"/>
    <col min="6" max="7" width="15.85546875" customWidth="1"/>
  </cols>
  <sheetData>
    <row r="1" spans="1:7" ht="17.45" x14ac:dyDescent="0.3">
      <c r="A1" s="126" t="s">
        <v>134</v>
      </c>
      <c r="B1" s="115"/>
      <c r="C1" s="127"/>
      <c r="D1" s="127"/>
      <c r="E1" s="127"/>
      <c r="F1" s="127"/>
      <c r="G1" s="128" t="s">
        <v>135</v>
      </c>
    </row>
    <row r="2" spans="1:7" ht="18" x14ac:dyDescent="0.25">
      <c r="A2" s="129" t="s">
        <v>136</v>
      </c>
      <c r="B2" s="130"/>
      <c r="C2" s="127"/>
      <c r="D2" s="127"/>
      <c r="E2" s="127"/>
      <c r="F2" s="127"/>
      <c r="G2" s="238" t="s">
        <v>262</v>
      </c>
    </row>
    <row r="3" spans="1:7" ht="15.6" x14ac:dyDescent="0.3">
      <c r="A3" s="131"/>
      <c r="B3" s="130"/>
      <c r="C3" s="127"/>
      <c r="D3" s="132"/>
      <c r="E3" s="127"/>
      <c r="F3" s="127"/>
      <c r="G3" s="133"/>
    </row>
    <row r="4" spans="1:7" ht="14.45" x14ac:dyDescent="0.3">
      <c r="A4" s="134" t="s">
        <v>137</v>
      </c>
      <c r="B4" s="135"/>
      <c r="C4" s="136" t="s">
        <v>138</v>
      </c>
      <c r="D4" s="137"/>
      <c r="E4" s="137"/>
      <c r="F4" s="137"/>
      <c r="G4" s="137"/>
    </row>
    <row r="5" spans="1:7" ht="14.45" x14ac:dyDescent="0.3">
      <c r="A5" s="134">
        <v>3</v>
      </c>
      <c r="B5" s="138" t="s">
        <v>139</v>
      </c>
      <c r="C5" s="139">
        <v>199079031.3739852</v>
      </c>
      <c r="D5" s="127"/>
      <c r="E5" s="140"/>
      <c r="F5" s="140"/>
      <c r="G5" s="140"/>
    </row>
    <row r="6" spans="1:7" ht="14.45" x14ac:dyDescent="0.3">
      <c r="A6" s="134">
        <v>4</v>
      </c>
      <c r="B6" s="138" t="s">
        <v>140</v>
      </c>
      <c r="C6" s="141">
        <v>85738601.034227908</v>
      </c>
      <c r="D6" s="127"/>
      <c r="E6" s="140"/>
      <c r="F6" s="140"/>
      <c r="G6" s="140"/>
    </row>
    <row r="7" spans="1:7" ht="14.45" x14ac:dyDescent="0.3">
      <c r="A7" s="134">
        <v>5</v>
      </c>
      <c r="B7" s="138" t="s">
        <v>141</v>
      </c>
      <c r="C7" s="142">
        <v>1961447671.7378278</v>
      </c>
      <c r="D7" s="127"/>
      <c r="E7" s="140"/>
      <c r="F7" s="143"/>
      <c r="G7" s="144"/>
    </row>
    <row r="8" spans="1:7" ht="14.45" x14ac:dyDescent="0.3">
      <c r="A8" s="134">
        <v>6</v>
      </c>
      <c r="B8" s="145"/>
      <c r="C8" s="146">
        <f>SUM(C5:C7)</f>
        <v>2246265304.1460409</v>
      </c>
      <c r="D8" s="127"/>
      <c r="E8" s="134"/>
      <c r="F8" s="134"/>
      <c r="G8" s="137"/>
    </row>
    <row r="9" spans="1:7" ht="14.45" x14ac:dyDescent="0.3">
      <c r="A9" s="134">
        <v>7</v>
      </c>
      <c r="B9" s="138" t="s">
        <v>142</v>
      </c>
      <c r="C9" s="147">
        <v>6.9699999999999998E-2</v>
      </c>
      <c r="D9" s="148"/>
      <c r="E9" s="134"/>
      <c r="F9" s="134" t="s">
        <v>143</v>
      </c>
      <c r="G9" s="134" t="s">
        <v>144</v>
      </c>
    </row>
    <row r="10" spans="1:7" ht="14.45" x14ac:dyDescent="0.3">
      <c r="A10" s="134">
        <v>8</v>
      </c>
      <c r="B10" s="149"/>
      <c r="C10" s="140"/>
      <c r="D10" s="134" t="s">
        <v>145</v>
      </c>
      <c r="E10" s="134"/>
      <c r="F10" s="134" t="s">
        <v>146</v>
      </c>
      <c r="G10" s="134" t="s">
        <v>146</v>
      </c>
    </row>
    <row r="11" spans="1:7" ht="14.45" x14ac:dyDescent="0.3">
      <c r="A11" s="134">
        <v>9</v>
      </c>
      <c r="B11" s="150"/>
      <c r="C11" s="140"/>
      <c r="D11" s="151" t="s">
        <v>147</v>
      </c>
      <c r="E11" s="152" t="s">
        <v>148</v>
      </c>
      <c r="F11" s="152" t="s">
        <v>149</v>
      </c>
      <c r="G11" s="152" t="s">
        <v>150</v>
      </c>
    </row>
    <row r="12" spans="1:7" ht="14.45" x14ac:dyDescent="0.3">
      <c r="A12" s="134" t="s">
        <v>151</v>
      </c>
      <c r="B12" s="138"/>
      <c r="C12" s="151" t="s">
        <v>152</v>
      </c>
      <c r="D12" s="151" t="s">
        <v>153</v>
      </c>
      <c r="E12" s="151" t="s">
        <v>154</v>
      </c>
      <c r="F12" s="152" t="s">
        <v>155</v>
      </c>
      <c r="G12" s="152" t="s">
        <v>156</v>
      </c>
    </row>
    <row r="13" spans="1:7" ht="14.45" x14ac:dyDescent="0.3">
      <c r="A13" s="134">
        <v>10</v>
      </c>
      <c r="B13" s="138" t="s">
        <v>157</v>
      </c>
      <c r="C13" s="139">
        <v>17564314.5402111</v>
      </c>
      <c r="D13" s="153">
        <f t="shared" ref="D13:D34" si="0">+C13/$C$39</f>
        <v>0.8475674343154771</v>
      </c>
      <c r="E13" s="154" t="s">
        <v>158</v>
      </c>
      <c r="F13" s="139">
        <f>+C13</f>
        <v>17564314.5402111</v>
      </c>
      <c r="G13" s="155">
        <v>0</v>
      </c>
    </row>
    <row r="14" spans="1:7" ht="14.45" x14ac:dyDescent="0.3">
      <c r="A14" s="134" t="s">
        <v>159</v>
      </c>
      <c r="B14" s="138" t="s">
        <v>160</v>
      </c>
      <c r="C14" s="141">
        <v>4769481.1386719989</v>
      </c>
      <c r="D14" s="153">
        <f t="shared" si="0"/>
        <v>0.23015170233177235</v>
      </c>
      <c r="E14" s="154" t="s">
        <v>161</v>
      </c>
      <c r="F14" s="140"/>
      <c r="G14" s="143">
        <f>+C14</f>
        <v>4769481.1386719989</v>
      </c>
    </row>
    <row r="15" spans="1:7" ht="14.45" x14ac:dyDescent="0.3">
      <c r="A15" s="134">
        <v>11</v>
      </c>
      <c r="B15" s="145" t="s">
        <v>162</v>
      </c>
      <c r="C15" s="156">
        <v>7564532.2684628917</v>
      </c>
      <c r="D15" s="153">
        <f t="shared" si="0"/>
        <v>0.36502712314218622</v>
      </c>
      <c r="E15" s="154" t="s">
        <v>158</v>
      </c>
      <c r="F15" s="143">
        <f>+C15</f>
        <v>7564532.2684628917</v>
      </c>
      <c r="G15" s="140"/>
    </row>
    <row r="16" spans="1:7" ht="14.45" x14ac:dyDescent="0.3">
      <c r="A16" s="134">
        <v>12</v>
      </c>
      <c r="B16" s="145" t="s">
        <v>163</v>
      </c>
      <c r="C16" s="141">
        <v>173054307.24066657</v>
      </c>
      <c r="D16" s="153">
        <f t="shared" si="0"/>
        <v>8.3507497459932871</v>
      </c>
      <c r="E16" s="154" t="s">
        <v>158</v>
      </c>
      <c r="F16" s="141">
        <f>+C16</f>
        <v>173054307.24066657</v>
      </c>
      <c r="G16" s="140"/>
    </row>
    <row r="17" spans="1:7" ht="14.45" x14ac:dyDescent="0.3">
      <c r="A17" s="134">
        <v>13</v>
      </c>
      <c r="B17" s="145" t="s">
        <v>164</v>
      </c>
      <c r="C17" s="141">
        <v>69962949.456452519</v>
      </c>
      <c r="D17" s="153">
        <f t="shared" si="0"/>
        <v>3.3760678466668006</v>
      </c>
      <c r="E17" s="154" t="s">
        <v>161</v>
      </c>
      <c r="F17" s="141"/>
      <c r="G17" s="141">
        <f>+C17</f>
        <v>69962949.456452519</v>
      </c>
    </row>
    <row r="18" spans="1:7" ht="14.45" x14ac:dyDescent="0.3">
      <c r="A18" s="134">
        <v>14</v>
      </c>
      <c r="B18" s="145" t="s">
        <v>165</v>
      </c>
      <c r="C18" s="141">
        <v>378349379.60972166</v>
      </c>
      <c r="D18" s="153">
        <f t="shared" si="0"/>
        <v>18.257280249480782</v>
      </c>
      <c r="E18" s="154" t="s">
        <v>161</v>
      </c>
      <c r="F18" s="141"/>
      <c r="G18" s="141">
        <f>+C18</f>
        <v>378349379.60972166</v>
      </c>
    </row>
    <row r="19" spans="1:7" ht="14.45" x14ac:dyDescent="0.3">
      <c r="A19" s="134">
        <v>15</v>
      </c>
      <c r="B19" s="145" t="s">
        <v>166</v>
      </c>
      <c r="C19" s="141">
        <v>7238267.1874165451</v>
      </c>
      <c r="D19" s="153">
        <f t="shared" si="0"/>
        <v>0.34928317497864692</v>
      </c>
      <c r="E19" s="154" t="s">
        <v>158</v>
      </c>
      <c r="F19" s="141">
        <f>+C19</f>
        <v>7238267.1874165451</v>
      </c>
      <c r="G19" s="140"/>
    </row>
    <row r="20" spans="1:7" ht="14.45" x14ac:dyDescent="0.3">
      <c r="A20" s="134" t="s">
        <v>167</v>
      </c>
      <c r="B20" s="157" t="s">
        <v>168</v>
      </c>
      <c r="C20" s="141">
        <v>8206061.1260157973</v>
      </c>
      <c r="D20" s="153">
        <f t="shared" si="0"/>
        <v>0.39598415061915598</v>
      </c>
      <c r="E20" s="154" t="s">
        <v>158</v>
      </c>
      <c r="F20" s="141">
        <f>+C20</f>
        <v>8206061.1260157973</v>
      </c>
      <c r="G20" s="140"/>
    </row>
    <row r="21" spans="1:7" ht="14.45" x14ac:dyDescent="0.3">
      <c r="A21" s="134" t="s">
        <v>169</v>
      </c>
      <c r="B21" s="157" t="s">
        <v>170</v>
      </c>
      <c r="C21" s="141">
        <v>2763777.09</v>
      </c>
      <c r="D21" s="153">
        <f t="shared" si="0"/>
        <v>0.13336628946312651</v>
      </c>
      <c r="E21" s="154" t="s">
        <v>158</v>
      </c>
      <c r="F21" s="141">
        <f>+C21</f>
        <v>2763777.09</v>
      </c>
      <c r="G21" s="140"/>
    </row>
    <row r="22" spans="1:7" ht="14.45" x14ac:dyDescent="0.3">
      <c r="A22" s="134" t="s">
        <v>171</v>
      </c>
      <c r="B22" s="157" t="s">
        <v>172</v>
      </c>
      <c r="C22" s="141">
        <v>1262663.2680056884</v>
      </c>
      <c r="D22" s="153">
        <f t="shared" si="0"/>
        <v>6.092991924153475E-2</v>
      </c>
      <c r="E22" s="154" t="s">
        <v>161</v>
      </c>
      <c r="F22" s="141"/>
      <c r="G22" s="141">
        <f>+C22</f>
        <v>1262663.2680056884</v>
      </c>
    </row>
    <row r="23" spans="1:7" ht="14.45" x14ac:dyDescent="0.3">
      <c r="A23" s="134" t="s">
        <v>173</v>
      </c>
      <c r="B23" s="157" t="s">
        <v>174</v>
      </c>
      <c r="C23" s="141">
        <v>2119540.3036357597</v>
      </c>
      <c r="D23" s="153">
        <f t="shared" si="0"/>
        <v>0.1022785906599471</v>
      </c>
      <c r="E23" s="154" t="s">
        <v>158</v>
      </c>
      <c r="F23" s="141">
        <f>+C23</f>
        <v>2119540.3036357597</v>
      </c>
      <c r="G23" s="141"/>
    </row>
    <row r="24" spans="1:7" ht="14.45" x14ac:dyDescent="0.3">
      <c r="A24" s="134" t="s">
        <v>175</v>
      </c>
      <c r="B24" s="157" t="s">
        <v>176</v>
      </c>
      <c r="C24" s="141">
        <v>313332.07420681993</v>
      </c>
      <c r="D24" s="153">
        <f t="shared" si="0"/>
        <v>1.5119864861007507E-2</v>
      </c>
      <c r="E24" s="154" t="s">
        <v>161</v>
      </c>
      <c r="F24" s="140"/>
      <c r="G24" s="143">
        <f>+C24</f>
        <v>313332.07420681993</v>
      </c>
    </row>
    <row r="25" spans="1:7" ht="14.45" x14ac:dyDescent="0.3">
      <c r="A25" s="134">
        <v>16</v>
      </c>
      <c r="B25" s="145" t="s">
        <v>177</v>
      </c>
      <c r="C25" s="141">
        <v>171115373.90212974</v>
      </c>
      <c r="D25" s="153">
        <f t="shared" si="0"/>
        <v>8.2571863592018406</v>
      </c>
      <c r="E25" s="154" t="s">
        <v>161</v>
      </c>
      <c r="F25" s="140"/>
      <c r="G25" s="141">
        <f>+C25</f>
        <v>171115373.90212974</v>
      </c>
    </row>
    <row r="26" spans="1:7" ht="14.45" x14ac:dyDescent="0.3">
      <c r="A26" s="134">
        <v>17</v>
      </c>
      <c r="B26" s="145" t="s">
        <v>178</v>
      </c>
      <c r="C26" s="141">
        <v>108374278.4084733</v>
      </c>
      <c r="D26" s="153">
        <f t="shared" si="0"/>
        <v>5.2296096660175699</v>
      </c>
      <c r="E26" s="154" t="s">
        <v>161</v>
      </c>
      <c r="F26" s="140"/>
      <c r="G26" s="141">
        <f>+C26</f>
        <v>108374278.4084733</v>
      </c>
    </row>
    <row r="27" spans="1:7" ht="14.45" x14ac:dyDescent="0.3">
      <c r="A27" s="134">
        <v>18</v>
      </c>
      <c r="B27" s="145" t="s">
        <v>179</v>
      </c>
      <c r="C27" s="141">
        <v>-11639833.365925668</v>
      </c>
      <c r="D27" s="153">
        <f t="shared" si="0"/>
        <v>-0.56168111082453498</v>
      </c>
      <c r="E27" s="154" t="s">
        <v>158</v>
      </c>
      <c r="F27" s="141">
        <f>+C27</f>
        <v>-11639833.365925668</v>
      </c>
      <c r="G27" s="141"/>
    </row>
    <row r="28" spans="1:7" ht="14.45" x14ac:dyDescent="0.3">
      <c r="A28" s="134">
        <v>19</v>
      </c>
      <c r="B28" s="145" t="s">
        <v>180</v>
      </c>
      <c r="C28" s="141">
        <v>138209148.65181684</v>
      </c>
      <c r="D28" s="153">
        <f t="shared" si="0"/>
        <v>6.6692937691116345</v>
      </c>
      <c r="E28" s="154" t="s">
        <v>158</v>
      </c>
      <c r="F28" s="141">
        <f>+C28</f>
        <v>138209148.65181684</v>
      </c>
      <c r="G28" s="141"/>
    </row>
    <row r="29" spans="1:7" ht="14.45" x14ac:dyDescent="0.3">
      <c r="A29" s="134">
        <v>20</v>
      </c>
      <c r="B29" s="145" t="s">
        <v>181</v>
      </c>
      <c r="C29" s="141">
        <v>-36228866.83523047</v>
      </c>
      <c r="D29" s="153">
        <f t="shared" si="0"/>
        <v>-1.7482269314521348</v>
      </c>
      <c r="E29" s="154" t="s">
        <v>161</v>
      </c>
      <c r="F29" s="141"/>
      <c r="G29" s="141">
        <f>+C29</f>
        <v>-36228866.83523047</v>
      </c>
    </row>
    <row r="30" spans="1:7" ht="14.45" x14ac:dyDescent="0.3">
      <c r="A30" s="158">
        <v>21</v>
      </c>
      <c r="B30" s="159" t="s">
        <v>182</v>
      </c>
      <c r="C30" s="141">
        <v>-16223873.273980575</v>
      </c>
      <c r="D30" s="153">
        <f t="shared" si="0"/>
        <v>-0.78288433140994562</v>
      </c>
      <c r="E30" s="154" t="s">
        <v>161</v>
      </c>
      <c r="F30" s="141"/>
      <c r="G30" s="141">
        <f>+C30</f>
        <v>-16223873.273980575</v>
      </c>
    </row>
    <row r="31" spans="1:7" ht="14.45" x14ac:dyDescent="0.3">
      <c r="A31" s="134">
        <v>22</v>
      </c>
      <c r="B31" s="145" t="s">
        <v>183</v>
      </c>
      <c r="C31" s="141">
        <v>662134.87</v>
      </c>
      <c r="D31" s="153">
        <f t="shared" si="0"/>
        <v>3.1951372292491807E-2</v>
      </c>
      <c r="E31" s="154" t="s">
        <v>158</v>
      </c>
      <c r="F31" s="141">
        <f>+C31</f>
        <v>662134.87</v>
      </c>
      <c r="G31" s="140"/>
    </row>
    <row r="32" spans="1:7" ht="14.45" x14ac:dyDescent="0.3">
      <c r="A32" s="134">
        <v>23</v>
      </c>
      <c r="B32" s="160" t="s">
        <v>184</v>
      </c>
      <c r="C32" s="141">
        <v>161583689.16694248</v>
      </c>
      <c r="D32" s="153">
        <f t="shared" si="0"/>
        <v>7.7972341329301305</v>
      </c>
      <c r="E32" s="154" t="s">
        <v>158</v>
      </c>
      <c r="F32" s="141">
        <f>+C32</f>
        <v>161583689.16694248</v>
      </c>
      <c r="G32" s="140"/>
    </row>
    <row r="33" spans="1:7" x14ac:dyDescent="0.25">
      <c r="A33" s="134">
        <v>24</v>
      </c>
      <c r="B33" s="135" t="s">
        <v>185</v>
      </c>
      <c r="C33" s="141">
        <v>3490805.0455442886</v>
      </c>
      <c r="D33" s="153">
        <f t="shared" si="0"/>
        <v>0.16844908290465715</v>
      </c>
      <c r="E33" s="154" t="s">
        <v>158</v>
      </c>
      <c r="F33" s="143">
        <f>+C33</f>
        <v>3490805.0455442886</v>
      </c>
      <c r="G33" s="140"/>
    </row>
    <row r="34" spans="1:7" x14ac:dyDescent="0.25">
      <c r="A34" s="134">
        <f t="shared" ref="A34:A45" si="1">+A33+1</f>
        <v>25</v>
      </c>
      <c r="B34" s="135" t="s">
        <v>186</v>
      </c>
      <c r="C34" s="141">
        <f>+F57</f>
        <v>19415532.153878614</v>
      </c>
      <c r="D34" s="153">
        <f t="shared" si="0"/>
        <v>0.93689809163112181</v>
      </c>
      <c r="E34" s="154" t="s">
        <v>158</v>
      </c>
      <c r="F34" s="141">
        <f>+C34</f>
        <v>19415532.153878614</v>
      </c>
      <c r="G34" s="140"/>
    </row>
    <row r="35" spans="1:7" x14ac:dyDescent="0.25">
      <c r="A35" s="134">
        <f t="shared" si="1"/>
        <v>26</v>
      </c>
      <c r="B35" s="161" t="s">
        <v>187</v>
      </c>
      <c r="C35" s="162"/>
      <c r="D35" s="162"/>
      <c r="E35" s="154"/>
      <c r="F35" s="162"/>
      <c r="G35" s="162"/>
    </row>
    <row r="36" spans="1:7" x14ac:dyDescent="0.25">
      <c r="A36" s="134">
        <f t="shared" si="1"/>
        <v>27</v>
      </c>
      <c r="B36" s="163" t="s">
        <v>188</v>
      </c>
      <c r="C36" s="164">
        <f>SUM(C13:C35)</f>
        <v>1211926994.0271161</v>
      </c>
      <c r="D36" s="165">
        <f>SUM(D13:D35)</f>
        <v>58.48163619215655</v>
      </c>
      <c r="E36" s="165"/>
      <c r="F36" s="164">
        <f>SUM(F13:F35)</f>
        <v>530232276.27866518</v>
      </c>
      <c r="G36" s="164">
        <f>SUM(G13:G35)</f>
        <v>681694717.74845052</v>
      </c>
    </row>
    <row r="37" spans="1:7" x14ac:dyDescent="0.25">
      <c r="A37" s="134">
        <f t="shared" si="1"/>
        <v>28</v>
      </c>
      <c r="B37" s="145" t="s">
        <v>189</v>
      </c>
      <c r="C37" s="166">
        <v>0.95238599999999995</v>
      </c>
      <c r="D37" s="166">
        <f>+C37</f>
        <v>0.95238599999999995</v>
      </c>
      <c r="E37" s="166"/>
      <c r="F37" s="167">
        <f>+D37</f>
        <v>0.95238599999999995</v>
      </c>
      <c r="G37" s="167">
        <f>+F37</f>
        <v>0.95238599999999995</v>
      </c>
    </row>
    <row r="38" spans="1:7" x14ac:dyDescent="0.25">
      <c r="A38" s="134">
        <f t="shared" si="1"/>
        <v>29</v>
      </c>
      <c r="B38" s="145" t="s">
        <v>190</v>
      </c>
      <c r="C38" s="164">
        <f>+C36/C37</f>
        <v>1272516599.3904951</v>
      </c>
      <c r="D38" s="165">
        <f>+D36/C37</f>
        <v>61.405392553183852</v>
      </c>
      <c r="E38" s="165"/>
      <c r="F38" s="164">
        <f>+F36/F37</f>
        <v>556740939.36561978</v>
      </c>
      <c r="G38" s="164">
        <f>+G36/G37</f>
        <v>715775660.02487493</v>
      </c>
    </row>
    <row r="39" spans="1:7" x14ac:dyDescent="0.25">
      <c r="A39" s="134">
        <f t="shared" si="1"/>
        <v>30</v>
      </c>
      <c r="B39" s="145" t="s">
        <v>191</v>
      </c>
      <c r="C39" s="156">
        <v>20723206</v>
      </c>
      <c r="D39" s="168" t="s">
        <v>192</v>
      </c>
      <c r="E39" s="168"/>
      <c r="F39" s="140"/>
      <c r="G39" s="140"/>
    </row>
    <row r="40" spans="1:7" x14ac:dyDescent="0.25">
      <c r="A40" s="134">
        <f t="shared" si="1"/>
        <v>31</v>
      </c>
      <c r="B40" s="138"/>
      <c r="C40" s="155"/>
      <c r="D40" s="169" t="s">
        <v>18</v>
      </c>
      <c r="E40" s="169"/>
      <c r="F40" s="169" t="s">
        <v>143</v>
      </c>
      <c r="G40" s="169" t="s">
        <v>193</v>
      </c>
    </row>
    <row r="41" spans="1:7" x14ac:dyDescent="0.25">
      <c r="A41" s="134">
        <f t="shared" si="1"/>
        <v>32</v>
      </c>
      <c r="B41" s="145" t="s">
        <v>194</v>
      </c>
      <c r="C41" s="137"/>
      <c r="D41" s="137"/>
      <c r="E41" s="137"/>
      <c r="F41" s="137"/>
      <c r="G41" s="137"/>
    </row>
    <row r="42" spans="1:7" x14ac:dyDescent="0.25">
      <c r="A42" s="134">
        <f t="shared" si="1"/>
        <v>33</v>
      </c>
      <c r="B42" s="145" t="s">
        <v>195</v>
      </c>
      <c r="C42" s="170"/>
      <c r="D42" s="171">
        <f>+F42+G42</f>
        <v>58.481636192156543</v>
      </c>
      <c r="E42" s="171"/>
      <c r="F42" s="171">
        <f>+F36/$C$39</f>
        <v>25.586401847217328</v>
      </c>
      <c r="G42" s="171">
        <f>+G36/$C$39</f>
        <v>32.895234344939219</v>
      </c>
    </row>
    <row r="43" spans="1:7" x14ac:dyDescent="0.25">
      <c r="A43" s="134">
        <f t="shared" si="1"/>
        <v>34</v>
      </c>
      <c r="B43" s="145" t="s">
        <v>190</v>
      </c>
      <c r="C43" s="137"/>
      <c r="D43" s="171">
        <f>+F43+G43</f>
        <v>61.405392553183837</v>
      </c>
      <c r="E43" s="171"/>
      <c r="F43" s="171">
        <f>+F38/$C$39</f>
        <v>26.865579552006565</v>
      </c>
      <c r="G43" s="171">
        <f>+G38/$C$39</f>
        <v>34.539813001177272</v>
      </c>
    </row>
    <row r="44" spans="1:7" x14ac:dyDescent="0.25">
      <c r="A44" s="134">
        <f t="shared" si="1"/>
        <v>35</v>
      </c>
      <c r="B44" s="145"/>
      <c r="C44" s="137"/>
      <c r="D44" s="137"/>
      <c r="E44" s="137"/>
      <c r="F44" s="137"/>
      <c r="G44" s="137"/>
    </row>
    <row r="45" spans="1:7" x14ac:dyDescent="0.25">
      <c r="A45" s="134">
        <f t="shared" si="1"/>
        <v>36</v>
      </c>
      <c r="B45" s="145" t="s">
        <v>196</v>
      </c>
      <c r="C45" s="137"/>
      <c r="D45" s="137"/>
      <c r="E45" s="137"/>
      <c r="F45" s="137"/>
      <c r="G45" s="137"/>
    </row>
    <row r="46" spans="1:7" x14ac:dyDescent="0.25">
      <c r="A46" s="127"/>
      <c r="B46" s="172"/>
      <c r="C46" s="127"/>
      <c r="D46" s="127"/>
      <c r="E46" s="127"/>
      <c r="F46" s="127"/>
      <c r="G46" s="127"/>
    </row>
    <row r="47" spans="1:7" ht="15.75" thickBot="1" x14ac:dyDescent="0.3">
      <c r="A47" s="127"/>
      <c r="B47" s="173"/>
      <c r="C47" s="174"/>
      <c r="D47" s="175" t="s">
        <v>197</v>
      </c>
      <c r="E47" s="175"/>
      <c r="F47" s="175" t="s">
        <v>198</v>
      </c>
      <c r="G47" s="127"/>
    </row>
    <row r="48" spans="1:7" x14ac:dyDescent="0.25">
      <c r="A48" s="127"/>
      <c r="B48" s="176" t="s">
        <v>199</v>
      </c>
      <c r="C48" s="177"/>
      <c r="D48" s="178" t="s">
        <v>200</v>
      </c>
      <c r="E48" s="178"/>
      <c r="F48" s="179">
        <v>1</v>
      </c>
      <c r="G48" s="127"/>
    </row>
    <row r="49" spans="1:7" x14ac:dyDescent="0.25">
      <c r="A49" s="127"/>
      <c r="B49" s="180" t="s">
        <v>201</v>
      </c>
      <c r="C49" s="181">
        <v>407</v>
      </c>
      <c r="D49" s="182">
        <v>6553640.5497812936</v>
      </c>
      <c r="E49" s="182"/>
      <c r="F49" s="183">
        <f t="shared" ref="F49:F56" si="2">+D49*$F$48</f>
        <v>6553640.5497812936</v>
      </c>
      <c r="G49" s="132"/>
    </row>
    <row r="50" spans="1:7" x14ac:dyDescent="0.25">
      <c r="A50" s="127"/>
      <c r="B50" s="184" t="s">
        <v>202</v>
      </c>
      <c r="C50" s="175">
        <v>407.3</v>
      </c>
      <c r="D50" s="185">
        <v>687420</v>
      </c>
      <c r="E50" s="185"/>
      <c r="F50" s="186">
        <f t="shared" si="2"/>
        <v>687420</v>
      </c>
      <c r="G50" s="132"/>
    </row>
    <row r="51" spans="1:7" x14ac:dyDescent="0.25">
      <c r="A51" s="127"/>
      <c r="B51" s="184" t="s">
        <v>203</v>
      </c>
      <c r="C51" s="175">
        <v>407.3</v>
      </c>
      <c r="D51" s="185">
        <v>2885052</v>
      </c>
      <c r="E51" s="185"/>
      <c r="F51" s="186">
        <f t="shared" si="2"/>
        <v>2885052</v>
      </c>
      <c r="G51" s="132"/>
    </row>
    <row r="52" spans="1:7" x14ac:dyDescent="0.25">
      <c r="A52" s="127"/>
      <c r="B52" s="187" t="s">
        <v>204</v>
      </c>
      <c r="C52" s="175">
        <v>407.3</v>
      </c>
      <c r="D52" s="185">
        <v>4520422.508572978</v>
      </c>
      <c r="E52" s="185"/>
      <c r="F52" s="186">
        <f t="shared" si="2"/>
        <v>4520422.508572978</v>
      </c>
      <c r="G52" s="132"/>
    </row>
    <row r="53" spans="1:7" x14ac:dyDescent="0.25">
      <c r="A53" s="127"/>
      <c r="B53" s="187" t="s">
        <v>205</v>
      </c>
      <c r="C53" s="175">
        <v>407.3</v>
      </c>
      <c r="D53" s="185">
        <v>561126.34087998548</v>
      </c>
      <c r="E53" s="185"/>
      <c r="F53" s="186">
        <f t="shared" si="2"/>
        <v>561126.34087998548</v>
      </c>
      <c r="G53" s="132"/>
    </row>
    <row r="54" spans="1:7" x14ac:dyDescent="0.25">
      <c r="A54" s="127"/>
      <c r="B54" s="187" t="s">
        <v>206</v>
      </c>
      <c r="C54" s="175">
        <v>407.3</v>
      </c>
      <c r="D54" s="185">
        <v>2203436.1529896799</v>
      </c>
      <c r="E54" s="185"/>
      <c r="F54" s="186">
        <f t="shared" si="2"/>
        <v>2203436.1529896799</v>
      </c>
      <c r="G54" s="132"/>
    </row>
    <row r="55" spans="1:7" x14ac:dyDescent="0.25">
      <c r="A55" s="127"/>
      <c r="B55" s="187" t="s">
        <v>207</v>
      </c>
      <c r="C55" s="175">
        <v>407.4</v>
      </c>
      <c r="D55" s="185">
        <v>-1781873.2383453234</v>
      </c>
      <c r="E55" s="185"/>
      <c r="F55" s="186">
        <f t="shared" si="2"/>
        <v>-1781873.2383453234</v>
      </c>
      <c r="G55" s="132"/>
    </row>
    <row r="56" spans="1:7" x14ac:dyDescent="0.25">
      <c r="A56" s="127"/>
      <c r="B56" s="187" t="s">
        <v>208</v>
      </c>
      <c r="C56" s="175">
        <v>407</v>
      </c>
      <c r="D56" s="188">
        <v>3786307.8400000003</v>
      </c>
      <c r="E56" s="188"/>
      <c r="F56" s="189">
        <f t="shared" si="2"/>
        <v>3786307.8400000003</v>
      </c>
      <c r="G56" s="132"/>
    </row>
    <row r="57" spans="1:7" x14ac:dyDescent="0.25">
      <c r="A57" s="127"/>
      <c r="B57" s="184" t="s">
        <v>209</v>
      </c>
      <c r="C57" s="190"/>
      <c r="D57" s="188">
        <f>SUM(D49:D56)</f>
        <v>19415532.153878614</v>
      </c>
      <c r="E57" s="188"/>
      <c r="F57" s="189">
        <f>SUM(F49:F56)</f>
        <v>19415532.153878614</v>
      </c>
      <c r="G57" s="132">
        <v>0</v>
      </c>
    </row>
    <row r="58" spans="1:7" ht="15.75" thickBot="1" x14ac:dyDescent="0.3">
      <c r="A58" s="127"/>
      <c r="B58" s="191"/>
      <c r="C58" s="192" t="s">
        <v>210</v>
      </c>
      <c r="D58" s="193">
        <v>0</v>
      </c>
      <c r="E58" s="193"/>
      <c r="F58" s="194">
        <f>+F57/D57-F48</f>
        <v>0</v>
      </c>
      <c r="G58" s="127"/>
    </row>
    <row r="59" spans="1:7" x14ac:dyDescent="0.25">
      <c r="A59" s="195"/>
      <c r="B59" s="195"/>
      <c r="C59" s="195"/>
      <c r="D59" s="195"/>
      <c r="E59" s="195"/>
      <c r="F59" s="195"/>
      <c r="G59" s="127"/>
    </row>
    <row r="60" spans="1:7" x14ac:dyDescent="0.25">
      <c r="A60" s="195"/>
      <c r="B60" s="195"/>
      <c r="C60" s="195"/>
      <c r="D60" s="195"/>
      <c r="E60" s="195"/>
      <c r="F60" s="195"/>
      <c r="G60" s="127"/>
    </row>
  </sheetData>
  <pageMargins left="0.7" right="0.7" top="0.75" bottom="0.75" header="0.3" footer="0.3"/>
  <pageSetup scale="77" orientation="portrait" r:id="rId1"/>
  <headerFooter>
    <oddFooter>&amp;L&amp;F
&amp;A&amp;C&amp;P&amp;R&amp;D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2019-02-25T08:00:00+00:00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ERF Filing</Nickname>
    <DocketNumber xmlns="dc463f71-b30c-4ab2-9473-d307f9d35888">180900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5517D1-3B02-47DE-893F-35D28ACE7EED}"/>
</file>

<file path=customXml/itemProps2.xml><?xml version="1.0" encoding="utf-8"?>
<ds:datastoreItem xmlns:ds="http://schemas.openxmlformats.org/officeDocument/2006/customXml" ds:itemID="{374AF8C0-180A-442D-9432-A7F7B8A0B4D0}"/>
</file>

<file path=customXml/itemProps3.xml><?xml version="1.0" encoding="utf-8"?>
<ds:datastoreItem xmlns:ds="http://schemas.openxmlformats.org/officeDocument/2006/customXml" ds:itemID="{695FB4AD-CCBB-4631-8E77-22097A185F52}"/>
</file>

<file path=customXml/itemProps4.xml><?xml version="1.0" encoding="utf-8"?>
<ds:datastoreItem xmlns:ds="http://schemas.openxmlformats.org/officeDocument/2006/customXml" ds:itemID="{3AFD9FF8-564D-4E17-A111-192B96E990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Exh. JAP-9 Page 1</vt:lpstr>
      <vt:lpstr>Exh. JAP-9 Page 2</vt:lpstr>
      <vt:lpstr>Exh. JAP-9 Page 3</vt:lpstr>
      <vt:lpstr>Exh. JAP-9 Page 3a</vt:lpstr>
      <vt:lpstr>Exh. JAP-9 Page 4</vt:lpstr>
      <vt:lpstr>Work Papers For Exhibits--&gt;</vt:lpstr>
      <vt:lpstr>12ME June2018 Cust Data</vt:lpstr>
      <vt:lpstr>PCA Cost Allocation</vt:lpstr>
      <vt:lpstr>Exhibit A-1</vt:lpstr>
      <vt:lpstr>(JAP4) Rate Spread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Paul Schmidt</cp:lastModifiedBy>
  <cp:lastPrinted>2019-01-29T19:39:46Z</cp:lastPrinted>
  <dcterms:created xsi:type="dcterms:W3CDTF">2012-10-25T22:13:28Z</dcterms:created>
  <dcterms:modified xsi:type="dcterms:W3CDTF">2019-02-25T21:36:12Z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