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drawings/drawing1.xml" ContentType="application/vnd.openxmlformats-officedocument.drawing+xml"/>
  <Override PartName="/xl/styles.xml" ContentType="application/vnd.openxmlformats-officedocument.spreadsheetml.styles+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haredStrings.xml" ContentType="application/vnd.openxmlformats-officedocument.spreadsheetml.sharedStrings+xml"/>
  <Override PartName="/xl/worksheets/sheet11.xml" ContentType="application/vnd.openxmlformats-officedocument.spreadsheetml.worksheet+xml"/>
  <Override PartName="/xl/worksheets/sheet9.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xl/comments2.xml" ContentType="application/vnd.openxmlformats-officedocument.spreadsheetml.comments+xml"/>
  <Override PartName="/xl/comments1.xml" ContentType="application/vnd.openxmlformats-officedocument.spreadsheetml.comment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mc:AlternateContent xmlns:mc="http://schemas.openxmlformats.org/markup-compatibility/2006">
    <mc:Choice Requires="x15">
      <x15ac:absPath xmlns:x15ac="http://schemas.microsoft.com/office/spreadsheetml/2010/11/ac" url="M:\2017\2017 HYDRO ONE ACQUISITION\03 - Testimony\Ehrbar\"/>
    </mc:Choice>
  </mc:AlternateContent>
  <bookViews>
    <workbookView xWindow="135" yWindow="30" windowWidth="15165" windowHeight="9045" tabRatio="755"/>
  </bookViews>
  <sheets>
    <sheet name="Factor 7 for 2017" sheetId="63" r:id="rId1"/>
    <sheet name="Electric Factor 4" sheetId="70" r:id="rId2"/>
    <sheet name="Gas Factor 4" sheetId="72" r:id="rId3"/>
    <sheet name="Notes" sheetId="56" r:id="rId4"/>
    <sheet name="Expenses-2016" sheetId="65" r:id="rId5"/>
    <sheet name="UtilityPlt-2016" sheetId="74" r:id="rId6"/>
    <sheet name="UtilityAccDep-2016" sheetId="75" r:id="rId7"/>
    <sheet name="UtilityNetPlt-2016" sheetId="76" r:id="rId8"/>
    <sheet name="8-2016" sheetId="66" r:id="rId9"/>
    <sheet name="9-2016" sheetId="68" r:id="rId10"/>
    <sheet name="NewMemo" sheetId="37" r:id="rId11"/>
    <sheet name="GasPlt-2016" sheetId="77" r:id="rId12"/>
    <sheet name="GasNetPlt-2016" sheetId="78" r:id="rId13"/>
    <sheet name="ElecPlt-2016" sheetId="79" r:id="rId14"/>
    <sheet name="ElecNetPlt-2016" sheetId="80" r:id="rId15"/>
    <sheet name="Historic%" sheetId="38" r:id="rId16"/>
  </sheets>
  <definedNames>
    <definedName name="DEPREC" localSheetId="6">'UtilityAccDep-2016'!$A$9:$J$42</definedName>
    <definedName name="DEPREC">#REF!</definedName>
    <definedName name="ELEC_ADM" localSheetId="8">#REF!</definedName>
    <definedName name="ELEC_ADM" localSheetId="9">#REF!</definedName>
    <definedName name="ELEC_ADM" localSheetId="14">#REF!</definedName>
    <definedName name="ELEC_ADM" localSheetId="13">#REF!</definedName>
    <definedName name="ELEC_ADM" localSheetId="1">#REF!</definedName>
    <definedName name="ELEC_ADM" localSheetId="4">#REF!</definedName>
    <definedName name="ELEC_ADM" localSheetId="0">#REF!</definedName>
    <definedName name="ELEC_ADM" localSheetId="2">#REF!</definedName>
    <definedName name="ELEC_ADM" localSheetId="12">#REF!</definedName>
    <definedName name="ELEC_ADM" localSheetId="11">#REF!</definedName>
    <definedName name="ELEC_ADM" localSheetId="6">#REF!</definedName>
    <definedName name="ELEC_ADM" localSheetId="7">#REF!</definedName>
    <definedName name="ELEC_ADM" localSheetId="5">#REF!</definedName>
    <definedName name="ELEC_ADM">#REF!</definedName>
    <definedName name="ELEC_GENERAL" localSheetId="13">'ElecPlt-2016'!$A$9:$G$38</definedName>
    <definedName name="ELEC_GENERAL">#REF!</definedName>
    <definedName name="ELEC_OPS" localSheetId="8">#REF!</definedName>
    <definedName name="ELEC_OPS" localSheetId="9">#REF!</definedName>
    <definedName name="ELEC_OPS" localSheetId="14">#REF!</definedName>
    <definedName name="ELEC_OPS" localSheetId="13">#REF!</definedName>
    <definedName name="ELEC_OPS" localSheetId="1">#REF!</definedName>
    <definedName name="ELEC_OPS" localSheetId="4">#REF!</definedName>
    <definedName name="ELEC_OPS" localSheetId="0">#REF!</definedName>
    <definedName name="ELEC_OPS" localSheetId="2">#REF!</definedName>
    <definedName name="ELEC_OPS" localSheetId="12">#REF!</definedName>
    <definedName name="ELEC_OPS" localSheetId="11">#REF!</definedName>
    <definedName name="ELEC_OPS" localSheetId="6">#REF!</definedName>
    <definedName name="ELEC_OPS" localSheetId="7">#REF!</definedName>
    <definedName name="ELEC_OPS" localSheetId="5">#REF!</definedName>
    <definedName name="ELEC_OPS">#REF!</definedName>
    <definedName name="ELECTRIC" localSheetId="1">'Electric Factor 4'!$A$9:$E$44</definedName>
    <definedName name="ELECTRIC">#REF!</definedName>
    <definedName name="GAS_ADM" localSheetId="8">#REF!</definedName>
    <definedName name="GAS_ADM" localSheetId="9">#REF!</definedName>
    <definedName name="GAS_ADM" localSheetId="14">#REF!</definedName>
    <definedName name="GAS_ADM" localSheetId="13">#REF!</definedName>
    <definedName name="GAS_ADM" localSheetId="1">#REF!</definedName>
    <definedName name="GAS_ADM" localSheetId="4">#REF!</definedName>
    <definedName name="GAS_ADM" localSheetId="0">#REF!</definedName>
    <definedName name="GAS_ADM" localSheetId="2">#REF!</definedName>
    <definedName name="GAS_ADM" localSheetId="12">#REF!</definedName>
    <definedName name="GAS_ADM" localSheetId="11">#REF!</definedName>
    <definedName name="GAS_ADM" localSheetId="6">#REF!</definedName>
    <definedName name="GAS_ADM" localSheetId="7">#REF!</definedName>
    <definedName name="GAS_ADM" localSheetId="5">#REF!</definedName>
    <definedName name="GAS_ADM">#REF!</definedName>
    <definedName name="GAS_OPTS" localSheetId="8">#REF!</definedName>
    <definedName name="GAS_OPTS" localSheetId="9">#REF!</definedName>
    <definedName name="GAS_OPTS" localSheetId="14">#REF!</definedName>
    <definedName name="GAS_OPTS" localSheetId="13">#REF!</definedName>
    <definedName name="GAS_OPTS" localSheetId="1">#REF!</definedName>
    <definedName name="GAS_OPTS" localSheetId="4">#REF!</definedName>
    <definedName name="GAS_OPTS" localSheetId="0">#REF!</definedName>
    <definedName name="GAS_OPTS" localSheetId="2">#REF!</definedName>
    <definedName name="GAS_OPTS" localSheetId="12">#REF!</definedName>
    <definedName name="GAS_OPTS" localSheetId="11">#REF!</definedName>
    <definedName name="GAS_OPTS" localSheetId="6">#REF!</definedName>
    <definedName name="GAS_OPTS" localSheetId="7">#REF!</definedName>
    <definedName name="GAS_OPTS" localSheetId="5">#REF!</definedName>
    <definedName name="GAS_OPTS">#REF!</definedName>
    <definedName name="GAS_PLANT" localSheetId="12">'GasNetPlt-2016'!$A$9:$I$56</definedName>
    <definedName name="GAS_PLANT">#REF!</definedName>
    <definedName name="GENERAL_PLANT" localSheetId="11">'GasPlt-2016'!$A$11:$G$42</definedName>
    <definedName name="GENERAL_PLANT">#REF!</definedName>
    <definedName name="INTANGIBLE_PLT" localSheetId="5">'UtilityPlt-2016'!$A$9:$J$51</definedName>
    <definedName name="INTANGIBLE_PLT">#REF!</definedName>
    <definedName name="NET_ELEC_PLANT" localSheetId="14">'ElecNetPlt-2016'!$A$8:$I$59</definedName>
    <definedName name="NET_ELEC_PLANT">#REF!</definedName>
    <definedName name="NET_PLANT" localSheetId="7">'UtilityNetPlt-2016'!$A$9:$J$42</definedName>
    <definedName name="NET_PLANT">#REF!</definedName>
    <definedName name="PAGE_1" localSheetId="8">#REF!</definedName>
    <definedName name="PAGE_1" localSheetId="9">#REF!</definedName>
    <definedName name="PAGE_1" localSheetId="14">#REF!</definedName>
    <definedName name="PAGE_1" localSheetId="13">#REF!</definedName>
    <definedName name="PAGE_1" localSheetId="1">#REF!</definedName>
    <definedName name="PAGE_1" localSheetId="4">#REF!</definedName>
    <definedName name="PAGE_1" localSheetId="0">#REF!</definedName>
    <definedName name="PAGE_1" localSheetId="2">#REF!</definedName>
    <definedName name="PAGE_1" localSheetId="12">#REF!</definedName>
    <definedName name="PAGE_1" localSheetId="11">#REF!</definedName>
    <definedName name="PAGE_1" localSheetId="6">#REF!</definedName>
    <definedName name="PAGE_1" localSheetId="7">#REF!</definedName>
    <definedName name="PAGE_1" localSheetId="5">#REF!</definedName>
    <definedName name="PAGE_1">#REF!</definedName>
    <definedName name="PAGE_2" localSheetId="8">#REF!</definedName>
    <definedName name="PAGE_2" localSheetId="9">#REF!</definedName>
    <definedName name="PAGE_2" localSheetId="14">#REF!</definedName>
    <definedName name="PAGE_2" localSheetId="13">#REF!</definedName>
    <definedName name="PAGE_2" localSheetId="1">#REF!</definedName>
    <definedName name="PAGE_2" localSheetId="4">#REF!</definedName>
    <definedName name="PAGE_2" localSheetId="0">#REF!</definedName>
    <definedName name="PAGE_2" localSheetId="2">#REF!</definedName>
    <definedName name="PAGE_2" localSheetId="12">#REF!</definedName>
    <definedName name="PAGE_2" localSheetId="11">#REF!</definedName>
    <definedName name="PAGE_2" localSheetId="6">#REF!</definedName>
    <definedName name="PAGE_2" localSheetId="7">#REF!</definedName>
    <definedName name="PAGE_2" localSheetId="5">#REF!</definedName>
    <definedName name="PAGE_2">#REF!</definedName>
    <definedName name="_xlnm.Print_Area" localSheetId="8">#REF!</definedName>
    <definedName name="_xlnm.Print_Area" localSheetId="9">#REF!</definedName>
    <definedName name="_xlnm.Print_Area" localSheetId="14">'ElecNetPlt-2016'!$A$1:$I$58</definedName>
    <definedName name="_xlnm.Print_Area" localSheetId="13">'ElecPlt-2016'!$A$1:$G$38</definedName>
    <definedName name="_xlnm.Print_Area" localSheetId="1">'Electric Factor 4'!$A$1:$E$45</definedName>
    <definedName name="_xlnm.Print_Area" localSheetId="4">'Expenses-2016'!$A$1:$Q$33</definedName>
    <definedName name="_xlnm.Print_Area" localSheetId="0">'Factor 7 for 2017'!$A$1:$G$50</definedName>
    <definedName name="_xlnm.Print_Area" localSheetId="2">'Gas Factor 4'!$A$1:$E$41</definedName>
    <definedName name="_xlnm.Print_Area" localSheetId="12">'GasNetPlt-2016'!$A$1:$I$55</definedName>
    <definedName name="_xlnm.Print_Area" localSheetId="11">'GasPlt-2016'!$A$1:$G$40</definedName>
    <definedName name="_xlnm.Print_Area" localSheetId="10">NewMemo!$A$1:$J$33</definedName>
    <definedName name="_xlnm.Print_Area" localSheetId="6">'UtilityAccDep-2016'!$A$1:$J$46</definedName>
    <definedName name="_xlnm.Print_Area" localSheetId="7">#REF!</definedName>
    <definedName name="_xlnm.Print_Area" localSheetId="5">'UtilityPlt-2016'!$A$1:$J$53</definedName>
    <definedName name="_xlnm.Print_Area">#REF!</definedName>
    <definedName name="_xlnm.Print_Titles" localSheetId="8">#REF!</definedName>
    <definedName name="_xlnm.Print_Titles" localSheetId="9">#REF!</definedName>
    <definedName name="_xlnm.Print_Titles" localSheetId="14">#REF!</definedName>
    <definedName name="_xlnm.Print_Titles" localSheetId="13">#REF!</definedName>
    <definedName name="_xlnm.Print_Titles" localSheetId="12">#REF!</definedName>
    <definedName name="_xlnm.Print_Titles" localSheetId="11">#REF!</definedName>
    <definedName name="_xlnm.Print_Titles" localSheetId="6">#REF!</definedName>
    <definedName name="_xlnm.Print_Titles" localSheetId="7">#REF!</definedName>
    <definedName name="_xlnm.Print_Titles">#REF!</definedName>
    <definedName name="PRINT_TITLES_MI" localSheetId="8">#REF!</definedName>
    <definedName name="PRINT_TITLES_MI" localSheetId="9">#REF!</definedName>
    <definedName name="PRINT_TITLES_MI" localSheetId="14">#REF!</definedName>
    <definedName name="PRINT_TITLES_MI" localSheetId="13">#REF!</definedName>
    <definedName name="PRINT_TITLES_MI" localSheetId="1">#REF!</definedName>
    <definedName name="PRINT_TITLES_MI" localSheetId="4">#REF!</definedName>
    <definedName name="PRINT_TITLES_MI" localSheetId="0">#REF!</definedName>
    <definedName name="PRINT_TITLES_MI" localSheetId="2">#REF!</definedName>
    <definedName name="PRINT_TITLES_MI" localSheetId="12">#REF!</definedName>
    <definedName name="PRINT_TITLES_MI" localSheetId="11">#REF!</definedName>
    <definedName name="PRINT_TITLES_MI" localSheetId="6">#REF!</definedName>
    <definedName name="PRINT_TITLES_MI" localSheetId="7">#REF!</definedName>
    <definedName name="PRINT_TITLES_MI" localSheetId="5">#REF!</definedName>
    <definedName name="PRINT_TITLES_MI">#REF!</definedName>
    <definedName name="UTILITY_7" localSheetId="0">'Factor 7 for 2017'!$A$9:$G$49</definedName>
    <definedName name="UTILITY_7">#REF!</definedName>
    <definedName name="UTILITY_8" localSheetId="8">'8-2016'!$A$9:$G$43</definedName>
    <definedName name="UTILITY_8">#REF!</definedName>
    <definedName name="UTILITY_9" localSheetId="9">'9-2016'!$A$9:$G$44</definedName>
    <definedName name="UTILITY_9">#REF!</definedName>
    <definedName name="WPNG" localSheetId="8">#REF!</definedName>
    <definedName name="WPNG" localSheetId="9">#REF!</definedName>
    <definedName name="WPNG" localSheetId="14">#REF!</definedName>
    <definedName name="WPNG" localSheetId="13">#REF!</definedName>
    <definedName name="WPNG" localSheetId="1">#REF!</definedName>
    <definedName name="WPNG" localSheetId="4">#REF!</definedName>
    <definedName name="WPNG" localSheetId="0">#REF!</definedName>
    <definedName name="WPNG" localSheetId="2">#REF!</definedName>
    <definedName name="WPNG" localSheetId="12">#REF!</definedName>
    <definedName name="WPNG" localSheetId="11">#REF!</definedName>
    <definedName name="WPNG" localSheetId="6">#REF!</definedName>
    <definedName name="WPNG" localSheetId="7">#REF!</definedName>
    <definedName name="WPNG" localSheetId="5">#REF!</definedName>
    <definedName name="WPNG">#REF!</definedName>
    <definedName name="WPNG_901_035" localSheetId="8">#REF!</definedName>
    <definedName name="WPNG_901_035" localSheetId="9">#REF!</definedName>
    <definedName name="WPNG_901_035" localSheetId="14">#REF!</definedName>
    <definedName name="WPNG_901_035" localSheetId="13">#REF!</definedName>
    <definedName name="WPNG_901_035" localSheetId="1">#REF!</definedName>
    <definedName name="WPNG_901_035" localSheetId="4">#REF!</definedName>
    <definedName name="WPNG_901_035" localSheetId="0">#REF!</definedName>
    <definedName name="WPNG_901_035" localSheetId="2">#REF!</definedName>
    <definedName name="WPNG_901_035" localSheetId="12">#REF!</definedName>
    <definedName name="WPNG_901_035" localSheetId="11">#REF!</definedName>
    <definedName name="WPNG_901_035" localSheetId="6">#REF!</definedName>
    <definedName name="WPNG_901_035" localSheetId="7">#REF!</definedName>
    <definedName name="WPNG_901_035" localSheetId="5">#REF!</definedName>
    <definedName name="WPNG_901_035">#REF!</definedName>
    <definedName name="WPNG_ADM" localSheetId="8">#REF!</definedName>
    <definedName name="WPNG_ADM" localSheetId="9">#REF!</definedName>
    <definedName name="WPNG_ADM" localSheetId="14">#REF!</definedName>
    <definedName name="WPNG_ADM" localSheetId="13">#REF!</definedName>
    <definedName name="WPNG_ADM" localSheetId="1">#REF!</definedName>
    <definedName name="WPNG_ADM" localSheetId="4">#REF!</definedName>
    <definedName name="WPNG_ADM" localSheetId="0">#REF!</definedName>
    <definedName name="WPNG_ADM" localSheetId="2">#REF!</definedName>
    <definedName name="WPNG_ADM" localSheetId="12">#REF!</definedName>
    <definedName name="WPNG_ADM" localSheetId="11">#REF!</definedName>
    <definedName name="WPNG_ADM" localSheetId="6">#REF!</definedName>
    <definedName name="WPNG_ADM" localSheetId="7">#REF!</definedName>
    <definedName name="WPNG_ADM" localSheetId="5">#REF!</definedName>
    <definedName name="WPNG_ADM">#REF!</definedName>
    <definedName name="WPNG_GENERAL" localSheetId="8">#REF!</definedName>
    <definedName name="WPNG_GENERAL" localSheetId="9">#REF!</definedName>
    <definedName name="WPNG_GENERAL" localSheetId="14">#REF!</definedName>
    <definedName name="WPNG_GENERAL" localSheetId="13">#REF!</definedName>
    <definedName name="WPNG_GENERAL" localSheetId="1">#REF!</definedName>
    <definedName name="WPNG_GENERAL" localSheetId="4">#REF!</definedName>
    <definedName name="WPNG_GENERAL" localSheetId="0">#REF!</definedName>
    <definedName name="WPNG_GENERAL" localSheetId="2">#REF!</definedName>
    <definedName name="WPNG_GENERAL" localSheetId="12">#REF!</definedName>
    <definedName name="WPNG_GENERAL" localSheetId="11">#REF!</definedName>
    <definedName name="WPNG_GENERAL" localSheetId="6">#REF!</definedName>
    <definedName name="WPNG_GENERAL" localSheetId="7">#REF!</definedName>
    <definedName name="WPNG_GENERAL" localSheetId="5">#REF!</definedName>
    <definedName name="WPNG_GENERAL">#REF!</definedName>
    <definedName name="WPNG_NET_PLANT" localSheetId="8">#REF!</definedName>
    <definedName name="WPNG_NET_PLANT" localSheetId="9">#REF!</definedName>
    <definedName name="WPNG_NET_PLANT" localSheetId="14">#REF!</definedName>
    <definedName name="WPNG_NET_PLANT" localSheetId="13">#REF!</definedName>
    <definedName name="WPNG_NET_PLANT" localSheetId="1">#REF!</definedName>
    <definedName name="WPNG_NET_PLANT" localSheetId="4">#REF!</definedName>
    <definedName name="WPNG_NET_PLANT" localSheetId="0">#REF!</definedName>
    <definedName name="WPNG_NET_PLANT" localSheetId="2">#REF!</definedName>
    <definedName name="WPNG_NET_PLANT" localSheetId="12">#REF!</definedName>
    <definedName name="WPNG_NET_PLANT" localSheetId="11">#REF!</definedName>
    <definedName name="WPNG_NET_PLANT" localSheetId="6">#REF!</definedName>
    <definedName name="WPNG_NET_PLANT" localSheetId="7">#REF!</definedName>
    <definedName name="WPNG_NET_PLANT" localSheetId="5">#REF!</definedName>
    <definedName name="WPNG_NET_PLANT">#REF!</definedName>
    <definedName name="WWP_GAS" localSheetId="2">'Gas Factor 4'!$A$9:$E$40</definedName>
    <definedName name="WWP_GAS">#REF!</definedName>
  </definedNames>
  <calcPr calcId="152511"/>
</workbook>
</file>

<file path=xl/calcChain.xml><?xml version="1.0" encoding="utf-8"?>
<calcChain xmlns="http://schemas.openxmlformats.org/spreadsheetml/2006/main">
  <c r="C40" i="70" l="1"/>
  <c r="I51" i="80"/>
  <c r="I35" i="80"/>
  <c r="I48" i="78"/>
  <c r="J12" i="78"/>
  <c r="G38" i="77"/>
  <c r="E38" i="77"/>
  <c r="G37" i="77"/>
  <c r="F37" i="77"/>
  <c r="E37" i="77"/>
  <c r="G36" i="77"/>
  <c r="F36" i="77"/>
  <c r="E36" i="77"/>
  <c r="G35" i="77"/>
  <c r="F35" i="77"/>
  <c r="E35" i="77"/>
  <c r="G34" i="77"/>
  <c r="F34" i="77"/>
  <c r="E34" i="77"/>
  <c r="G33" i="77"/>
  <c r="F33" i="77"/>
  <c r="E33" i="77"/>
  <c r="G32" i="77"/>
  <c r="F32" i="77"/>
  <c r="E32" i="77"/>
  <c r="G31" i="77"/>
  <c r="F31" i="77"/>
  <c r="E31" i="77"/>
  <c r="G30" i="77"/>
  <c r="F30" i="77"/>
  <c r="E30" i="77"/>
  <c r="G29" i="77"/>
  <c r="F29" i="77"/>
  <c r="E29" i="77"/>
  <c r="G16" i="79" l="1"/>
  <c r="D40" i="68"/>
  <c r="I37" i="75"/>
  <c r="E37" i="75"/>
  <c r="D37" i="75"/>
  <c r="D35" i="75"/>
  <c r="E34" i="75"/>
  <c r="K26" i="75"/>
  <c r="K25" i="75"/>
  <c r="K24" i="75"/>
  <c r="J17" i="75"/>
  <c r="I15" i="75"/>
  <c r="D15" i="75"/>
  <c r="I13" i="75"/>
  <c r="D13" i="75"/>
  <c r="K12" i="75"/>
  <c r="K11" i="75"/>
  <c r="K10" i="75"/>
  <c r="E12" i="75"/>
  <c r="F26" i="74"/>
  <c r="E26" i="74"/>
  <c r="J47" i="74"/>
  <c r="K45" i="74"/>
  <c r="K44" i="74"/>
  <c r="K43" i="74"/>
  <c r="K42" i="74"/>
  <c r="J40" i="74"/>
  <c r="K38" i="74"/>
  <c r="K36" i="74"/>
  <c r="K35" i="74"/>
  <c r="K34" i="74"/>
  <c r="K33" i="74"/>
  <c r="K32" i="74"/>
  <c r="K31" i="74"/>
  <c r="K30" i="74"/>
  <c r="K29" i="74"/>
  <c r="D34" i="74"/>
  <c r="D26" i="74"/>
  <c r="D20" i="74"/>
  <c r="D12" i="74"/>
  <c r="A3" i="70" l="1"/>
  <c r="R8" i="65" l="1"/>
  <c r="R16" i="65"/>
  <c r="R22" i="65"/>
  <c r="T6" i="65"/>
  <c r="R6" i="65" s="1"/>
  <c r="T7" i="65"/>
  <c r="R7" i="65" s="1"/>
  <c r="T8" i="65"/>
  <c r="T9" i="65"/>
  <c r="R9" i="65" s="1"/>
  <c r="T10" i="65"/>
  <c r="R10" i="65" s="1"/>
  <c r="T11" i="65"/>
  <c r="R11" i="65" s="1"/>
  <c r="T12" i="65"/>
  <c r="R12" i="65" s="1"/>
  <c r="T13" i="65"/>
  <c r="R13" i="65" s="1"/>
  <c r="T14" i="65"/>
  <c r="R14" i="65" s="1"/>
  <c r="T15" i="65"/>
  <c r="R15" i="65" s="1"/>
  <c r="T16" i="65"/>
  <c r="T17" i="65"/>
  <c r="R17" i="65" s="1"/>
  <c r="T18" i="65"/>
  <c r="R18" i="65" s="1"/>
  <c r="T19" i="65"/>
  <c r="R19" i="65" s="1"/>
  <c r="T20" i="65"/>
  <c r="R20" i="65" s="1"/>
  <c r="T21" i="65"/>
  <c r="R21" i="65" s="1"/>
  <c r="T22" i="65"/>
  <c r="T5" i="65"/>
  <c r="R5" i="65" s="1"/>
  <c r="H14" i="77"/>
  <c r="B47" i="38"/>
  <c r="B69" i="38" s="1"/>
  <c r="C58" i="38"/>
  <c r="C63" i="38" l="1"/>
  <c r="C41" i="38"/>
  <c r="C20" i="38"/>
  <c r="A1" i="80"/>
  <c r="A1" i="79"/>
  <c r="A1" i="78"/>
  <c r="A1" i="77"/>
  <c r="A1" i="68"/>
  <c r="A1" i="66"/>
  <c r="A1" i="76"/>
  <c r="A1" i="75"/>
  <c r="D27" i="70"/>
  <c r="C27" i="70"/>
  <c r="D26" i="72"/>
  <c r="C26" i="72"/>
  <c r="D15" i="77"/>
  <c r="I16" i="75" l="1"/>
  <c r="H20" i="78"/>
  <c r="G20" i="78"/>
  <c r="H19" i="78"/>
  <c r="G19" i="78"/>
  <c r="F52" i="78"/>
  <c r="F55" i="80" s="1"/>
  <c r="F51" i="78"/>
  <c r="F54" i="80" s="1"/>
  <c r="F32" i="78"/>
  <c r="F31" i="78"/>
  <c r="G23" i="80"/>
  <c r="G22" i="80"/>
  <c r="H23" i="80"/>
  <c r="H22" i="80"/>
  <c r="F37" i="80"/>
  <c r="F36" i="80"/>
  <c r="H22" i="77"/>
  <c r="H21" i="77"/>
  <c r="H20" i="77"/>
  <c r="H19" i="77"/>
  <c r="H18" i="77"/>
  <c r="H17" i="77"/>
  <c r="H16" i="77"/>
  <c r="H15" i="77"/>
  <c r="H13" i="77"/>
  <c r="G36" i="79"/>
  <c r="F36" i="79"/>
  <c r="E36" i="79"/>
  <c r="G35" i="79"/>
  <c r="F35" i="79"/>
  <c r="E35" i="79"/>
  <c r="G34" i="79"/>
  <c r="F34" i="79"/>
  <c r="E34" i="79"/>
  <c r="G33" i="79"/>
  <c r="F33" i="79"/>
  <c r="E33" i="79"/>
  <c r="G32" i="79"/>
  <c r="F32" i="79"/>
  <c r="E32" i="79"/>
  <c r="G31" i="79"/>
  <c r="F31" i="79"/>
  <c r="E31" i="79"/>
  <c r="G30" i="79"/>
  <c r="F30" i="79"/>
  <c r="E30" i="79"/>
  <c r="G29" i="79"/>
  <c r="F29" i="79"/>
  <c r="E29" i="79"/>
  <c r="G28" i="79"/>
  <c r="F28" i="79"/>
  <c r="E28" i="79"/>
  <c r="G27" i="79"/>
  <c r="F27" i="79"/>
  <c r="E27" i="79"/>
  <c r="H20" i="79"/>
  <c r="H19" i="79"/>
  <c r="H18" i="79"/>
  <c r="H17" i="79"/>
  <c r="H16" i="79"/>
  <c r="H15" i="79"/>
  <c r="H14" i="79"/>
  <c r="H13" i="79"/>
  <c r="H12" i="79"/>
  <c r="H11" i="79"/>
  <c r="J15" i="75"/>
  <c r="K15" i="75" s="1"/>
  <c r="H32" i="79" l="1"/>
  <c r="H36" i="79"/>
  <c r="H29" i="79"/>
  <c r="H33" i="79"/>
  <c r="H35" i="79"/>
  <c r="H34" i="79"/>
  <c r="H31" i="79"/>
  <c r="H30" i="79"/>
  <c r="H28" i="79"/>
  <c r="H27" i="79"/>
  <c r="B43" i="38"/>
  <c r="B65" i="38" s="1"/>
  <c r="B44" i="38"/>
  <c r="B66" i="38" s="1"/>
  <c r="A30" i="72" l="1"/>
  <c r="A31" i="70"/>
  <c r="A32" i="68"/>
  <c r="A30" i="66"/>
  <c r="I27" i="76"/>
  <c r="H27" i="76"/>
  <c r="G27" i="76"/>
  <c r="F27" i="76"/>
  <c r="E27" i="76"/>
  <c r="D27" i="76"/>
  <c r="I26" i="76"/>
  <c r="H26" i="76"/>
  <c r="G26" i="76"/>
  <c r="F26" i="76"/>
  <c r="E26" i="76"/>
  <c r="D26" i="76"/>
  <c r="I25" i="76"/>
  <c r="H25" i="76"/>
  <c r="G25" i="76"/>
  <c r="F25" i="76"/>
  <c r="E25" i="76"/>
  <c r="D25" i="76"/>
  <c r="F24" i="76"/>
  <c r="E24" i="76"/>
  <c r="I23" i="76"/>
  <c r="H23" i="76"/>
  <c r="G23" i="76"/>
  <c r="F23" i="76"/>
  <c r="E23" i="76"/>
  <c r="D23" i="76"/>
  <c r="I22" i="76"/>
  <c r="H22" i="76"/>
  <c r="G22" i="76"/>
  <c r="F22" i="76"/>
  <c r="E22" i="76"/>
  <c r="D22" i="76"/>
  <c r="I16" i="76"/>
  <c r="H16" i="76"/>
  <c r="G16" i="76"/>
  <c r="F16" i="76"/>
  <c r="E16" i="76"/>
  <c r="D16" i="76"/>
  <c r="H15" i="76"/>
  <c r="G15" i="76"/>
  <c r="F15" i="76"/>
  <c r="E15" i="76"/>
  <c r="D15" i="76"/>
  <c r="I14" i="76"/>
  <c r="H14" i="76"/>
  <c r="G14" i="76"/>
  <c r="F14" i="76"/>
  <c r="E14" i="76"/>
  <c r="D14" i="76"/>
  <c r="F13" i="76"/>
  <c r="I11" i="76"/>
  <c r="A26" i="72"/>
  <c r="A26" i="70"/>
  <c r="A27" i="68"/>
  <c r="A25" i="66"/>
  <c r="A3" i="80"/>
  <c r="F56" i="80"/>
  <c r="F35" i="80"/>
  <c r="F34" i="80"/>
  <c r="F33" i="80"/>
  <c r="F32" i="80"/>
  <c r="F31" i="80"/>
  <c r="F22" i="80"/>
  <c r="F15" i="80"/>
  <c r="I15" i="80" s="1"/>
  <c r="F14" i="80"/>
  <c r="F13" i="80"/>
  <c r="F12" i="80"/>
  <c r="F11" i="80"/>
  <c r="F10" i="80"/>
  <c r="F9" i="80"/>
  <c r="A3" i="79"/>
  <c r="D36" i="79"/>
  <c r="D34" i="79"/>
  <c r="D32" i="79"/>
  <c r="D30" i="79"/>
  <c r="D28" i="79"/>
  <c r="G37" i="79"/>
  <c r="I49" i="80" s="1"/>
  <c r="F37" i="79"/>
  <c r="H42" i="80" s="1"/>
  <c r="H49" i="80" s="1"/>
  <c r="G21" i="79"/>
  <c r="F21" i="79"/>
  <c r="H16" i="80" s="1"/>
  <c r="H21" i="80" s="1"/>
  <c r="H24" i="80" s="1"/>
  <c r="E21" i="79"/>
  <c r="G16" i="80" s="1"/>
  <c r="G21" i="80" s="1"/>
  <c r="D20" i="79"/>
  <c r="D19" i="79"/>
  <c r="D18" i="79"/>
  <c r="D17" i="79"/>
  <c r="D16" i="79"/>
  <c r="D15" i="79"/>
  <c r="D14" i="79"/>
  <c r="D13" i="79"/>
  <c r="D12" i="79"/>
  <c r="D11" i="79"/>
  <c r="A3" i="77"/>
  <c r="A3" i="78"/>
  <c r="F53" i="78"/>
  <c r="J33" i="78"/>
  <c r="F30" i="78"/>
  <c r="I30" i="78" s="1"/>
  <c r="F29" i="78"/>
  <c r="F28" i="78"/>
  <c r="F19" i="78"/>
  <c r="F12" i="78"/>
  <c r="I12" i="78" s="1"/>
  <c r="F11" i="78"/>
  <c r="F10" i="78"/>
  <c r="I10" i="78" s="1"/>
  <c r="D38" i="77"/>
  <c r="H38" i="77" s="1"/>
  <c r="D37" i="77"/>
  <c r="H37" i="77" s="1"/>
  <c r="D36" i="77"/>
  <c r="H36" i="77" s="1"/>
  <c r="D35" i="77"/>
  <c r="H35" i="77" s="1"/>
  <c r="D34" i="77"/>
  <c r="H34" i="77" s="1"/>
  <c r="D33" i="77"/>
  <c r="H33" i="77" s="1"/>
  <c r="D32" i="77"/>
  <c r="H32" i="77" s="1"/>
  <c r="D31" i="77"/>
  <c r="H31" i="77" s="1"/>
  <c r="D30" i="77"/>
  <c r="H30" i="77" s="1"/>
  <c r="G39" i="77"/>
  <c r="I46" i="78" s="1"/>
  <c r="F39" i="77"/>
  <c r="E39" i="77"/>
  <c r="D29" i="77"/>
  <c r="H29" i="77" s="1"/>
  <c r="G23" i="77"/>
  <c r="J13" i="78" s="1"/>
  <c r="J14" i="78" s="1"/>
  <c r="F23" i="77"/>
  <c r="H13" i="78" s="1"/>
  <c r="H18" i="78" s="1"/>
  <c r="H21" i="78" s="1"/>
  <c r="E23" i="77"/>
  <c r="G13" i="78" s="1"/>
  <c r="G18" i="78" s="1"/>
  <c r="D22" i="77"/>
  <c r="D21" i="77"/>
  <c r="D20" i="77"/>
  <c r="D19" i="77"/>
  <c r="D18" i="77"/>
  <c r="D17" i="77"/>
  <c r="D16" i="77"/>
  <c r="D14" i="77"/>
  <c r="D13" i="77"/>
  <c r="A3" i="72"/>
  <c r="A4" i="68"/>
  <c r="A4" i="66"/>
  <c r="A4" i="63"/>
  <c r="A4" i="75"/>
  <c r="A3" i="76"/>
  <c r="E1" i="76" s="1"/>
  <c r="A3" i="74"/>
  <c r="H8" i="76"/>
  <c r="G8" i="76"/>
  <c r="I39" i="75"/>
  <c r="G28" i="76" s="1"/>
  <c r="G39" i="75"/>
  <c r="I28" i="76" s="1"/>
  <c r="F39" i="75"/>
  <c r="F28" i="76" s="1"/>
  <c r="J38" i="75"/>
  <c r="H39" i="75"/>
  <c r="H28" i="76" s="1"/>
  <c r="E39" i="75"/>
  <c r="E28" i="76" s="1"/>
  <c r="D39" i="75"/>
  <c r="D28" i="76" s="1"/>
  <c r="J34" i="75"/>
  <c r="K34" i="75" s="1"/>
  <c r="J32" i="75"/>
  <c r="K32" i="75" s="1"/>
  <c r="J30" i="75"/>
  <c r="K30" i="75" s="1"/>
  <c r="I28" i="75"/>
  <c r="G24" i="76" s="1"/>
  <c r="H28" i="75"/>
  <c r="H24" i="76" s="1"/>
  <c r="G28" i="75"/>
  <c r="I24" i="76" s="1"/>
  <c r="F28" i="75"/>
  <c r="E28" i="75"/>
  <c r="D28" i="75"/>
  <c r="J27" i="75"/>
  <c r="J26" i="75"/>
  <c r="J25" i="75"/>
  <c r="J24" i="75"/>
  <c r="I21" i="75"/>
  <c r="H21" i="75"/>
  <c r="G21" i="75"/>
  <c r="F21" i="75"/>
  <c r="E21" i="75"/>
  <c r="D21" i="75"/>
  <c r="J20" i="75"/>
  <c r="J19" i="75"/>
  <c r="J21" i="75" s="1"/>
  <c r="G16" i="75"/>
  <c r="I21" i="76" s="1"/>
  <c r="F16" i="75"/>
  <c r="F21" i="76" s="1"/>
  <c r="J14" i="75"/>
  <c r="K14" i="75" s="1"/>
  <c r="H16" i="75"/>
  <c r="H21" i="76" s="1"/>
  <c r="J13" i="75"/>
  <c r="K13" i="75" s="1"/>
  <c r="G21" i="76"/>
  <c r="E16" i="75"/>
  <c r="E21" i="76" s="1"/>
  <c r="J11" i="75"/>
  <c r="D16" i="75"/>
  <c r="D21" i="76" s="1"/>
  <c r="I46" i="74"/>
  <c r="G12" i="76" s="1"/>
  <c r="H46" i="74"/>
  <c r="H12" i="76" s="1"/>
  <c r="G46" i="74"/>
  <c r="I12" i="76" s="1"/>
  <c r="F46" i="74"/>
  <c r="F12" i="76" s="1"/>
  <c r="E46" i="74"/>
  <c r="E12" i="76" s="1"/>
  <c r="D46" i="74"/>
  <c r="J45" i="74"/>
  <c r="J44" i="74"/>
  <c r="J43" i="74"/>
  <c r="J42" i="74"/>
  <c r="I39" i="74"/>
  <c r="G17" i="76" s="1"/>
  <c r="H39" i="74"/>
  <c r="H17" i="76" s="1"/>
  <c r="G39" i="74"/>
  <c r="I17" i="76" s="1"/>
  <c r="F39" i="74"/>
  <c r="F17" i="76" s="1"/>
  <c r="E39" i="74"/>
  <c r="E17" i="76" s="1"/>
  <c r="D39" i="74"/>
  <c r="J38" i="74"/>
  <c r="J37" i="74"/>
  <c r="K37" i="74" s="1"/>
  <c r="J36" i="74"/>
  <c r="J35" i="74"/>
  <c r="J34" i="74"/>
  <c r="J33" i="74"/>
  <c r="J32" i="74"/>
  <c r="J31" i="74"/>
  <c r="J30" i="74"/>
  <c r="J29" i="74"/>
  <c r="J25" i="74"/>
  <c r="J23" i="74"/>
  <c r="J21" i="74"/>
  <c r="I19" i="74"/>
  <c r="G13" i="76" s="1"/>
  <c r="H19" i="74"/>
  <c r="H13" i="76" s="1"/>
  <c r="G19" i="74"/>
  <c r="I13" i="76" s="1"/>
  <c r="F19" i="74"/>
  <c r="E19" i="74"/>
  <c r="D19" i="74"/>
  <c r="J18" i="74"/>
  <c r="J17" i="74"/>
  <c r="J16" i="74"/>
  <c r="I14" i="74"/>
  <c r="G11" i="76" s="1"/>
  <c r="H14" i="74"/>
  <c r="H11" i="76" s="1"/>
  <c r="G14" i="74"/>
  <c r="F14" i="74"/>
  <c r="F11" i="76" s="1"/>
  <c r="E14" i="74"/>
  <c r="E11" i="76" s="1"/>
  <c r="J13" i="74"/>
  <c r="D14" i="74"/>
  <c r="J11" i="74"/>
  <c r="J10" i="74"/>
  <c r="A1" i="74"/>
  <c r="A1" i="65"/>
  <c r="D21" i="72"/>
  <c r="C21" i="72"/>
  <c r="D20" i="72"/>
  <c r="C20" i="72"/>
  <c r="D19" i="72"/>
  <c r="C19" i="72"/>
  <c r="D13" i="72"/>
  <c r="C13" i="72"/>
  <c r="D12" i="72"/>
  <c r="C12" i="72"/>
  <c r="D11" i="72"/>
  <c r="C11" i="72"/>
  <c r="A1" i="72"/>
  <c r="D21" i="70"/>
  <c r="C21" i="70"/>
  <c r="D20" i="70"/>
  <c r="C20" i="70"/>
  <c r="D19" i="70"/>
  <c r="C19" i="70"/>
  <c r="D13" i="70"/>
  <c r="C13" i="70"/>
  <c r="D12" i="70"/>
  <c r="C12" i="70"/>
  <c r="D11" i="70"/>
  <c r="C11" i="70"/>
  <c r="B33" i="70"/>
  <c r="A1" i="70"/>
  <c r="E21" i="68"/>
  <c r="D21" i="68"/>
  <c r="E20" i="68"/>
  <c r="D20" i="68"/>
  <c r="E11" i="68"/>
  <c r="D11" i="68"/>
  <c r="E10" i="68"/>
  <c r="D10" i="68"/>
  <c r="A28" i="68"/>
  <c r="F23" i="68"/>
  <c r="F15" i="68"/>
  <c r="A14" i="68"/>
  <c r="A13" i="68"/>
  <c r="E20" i="66"/>
  <c r="C20" i="66" s="1"/>
  <c r="F19" i="66"/>
  <c r="E19" i="66"/>
  <c r="F18" i="66"/>
  <c r="E18" i="66"/>
  <c r="E12" i="66"/>
  <c r="C12" i="66" s="1"/>
  <c r="F11" i="66"/>
  <c r="E11" i="66"/>
  <c r="F10" i="66"/>
  <c r="E10" i="66"/>
  <c r="A26" i="66"/>
  <c r="D21" i="66"/>
  <c r="D13" i="66"/>
  <c r="N23" i="63"/>
  <c r="M23" i="63" s="1"/>
  <c r="J23" i="63"/>
  <c r="D23" i="63"/>
  <c r="O22" i="63"/>
  <c r="N22" i="63"/>
  <c r="K22" i="63"/>
  <c r="J22" i="63"/>
  <c r="D22" i="63"/>
  <c r="O21" i="63"/>
  <c r="N21" i="63"/>
  <c r="K21" i="63"/>
  <c r="J21" i="63"/>
  <c r="D21" i="63"/>
  <c r="N12" i="63"/>
  <c r="M12" i="63" s="1"/>
  <c r="J12" i="63"/>
  <c r="I12" i="63" s="1"/>
  <c r="D12" i="63"/>
  <c r="O11" i="63"/>
  <c r="N11" i="63"/>
  <c r="K11" i="63"/>
  <c r="J11" i="63"/>
  <c r="D11" i="63"/>
  <c r="O10" i="63"/>
  <c r="N10" i="63"/>
  <c r="K10" i="63"/>
  <c r="J10" i="63"/>
  <c r="D10" i="63"/>
  <c r="Q26" i="65"/>
  <c r="F32" i="63"/>
  <c r="F26" i="66" s="1"/>
  <c r="E32" i="63"/>
  <c r="E33" i="63" s="1"/>
  <c r="C31" i="63"/>
  <c r="D32" i="63"/>
  <c r="C29" i="63"/>
  <c r="C15" i="63"/>
  <c r="C14" i="63"/>
  <c r="A1" i="63"/>
  <c r="E13" i="76" l="1"/>
  <c r="D28" i="68"/>
  <c r="J16" i="76"/>
  <c r="K16" i="63"/>
  <c r="O16" i="63"/>
  <c r="C10" i="68"/>
  <c r="J22" i="76"/>
  <c r="J23" i="76"/>
  <c r="I10" i="63"/>
  <c r="B13" i="72"/>
  <c r="F21" i="66"/>
  <c r="H17" i="80"/>
  <c r="H38" i="78"/>
  <c r="H46" i="78"/>
  <c r="G38" i="78"/>
  <c r="G46" i="78"/>
  <c r="J26" i="76"/>
  <c r="J25" i="76"/>
  <c r="H21" i="79"/>
  <c r="D13" i="76"/>
  <c r="J13" i="76" s="1"/>
  <c r="D11" i="76"/>
  <c r="J11" i="76" s="1"/>
  <c r="C18" i="66"/>
  <c r="C19" i="66"/>
  <c r="E23" i="68"/>
  <c r="N24" i="63"/>
  <c r="C11" i="66"/>
  <c r="D23" i="68"/>
  <c r="Q33" i="65"/>
  <c r="G18" i="76"/>
  <c r="F46" i="78" s="1"/>
  <c r="J14" i="76"/>
  <c r="J15" i="76"/>
  <c r="I22" i="63"/>
  <c r="M10" i="63"/>
  <c r="D14" i="70"/>
  <c r="D14" i="72"/>
  <c r="B21" i="72"/>
  <c r="J27" i="76"/>
  <c r="F33" i="78"/>
  <c r="F38" i="80"/>
  <c r="D23" i="77"/>
  <c r="D24" i="77" s="1"/>
  <c r="H23" i="77"/>
  <c r="D21" i="79"/>
  <c r="D22" i="79" s="1"/>
  <c r="G29" i="76"/>
  <c r="G30" i="76" s="1"/>
  <c r="H29" i="76"/>
  <c r="H30" i="76" s="1"/>
  <c r="I29" i="76"/>
  <c r="I30" i="76" s="1"/>
  <c r="F29" i="76"/>
  <c r="F30" i="76" s="1"/>
  <c r="J28" i="76"/>
  <c r="E29" i="76"/>
  <c r="E30" i="76" s="1"/>
  <c r="J28" i="75"/>
  <c r="D24" i="76"/>
  <c r="F18" i="76"/>
  <c r="F19" i="76" s="1"/>
  <c r="J46" i="74"/>
  <c r="H18" i="76"/>
  <c r="H19" i="76" s="1"/>
  <c r="I18" i="76"/>
  <c r="I19" i="76" s="1"/>
  <c r="E18" i="76"/>
  <c r="E19" i="76" s="1"/>
  <c r="D12" i="76"/>
  <c r="J12" i="76" s="1"/>
  <c r="J39" i="74"/>
  <c r="D17" i="76"/>
  <c r="J17" i="76" s="1"/>
  <c r="J19" i="74"/>
  <c r="E12" i="63"/>
  <c r="C32" i="63"/>
  <c r="D34" i="63" s="1"/>
  <c r="E28" i="68"/>
  <c r="E26" i="66"/>
  <c r="C26" i="66" s="1"/>
  <c r="D28" i="66" s="1"/>
  <c r="G24" i="80"/>
  <c r="F21" i="80"/>
  <c r="F16" i="80"/>
  <c r="F17" i="80" s="1"/>
  <c r="G17" i="80"/>
  <c r="F23" i="80"/>
  <c r="H28" i="80" s="1"/>
  <c r="E37" i="79"/>
  <c r="D27" i="79"/>
  <c r="D29" i="79"/>
  <c r="D31" i="79"/>
  <c r="D33" i="79"/>
  <c r="D35" i="79"/>
  <c r="G21" i="78"/>
  <c r="F18" i="78"/>
  <c r="F13" i="78"/>
  <c r="F14" i="78" s="1"/>
  <c r="H14" i="78"/>
  <c r="F20" i="78"/>
  <c r="H25" i="78" s="1"/>
  <c r="G14" i="78"/>
  <c r="D39" i="77"/>
  <c r="D40" i="77" s="1"/>
  <c r="J21" i="76"/>
  <c r="J10" i="75"/>
  <c r="J12" i="75"/>
  <c r="J37" i="75"/>
  <c r="K37" i="75" s="1"/>
  <c r="J12" i="74"/>
  <c r="J14" i="74" s="1"/>
  <c r="D22" i="72"/>
  <c r="J16" i="63"/>
  <c r="I11" i="63"/>
  <c r="K24" i="63"/>
  <c r="O24" i="63"/>
  <c r="M22" i="63"/>
  <c r="F13" i="66"/>
  <c r="I21" i="63"/>
  <c r="M21" i="63"/>
  <c r="C22" i="72"/>
  <c r="C21" i="68"/>
  <c r="B20" i="72"/>
  <c r="I23" i="63"/>
  <c r="E23" i="63" s="1"/>
  <c r="C14" i="72"/>
  <c r="B11" i="72"/>
  <c r="M11" i="63"/>
  <c r="E13" i="66"/>
  <c r="E15" i="68"/>
  <c r="F12" i="63"/>
  <c r="B19" i="70"/>
  <c r="B20" i="70"/>
  <c r="D22" i="70"/>
  <c r="B21" i="70"/>
  <c r="D16" i="63"/>
  <c r="D15" i="68"/>
  <c r="C11" i="68"/>
  <c r="C15" i="68" s="1"/>
  <c r="E17" i="68" s="1"/>
  <c r="B12" i="70"/>
  <c r="C14" i="70"/>
  <c r="B13" i="70"/>
  <c r="B12" i="72"/>
  <c r="B19" i="72"/>
  <c r="B26" i="72"/>
  <c r="D28" i="72" s="1"/>
  <c r="B11" i="70"/>
  <c r="C22" i="70"/>
  <c r="C20" i="68"/>
  <c r="E21" i="66"/>
  <c r="C10" i="66"/>
  <c r="N16" i="63"/>
  <c r="D24" i="63"/>
  <c r="J24" i="63"/>
  <c r="C30" i="63"/>
  <c r="H18" i="37" l="1"/>
  <c r="E34" i="63"/>
  <c r="I18" i="37" s="1"/>
  <c r="C21" i="66"/>
  <c r="D23" i="66" s="1"/>
  <c r="B14" i="72"/>
  <c r="C16" i="72" s="1"/>
  <c r="F10" i="63"/>
  <c r="F23" i="63"/>
  <c r="I16" i="63"/>
  <c r="J46" i="78"/>
  <c r="K46" i="78" s="1"/>
  <c r="F38" i="78"/>
  <c r="J16" i="75"/>
  <c r="H31" i="76"/>
  <c r="F31" i="76"/>
  <c r="F31" i="66" s="1"/>
  <c r="E31" i="76"/>
  <c r="E33" i="68" s="1"/>
  <c r="J49" i="74"/>
  <c r="J53" i="74" s="1"/>
  <c r="F22" i="63"/>
  <c r="E10" i="63"/>
  <c r="M16" i="63"/>
  <c r="C13" i="66"/>
  <c r="D15" i="66" s="1"/>
  <c r="C12" i="63"/>
  <c r="C23" i="68"/>
  <c r="E25" i="68" s="1"/>
  <c r="B22" i="70"/>
  <c r="D24" i="70" s="1"/>
  <c r="G19" i="76"/>
  <c r="G31" i="76"/>
  <c r="F49" i="80"/>
  <c r="E22" i="63"/>
  <c r="M24" i="63"/>
  <c r="F11" i="63"/>
  <c r="E11" i="63"/>
  <c r="J18" i="76"/>
  <c r="J19" i="76" s="1"/>
  <c r="H37" i="79"/>
  <c r="G42" i="80"/>
  <c r="H24" i="37"/>
  <c r="I31" i="76"/>
  <c r="I41" i="76" s="1"/>
  <c r="F35" i="78"/>
  <c r="D18" i="76"/>
  <c r="D19" i="76" s="1"/>
  <c r="G48" i="78"/>
  <c r="H48" i="78"/>
  <c r="F39" i="80"/>
  <c r="J24" i="76"/>
  <c r="J29" i="76" s="1"/>
  <c r="D29" i="76"/>
  <c r="D30" i="76" s="1"/>
  <c r="B14" i="70"/>
  <c r="D16" i="70" s="1"/>
  <c r="B22" i="72"/>
  <c r="C24" i="72" s="1"/>
  <c r="I24" i="63"/>
  <c r="C28" i="68"/>
  <c r="E28" i="66"/>
  <c r="F28" i="66"/>
  <c r="F34" i="63"/>
  <c r="J18" i="37" s="1"/>
  <c r="G28" i="80"/>
  <c r="F24" i="80"/>
  <c r="H26" i="80" s="1"/>
  <c r="D37" i="79"/>
  <c r="D38" i="79" s="1"/>
  <c r="F21" i="78"/>
  <c r="H23" i="78" s="1"/>
  <c r="G25" i="78"/>
  <c r="J39" i="75"/>
  <c r="E21" i="63"/>
  <c r="F21" i="63"/>
  <c r="C28" i="72"/>
  <c r="F17" i="68"/>
  <c r="D17" i="68"/>
  <c r="C23" i="63"/>
  <c r="J43" i="75" l="1"/>
  <c r="J46" i="75" s="1"/>
  <c r="E16" i="63"/>
  <c r="F16" i="63"/>
  <c r="C10" i="63"/>
  <c r="F23" i="66"/>
  <c r="E23" i="66"/>
  <c r="D16" i="72"/>
  <c r="B16" i="72" s="1"/>
  <c r="E31" i="66"/>
  <c r="J30" i="76"/>
  <c r="H51" i="80"/>
  <c r="H54" i="80" s="1"/>
  <c r="C22" i="63"/>
  <c r="C11" i="63"/>
  <c r="D24" i="72"/>
  <c r="B24" i="72" s="1"/>
  <c r="F15" i="66"/>
  <c r="E15" i="66"/>
  <c r="C24" i="70"/>
  <c r="B24" i="70" s="1"/>
  <c r="F25" i="68"/>
  <c r="D25" i="68"/>
  <c r="C16" i="70"/>
  <c r="B16" i="70" s="1"/>
  <c r="C16" i="63"/>
  <c r="D18" i="63" s="1"/>
  <c r="F42" i="80"/>
  <c r="G49" i="80"/>
  <c r="G51" i="80" s="1"/>
  <c r="I24" i="37"/>
  <c r="J24" i="37"/>
  <c r="B28" i="72"/>
  <c r="F48" i="78"/>
  <c r="J48" i="78" s="1"/>
  <c r="G51" i="78"/>
  <c r="G52" i="78"/>
  <c r="H51" i="78"/>
  <c r="H52" i="78"/>
  <c r="G23" i="78"/>
  <c r="F23" i="78" s="1"/>
  <c r="G26" i="80"/>
  <c r="G36" i="80" s="1"/>
  <c r="J31" i="76"/>
  <c r="D31" i="76"/>
  <c r="D33" i="68" s="1"/>
  <c r="C34" i="63"/>
  <c r="G34" i="63" s="1"/>
  <c r="B27" i="70"/>
  <c r="B26" i="70" s="1"/>
  <c r="C28" i="66"/>
  <c r="G28" i="66" s="1"/>
  <c r="F30" i="68"/>
  <c r="E30" i="68"/>
  <c r="D30" i="68"/>
  <c r="G37" i="80"/>
  <c r="H37" i="80" s="1"/>
  <c r="F28" i="80"/>
  <c r="G32" i="78"/>
  <c r="H32" i="78" s="1"/>
  <c r="F25" i="78"/>
  <c r="C21" i="63"/>
  <c r="F24" i="63"/>
  <c r="E24" i="63"/>
  <c r="C17" i="68"/>
  <c r="G17" i="68" s="1"/>
  <c r="C17" i="63" l="1"/>
  <c r="C23" i="66"/>
  <c r="G23" i="66" s="1"/>
  <c r="H55" i="80"/>
  <c r="H56" i="80" s="1"/>
  <c r="F51" i="80"/>
  <c r="C24" i="63"/>
  <c r="F26" i="63" s="1"/>
  <c r="C25" i="68"/>
  <c r="G25" i="68" s="1"/>
  <c r="C15" i="66"/>
  <c r="G15" i="66" s="1"/>
  <c r="F18" i="63"/>
  <c r="I18" i="63"/>
  <c r="E18" i="63"/>
  <c r="H53" i="78"/>
  <c r="G54" i="80"/>
  <c r="I54" i="80" s="1"/>
  <c r="G55" i="80"/>
  <c r="J28" i="37"/>
  <c r="I28" i="37"/>
  <c r="G53" i="78"/>
  <c r="I51" i="78"/>
  <c r="I52" i="78"/>
  <c r="G31" i="78"/>
  <c r="H31" i="78" s="1"/>
  <c r="H33" i="78" s="1"/>
  <c r="H35" i="78" s="1"/>
  <c r="F26" i="80"/>
  <c r="C29" i="70"/>
  <c r="D29" i="70"/>
  <c r="H28" i="37"/>
  <c r="C30" i="68"/>
  <c r="G30" i="68" s="1"/>
  <c r="G38" i="80"/>
  <c r="G39" i="80" s="1"/>
  <c r="H36" i="80"/>
  <c r="H38" i="80" s="1"/>
  <c r="H39" i="80" s="1"/>
  <c r="C25" i="63" l="1"/>
  <c r="D26" i="63"/>
  <c r="I26" i="63"/>
  <c r="I55" i="80"/>
  <c r="I56" i="80" s="1"/>
  <c r="E26" i="63"/>
  <c r="C18" i="63"/>
  <c r="G18" i="63" s="1"/>
  <c r="G33" i="78"/>
  <c r="G35" i="78" s="1"/>
  <c r="I53" i="78"/>
  <c r="G56" i="80"/>
  <c r="B29" i="70"/>
  <c r="C26" i="63" l="1"/>
  <c r="G26" i="63" s="1"/>
  <c r="B40" i="38"/>
  <c r="B62" i="38" s="1"/>
  <c r="C59" i="38" l="1"/>
  <c r="C37" i="38"/>
  <c r="B37" i="38"/>
  <c r="B59" i="38" s="1"/>
  <c r="C16" i="38"/>
  <c r="C9" i="38"/>
  <c r="G9" i="38"/>
  <c r="C11" i="38"/>
  <c r="G11" i="38"/>
  <c r="C12" i="38"/>
  <c r="G12" i="38"/>
  <c r="C14" i="38"/>
  <c r="G14" i="38"/>
  <c r="C15" i="38"/>
  <c r="G15" i="38"/>
  <c r="C17" i="38"/>
  <c r="G17" i="38"/>
  <c r="B30" i="38"/>
  <c r="B52" i="38" s="1"/>
  <c r="C30" i="38"/>
  <c r="G30" i="38"/>
  <c r="B32" i="38"/>
  <c r="C32" i="38"/>
  <c r="G32" i="38"/>
  <c r="B33" i="38"/>
  <c r="B55" i="38" s="1"/>
  <c r="C33" i="38"/>
  <c r="G33" i="38"/>
  <c r="B35" i="38"/>
  <c r="B57" i="38" s="1"/>
  <c r="C35" i="38"/>
  <c r="G35" i="38"/>
  <c r="B36" i="38"/>
  <c r="B58" i="38" s="1"/>
  <c r="C36" i="38"/>
  <c r="G36" i="38"/>
  <c r="B38" i="38"/>
  <c r="B60" i="38" s="1"/>
  <c r="C38" i="38"/>
  <c r="G38" i="38"/>
  <c r="C52" i="38"/>
  <c r="G52" i="38"/>
  <c r="B54" i="38"/>
  <c r="C54" i="38"/>
  <c r="G54" i="38"/>
  <c r="C55" i="38"/>
  <c r="G55" i="38"/>
  <c r="C57" i="38"/>
  <c r="G57" i="38"/>
  <c r="C60" i="38"/>
  <c r="G60" i="38"/>
  <c r="E26" i="37"/>
  <c r="E30" i="37"/>
  <c r="K18" i="37" l="1"/>
  <c r="K24" i="37"/>
  <c r="K28" i="37" l="1"/>
  <c r="C31" i="66" l="1"/>
  <c r="D33" i="66" l="1"/>
  <c r="E33" i="66"/>
  <c r="C33" i="68"/>
  <c r="D35" i="68" s="1"/>
  <c r="F33" i="66"/>
  <c r="E36" i="66" l="1"/>
  <c r="F36" i="66"/>
  <c r="D38" i="68"/>
  <c r="F35" i="68"/>
  <c r="E35" i="68"/>
  <c r="C33" i="66"/>
  <c r="G33" i="66" s="1"/>
  <c r="D36" i="66"/>
  <c r="C36" i="66" l="1"/>
  <c r="D38" i="66" s="1"/>
  <c r="F38" i="68"/>
  <c r="E38" i="68"/>
  <c r="C35" i="68"/>
  <c r="G35" i="68" s="1"/>
  <c r="F38" i="66" l="1"/>
  <c r="E38" i="66"/>
  <c r="H26" i="37"/>
  <c r="C38" i="68"/>
  <c r="J26" i="37" l="1"/>
  <c r="F47" i="38" s="1"/>
  <c r="F40" i="68"/>
  <c r="E40" i="68"/>
  <c r="F38" i="76"/>
  <c r="F39" i="76" s="1"/>
  <c r="F41" i="76" s="1"/>
  <c r="F37" i="63" s="1"/>
  <c r="I26" i="37"/>
  <c r="C38" i="66"/>
  <c r="G38" i="66" s="1"/>
  <c r="E38" i="76"/>
  <c r="E39" i="76" s="1"/>
  <c r="H30" i="37"/>
  <c r="D69" i="38" s="1"/>
  <c r="D34" i="76"/>
  <c r="C44" i="38" l="1"/>
  <c r="E47" i="38"/>
  <c r="C47" i="38" s="1"/>
  <c r="C65" i="38"/>
  <c r="D35" i="76"/>
  <c r="D41" i="76" s="1"/>
  <c r="D37" i="63" s="1"/>
  <c r="F43" i="80"/>
  <c r="J30" i="37"/>
  <c r="C40" i="68"/>
  <c r="G40" i="68" s="1"/>
  <c r="I30" i="37"/>
  <c r="E34" i="76"/>
  <c r="H39" i="76"/>
  <c r="J39" i="76" s="1"/>
  <c r="C66" i="38" l="1"/>
  <c r="E69" i="38"/>
  <c r="C69" i="38" s="1"/>
  <c r="C43" i="38"/>
  <c r="E35" i="76"/>
  <c r="E41" i="76" s="1"/>
  <c r="E37" i="63" s="1"/>
  <c r="F39" i="78"/>
  <c r="G39" i="78" s="1"/>
  <c r="H41" i="76"/>
  <c r="F57" i="80"/>
  <c r="G57" i="80" s="1"/>
  <c r="G43" i="80"/>
  <c r="C40" i="38"/>
  <c r="K30" i="37"/>
  <c r="K26" i="37"/>
  <c r="F54" i="78" l="1"/>
  <c r="G54" i="78" s="1"/>
  <c r="G55" i="78" s="1"/>
  <c r="G35" i="76"/>
  <c r="G41" i="76" s="1"/>
  <c r="H39" i="78"/>
  <c r="H40" i="78" s="1"/>
  <c r="G40" i="78"/>
  <c r="H43" i="80"/>
  <c r="H44" i="80" s="1"/>
  <c r="G44" i="80"/>
  <c r="H57" i="80"/>
  <c r="G58" i="80"/>
  <c r="G45" i="80" s="1"/>
  <c r="C62" i="38"/>
  <c r="H54" i="78" l="1"/>
  <c r="H55" i="78" s="1"/>
  <c r="H41" i="78" s="1"/>
  <c r="H42" i="78" s="1"/>
  <c r="H44" i="78" s="1"/>
  <c r="D30" i="72" s="1"/>
  <c r="J35" i="76"/>
  <c r="J41" i="76" s="1"/>
  <c r="J42" i="76" s="1"/>
  <c r="G41" i="78"/>
  <c r="G42" i="78" s="1"/>
  <c r="G46" i="80"/>
  <c r="G47" i="80" s="1"/>
  <c r="C32" i="70" s="1"/>
  <c r="F44" i="80"/>
  <c r="F40" i="78"/>
  <c r="I57" i="80"/>
  <c r="I58" i="80" s="1"/>
  <c r="H58" i="80"/>
  <c r="H45" i="80" s="1"/>
  <c r="F45" i="80" s="1"/>
  <c r="I54" i="78" l="1"/>
  <c r="I55" i="78" s="1"/>
  <c r="F55" i="78" s="1"/>
  <c r="G44" i="78"/>
  <c r="C30" i="72" s="1"/>
  <c r="H46" i="80"/>
  <c r="H47" i="80" s="1"/>
  <c r="D32" i="70" s="1"/>
  <c r="F46" i="80"/>
  <c r="F47" i="80" s="1"/>
  <c r="F58" i="80"/>
  <c r="F41" i="78"/>
  <c r="F42" i="78" s="1"/>
  <c r="F44" i="78" s="1"/>
  <c r="C37" i="63"/>
  <c r="D39" i="63" s="1"/>
  <c r="H20" i="37" l="1"/>
  <c r="D32" i="72"/>
  <c r="D34" i="70"/>
  <c r="F39" i="63"/>
  <c r="E39" i="63"/>
  <c r="D42" i="63" l="1"/>
  <c r="F42" i="63"/>
  <c r="J20" i="37"/>
  <c r="E42" i="63"/>
  <c r="I20" i="37"/>
  <c r="C39" i="63"/>
  <c r="G39" i="63" s="1"/>
  <c r="K20" i="37" l="1"/>
  <c r="C42" i="63"/>
  <c r="E44" i="63" s="1"/>
  <c r="C32" i="72"/>
  <c r="B32" i="72" s="1"/>
  <c r="B30" i="72"/>
  <c r="D44" i="63" l="1"/>
  <c r="H22" i="37"/>
  <c r="D26" i="38" s="1"/>
  <c r="C22" i="38"/>
  <c r="I22" i="37"/>
  <c r="E26" i="38" s="1"/>
  <c r="F44" i="63"/>
  <c r="C34" i="72"/>
  <c r="D34" i="72"/>
  <c r="B32" i="70"/>
  <c r="C34" i="70"/>
  <c r="D37" i="72" l="1"/>
  <c r="D38" i="72" s="1"/>
  <c r="C44" i="63"/>
  <c r="G44" i="63" s="1"/>
  <c r="J22" i="37"/>
  <c r="B34" i="70"/>
  <c r="D36" i="70" s="1"/>
  <c r="B34" i="72"/>
  <c r="C37" i="72"/>
  <c r="C38" i="72" s="1"/>
  <c r="C19" i="38"/>
  <c r="C23" i="38" l="1"/>
  <c r="F26" i="38"/>
  <c r="C26" i="38" s="1"/>
  <c r="C36" i="70"/>
  <c r="D39" i="70"/>
  <c r="D40" i="70" s="1"/>
  <c r="K22" i="37"/>
  <c r="B37" i="72"/>
  <c r="B38" i="72" l="1"/>
  <c r="C39" i="70"/>
  <c r="E36" i="70"/>
  <c r="B36" i="70"/>
  <c r="E40" i="70" l="1"/>
  <c r="E39" i="70"/>
  <c r="B39" i="70"/>
  <c r="B40" i="70" l="1"/>
</calcChain>
</file>

<file path=xl/comments1.xml><?xml version="1.0" encoding="utf-8"?>
<comments xmlns="http://schemas.openxmlformats.org/spreadsheetml/2006/main">
  <authors>
    <author>Craig Bertholf</author>
  </authors>
  <commentList>
    <comment ref="F18" authorId="0" shapeId="0">
      <text>
        <r>
          <rPr>
            <b/>
            <sz val="8"/>
            <color indexed="81"/>
            <rFont val="Tahoma"/>
            <family val="2"/>
          </rPr>
          <t>Craig Bertholf:</t>
        </r>
        <r>
          <rPr>
            <sz val="8"/>
            <color indexed="81"/>
            <rFont val="Tahoma"/>
            <family val="2"/>
          </rPr>
          <t xml:space="preserve">
1/17/08 E-mailed Deborah asking about the status of this, assumed that this is left-over Glendale property</t>
        </r>
      </text>
    </comment>
  </commentList>
</comments>
</file>

<file path=xl/comments2.xml><?xml version="1.0" encoding="utf-8"?>
<comments xmlns="http://schemas.openxmlformats.org/spreadsheetml/2006/main">
  <authors>
    <author>rzs589</author>
  </authors>
  <commentList>
    <comment ref="G10" authorId="0" shapeId="0">
      <text>
        <r>
          <rPr>
            <b/>
            <sz val="8"/>
            <color indexed="81"/>
            <rFont val="Tahoma"/>
            <family val="2"/>
          </rPr>
          <t>This is a payment to BPA for work on their system to support the Bell Substation (Distribution Plant).  Should be directly assigned.  (Acct 303000)</t>
        </r>
        <r>
          <rPr>
            <sz val="8"/>
            <color indexed="81"/>
            <rFont val="Tahoma"/>
            <family val="2"/>
          </rPr>
          <t xml:space="preserve">
</t>
        </r>
      </text>
    </comment>
    <comment ref="G35" authorId="0" shapeId="0">
      <text>
        <r>
          <rPr>
            <b/>
            <sz val="8"/>
            <color indexed="81"/>
            <rFont val="Tahoma"/>
            <family val="2"/>
          </rPr>
          <t>rzs589:</t>
        </r>
        <r>
          <rPr>
            <sz val="8"/>
            <color indexed="81"/>
            <rFont val="Tahoma"/>
            <family val="2"/>
          </rPr>
          <t xml:space="preserve">
Distribution Plant net of ARO</t>
        </r>
      </text>
    </comment>
    <comment ref="H35" authorId="0" shapeId="0">
      <text>
        <r>
          <rPr>
            <b/>
            <sz val="8"/>
            <color indexed="81"/>
            <rFont val="Tahoma"/>
            <family val="2"/>
          </rPr>
          <t>rzs589:</t>
        </r>
        <r>
          <rPr>
            <sz val="8"/>
            <color indexed="81"/>
            <rFont val="Tahoma"/>
            <family val="2"/>
          </rPr>
          <t xml:space="preserve">
Distribution Plant net of ARO</t>
        </r>
      </text>
    </comment>
  </commentList>
</comments>
</file>

<file path=xl/sharedStrings.xml><?xml version="1.0" encoding="utf-8"?>
<sst xmlns="http://schemas.openxmlformats.org/spreadsheetml/2006/main" count="760" uniqueCount="384">
  <si>
    <t>Avista Utilities</t>
  </si>
  <si>
    <t>Total</t>
  </si>
  <si>
    <t>Electric</t>
  </si>
  <si>
    <t>Gas</t>
  </si>
  <si>
    <t>Plant for 4 Factor Allocations</t>
  </si>
  <si>
    <t>Intangible Plant (1)</t>
  </si>
  <si>
    <t>Organization</t>
  </si>
  <si>
    <t>Franchises/Consents</t>
  </si>
  <si>
    <t>Steam Production Plant (1)</t>
  </si>
  <si>
    <t>Hydraulic Production Plant (1)</t>
  </si>
  <si>
    <t>Other Production Plant (1)</t>
  </si>
  <si>
    <t>Total Production Plant</t>
  </si>
  <si>
    <t>Transmission Plant (1)</t>
  </si>
  <si>
    <t>Underground Storage (1)</t>
  </si>
  <si>
    <t>Distribution Plant (1)</t>
  </si>
  <si>
    <t>General Plant, Utility 0, 1 &amp; 2 Only (2)</t>
  </si>
  <si>
    <t>Land &amp; Land Rights</t>
  </si>
  <si>
    <t>Structures &amp; Improvements</t>
  </si>
  <si>
    <t>Office Furniture/Equipment</t>
  </si>
  <si>
    <t>Transportation Equipment</t>
  </si>
  <si>
    <t>Stores Equipment</t>
  </si>
  <si>
    <t>Tools, Ship/Garage Equipment</t>
  </si>
  <si>
    <t>Laboratory Equipment</t>
  </si>
  <si>
    <t>Power Operated Equipment</t>
  </si>
  <si>
    <t>Communication Equipment</t>
  </si>
  <si>
    <t>Miscellaneous Equipment</t>
  </si>
  <si>
    <t>Mainframe Software</t>
  </si>
  <si>
    <t>PC Software</t>
  </si>
  <si>
    <t xml:space="preserve">(1) </t>
  </si>
  <si>
    <t>From X-PLT-12E ROO Reports</t>
  </si>
  <si>
    <t xml:space="preserve">(2) </t>
  </si>
  <si>
    <t>From C-GPL-12E ROO Report</t>
  </si>
  <si>
    <t xml:space="preserve">(3) </t>
  </si>
  <si>
    <t>From C-IPL-12E ROO Report</t>
  </si>
  <si>
    <t>Accumulated Depreciation/Amortization</t>
  </si>
  <si>
    <t>Leasehold Improvements</t>
  </si>
  <si>
    <t>Hydro Production Plant</t>
  </si>
  <si>
    <t>Other Production Plant</t>
  </si>
  <si>
    <t>Underground Storage</t>
  </si>
  <si>
    <t>Net Plant - Four Factor Allocations</t>
  </si>
  <si>
    <t>Common</t>
  </si>
  <si>
    <t>Electric &amp;</t>
  </si>
  <si>
    <t>All</t>
  </si>
  <si>
    <t>Gross Plant</t>
  </si>
  <si>
    <t>Production</t>
  </si>
  <si>
    <t>Transmission</t>
  </si>
  <si>
    <t>Distribution</t>
  </si>
  <si>
    <t xml:space="preserve">General </t>
  </si>
  <si>
    <t xml:space="preserve">   Total</t>
  </si>
  <si>
    <t>Accumulated Deprec &amp; Amort</t>
  </si>
  <si>
    <t>General</t>
  </si>
  <si>
    <t>Allocate common Electric and Gas</t>
  </si>
  <si>
    <t>Allocated amount</t>
  </si>
  <si>
    <t>Four Factor Allocation for Electric &amp; All Gas</t>
  </si>
  <si>
    <t>Utility</t>
  </si>
  <si>
    <t>Notes</t>
  </si>
  <si>
    <t>9</t>
  </si>
  <si>
    <t xml:space="preserve">       Total</t>
  </si>
  <si>
    <t xml:space="preserve">     Percentage</t>
  </si>
  <si>
    <t xml:space="preserve">Direct Labor </t>
  </si>
  <si>
    <t xml:space="preserve">     Washington</t>
  </si>
  <si>
    <t xml:space="preserve">     Idaho</t>
  </si>
  <si>
    <t xml:space="preserve">     Oregon</t>
  </si>
  <si>
    <t xml:space="preserve">     Amount</t>
  </si>
  <si>
    <t>Four Factor</t>
  </si>
  <si>
    <t xml:space="preserve">     Total</t>
  </si>
  <si>
    <t xml:space="preserve">     Average</t>
  </si>
  <si>
    <t>Four Factor Allocation for All Gas</t>
  </si>
  <si>
    <t>TO:</t>
  </si>
  <si>
    <t>DATE:</t>
  </si>
  <si>
    <t>FROM:</t>
  </si>
  <si>
    <t>SUBJECT:</t>
  </si>
  <si>
    <t>Description</t>
  </si>
  <si>
    <t>Code</t>
  </si>
  <si>
    <t>No. of Customers</t>
  </si>
  <si>
    <t>Net Direct Plant</t>
  </si>
  <si>
    <t>Distribution:</t>
  </si>
  <si>
    <t>Net Direct WWP Gas Plant for Jurisdictional 4-Factor Allocation</t>
  </si>
  <si>
    <t>Washington</t>
  </si>
  <si>
    <t>Idaho</t>
  </si>
  <si>
    <t>Direct</t>
  </si>
  <si>
    <t>Direct General Gas Plant (C-GPL-12E), Utility 1</t>
  </si>
  <si>
    <t>Land and Land Rights</t>
  </si>
  <si>
    <t>Structures and Improvements</t>
  </si>
  <si>
    <t>Office Furniture and Equipment</t>
  </si>
  <si>
    <t>Tools, Shop and Garage Equipment</t>
  </si>
  <si>
    <t>Communications Equipment</t>
  </si>
  <si>
    <t>General Plant, Utility 9 Only (C-GPL-12E)</t>
  </si>
  <si>
    <t>System</t>
  </si>
  <si>
    <t>9389.XX</t>
  </si>
  <si>
    <t>9390.XX</t>
  </si>
  <si>
    <t>9391.XX</t>
  </si>
  <si>
    <t>9392.XX</t>
  </si>
  <si>
    <t>9393.XX</t>
  </si>
  <si>
    <t>9394.XX</t>
  </si>
  <si>
    <t>9395.XX</t>
  </si>
  <si>
    <t>9396.XX</t>
  </si>
  <si>
    <t>9397.XX</t>
  </si>
  <si>
    <t>9398.XX</t>
  </si>
  <si>
    <t>Line</t>
  </si>
  <si>
    <t>(A)</t>
  </si>
  <si>
    <t>(B)</t>
  </si>
  <si>
    <t>(C)</t>
  </si>
  <si>
    <t>(D)</t>
  </si>
  <si>
    <t>Gross Plant (G-PLT-12E, Directly Assigned)</t>
  </si>
  <si>
    <t xml:space="preserve">     Underground Storage</t>
  </si>
  <si>
    <t xml:space="preserve">     Distribution</t>
  </si>
  <si>
    <t xml:space="preserve">        Total</t>
  </si>
  <si>
    <t>Calculation of Allocation Percentages for General Plant</t>
  </si>
  <si>
    <t xml:space="preserve">   Accumulated Depreciation</t>
  </si>
  <si>
    <t xml:space="preserve">     General (Line 4)</t>
  </si>
  <si>
    <t xml:space="preserve">     Less: 389 Land and Land rights</t>
  </si>
  <si>
    <t xml:space="preserve">     Less: 392 Transportation Equipment</t>
  </si>
  <si>
    <t xml:space="preserve">        Net</t>
  </si>
  <si>
    <t xml:space="preserve">     Non-Transportation Allocation Percentages</t>
  </si>
  <si>
    <t xml:space="preserve">     Transportation Allocation Percentages</t>
  </si>
  <si>
    <t>Accumulated Deprec &amp; Amort (G-PLT-12E)</t>
  </si>
  <si>
    <t xml:space="preserve">     Underground Storage (Direct)</t>
  </si>
  <si>
    <t xml:space="preserve">     Distribution (Direct)</t>
  </si>
  <si>
    <t xml:space="preserve">     Direct Gen Non-Transp (C-ADP-12E, Utility 1)</t>
  </si>
  <si>
    <t xml:space="preserve">     Direct General Transp (C-ADP-12E, Utility 1)</t>
  </si>
  <si>
    <t>Net Direct Plant (Line 5 - Line 20)</t>
  </si>
  <si>
    <t>Allocate WA/ID Common Gas</t>
  </si>
  <si>
    <t xml:space="preserve">     Direct General Plant Worksheet (Utility 9)</t>
  </si>
  <si>
    <t xml:space="preserve">     Allocated Plant Amount (Line 23 * Line 24)</t>
  </si>
  <si>
    <t xml:space="preserve">        Total (Line 25 - Line 26)</t>
  </si>
  <si>
    <t>Net Direct Plant For 4-factor (Line 21 + Line 27)</t>
  </si>
  <si>
    <t>Direct General Plant Worksheet (Utility 9)</t>
  </si>
  <si>
    <t>Utility Code 9 - Loc 028,038,098</t>
  </si>
  <si>
    <t>Allocate Common Electric/Gas Portion of General</t>
  </si>
  <si>
    <t xml:space="preserve">    General Plant Accum Depr (C-ADP-12E, Utility 9)</t>
  </si>
  <si>
    <t xml:space="preserve">    Genl Plt Trans Accum Depr (C-ADP-12E, Utility 9)</t>
  </si>
  <si>
    <t xml:space="preserve">    Total Plant Accumulated Depreciation (Utility 9)</t>
  </si>
  <si>
    <t>Allocated</t>
  </si>
  <si>
    <t xml:space="preserve"> </t>
  </si>
  <si>
    <t xml:space="preserve">       Net</t>
  </si>
  <si>
    <t>(2) Excludes Labor</t>
  </si>
  <si>
    <t>Net Direct Electric Plant for Jurisdictional 4-Factor Allocation</t>
  </si>
  <si>
    <t>Direct General Plant Utility (C-GPL-12E), Utility 0</t>
  </si>
  <si>
    <t>0389.XX</t>
  </si>
  <si>
    <t>0390.XX</t>
  </si>
  <si>
    <t>0391.XX</t>
  </si>
  <si>
    <t>0392.XX</t>
  </si>
  <si>
    <t>0393.XX</t>
  </si>
  <si>
    <t>0394.XX</t>
  </si>
  <si>
    <t>0395.XX</t>
  </si>
  <si>
    <t>0396.XX</t>
  </si>
  <si>
    <t>0397.XX</t>
  </si>
  <si>
    <t>0398.XX</t>
  </si>
  <si>
    <t>Gross Plant (E-PLT-12E, Directly Assigned)</t>
  </si>
  <si>
    <t xml:space="preserve">     Production</t>
  </si>
  <si>
    <t xml:space="preserve">     Transmission</t>
  </si>
  <si>
    <t xml:space="preserve">     General</t>
  </si>
  <si>
    <t>Calculation of General Plant Allocation Percentages</t>
  </si>
  <si>
    <t xml:space="preserve">     General (Line 6)</t>
  </si>
  <si>
    <t xml:space="preserve">     Non-Transportation Alloc Percentages (Line 13)</t>
  </si>
  <si>
    <t xml:space="preserve">     Transportation Allocation Percentages (Line 12)</t>
  </si>
  <si>
    <t>Accumulated Deprec &amp; Amort (E-PLT-12E)</t>
  </si>
  <si>
    <t xml:space="preserve">     Production (Direct)</t>
  </si>
  <si>
    <t xml:space="preserve">     Transmission (Direct)</t>
  </si>
  <si>
    <t xml:space="preserve">     Direct Gen Non-Transp (C-ADP-12E, Utility 0)</t>
  </si>
  <si>
    <t xml:space="preserve">     Direct General Transp (C-ADP-12E, Utility 0)</t>
  </si>
  <si>
    <t xml:space="preserve">        Total Accumulated Deprecation &amp; Amortization</t>
  </si>
  <si>
    <t>Net Direct Plant (Line 7 - Line 23)</t>
  </si>
  <si>
    <t>Allocate WA/ID Common Electric</t>
  </si>
  <si>
    <t xml:space="preserve">     Utility 9 Four Factor Allocator For Electric</t>
  </si>
  <si>
    <t xml:space="preserve">     Allocated Plant Amount (Line 26 * Line 27)</t>
  </si>
  <si>
    <t xml:space="preserve">        Total (Line 28 - Line 29)</t>
  </si>
  <si>
    <t>Direct General Plant Worksheet (Line 26)</t>
  </si>
  <si>
    <t xml:space="preserve">     General Plant Accum Deprec (C-ADP-12E, Utility 9)</t>
  </si>
  <si>
    <t xml:space="preserve">     Genl Plant Trans Accum Depr (C-ADP-12E, Utility 9)</t>
  </si>
  <si>
    <t xml:space="preserve">     Total Accumulated Depreciation (Utility 9)</t>
  </si>
  <si>
    <t>Utility 9 Four Factor Allocator For Electric</t>
  </si>
  <si>
    <t>Oregon</t>
  </si>
  <si>
    <t>Intangible Gas Plant</t>
  </si>
  <si>
    <t>Direct Only</t>
  </si>
  <si>
    <t xml:space="preserve">     Intangible - Software (Direct)</t>
  </si>
  <si>
    <t xml:space="preserve">     Intangible Plant</t>
  </si>
  <si>
    <t>0, 1, 2</t>
  </si>
  <si>
    <t>Net Direct Plant (Line 24 + Line 30)</t>
  </si>
  <si>
    <t>(Used for</t>
  </si>
  <si>
    <t>Balancing Only)</t>
  </si>
  <si>
    <t>Electric Portion - Accum Deprec (Line 37 * Line 38)</t>
  </si>
  <si>
    <t>Old</t>
  </si>
  <si>
    <t>New</t>
  </si>
  <si>
    <t>Service</t>
  </si>
  <si>
    <t>Jurisdiction</t>
  </si>
  <si>
    <t>CD</t>
  </si>
  <si>
    <t>GD</t>
  </si>
  <si>
    <t>AA</t>
  </si>
  <si>
    <t>AN</t>
  </si>
  <si>
    <t>Interoffice Memorandum</t>
  </si>
  <si>
    <t>State and Federal Regulation</t>
  </si>
  <si>
    <t>AN/WA/ID</t>
  </si>
  <si>
    <t>Utility 7 Factors</t>
  </si>
  <si>
    <t>Utility 8 Factors</t>
  </si>
  <si>
    <t>Utility 9 Factors</t>
  </si>
  <si>
    <t>Adjustments</t>
  </si>
  <si>
    <t>Tools, Ship/Garage Equip.</t>
  </si>
  <si>
    <t>Utility Allocator for CD AA (7)</t>
  </si>
  <si>
    <t>Gas North</t>
  </si>
  <si>
    <t>CD AA</t>
  </si>
  <si>
    <t>Utility Allocator for GD AA (8)</t>
  </si>
  <si>
    <t>Utility Allocator for CD AN/ID/WA (9)</t>
  </si>
  <si>
    <t>Four Factor Allocation for Electric/Gas North</t>
  </si>
  <si>
    <t>CD AA (7)</t>
  </si>
  <si>
    <t>GD AA (8)</t>
  </si>
  <si>
    <t>CD AN/</t>
  </si>
  <si>
    <t>ID/WA (9)</t>
  </si>
  <si>
    <t>Oregon Gas</t>
  </si>
  <si>
    <t>Gas North &amp;</t>
  </si>
  <si>
    <t>(CD AN/ID/WA)</t>
  </si>
  <si>
    <t>(GD AA )</t>
  </si>
  <si>
    <t>(CD AA)</t>
  </si>
  <si>
    <t>Intangible - Software</t>
  </si>
  <si>
    <t>Intangible-Excluding Software</t>
  </si>
  <si>
    <t>Allocation % (CD AN Factor - 9)</t>
  </si>
  <si>
    <t>Allocate common Electric/Gas North</t>
  </si>
  <si>
    <t>Net Direct Plant for CD AA 4-Factor (7)</t>
  </si>
  <si>
    <t>Gas North Portion, Acc Depr (Line 34 * Line 35)</t>
  </si>
  <si>
    <t xml:space="preserve">     Utility CD AN (9) Four Factor Allocator For Gas</t>
  </si>
  <si>
    <t>Utility CD AN (9) Four Factor Allocator For Gas</t>
  </si>
  <si>
    <t>301XXX</t>
  </si>
  <si>
    <t>302XXX</t>
  </si>
  <si>
    <t>389XXX</t>
  </si>
  <si>
    <t>390XXX</t>
  </si>
  <si>
    <t>391XXX</t>
  </si>
  <si>
    <t>392XXX</t>
  </si>
  <si>
    <t>393XXX</t>
  </si>
  <si>
    <t>394XXX</t>
  </si>
  <si>
    <t>395XXX</t>
  </si>
  <si>
    <t>396XXX</t>
  </si>
  <si>
    <t>397XXX</t>
  </si>
  <si>
    <t>398XXX</t>
  </si>
  <si>
    <t>Gas South</t>
  </si>
  <si>
    <t>Check</t>
  </si>
  <si>
    <t>Column</t>
  </si>
  <si>
    <t>For 2005</t>
  </si>
  <si>
    <t>Original For 2006</t>
  </si>
  <si>
    <t>Revised For 2006</t>
  </si>
  <si>
    <t>For 2007</t>
  </si>
  <si>
    <t>For 2008</t>
  </si>
  <si>
    <t>Net Direct Plant After Adjustments</t>
  </si>
  <si>
    <t>For 2009</t>
  </si>
  <si>
    <t>CDA Settlement</t>
  </si>
  <si>
    <t>Jennifer McCauley (29)</t>
  </si>
  <si>
    <t>Margie Stevens (29)</t>
  </si>
  <si>
    <t>Rosemary Coulson (29)</t>
  </si>
  <si>
    <t>Cindy Healy (29)</t>
  </si>
  <si>
    <t>Ben McArthur (29)</t>
  </si>
  <si>
    <t>Adam Munson (29)</t>
  </si>
  <si>
    <t>Deborah Chambers (29)</t>
  </si>
  <si>
    <t>John Wilcox (29)</t>
  </si>
  <si>
    <t>Howard Grimsrud (29)</t>
  </si>
  <si>
    <t>Sue Mullerleile (29)</t>
  </si>
  <si>
    <t>Catherine Mueller (29)</t>
  </si>
  <si>
    <t>Kellee Quick (29)</t>
  </si>
  <si>
    <t>Jeanne Pluth (27)</t>
  </si>
  <si>
    <t>Lori Hermanson (15)</t>
  </si>
  <si>
    <t>Cameron Dunlop (7)</t>
  </si>
  <si>
    <t>Cheryl Kettner (7)</t>
  </si>
  <si>
    <t>Randi Rich (24)</t>
  </si>
  <si>
    <t>Tara Knox (27)</t>
  </si>
  <si>
    <t>Ron McKenzie, attachments (27)</t>
  </si>
  <si>
    <t>Robin Adams (39)</t>
  </si>
  <si>
    <t>Ryan Krasselt (29)</t>
  </si>
  <si>
    <t>Jeannie Schmidt (29)</t>
  </si>
  <si>
    <t>Laura Vickers (46)</t>
  </si>
  <si>
    <t>Karen Schuh (27)</t>
  </si>
  <si>
    <t>For 2010</t>
  </si>
  <si>
    <t>CDA Lake IPA Fund</t>
  </si>
  <si>
    <t>Software (111X30/31/32)</t>
  </si>
  <si>
    <t>(For Balancing</t>
  </si>
  <si>
    <t>Only)</t>
  </si>
  <si>
    <t>1/17/11</t>
  </si>
  <si>
    <r>
      <t xml:space="preserve">Discussed </t>
    </r>
    <r>
      <rPr>
        <sz val="10"/>
        <rFont val="Arial"/>
        <family val="2"/>
      </rPr>
      <t>inclusion of DSM Tariff Rider Costs in the Four Factor (Liz, Jeanne, Ron, Tara and Theresa) and decided that they should continue to be included as the people who administer the programs create additional costs (overhead, etc.) impacting the Company.  Inclusion of these costs in the Four Factor calculation has been consistently applied since the tariff rider started.</t>
    </r>
  </si>
  <si>
    <t>Intangible Plant, Software Utility (3)</t>
  </si>
  <si>
    <t>Production/Trans./Franchise/Misc</t>
  </si>
  <si>
    <t>Misc IT Intangible Plant</t>
  </si>
  <si>
    <t>General Plant (Acct 303000)</t>
  </si>
  <si>
    <t>General Plant (Acct 390200 &amp; 396200)</t>
  </si>
  <si>
    <t>Accumulated Amortization (X-AAMT)</t>
  </si>
  <si>
    <t xml:space="preserve">     Miscellaneous Intangible Plant (303000)</t>
  </si>
  <si>
    <t xml:space="preserve">     Miscellaneous Intangible Plant (303100)</t>
  </si>
  <si>
    <t xml:space="preserve">     Miscellaneous Intangible Plant (303110</t>
  </si>
  <si>
    <t>Distribution/Franchise/Misc</t>
  </si>
  <si>
    <t xml:space="preserve">     Franchises &amp; Consents Intangible Plant (302000)</t>
  </si>
  <si>
    <t xml:space="preserve">     Distribution - Franchises/Misc Intangibles (Direct)</t>
  </si>
  <si>
    <t>ED</t>
  </si>
  <si>
    <t>Non-Labor</t>
  </si>
  <si>
    <t>A&amp;G</t>
  </si>
  <si>
    <t>O&amp;M</t>
  </si>
  <si>
    <t>PS</t>
  </si>
  <si>
    <t>ID</t>
  </si>
  <si>
    <t>WA</t>
  </si>
  <si>
    <t>MT</t>
  </si>
  <si>
    <t>Labor</t>
  </si>
  <si>
    <t>GN</t>
  </si>
  <si>
    <t>GS</t>
  </si>
  <si>
    <t>AS</t>
  </si>
  <si>
    <t>OR</t>
  </si>
  <si>
    <t>ED Non-Labor</t>
  </si>
  <si>
    <t>ED Labor</t>
  </si>
  <si>
    <t>GN Non-Labor</t>
  </si>
  <si>
    <t>GN Labor</t>
  </si>
  <si>
    <t>GS Non-Labor</t>
  </si>
  <si>
    <t>GS Labor</t>
  </si>
  <si>
    <t>Reconcile:</t>
  </si>
  <si>
    <t>Diff - rounding</t>
  </si>
  <si>
    <t>Direct Non-Labor</t>
  </si>
  <si>
    <t xml:space="preserve">   O&amp;M (Accts 500-894)</t>
  </si>
  <si>
    <t xml:space="preserve">   A&amp;G - CD (Accts 901-935)</t>
  </si>
  <si>
    <t xml:space="preserve">   A&amp;G - ED &amp; GD (Accts 901-935)</t>
  </si>
  <si>
    <t>(Gas Costs, including GD AA)</t>
  </si>
  <si>
    <t>(Gas Costs, excluding GD AA)</t>
  </si>
  <si>
    <t>Factor No. 4 - Allocation for Electric</t>
  </si>
  <si>
    <t>Factor No. 4 -  Allocation for Gas North</t>
  </si>
  <si>
    <t>Jeanne Pluth</t>
  </si>
  <si>
    <t>Steam Production Plant</t>
  </si>
  <si>
    <t>Rounding</t>
  </si>
  <si>
    <t>X-ADEP</t>
  </si>
  <si>
    <t>X-AAMT</t>
  </si>
  <si>
    <t>Check:</t>
  </si>
  <si>
    <t>E-PLT</t>
  </si>
  <si>
    <t>G-PLT</t>
  </si>
  <si>
    <t>O-PLT</t>
  </si>
  <si>
    <t>Accum Amort Common Plant (X-ADEP-12E)</t>
  </si>
  <si>
    <t>Production Plant (X-ADEP-12E)</t>
  </si>
  <si>
    <t>Transmission Plant (X-ADEP-12E)</t>
  </si>
  <si>
    <t>Underground Storage (X-ADEP-12E)</t>
  </si>
  <si>
    <t>Distribution Plant (X-ADEP-12E)</t>
  </si>
  <si>
    <t>General Plant (X-ADEP-12E)</t>
  </si>
  <si>
    <t>(1) Excludes Resource Costs: Electric - 501, 547, 555, 557, 565 &amp; Gas 804, 805, 808, 811</t>
  </si>
  <si>
    <t>(1, 2)</t>
  </si>
  <si>
    <t>Allocation Factors</t>
  </si>
  <si>
    <t>(1) Excludes Resource Costs: Accounts 501, 547, 555 &amp; 557</t>
  </si>
  <si>
    <t>(1) Excludes Resource Costs: Accounts 804, 805, 808, 811</t>
  </si>
  <si>
    <t>Original For 2011</t>
  </si>
  <si>
    <t>Revised For 2011</t>
  </si>
  <si>
    <t>For 2012</t>
  </si>
  <si>
    <t>Allocation Percentage (GD AA - 8)</t>
  </si>
  <si>
    <t xml:space="preserve">     Allocated Accum. Depreciation Amount (Line 36)</t>
  </si>
  <si>
    <t xml:space="preserve">     Allocated Accum. Depreciation Amount (Line 39)</t>
  </si>
  <si>
    <t>If you have any questions please call me at X2204.</t>
  </si>
  <si>
    <t>For 2013</t>
  </si>
  <si>
    <t xml:space="preserve">John Wilcox </t>
  </si>
  <si>
    <t xml:space="preserve">Tara Moses </t>
  </si>
  <si>
    <t xml:space="preserve">Adam Munson </t>
  </si>
  <si>
    <t xml:space="preserve">Howard Grimsrud </t>
  </si>
  <si>
    <t xml:space="preserve">Cheryl Kettner </t>
  </si>
  <si>
    <t xml:space="preserve">Rosemary Coulson </t>
  </si>
  <si>
    <t xml:space="preserve">Bill Abrahamse </t>
  </si>
  <si>
    <t xml:space="preserve">Jennifer McCauley </t>
  </si>
  <si>
    <t xml:space="preserve">Catherine Mueller </t>
  </si>
  <si>
    <t xml:space="preserve">Tara Knox </t>
  </si>
  <si>
    <t xml:space="preserve">Cindy Healy </t>
  </si>
  <si>
    <t xml:space="preserve">Kellee Quick </t>
  </si>
  <si>
    <t xml:space="preserve">Ben McArthur </t>
  </si>
  <si>
    <t xml:space="preserve">Theresa Nanny </t>
  </si>
  <si>
    <t>Lori Hermanson</t>
  </si>
  <si>
    <t xml:space="preserve">Karen Schuh </t>
  </si>
  <si>
    <t xml:space="preserve">Monica Bannon </t>
  </si>
  <si>
    <t>Laura Vickers</t>
  </si>
  <si>
    <t>182324/33/81</t>
  </si>
  <si>
    <t>Frank Johnson</t>
  </si>
  <si>
    <t>Marcus Garbarino</t>
  </si>
  <si>
    <t>(Electric + Gas)</t>
  </si>
  <si>
    <t xml:space="preserve">   A&amp;G - GD (Accts 901-935)</t>
  </si>
  <si>
    <t>Dan Loutzenheiser</t>
  </si>
  <si>
    <t>Christine Machado</t>
  </si>
  <si>
    <t>For 2014</t>
  </si>
  <si>
    <t>Neil Thorson</t>
  </si>
  <si>
    <t>Lauren Pendergraft</t>
  </si>
  <si>
    <t>For the Twelve Months Ended December 31, 2015</t>
  </si>
  <si>
    <t>Balances at December 31, 2015</t>
  </si>
  <si>
    <t>For 2015</t>
  </si>
  <si>
    <t>Balances at December 31, 2016</t>
  </si>
  <si>
    <t>For the Twelve Months Ended December 31, 2016</t>
  </si>
  <si>
    <t>The following Four Factor Percentages should be used to allocate common operating costs and plant between utility services effective 1/1/2017.</t>
  </si>
  <si>
    <t>For 2016</t>
  </si>
  <si>
    <t>Year End Customers at 12/31/16</t>
  </si>
  <si>
    <t>Net Direct Plant (Ending Balance at 12/31/16)</t>
  </si>
  <si>
    <t>Jason Lang</t>
  </si>
  <si>
    <t>Keri Meister</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</si>
</sst>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5" formatCode="&quot;$&quot;#,##0_);\(&quot;$&quot;#,##0\)"/>
    <numFmt numFmtId="43" formatCode="_(* #,##0.00_);_(* \(#,##0.00\);_(* &quot;-&quot;??_);_(@_)"/>
    <numFmt numFmtId="164" formatCode="0.000%"/>
    <numFmt numFmtId="165" formatCode="mm\/dd\/yy_)"/>
    <numFmt numFmtId="166" formatCode="0_);\(0\)"/>
    <numFmt numFmtId="167" formatCode="d/mmm/yy"/>
    <numFmt numFmtId="168" formatCode="#,##0.00000_);\(#,##0.00000\)"/>
    <numFmt numFmtId="169" formatCode="mmm\ dd\,\ yyyy"/>
    <numFmt numFmtId="170" formatCode="m/d/yy;@"/>
  </numFmts>
  <fonts count="23" x14ac:knownFonts="1">
    <font>
      <sz val="10"/>
      <name val="Helv"/>
    </font>
    <font>
      <sz val="10"/>
      <name val="Arial"/>
      <family val="2"/>
    </font>
    <font>
      <sz val="10"/>
      <color indexed="12"/>
      <name val="Helv"/>
    </font>
    <font>
      <b/>
      <sz val="10"/>
      <name val="Helv"/>
    </font>
    <font>
      <sz val="12"/>
      <name val="Helv"/>
    </font>
    <font>
      <b/>
      <sz val="14"/>
      <name val="Helv"/>
    </font>
    <font>
      <b/>
      <sz val="24"/>
      <name val="Helv"/>
    </font>
    <font>
      <b/>
      <sz val="12"/>
      <name val="Helv"/>
    </font>
    <font>
      <sz val="12"/>
      <color indexed="12"/>
      <name val="Helv"/>
    </font>
    <font>
      <sz val="10"/>
      <color indexed="8"/>
      <name val="Helv"/>
    </font>
    <font>
      <b/>
      <i/>
      <sz val="10"/>
      <name val="Helv"/>
    </font>
    <font>
      <sz val="10"/>
      <name val="Helv"/>
    </font>
    <font>
      <b/>
      <sz val="8"/>
      <color indexed="81"/>
      <name val="Tahoma"/>
      <family val="2"/>
    </font>
    <font>
      <sz val="8"/>
      <color indexed="81"/>
      <name val="Tahoma"/>
      <family val="2"/>
    </font>
    <font>
      <b/>
      <sz val="10"/>
      <color indexed="10"/>
      <name val="Helv"/>
    </font>
    <font>
      <b/>
      <sz val="10"/>
      <color indexed="12"/>
      <name val="Helv"/>
    </font>
    <font>
      <sz val="10"/>
      <color rgb="FF0000CC"/>
      <name val="Helv"/>
    </font>
    <font>
      <sz val="12"/>
      <color rgb="FF0000CC"/>
      <name val="Helv"/>
    </font>
    <font>
      <sz val="9"/>
      <name val="Helv"/>
    </font>
    <font>
      <sz val="9"/>
      <color rgb="FF0000CC"/>
      <name val="Helv"/>
    </font>
    <font>
      <sz val="10"/>
      <color theme="4"/>
      <name val="Helv"/>
    </font>
    <font>
      <sz val="10"/>
      <color theme="1"/>
      <name val="Helv"/>
    </font>
    <font>
      <b/>
      <sz val="10"/>
      <color theme="1"/>
      <name val="Helv"/>
    </font>
  </fonts>
  <fills count="4">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s>
  <borders count="31">
    <border>
      <left/>
      <right/>
      <top/>
      <bottom/>
      <diagonal/>
    </border>
    <border>
      <left/>
      <right/>
      <top style="thin">
        <color indexed="8"/>
      </top>
      <bottom/>
      <diagonal/>
    </border>
    <border>
      <left/>
      <right/>
      <top/>
      <bottom style="thin">
        <color indexed="8"/>
      </bottom>
      <diagonal/>
    </border>
    <border>
      <left/>
      <right/>
      <top style="thin">
        <color indexed="8"/>
      </top>
      <bottom style="double">
        <color indexed="8"/>
      </bottom>
      <diagonal/>
    </border>
    <border>
      <left/>
      <right/>
      <top style="thin">
        <color indexed="8"/>
      </top>
      <bottom style="thin">
        <color indexed="8"/>
      </bottom>
      <diagonal/>
    </border>
    <border>
      <left/>
      <right/>
      <top/>
      <bottom style="double">
        <color indexed="8"/>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bottom/>
      <diagonal/>
    </border>
    <border>
      <left style="thin">
        <color indexed="8"/>
      </left>
      <right/>
      <top style="thin">
        <color indexed="8"/>
      </top>
      <bottom style="double">
        <color indexed="8"/>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s>
  <cellStyleXfs count="3">
    <xf numFmtId="39" fontId="0" fillId="0" borderId="0"/>
    <xf numFmtId="43" fontId="11" fillId="0" borderId="0" applyFont="0" applyFill="0" applyBorder="0" applyAlignment="0" applyProtection="0"/>
    <xf numFmtId="9" fontId="11" fillId="0" borderId="0" applyFont="0" applyFill="0" applyBorder="0" applyAlignment="0" applyProtection="0"/>
  </cellStyleXfs>
  <cellXfs count="179">
    <xf numFmtId="39" fontId="0" fillId="0" borderId="0" xfId="0"/>
    <xf numFmtId="39" fontId="0" fillId="0" borderId="0" xfId="0" applyNumberFormat="1" applyProtection="1"/>
    <xf numFmtId="37" fontId="0" fillId="0" borderId="0" xfId="0" applyNumberFormat="1" applyProtection="1"/>
    <xf numFmtId="164" fontId="0" fillId="0" borderId="0" xfId="0" applyNumberFormat="1" applyProtection="1"/>
    <xf numFmtId="37" fontId="2" fillId="0" borderId="0" xfId="0" applyNumberFormat="1" applyFont="1" applyProtection="1">
      <protection locked="0"/>
    </xf>
    <xf numFmtId="5" fontId="0" fillId="0" borderId="0" xfId="0" applyNumberFormat="1" applyProtection="1"/>
    <xf numFmtId="39" fontId="0" fillId="0" borderId="0" xfId="0" applyNumberFormat="1" applyAlignment="1" applyProtection="1">
      <alignment horizontal="center"/>
    </xf>
    <xf numFmtId="37" fontId="0" fillId="0" borderId="0" xfId="0" applyNumberFormat="1" applyAlignment="1" applyProtection="1">
      <alignment horizontal="center"/>
    </xf>
    <xf numFmtId="39" fontId="3" fillId="0" borderId="0" xfId="0" applyNumberFormat="1" applyFont="1" applyAlignment="1" applyProtection="1">
      <alignment horizontal="center"/>
    </xf>
    <xf numFmtId="39" fontId="4" fillId="0" borderId="0" xfId="0" applyNumberFormat="1" applyFont="1" applyProtection="1"/>
    <xf numFmtId="37" fontId="2" fillId="0" borderId="2" xfId="0" applyNumberFormat="1" applyFont="1" applyBorder="1" applyProtection="1">
      <protection locked="0"/>
    </xf>
    <xf numFmtId="37" fontId="0" fillId="0" borderId="3" xfId="0" applyNumberFormat="1" applyBorder="1" applyProtection="1"/>
    <xf numFmtId="37" fontId="2" fillId="0" borderId="5" xfId="0" applyNumberFormat="1" applyFont="1" applyBorder="1" applyProtection="1">
      <protection locked="0"/>
    </xf>
    <xf numFmtId="37" fontId="0" fillId="0" borderId="5" xfId="0" applyNumberFormat="1" applyBorder="1" applyProtection="1"/>
    <xf numFmtId="37" fontId="0" fillId="0" borderId="2" xfId="0" applyNumberFormat="1" applyBorder="1" applyProtection="1"/>
    <xf numFmtId="37" fontId="2" fillId="0" borderId="0" xfId="0" applyNumberFormat="1" applyFont="1" applyProtection="1"/>
    <xf numFmtId="37" fontId="2" fillId="0" borderId="3" xfId="0" applyNumberFormat="1" applyFont="1" applyBorder="1" applyProtection="1">
      <protection locked="0"/>
    </xf>
    <xf numFmtId="37" fontId="2" fillId="0" borderId="3" xfId="0" applyNumberFormat="1" applyFont="1" applyBorder="1" applyProtection="1"/>
    <xf numFmtId="37" fontId="0" fillId="0" borderId="1" xfId="0" applyNumberFormat="1" applyBorder="1" applyProtection="1"/>
    <xf numFmtId="39" fontId="0" fillId="0" borderId="6" xfId="0" applyNumberFormat="1" applyBorder="1" applyAlignment="1" applyProtection="1">
      <alignment horizontal="center"/>
    </xf>
    <xf numFmtId="39" fontId="0" fillId="0" borderId="4" xfId="0" applyNumberFormat="1" applyBorder="1" applyAlignment="1" applyProtection="1">
      <alignment horizontal="center"/>
    </xf>
    <xf numFmtId="39" fontId="0" fillId="0" borderId="7" xfId="0" applyNumberFormat="1" applyBorder="1" applyAlignment="1" applyProtection="1">
      <alignment horizontal="center"/>
    </xf>
    <xf numFmtId="5" fontId="0" fillId="0" borderId="1" xfId="0" applyNumberFormat="1" applyBorder="1" applyProtection="1"/>
    <xf numFmtId="164" fontId="2" fillId="0" borderId="0" xfId="0" applyNumberFormat="1" applyFont="1" applyProtection="1"/>
    <xf numFmtId="164" fontId="0" fillId="0" borderId="1" xfId="0" applyNumberFormat="1" applyBorder="1" applyProtection="1"/>
    <xf numFmtId="164" fontId="0" fillId="0" borderId="3" xfId="0" applyNumberFormat="1" applyBorder="1" applyProtection="1"/>
    <xf numFmtId="164" fontId="2" fillId="0" borderId="3" xfId="0" applyNumberFormat="1" applyFont="1" applyBorder="1" applyProtection="1">
      <protection locked="0"/>
    </xf>
    <xf numFmtId="39" fontId="6" fillId="0" borderId="0" xfId="0" applyFont="1"/>
    <xf numFmtId="39" fontId="7" fillId="0" borderId="0" xfId="0" applyNumberFormat="1" applyFont="1" applyProtection="1"/>
    <xf numFmtId="39" fontId="4" fillId="0" borderId="0" xfId="0" applyFont="1"/>
    <xf numFmtId="39" fontId="7" fillId="0" borderId="0" xfId="0" applyNumberFormat="1" applyFont="1" applyAlignment="1" applyProtection="1">
      <alignment horizontal="center"/>
    </xf>
    <xf numFmtId="37" fontId="0" fillId="0" borderId="4" xfId="0" applyNumberFormat="1" applyBorder="1" applyProtection="1"/>
    <xf numFmtId="164" fontId="0" fillId="0" borderId="5" xfId="0" applyNumberFormat="1" applyBorder="1" applyProtection="1"/>
    <xf numFmtId="164" fontId="2" fillId="0" borderId="5" xfId="0" applyNumberFormat="1" applyFont="1" applyBorder="1" applyProtection="1">
      <protection locked="0"/>
    </xf>
    <xf numFmtId="164" fontId="0" fillId="0" borderId="2" xfId="0" applyNumberFormat="1" applyBorder="1" applyProtection="1"/>
    <xf numFmtId="39" fontId="0" fillId="0" borderId="8" xfId="0" applyNumberFormat="1" applyBorder="1" applyProtection="1"/>
    <xf numFmtId="39" fontId="0" fillId="0" borderId="0" xfId="0" applyNumberFormat="1" applyAlignment="1" applyProtection="1">
      <alignment horizontal="left"/>
    </xf>
    <xf numFmtId="164" fontId="9" fillId="0" borderId="0" xfId="0" applyNumberFormat="1" applyFont="1" applyProtection="1">
      <protection locked="0"/>
    </xf>
    <xf numFmtId="39" fontId="0" fillId="0" borderId="8" xfId="0" applyBorder="1" applyAlignment="1">
      <alignment horizontal="center"/>
    </xf>
    <xf numFmtId="39" fontId="0" fillId="0" borderId="8" xfId="0" applyBorder="1"/>
    <xf numFmtId="37" fontId="2" fillId="0" borderId="8" xfId="0" applyNumberFormat="1" applyFont="1" applyBorder="1" applyProtection="1">
      <protection locked="0"/>
    </xf>
    <xf numFmtId="37" fontId="0" fillId="0" borderId="9" xfId="0" applyNumberFormat="1" applyBorder="1" applyProtection="1"/>
    <xf numFmtId="37" fontId="9" fillId="0" borderId="0" xfId="0" applyNumberFormat="1" applyFont="1" applyProtection="1">
      <protection locked="0"/>
    </xf>
    <xf numFmtId="37" fontId="9" fillId="0" borderId="1" xfId="0" applyNumberFormat="1" applyFont="1" applyBorder="1" applyProtection="1">
      <protection locked="0"/>
    </xf>
    <xf numFmtId="39" fontId="10" fillId="0" borderId="0" xfId="0" applyNumberFormat="1" applyFont="1" applyProtection="1"/>
    <xf numFmtId="37" fontId="0" fillId="0" borderId="8" xfId="0" applyNumberFormat="1" applyBorder="1" applyAlignment="1" applyProtection="1">
      <alignment horizontal="center"/>
    </xf>
    <xf numFmtId="37" fontId="2" fillId="0" borderId="8" xfId="0" applyNumberFormat="1" applyFont="1" applyBorder="1" applyProtection="1"/>
    <xf numFmtId="37" fontId="11" fillId="0" borderId="0" xfId="0" applyNumberFormat="1" applyFont="1" applyProtection="1"/>
    <xf numFmtId="37" fontId="0" fillId="0" borderId="0" xfId="0" applyNumberFormat="1"/>
    <xf numFmtId="39" fontId="0" fillId="0" borderId="0" xfId="0" applyAlignment="1">
      <alignment horizontal="center"/>
    </xf>
    <xf numFmtId="39" fontId="3" fillId="0" borderId="0" xfId="0" applyFont="1"/>
    <xf numFmtId="167" fontId="0" fillId="0" borderId="0" xfId="0" applyNumberFormat="1" applyProtection="1"/>
    <xf numFmtId="37" fontId="4" fillId="0" borderId="12" xfId="0" applyNumberFormat="1" applyFont="1" applyBorder="1" applyAlignment="1" applyProtection="1">
      <alignment horizontal="center"/>
    </xf>
    <xf numFmtId="164" fontId="4" fillId="0" borderId="10" xfId="0" applyNumberFormat="1" applyFont="1" applyBorder="1" applyProtection="1"/>
    <xf numFmtId="39" fontId="4" fillId="0" borderId="13" xfId="0" applyFont="1" applyBorder="1"/>
    <xf numFmtId="39" fontId="4" fillId="0" borderId="0" xfId="0" applyFont="1" applyBorder="1"/>
    <xf numFmtId="39" fontId="4" fillId="0" borderId="14" xfId="0" applyFont="1" applyBorder="1"/>
    <xf numFmtId="37" fontId="4" fillId="0" borderId="13" xfId="0" applyNumberFormat="1" applyFont="1" applyBorder="1" applyAlignment="1" applyProtection="1">
      <alignment horizontal="center"/>
    </xf>
    <xf numFmtId="39" fontId="4" fillId="0" borderId="0" xfId="0" applyNumberFormat="1" applyFont="1" applyBorder="1" applyProtection="1"/>
    <xf numFmtId="164" fontId="4" fillId="0" borderId="0" xfId="0" applyNumberFormat="1" applyFont="1" applyBorder="1" applyProtection="1"/>
    <xf numFmtId="37" fontId="4" fillId="0" borderId="15" xfId="0" applyNumberFormat="1" applyFont="1" applyBorder="1" applyAlignment="1" applyProtection="1">
      <alignment horizontal="center"/>
    </xf>
    <xf numFmtId="39" fontId="4" fillId="0" borderId="11" xfId="0" applyFont="1" applyBorder="1"/>
    <xf numFmtId="164" fontId="4" fillId="0" borderId="11" xfId="0" applyNumberFormat="1" applyFont="1" applyBorder="1" applyProtection="1"/>
    <xf numFmtId="39" fontId="0" fillId="0" borderId="0" xfId="0" applyBorder="1"/>
    <xf numFmtId="37" fontId="4" fillId="0" borderId="0" xfId="0" applyNumberFormat="1" applyFont="1" applyBorder="1" applyAlignment="1" applyProtection="1">
      <alignment horizontal="center"/>
    </xf>
    <xf numFmtId="39" fontId="4" fillId="0" borderId="10" xfId="0" applyNumberFormat="1" applyFont="1" applyBorder="1" applyProtection="1"/>
    <xf numFmtId="39" fontId="11" fillId="0" borderId="0" xfId="0" applyNumberFormat="1" applyFont="1" applyProtection="1"/>
    <xf numFmtId="39" fontId="2" fillId="0" borderId="0" xfId="0" applyFont="1"/>
    <xf numFmtId="37" fontId="3" fillId="0" borderId="0" xfId="0" applyNumberFormat="1" applyFont="1" applyProtection="1"/>
    <xf numFmtId="39" fontId="11" fillId="0" borderId="0" xfId="0" applyFont="1"/>
    <xf numFmtId="39" fontId="0" fillId="0" borderId="0" xfId="0" quotePrefix="1" applyNumberFormat="1" applyProtection="1"/>
    <xf numFmtId="39" fontId="14" fillId="0" borderId="0" xfId="0" applyNumberFormat="1" applyFont="1" applyProtection="1"/>
    <xf numFmtId="164" fontId="3" fillId="0" borderId="0" xfId="0" applyNumberFormat="1" applyFont="1" applyProtection="1"/>
    <xf numFmtId="37" fontId="4" fillId="0" borderId="10" xfId="0" applyNumberFormat="1" applyFont="1" applyBorder="1" applyAlignment="1" applyProtection="1">
      <alignment horizontal="center"/>
    </xf>
    <xf numFmtId="37" fontId="4" fillId="0" borderId="11" xfId="0" applyNumberFormat="1" applyFont="1" applyBorder="1" applyAlignment="1" applyProtection="1">
      <alignment horizontal="center"/>
    </xf>
    <xf numFmtId="39" fontId="5" fillId="0" borderId="0" xfId="0" applyNumberFormat="1" applyFont="1" applyAlignment="1" applyProtection="1">
      <alignment horizontal="left"/>
    </xf>
    <xf numFmtId="164" fontId="4" fillId="0" borderId="16" xfId="0" applyNumberFormat="1" applyFont="1" applyBorder="1" applyProtection="1"/>
    <xf numFmtId="164" fontId="4" fillId="0" borderId="14" xfId="0" applyNumberFormat="1" applyFont="1" applyBorder="1" applyProtection="1"/>
    <xf numFmtId="164" fontId="4" fillId="0" borderId="17" xfId="0" applyNumberFormat="1" applyFont="1" applyBorder="1" applyProtection="1"/>
    <xf numFmtId="169" fontId="0" fillId="0" borderId="0" xfId="0" applyNumberFormat="1" applyProtection="1"/>
    <xf numFmtId="39" fontId="15" fillId="0" borderId="0" xfId="0" applyFont="1"/>
    <xf numFmtId="169" fontId="0" fillId="0" borderId="0" xfId="0" applyNumberFormat="1" applyAlignment="1" applyProtection="1">
      <alignment horizontal="center"/>
    </xf>
    <xf numFmtId="37" fontId="0" fillId="0" borderId="0" xfId="0" applyNumberFormat="1" applyAlignment="1">
      <alignment horizontal="center"/>
    </xf>
    <xf numFmtId="168" fontId="0" fillId="0" borderId="0" xfId="0" applyNumberFormat="1"/>
    <xf numFmtId="39" fontId="0" fillId="0" borderId="0" xfId="0" quotePrefix="1"/>
    <xf numFmtId="37" fontId="2" fillId="0" borderId="0" xfId="0" applyNumberFormat="1" applyFont="1" applyAlignment="1" applyProtection="1">
      <alignment horizontal="center"/>
    </xf>
    <xf numFmtId="164" fontId="2" fillId="0" borderId="3" xfId="0" applyNumberFormat="1" applyFont="1" applyBorder="1" applyProtection="1"/>
    <xf numFmtId="37" fontId="14" fillId="0" borderId="0" xfId="0" applyNumberFormat="1" applyFont="1" applyProtection="1"/>
    <xf numFmtId="170" fontId="0" fillId="0" borderId="0" xfId="0" applyNumberFormat="1" applyAlignment="1" applyProtection="1">
      <alignment horizontal="center"/>
    </xf>
    <xf numFmtId="39" fontId="0" fillId="0" borderId="0" xfId="0" applyFill="1" applyBorder="1" applyAlignment="1">
      <alignment horizontal="center"/>
    </xf>
    <xf numFmtId="39" fontId="2" fillId="0" borderId="0" xfId="0" quotePrefix="1" applyFont="1"/>
    <xf numFmtId="170" fontId="0" fillId="0" borderId="0" xfId="0" applyNumberFormat="1" applyProtection="1"/>
    <xf numFmtId="37" fontId="0" fillId="0" borderId="0" xfId="0" applyNumberFormat="1" applyFill="1" applyProtection="1"/>
    <xf numFmtId="37" fontId="2" fillId="0" borderId="0" xfId="0" applyNumberFormat="1" applyFont="1" applyFill="1" applyProtection="1">
      <protection locked="0"/>
    </xf>
    <xf numFmtId="37" fontId="2" fillId="0" borderId="8" xfId="0" applyNumberFormat="1" applyFont="1" applyFill="1" applyBorder="1" applyProtection="1">
      <protection locked="0"/>
    </xf>
    <xf numFmtId="37" fontId="0" fillId="0" borderId="0" xfId="0" applyNumberFormat="1" applyFill="1"/>
    <xf numFmtId="39" fontId="0" fillId="0" borderId="0" xfId="0" applyFill="1"/>
    <xf numFmtId="37" fontId="0" fillId="0" borderId="0" xfId="0" applyNumberFormat="1" applyBorder="1" applyProtection="1"/>
    <xf numFmtId="166" fontId="0" fillId="0" borderId="0" xfId="0" applyNumberFormat="1" applyAlignment="1" applyProtection="1">
      <alignment horizontal="center"/>
    </xf>
    <xf numFmtId="39" fontId="0" fillId="0" borderId="0" xfId="0" quotePrefix="1" applyAlignment="1">
      <alignment vertical="top"/>
    </xf>
    <xf numFmtId="37" fontId="16" fillId="0" borderId="0" xfId="0" applyNumberFormat="1" applyFont="1"/>
    <xf numFmtId="168" fontId="16" fillId="0" borderId="0" xfId="0" applyNumberFormat="1" applyFont="1"/>
    <xf numFmtId="37" fontId="3" fillId="0" borderId="22" xfId="0" applyNumberFormat="1" applyFont="1" applyBorder="1"/>
    <xf numFmtId="37" fontId="0" fillId="0" borderId="23" xfId="0" applyNumberFormat="1" applyBorder="1"/>
    <xf numFmtId="37" fontId="0" fillId="0" borderId="21" xfId="0" applyNumberFormat="1" applyBorder="1"/>
    <xf numFmtId="37" fontId="0" fillId="0" borderId="24" xfId="0" applyNumberFormat="1" applyBorder="1"/>
    <xf numFmtId="37" fontId="0" fillId="0" borderId="25" xfId="0" applyNumberFormat="1" applyBorder="1"/>
    <xf numFmtId="37" fontId="0" fillId="0" borderId="26" xfId="0" applyNumberFormat="1" applyBorder="1"/>
    <xf numFmtId="43" fontId="0" fillId="0" borderId="0" xfId="1" applyFont="1"/>
    <xf numFmtId="164" fontId="0" fillId="0" borderId="0" xfId="2" applyNumberFormat="1" applyFont="1"/>
    <xf numFmtId="39" fontId="0" fillId="0" borderId="0" xfId="0" applyAlignment="1">
      <alignment horizontal="center"/>
    </xf>
    <xf numFmtId="43" fontId="0" fillId="0" borderId="0" xfId="1" applyFont="1" applyAlignment="1" applyProtection="1">
      <alignment horizontal="center"/>
    </xf>
    <xf numFmtId="37" fontId="0" fillId="0" borderId="0" xfId="0" applyNumberFormat="1" applyFont="1" applyProtection="1">
      <protection locked="0"/>
    </xf>
    <xf numFmtId="39" fontId="0" fillId="0" borderId="0" xfId="0" applyAlignment="1">
      <alignment horizontal="center"/>
    </xf>
    <xf numFmtId="39" fontId="16" fillId="0" borderId="0" xfId="0" applyFont="1"/>
    <xf numFmtId="37" fontId="16" fillId="0" borderId="0" xfId="0" applyNumberFormat="1" applyFont="1" applyProtection="1"/>
    <xf numFmtId="37" fontId="16" fillId="0" borderId="24" xfId="0" applyNumberFormat="1" applyFont="1" applyBorder="1"/>
    <xf numFmtId="168" fontId="16" fillId="0" borderId="0" xfId="0" applyNumberFormat="1" applyFont="1" applyFill="1"/>
    <xf numFmtId="39" fontId="0" fillId="0" borderId="0" xfId="0" applyFont="1"/>
    <xf numFmtId="39" fontId="7" fillId="0" borderId="0" xfId="0" applyNumberFormat="1" applyFont="1" applyAlignment="1" applyProtection="1">
      <alignment horizontal="center"/>
    </xf>
    <xf numFmtId="39" fontId="0" fillId="2" borderId="0" xfId="0" applyFill="1"/>
    <xf numFmtId="37" fontId="16" fillId="2" borderId="0" xfId="0" applyNumberFormat="1" applyFont="1" applyFill="1"/>
    <xf numFmtId="165" fontId="8" fillId="3" borderId="0" xfId="0" applyNumberFormat="1" applyFont="1" applyFill="1" applyAlignment="1" applyProtection="1">
      <alignment horizontal="center"/>
    </xf>
    <xf numFmtId="39" fontId="0" fillId="2" borderId="30" xfId="0" applyFill="1" applyBorder="1"/>
    <xf numFmtId="37" fontId="16" fillId="2" borderId="30" xfId="0" applyNumberFormat="1" applyFont="1" applyFill="1" applyBorder="1"/>
    <xf numFmtId="39" fontId="18" fillId="0" borderId="0" xfId="0" applyFont="1"/>
    <xf numFmtId="39" fontId="18" fillId="0" borderId="0" xfId="0" applyFont="1" applyBorder="1" applyAlignment="1">
      <alignment horizontal="center"/>
    </xf>
    <xf numFmtId="39" fontId="18" fillId="0" borderId="0" xfId="0" applyFont="1" applyAlignment="1">
      <alignment horizontal="center"/>
    </xf>
    <xf numFmtId="37" fontId="18" fillId="0" borderId="0" xfId="0" applyNumberFormat="1" applyFont="1"/>
    <xf numFmtId="37" fontId="19" fillId="0" borderId="0" xfId="0" applyNumberFormat="1" applyFont="1"/>
    <xf numFmtId="37" fontId="18" fillId="0" borderId="0" xfId="0" applyNumberFormat="1" applyFont="1" applyBorder="1"/>
    <xf numFmtId="37" fontId="19" fillId="0" borderId="0" xfId="0" applyNumberFormat="1" applyFont="1" applyBorder="1"/>
    <xf numFmtId="37" fontId="0" fillId="0" borderId="3" xfId="0" applyNumberFormat="1" applyFont="1" applyBorder="1" applyProtection="1">
      <protection locked="0"/>
    </xf>
    <xf numFmtId="37" fontId="20" fillId="0" borderId="0" xfId="0" applyNumberFormat="1" applyFont="1"/>
    <xf numFmtId="39" fontId="0" fillId="0" borderId="0" xfId="0" applyAlignment="1">
      <alignment horizontal="center"/>
    </xf>
    <xf numFmtId="39" fontId="0" fillId="0" borderId="0" xfId="0" applyFont="1" applyAlignment="1">
      <alignment wrapText="1"/>
    </xf>
    <xf numFmtId="39" fontId="0" fillId="0" borderId="18" xfId="0" applyBorder="1" applyAlignment="1">
      <alignment horizontal="center"/>
    </xf>
    <xf numFmtId="39" fontId="0" fillId="0" borderId="19" xfId="0" applyBorder="1" applyAlignment="1">
      <alignment horizontal="center"/>
    </xf>
    <xf numFmtId="39" fontId="0" fillId="0" borderId="20" xfId="0" applyBorder="1" applyAlignment="1">
      <alignment horizontal="center"/>
    </xf>
    <xf numFmtId="39" fontId="7" fillId="0" borderId="0" xfId="0" applyNumberFormat="1" applyFont="1" applyAlignment="1" applyProtection="1">
      <alignment horizontal="center"/>
    </xf>
    <xf numFmtId="39" fontId="17" fillId="0" borderId="0" xfId="0" applyNumberFormat="1" applyFont="1" applyAlignment="1" applyProtection="1">
      <alignment wrapText="1"/>
    </xf>
    <xf numFmtId="39" fontId="16" fillId="0" borderId="0" xfId="0" applyFont="1" applyAlignment="1">
      <alignment wrapText="1"/>
    </xf>
    <xf numFmtId="39" fontId="0" fillId="0" borderId="27" xfId="0" applyBorder="1" applyAlignment="1">
      <alignment horizontal="center"/>
    </xf>
    <xf numFmtId="39" fontId="0" fillId="0" borderId="28" xfId="0" applyBorder="1" applyAlignment="1">
      <alignment horizontal="center"/>
    </xf>
    <xf numFmtId="39" fontId="0" fillId="0" borderId="29" xfId="0" applyBorder="1" applyAlignment="1">
      <alignment horizontal="center"/>
    </xf>
    <xf numFmtId="39" fontId="21" fillId="0" borderId="0" xfId="0" applyNumberFormat="1" applyFont="1" applyProtection="1"/>
    <xf numFmtId="169" fontId="21" fillId="0" borderId="0" xfId="0" applyNumberFormat="1" applyFont="1" applyProtection="1"/>
    <xf numFmtId="39" fontId="21" fillId="0" borderId="0" xfId="0" applyNumberFormat="1" applyFont="1" applyAlignment="1" applyProtection="1">
      <alignment horizontal="center"/>
    </xf>
    <xf numFmtId="5" fontId="21" fillId="0" borderId="0" xfId="0" applyNumberFormat="1" applyFont="1" applyProtection="1"/>
    <xf numFmtId="37" fontId="21" fillId="0" borderId="0" xfId="0" applyNumberFormat="1" applyFont="1" applyProtection="1"/>
    <xf numFmtId="37" fontId="21" fillId="0" borderId="0" xfId="0" applyNumberFormat="1" applyFont="1" applyAlignment="1" applyProtection="1">
      <alignment horizontal="center"/>
    </xf>
    <xf numFmtId="5" fontId="21" fillId="0" borderId="1" xfId="0" applyNumberFormat="1" applyFont="1" applyBorder="1" applyProtection="1"/>
    <xf numFmtId="39" fontId="21" fillId="0" borderId="0" xfId="0" applyNumberFormat="1" applyFont="1" applyFill="1" applyProtection="1"/>
    <xf numFmtId="164" fontId="21" fillId="0" borderId="0" xfId="0" applyNumberFormat="1" applyFont="1" applyProtection="1"/>
    <xf numFmtId="39" fontId="21" fillId="0" borderId="0" xfId="0" applyNumberFormat="1" applyFont="1" applyFill="1" applyAlignment="1" applyProtection="1">
      <alignment horizontal="center"/>
    </xf>
    <xf numFmtId="39" fontId="21" fillId="0" borderId="0" xfId="0" applyNumberFormat="1" applyFont="1" applyProtection="1">
      <protection locked="0"/>
    </xf>
    <xf numFmtId="5" fontId="21" fillId="0" borderId="10" xfId="0" applyNumberFormat="1" applyFont="1" applyBorder="1" applyProtection="1"/>
    <xf numFmtId="164" fontId="21" fillId="0" borderId="1" xfId="0" applyNumberFormat="1" applyFont="1" applyBorder="1" applyProtection="1"/>
    <xf numFmtId="39" fontId="21" fillId="0" borderId="0" xfId="0" applyFont="1"/>
    <xf numFmtId="39" fontId="22" fillId="0" borderId="0" xfId="0" applyFont="1"/>
    <xf numFmtId="169" fontId="21" fillId="0" borderId="0" xfId="0" applyNumberFormat="1" applyFont="1" applyAlignment="1" applyProtection="1">
      <alignment horizontal="center"/>
    </xf>
    <xf numFmtId="39" fontId="21" fillId="0" borderId="0" xfId="0" applyFont="1" applyFill="1"/>
    <xf numFmtId="164" fontId="22" fillId="0" borderId="0" xfId="0" applyNumberFormat="1" applyFont="1" applyFill="1" applyProtection="1"/>
    <xf numFmtId="164" fontId="22" fillId="0" borderId="0" xfId="0" applyNumberFormat="1" applyFont="1" applyProtection="1"/>
    <xf numFmtId="39" fontId="22" fillId="0" borderId="0" xfId="0" applyNumberFormat="1" applyFont="1" applyProtection="1"/>
    <xf numFmtId="167" fontId="21" fillId="0" borderId="0" xfId="0" applyNumberFormat="1" applyFont="1" applyProtection="1"/>
    <xf numFmtId="39" fontId="21" fillId="0" borderId="6" xfId="0" applyNumberFormat="1" applyFont="1" applyBorder="1" applyAlignment="1" applyProtection="1">
      <alignment horizontal="center"/>
    </xf>
    <xf numFmtId="39" fontId="21" fillId="0" borderId="4" xfId="0" applyNumberFormat="1" applyFont="1" applyBorder="1" applyAlignment="1" applyProtection="1">
      <alignment horizontal="center"/>
    </xf>
    <xf numFmtId="39" fontId="21" fillId="0" borderId="7" xfId="0" applyNumberFormat="1" applyFont="1" applyBorder="1" applyAlignment="1" applyProtection="1">
      <alignment horizontal="center"/>
    </xf>
    <xf numFmtId="43" fontId="21" fillId="0" borderId="0" xfId="1" applyFont="1" applyProtection="1"/>
    <xf numFmtId="164" fontId="21" fillId="0" borderId="0" xfId="0" applyNumberFormat="1" applyFont="1" applyProtection="1">
      <protection locked="0"/>
    </xf>
    <xf numFmtId="37" fontId="21" fillId="0" borderId="0" xfId="0" applyNumberFormat="1" applyFont="1" applyProtection="1">
      <protection locked="0"/>
    </xf>
    <xf numFmtId="37" fontId="21" fillId="0" borderId="1" xfId="0" applyNumberFormat="1" applyFont="1" applyBorder="1" applyProtection="1"/>
    <xf numFmtId="37" fontId="21" fillId="0" borderId="0" xfId="0" applyNumberFormat="1" applyFont="1" applyFill="1" applyBorder="1" applyProtection="1"/>
    <xf numFmtId="39" fontId="22" fillId="0" borderId="18" xfId="0" applyNumberFormat="1" applyFont="1" applyBorder="1" applyProtection="1"/>
    <xf numFmtId="39" fontId="22" fillId="0" borderId="19" xfId="0" applyNumberFormat="1" applyFont="1" applyBorder="1" applyProtection="1"/>
    <xf numFmtId="164" fontId="22" fillId="0" borderId="19" xfId="0" applyNumberFormat="1" applyFont="1" applyBorder="1" applyProtection="1"/>
    <xf numFmtId="164" fontId="22" fillId="0" borderId="19" xfId="0" applyNumberFormat="1" applyFont="1" applyBorder="1" applyProtection="1">
      <protection locked="0"/>
    </xf>
    <xf numFmtId="164" fontId="22" fillId="0" borderId="20" xfId="0" applyNumberFormat="1" applyFont="1" applyBorder="1" applyProtection="1"/>
  </cellXfs>
  <cellStyles count="3">
    <cellStyle name="Comma" xfId="1" builtinId="3"/>
    <cellStyle name="Normal" xfId="0" builtinId="0"/>
    <cellStyle name="Percent" xfId="2" builtinId="5"/>
  </cellStyles>
  <dxfs count="0"/>
  <tableStyles count="0" defaultTableStyle="TableStyleMedium9" defaultPivotStyle="PivotStyleLight16"/>
  <colors>
    <mruColors>
      <color rgb="FF0000CC"/>
      <color rgb="FF0066CC"/>
      <color rgb="FF0033CC"/>
      <color rgb="FF3366CC"/>
      <color rgb="FF00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3</xdr:col>
      <xdr:colOff>114300</xdr:colOff>
      <xdr:row>2</xdr:row>
      <xdr:rowOff>0</xdr:rowOff>
    </xdr:to>
    <xdr:pic>
      <xdr:nvPicPr>
        <xdr:cNvPr id="18433"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247650" y="0"/>
          <a:ext cx="2076450" cy="638175"/>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tabColor rgb="FFFFFF00"/>
  </sheetPr>
  <dimension ref="A1:O50"/>
  <sheetViews>
    <sheetView showZeros="0" tabSelected="1" showOutlineSymbols="0" zoomScaleNormal="100" workbookViewId="0">
      <pane xSplit="2" ySplit="8" topLeftCell="C9" activePane="bottomRight" state="frozen"/>
      <selection pane="topRight"/>
      <selection pane="bottomLeft"/>
      <selection pane="bottomRight" activeCell="D18" sqref="D18"/>
    </sheetView>
  </sheetViews>
  <sheetFormatPr defaultColWidth="9.7109375" defaultRowHeight="12.75" x14ac:dyDescent="0.2"/>
  <cols>
    <col min="1" max="1" width="30.85546875" customWidth="1"/>
    <col min="2" max="2" width="3" hidden="1" customWidth="1"/>
    <col min="3" max="3" width="15.140625" bestFit="1" customWidth="1"/>
    <col min="4" max="4" width="15.85546875" bestFit="1" customWidth="1"/>
    <col min="5" max="5" width="13.85546875" customWidth="1"/>
    <col min="6" max="6" width="14" customWidth="1"/>
    <col min="7" max="7" width="6.28515625" bestFit="1" customWidth="1"/>
    <col min="8" max="8" width="1.85546875" customWidth="1"/>
    <col min="9" max="10" width="13.28515625" bestFit="1" customWidth="1"/>
    <col min="11" max="11" width="11.28515625" bestFit="1" customWidth="1"/>
    <col min="12" max="12" width="1" customWidth="1"/>
    <col min="13" max="13" width="13.28515625" bestFit="1" customWidth="1"/>
    <col min="14" max="14" width="13.42578125" bestFit="1" customWidth="1"/>
    <col min="15" max="15" width="12.28515625" bestFit="1" customWidth="1"/>
  </cols>
  <sheetData>
    <row r="1" spans="1:15" x14ac:dyDescent="0.2">
      <c r="A1" s="145" t="str">
        <f>Notes!A1</f>
        <v>Avista Utilities</v>
      </c>
      <c r="B1" s="145"/>
      <c r="C1" s="145"/>
      <c r="D1" s="145"/>
      <c r="E1" s="164"/>
      <c r="F1" s="165"/>
      <c r="G1" s="145"/>
    </row>
    <row r="2" spans="1:15" x14ac:dyDescent="0.2">
      <c r="A2" s="145" t="s">
        <v>199</v>
      </c>
      <c r="B2" s="145"/>
      <c r="C2" s="145"/>
      <c r="D2" s="145"/>
      <c r="E2" s="145"/>
      <c r="F2" s="145"/>
      <c r="G2" s="145"/>
    </row>
    <row r="3" spans="1:15" x14ac:dyDescent="0.2">
      <c r="A3" s="145" t="s">
        <v>53</v>
      </c>
      <c r="B3" s="145"/>
      <c r="C3" s="145"/>
      <c r="D3" s="145"/>
      <c r="E3" s="145"/>
      <c r="F3" s="145"/>
      <c r="G3" s="145"/>
    </row>
    <row r="4" spans="1:15" x14ac:dyDescent="0.2">
      <c r="A4" s="145" t="str">
        <f>Notes!A4</f>
        <v>For the Twelve Months Ended December 31, 2016</v>
      </c>
      <c r="B4" s="145"/>
      <c r="C4" s="145"/>
      <c r="D4" s="145"/>
      <c r="E4" s="145"/>
      <c r="F4" s="145"/>
      <c r="G4" s="145"/>
    </row>
    <row r="5" spans="1:15" x14ac:dyDescent="0.2">
      <c r="A5" s="145"/>
      <c r="B5" s="145"/>
      <c r="C5" s="145"/>
      <c r="D5" s="145"/>
      <c r="E5" s="145"/>
      <c r="F5" s="145"/>
      <c r="G5" s="145"/>
      <c r="I5" s="134" t="s">
        <v>313</v>
      </c>
      <c r="J5" s="134"/>
      <c r="K5" s="134"/>
      <c r="M5" s="134" t="s">
        <v>314</v>
      </c>
      <c r="N5" s="134"/>
      <c r="O5" s="134"/>
    </row>
    <row r="6" spans="1:15" x14ac:dyDescent="0.2">
      <c r="A6" s="158"/>
      <c r="B6" s="158"/>
      <c r="C6" s="158"/>
      <c r="D6" s="158"/>
      <c r="E6" s="158"/>
      <c r="F6" s="158"/>
      <c r="G6" s="158"/>
    </row>
    <row r="7" spans="1:15" x14ac:dyDescent="0.2">
      <c r="A7" s="145"/>
      <c r="B7" s="166" t="s">
        <v>54</v>
      </c>
      <c r="C7" s="167" t="s">
        <v>1</v>
      </c>
      <c r="D7" s="167" t="s">
        <v>2</v>
      </c>
      <c r="E7" s="167" t="s">
        <v>200</v>
      </c>
      <c r="F7" s="167" t="s">
        <v>173</v>
      </c>
      <c r="G7" s="168" t="s">
        <v>55</v>
      </c>
      <c r="I7" s="20" t="s">
        <v>1</v>
      </c>
      <c r="J7" s="20" t="s">
        <v>200</v>
      </c>
      <c r="K7" s="20" t="s">
        <v>173</v>
      </c>
      <c r="M7" s="20" t="s">
        <v>1</v>
      </c>
      <c r="N7" s="20" t="s">
        <v>200</v>
      </c>
      <c r="O7" s="20" t="s">
        <v>173</v>
      </c>
    </row>
    <row r="8" spans="1:15" x14ac:dyDescent="0.2">
      <c r="A8" s="158"/>
      <c r="B8" s="158"/>
      <c r="C8" s="158"/>
      <c r="D8" s="158"/>
      <c r="E8" s="158"/>
      <c r="F8" s="158"/>
      <c r="G8" s="158"/>
    </row>
    <row r="9" spans="1:15" x14ac:dyDescent="0.2">
      <c r="A9" s="145" t="s">
        <v>309</v>
      </c>
      <c r="B9" s="145"/>
      <c r="C9" s="145"/>
      <c r="D9" s="145"/>
      <c r="E9" s="145"/>
      <c r="F9" s="145"/>
      <c r="G9" s="145"/>
    </row>
    <row r="10" spans="1:15" x14ac:dyDescent="0.2">
      <c r="A10" s="145" t="s">
        <v>310</v>
      </c>
      <c r="B10" s="147" t="s">
        <v>201</v>
      </c>
      <c r="C10" s="148">
        <f>SUM(D10:F10)</f>
        <v>72715941</v>
      </c>
      <c r="D10" s="148">
        <f>'Expenses-2016'!H6+'Expenses-2016'!I6+'Expenses-2016'!K6</f>
        <v>61020528</v>
      </c>
      <c r="E10" s="148">
        <f>ROUND(I10*(N10/M10),0)</f>
        <v>7373519</v>
      </c>
      <c r="F10" s="148">
        <f>ROUND(I10*(O10/M10),0)</f>
        <v>4321894</v>
      </c>
      <c r="G10" s="147" t="s">
        <v>333</v>
      </c>
      <c r="I10" s="48">
        <f>SUM(J10:K10)</f>
        <v>11695413</v>
      </c>
      <c r="J10" s="48">
        <f>'Expenses-2016'!L12+'Expenses-2016'!M12+'Expenses-2016'!O12+'Expenses-2016'!Q12</f>
        <v>7412924</v>
      </c>
      <c r="K10" s="48">
        <f>'Expenses-2016'!L18+'Expenses-2016'!P18</f>
        <v>4282489</v>
      </c>
      <c r="L10" s="48"/>
      <c r="M10" s="48">
        <f>SUM(N10:O10)</f>
        <v>11097236</v>
      </c>
      <c r="N10" s="48">
        <f>'Expenses-2016'!M12+'Expenses-2016'!O12+'Expenses-2016'!Q12</f>
        <v>6996391</v>
      </c>
      <c r="O10" s="48">
        <f>'Expenses-2016'!P18</f>
        <v>4100845</v>
      </c>
    </row>
    <row r="11" spans="1:15" x14ac:dyDescent="0.2">
      <c r="A11" s="145" t="s">
        <v>312</v>
      </c>
      <c r="B11" s="147" t="s">
        <v>201</v>
      </c>
      <c r="C11" s="149">
        <f>SUM(D11:F11)</f>
        <v>43334872</v>
      </c>
      <c r="D11" s="149">
        <f>'Expenses-2016'!H5+'Expenses-2016'!I5+'Expenses-2016'!J5+'Expenses-2016'!K5</f>
        <v>29783317</v>
      </c>
      <c r="E11" s="149">
        <f>ROUND(I11*(N11/M11),0)</f>
        <v>9075029</v>
      </c>
      <c r="F11" s="149">
        <f>ROUND(I11*(O11/M11),0)</f>
        <v>4476526</v>
      </c>
      <c r="G11" s="150">
        <v>-2</v>
      </c>
      <c r="I11" s="48">
        <f t="shared" ref="I11:I12" si="0">SUM(J11:K11)</f>
        <v>13551555</v>
      </c>
      <c r="J11" s="48">
        <f>'Expenses-2016'!L11+'Expenses-2016'!M11+'Expenses-2016'!O11+'Expenses-2016'!Q11</f>
        <v>9088731</v>
      </c>
      <c r="K11" s="48">
        <f>'Expenses-2016'!L17+'Expenses-2016'!N17+'Expenses-2016'!P17</f>
        <v>4462824</v>
      </c>
      <c r="L11" s="48"/>
      <c r="M11" s="48">
        <f t="shared" ref="M11:M12" si="1">SUM(N11:O11)</f>
        <v>13037852</v>
      </c>
      <c r="N11" s="48">
        <f>'Expenses-2016'!M11+'Expenses-2016'!O11+'Expenses-2016'!Q11</f>
        <v>8731019</v>
      </c>
      <c r="O11" s="48">
        <f>'Expenses-2016'!N17+'Expenses-2016'!P17</f>
        <v>4306833</v>
      </c>
    </row>
    <row r="12" spans="1:15" x14ac:dyDescent="0.2">
      <c r="A12" s="145" t="s">
        <v>311</v>
      </c>
      <c r="B12" s="147"/>
      <c r="C12" s="149">
        <f>SUM(D12:F12)</f>
        <v>4567936</v>
      </c>
      <c r="D12" s="149">
        <f>'Expenses-2016'!E5+'Expenses-2016'!F5+'Expenses-2016'!G5</f>
        <v>3141860</v>
      </c>
      <c r="E12" s="149">
        <f>ROUND(I12*(N12/M12),0)</f>
        <v>1426076</v>
      </c>
      <c r="F12" s="169">
        <f>ROUND(I12*(O12/M12),0)</f>
        <v>0</v>
      </c>
      <c r="G12" s="150">
        <v>-2</v>
      </c>
      <c r="I12" s="48">
        <f t="shared" si="0"/>
        <v>1426076</v>
      </c>
      <c r="J12" s="48">
        <f>'Expenses-2016'!E11+'Expenses-2016'!F11+'Expenses-2016'!G11</f>
        <v>1426076</v>
      </c>
      <c r="K12" s="108">
        <v>0</v>
      </c>
      <c r="L12" s="48"/>
      <c r="M12" s="48">
        <f t="shared" si="1"/>
        <v>1426076</v>
      </c>
      <c r="N12" s="48">
        <f>'Expenses-2016'!E11+'Expenses-2016'!F11+'Expenses-2016'!G11</f>
        <v>1426076</v>
      </c>
      <c r="O12" s="108">
        <v>0</v>
      </c>
    </row>
    <row r="13" spans="1:15" x14ac:dyDescent="0.2">
      <c r="A13" s="145"/>
      <c r="B13" s="147"/>
      <c r="C13" s="149"/>
      <c r="D13" s="149"/>
      <c r="E13" s="149"/>
      <c r="F13" s="150"/>
      <c r="G13" s="147"/>
      <c r="I13" s="48"/>
      <c r="J13" s="48"/>
      <c r="K13" s="48"/>
      <c r="L13" s="48"/>
      <c r="M13" s="48"/>
      <c r="N13" s="48"/>
      <c r="O13" s="48"/>
    </row>
    <row r="14" spans="1:15" x14ac:dyDescent="0.2">
      <c r="A14" s="145" t="s">
        <v>197</v>
      </c>
      <c r="B14" s="147"/>
      <c r="C14" s="149">
        <f>+D14</f>
        <v>0</v>
      </c>
      <c r="D14" s="149"/>
      <c r="E14" s="149"/>
      <c r="F14" s="150"/>
      <c r="G14" s="150"/>
    </row>
    <row r="15" spans="1:15" x14ac:dyDescent="0.2">
      <c r="A15" s="145" t="s">
        <v>197</v>
      </c>
      <c r="B15" s="147"/>
      <c r="C15" s="149">
        <f>SUM(D15:F15)</f>
        <v>0</v>
      </c>
      <c r="D15" s="149"/>
      <c r="E15" s="149"/>
      <c r="F15" s="150"/>
      <c r="G15" s="150"/>
    </row>
    <row r="16" spans="1:15" x14ac:dyDescent="0.2">
      <c r="A16" s="145" t="s">
        <v>57</v>
      </c>
      <c r="B16" s="145"/>
      <c r="C16" s="151">
        <f>SUM(C10:C15)</f>
        <v>120618749</v>
      </c>
      <c r="D16" s="151">
        <f>SUM(D10:D15)</f>
        <v>93945705</v>
      </c>
      <c r="E16" s="151">
        <f>SUM(E10:E15)</f>
        <v>17874624</v>
      </c>
      <c r="F16" s="151">
        <f>SUM(F10:F15)</f>
        <v>8798420</v>
      </c>
      <c r="G16" s="145"/>
      <c r="I16" s="22">
        <f t="shared" ref="I16:K16" si="2">SUM(I10:I15)</f>
        <v>26673044</v>
      </c>
      <c r="J16" s="22">
        <f t="shared" si="2"/>
        <v>17927731</v>
      </c>
      <c r="K16" s="22">
        <f t="shared" si="2"/>
        <v>8745313</v>
      </c>
      <c r="M16" s="22">
        <f t="shared" ref="M16:O16" si="3">SUM(M10:M15)</f>
        <v>25561164</v>
      </c>
      <c r="N16" s="22">
        <f t="shared" si="3"/>
        <v>17153486</v>
      </c>
      <c r="O16" s="22">
        <f t="shared" si="3"/>
        <v>8407678</v>
      </c>
    </row>
    <row r="17" spans="1:15" x14ac:dyDescent="0.2">
      <c r="A17" s="145"/>
      <c r="B17" s="145"/>
      <c r="C17" s="145">
        <f>ROUND(C16-SUM(D16:F16),0)</f>
        <v>0</v>
      </c>
      <c r="D17" s="145"/>
      <c r="E17" s="145"/>
      <c r="F17" s="145"/>
      <c r="G17" s="145"/>
    </row>
    <row r="18" spans="1:15" x14ac:dyDescent="0.2">
      <c r="A18" s="145" t="s">
        <v>58</v>
      </c>
      <c r="B18" s="145"/>
      <c r="C18" s="153">
        <f>SUM(D18:F18)-0</f>
        <v>1</v>
      </c>
      <c r="D18" s="170">
        <f>ROUND(+D16/C16,5)+0.00001</f>
        <v>0.77886999999999995</v>
      </c>
      <c r="E18" s="153">
        <f>ROUND(+E16/C16,5)</f>
        <v>0.14818999999999999</v>
      </c>
      <c r="F18" s="153">
        <f>ROUND(F16/C16,5)</f>
        <v>7.2940000000000005E-2</v>
      </c>
      <c r="G18" s="164" t="str">
        <f>IF(C18=1," ","Check rounding")</f>
        <v xml:space="preserve"> </v>
      </c>
      <c r="I18" s="109">
        <f>I16/C16</f>
        <v>0.22113514044155771</v>
      </c>
    </row>
    <row r="19" spans="1:15" x14ac:dyDescent="0.2">
      <c r="A19" s="158"/>
      <c r="B19" s="158"/>
      <c r="C19" s="158"/>
      <c r="D19" s="158"/>
      <c r="E19" s="158"/>
      <c r="F19" s="158"/>
      <c r="G19" s="158"/>
    </row>
    <row r="20" spans="1:15" x14ac:dyDescent="0.2">
      <c r="A20" s="145" t="s">
        <v>59</v>
      </c>
      <c r="B20" s="145"/>
      <c r="C20" s="145"/>
      <c r="D20" s="145"/>
      <c r="E20" s="145"/>
      <c r="F20" s="145"/>
      <c r="G20" s="145"/>
    </row>
    <row r="21" spans="1:15" x14ac:dyDescent="0.2">
      <c r="A21" s="145" t="s">
        <v>310</v>
      </c>
      <c r="B21" s="147" t="s">
        <v>201</v>
      </c>
      <c r="C21" s="148">
        <f>SUM(D21:F21)</f>
        <v>74847276</v>
      </c>
      <c r="D21" s="148">
        <f>'Expenses-2016'!H9+'Expenses-2016'!I9+'Expenses-2016'!K9+'Expenses-2016'!H10</f>
        <v>55802150</v>
      </c>
      <c r="E21" s="148">
        <f t="shared" ref="E21:E23" si="4">ROUND(I21*(N21/M21),0)</f>
        <v>13705913</v>
      </c>
      <c r="F21" s="148">
        <f t="shared" ref="F21:F23" si="5">ROUND(I21*(O21/M21),0)</f>
        <v>5339213</v>
      </c>
      <c r="G21" s="147"/>
      <c r="I21" s="48">
        <f>SUM(J21:K21)</f>
        <v>19045126</v>
      </c>
      <c r="J21" s="48">
        <f>'Expenses-2016'!L15+'Expenses-2016'!M15+'Expenses-2016'!O15+'Expenses-2016'!Q15</f>
        <v>13588743</v>
      </c>
      <c r="K21" s="48">
        <f>'Expenses-2016'!L21+'Expenses-2016'!P21</f>
        <v>5456383</v>
      </c>
      <c r="L21" s="48"/>
      <c r="M21" s="48">
        <f>SUM(N21:O21)</f>
        <v>14019483</v>
      </c>
      <c r="N21" s="48">
        <f>'Expenses-2016'!M15+'Expenses-2016'!O15+'Expenses-2016'!Q15</f>
        <v>10089186</v>
      </c>
      <c r="O21" s="48">
        <f>'Expenses-2016'!P21</f>
        <v>3930297</v>
      </c>
    </row>
    <row r="22" spans="1:15" x14ac:dyDescent="0.2">
      <c r="A22" s="145" t="s">
        <v>312</v>
      </c>
      <c r="B22" s="147" t="s">
        <v>201</v>
      </c>
      <c r="C22" s="149">
        <f>SUM(D22:F22)</f>
        <v>5876743</v>
      </c>
      <c r="D22" s="149">
        <f>'Expenses-2016'!H8+'Expenses-2016'!I8+'Expenses-2016'!K8</f>
        <v>3640911</v>
      </c>
      <c r="E22" s="149">
        <f t="shared" si="4"/>
        <v>291467</v>
      </c>
      <c r="F22" s="149">
        <f t="shared" si="5"/>
        <v>1944365</v>
      </c>
      <c r="G22" s="150"/>
      <c r="I22" s="48">
        <f t="shared" ref="I22:I23" si="6">SUM(J22:K22)</f>
        <v>2235832</v>
      </c>
      <c r="J22" s="48">
        <f>'Expenses-2016'!L14+'Expenses-2016'!O14+'Expenses-2016'!Q14</f>
        <v>575987</v>
      </c>
      <c r="K22" s="48">
        <f>'Expenses-2016'!L20+'Expenses-2016'!N20+'Expenses-2016'!P20</f>
        <v>1659845</v>
      </c>
      <c r="L22" s="48"/>
      <c r="M22" s="48">
        <f t="shared" ref="M22:M23" si="7">SUM(N22:O22)</f>
        <v>1733128</v>
      </c>
      <c r="N22" s="48">
        <f>'Expenses-2016'!O14+'Expenses-2016'!Q14</f>
        <v>225934</v>
      </c>
      <c r="O22" s="48">
        <f>'Expenses-2016'!N20+'Expenses-2016'!P20</f>
        <v>1507194</v>
      </c>
    </row>
    <row r="23" spans="1:15" x14ac:dyDescent="0.2">
      <c r="A23" s="145" t="s">
        <v>311</v>
      </c>
      <c r="B23" s="147"/>
      <c r="C23" s="149">
        <f>SUM(D23:F23)</f>
        <v>11494963</v>
      </c>
      <c r="D23" s="149">
        <f>'Expenses-2016'!E8+'Expenses-2016'!F8+'Expenses-2016'!G8</f>
        <v>7690233</v>
      </c>
      <c r="E23" s="149">
        <f t="shared" si="4"/>
        <v>3804730</v>
      </c>
      <c r="F23" s="169">
        <f t="shared" si="5"/>
        <v>0</v>
      </c>
      <c r="G23" s="150"/>
      <c r="I23" s="48">
        <f t="shared" si="6"/>
        <v>3804730</v>
      </c>
      <c r="J23" s="48">
        <f>'Expenses-2016'!E14+'Expenses-2016'!F14+'Expenses-2016'!G14</f>
        <v>3804730</v>
      </c>
      <c r="K23" s="108">
        <v>0</v>
      </c>
      <c r="L23" s="48"/>
      <c r="M23" s="48">
        <f t="shared" si="7"/>
        <v>3804730</v>
      </c>
      <c r="N23" s="48">
        <f>'Expenses-2016'!E14+'Expenses-2016'!F14+'Expenses-2016'!G14</f>
        <v>3804730</v>
      </c>
      <c r="O23" s="108">
        <v>0</v>
      </c>
    </row>
    <row r="24" spans="1:15" x14ac:dyDescent="0.2">
      <c r="A24" s="145" t="s">
        <v>57</v>
      </c>
      <c r="B24" s="145"/>
      <c r="C24" s="151">
        <f>SUM(C21:C23)</f>
        <v>92218982</v>
      </c>
      <c r="D24" s="151">
        <f>SUM(D21:D23)</f>
        <v>67133294</v>
      </c>
      <c r="E24" s="151">
        <f>SUM(E21:E23)</f>
        <v>17802110</v>
      </c>
      <c r="F24" s="151">
        <f>SUM(F21:F23)</f>
        <v>7283578</v>
      </c>
      <c r="G24" s="145"/>
      <c r="I24" s="22">
        <f t="shared" ref="I24:K24" si="8">SUM(I21:I23)</f>
        <v>25085688</v>
      </c>
      <c r="J24" s="22">
        <f t="shared" si="8"/>
        <v>17969460</v>
      </c>
      <c r="K24" s="22">
        <f t="shared" si="8"/>
        <v>7116228</v>
      </c>
      <c r="M24" s="22">
        <f t="shared" ref="M24:O24" si="9">SUM(M21:M23)</f>
        <v>19557341</v>
      </c>
      <c r="N24" s="22">
        <f t="shared" si="9"/>
        <v>14119850</v>
      </c>
      <c r="O24" s="22">
        <f t="shared" si="9"/>
        <v>5437491</v>
      </c>
    </row>
    <row r="25" spans="1:15" x14ac:dyDescent="0.2">
      <c r="A25" s="145"/>
      <c r="B25" s="145"/>
      <c r="C25" s="145">
        <f>ROUND(C24-SUM(D24:F24),0)</f>
        <v>0</v>
      </c>
      <c r="D25" s="145"/>
      <c r="E25" s="145"/>
      <c r="F25" s="145"/>
      <c r="G25" s="145"/>
    </row>
    <row r="26" spans="1:15" x14ac:dyDescent="0.2">
      <c r="A26" s="145" t="s">
        <v>58</v>
      </c>
      <c r="B26" s="145"/>
      <c r="C26" s="153">
        <f>SUM(D26:F26)</f>
        <v>1</v>
      </c>
      <c r="D26" s="153">
        <f>ROUND(+D24/C24,5)+0</f>
        <v>0.72797999999999996</v>
      </c>
      <c r="E26" s="153">
        <f>ROUND(+E24/C24,5)</f>
        <v>0.19303999999999999</v>
      </c>
      <c r="F26" s="153">
        <f>ROUND(F24/C24,5)</f>
        <v>7.8979999999999995E-2</v>
      </c>
      <c r="G26" s="164" t="str">
        <f>IF(C26=1," ","Check rounding")</f>
        <v xml:space="preserve"> </v>
      </c>
      <c r="I26" s="109">
        <f>I24/C24</f>
        <v>0.27202304185053788</v>
      </c>
    </row>
    <row r="27" spans="1:15" x14ac:dyDescent="0.2">
      <c r="A27" s="158"/>
      <c r="B27" s="158"/>
      <c r="C27" s="158"/>
      <c r="D27" s="158"/>
      <c r="E27" s="158"/>
      <c r="F27" s="158"/>
      <c r="G27" s="158"/>
    </row>
    <row r="28" spans="1:15" x14ac:dyDescent="0.2">
      <c r="A28" s="155" t="s">
        <v>380</v>
      </c>
      <c r="B28" s="145"/>
      <c r="C28" s="145"/>
      <c r="D28" s="145"/>
      <c r="E28" s="145"/>
      <c r="F28" s="145"/>
      <c r="G28" s="145"/>
    </row>
    <row r="29" spans="1:15" x14ac:dyDescent="0.2">
      <c r="A29" s="145" t="s">
        <v>60</v>
      </c>
      <c r="B29" s="145"/>
      <c r="C29" s="149">
        <f>SUM(D29:F29)</f>
        <v>406454</v>
      </c>
      <c r="D29" s="171">
        <v>247777</v>
      </c>
      <c r="E29" s="171">
        <v>158677</v>
      </c>
      <c r="F29" s="171"/>
      <c r="G29" s="145"/>
    </row>
    <row r="30" spans="1:15" x14ac:dyDescent="0.2">
      <c r="A30" s="145" t="s">
        <v>61</v>
      </c>
      <c r="B30" s="145"/>
      <c r="C30" s="149">
        <f>SUM(D30:F30)</f>
        <v>210653</v>
      </c>
      <c r="D30" s="171">
        <v>129508</v>
      </c>
      <c r="E30" s="171">
        <v>81145</v>
      </c>
      <c r="F30" s="171"/>
      <c r="G30" s="145"/>
    </row>
    <row r="31" spans="1:15" x14ac:dyDescent="0.2">
      <c r="A31" s="145" t="s">
        <v>62</v>
      </c>
      <c r="B31" s="145"/>
      <c r="C31" s="149">
        <f>SUM(D31:F31)</f>
        <v>100472</v>
      </c>
      <c r="D31" s="171"/>
      <c r="E31" s="171"/>
      <c r="F31" s="171">
        <v>100472</v>
      </c>
      <c r="G31" s="145"/>
    </row>
    <row r="32" spans="1:15" x14ac:dyDescent="0.2">
      <c r="A32" s="145" t="s">
        <v>65</v>
      </c>
      <c r="B32" s="145"/>
      <c r="C32" s="172">
        <f>SUM(D32:F32)</f>
        <v>717579</v>
      </c>
      <c r="D32" s="172">
        <f>SUM(D29:D31)</f>
        <v>377285</v>
      </c>
      <c r="E32" s="172">
        <f>SUM(E29:E31)</f>
        <v>239822</v>
      </c>
      <c r="F32" s="172">
        <f>SUM(F29:F31)</f>
        <v>100472</v>
      </c>
      <c r="G32" s="149"/>
    </row>
    <row r="33" spans="1:7" x14ac:dyDescent="0.2">
      <c r="A33" s="158"/>
      <c r="B33" s="158"/>
      <c r="C33" s="173"/>
      <c r="D33" s="158"/>
      <c r="E33" s="158">
        <f>-E32-F32+334732</f>
        <v>-5562</v>
      </c>
      <c r="F33" s="158"/>
      <c r="G33" s="158"/>
    </row>
    <row r="34" spans="1:7" x14ac:dyDescent="0.2">
      <c r="A34" s="145" t="s">
        <v>58</v>
      </c>
      <c r="B34" s="145"/>
      <c r="C34" s="153">
        <f>SUM(D34:F34)</f>
        <v>1</v>
      </c>
      <c r="D34" s="153">
        <f>ROUND(+D32/C32,5)+0</f>
        <v>0.52576999999999996</v>
      </c>
      <c r="E34" s="153">
        <f>ROUND(+E32/C32,5)</f>
        <v>0.33421000000000001</v>
      </c>
      <c r="F34" s="153">
        <f>ROUND(F32/C32,5)</f>
        <v>0.14002000000000001</v>
      </c>
      <c r="G34" s="164" t="str">
        <f>IF(C34=1," ","Check rounding")</f>
        <v xml:space="preserve"> </v>
      </c>
    </row>
    <row r="35" spans="1:7" x14ac:dyDescent="0.2">
      <c r="A35" s="158"/>
      <c r="B35" s="158"/>
      <c r="C35" s="158"/>
      <c r="D35" s="158"/>
      <c r="E35" s="158"/>
      <c r="F35" s="158"/>
      <c r="G35" s="158"/>
    </row>
    <row r="36" spans="1:7" x14ac:dyDescent="0.2">
      <c r="A36" s="145" t="s">
        <v>381</v>
      </c>
      <c r="B36" s="145"/>
      <c r="C36" s="145"/>
      <c r="D36" s="145"/>
      <c r="E36" s="145"/>
      <c r="F36" s="145"/>
      <c r="G36" s="145"/>
    </row>
    <row r="37" spans="1:7" x14ac:dyDescent="0.2">
      <c r="A37" s="145" t="s">
        <v>63</v>
      </c>
      <c r="B37" s="145"/>
      <c r="C37" s="148">
        <f>SUM(D37:F37)</f>
        <v>3243965315</v>
      </c>
      <c r="D37" s="148">
        <f>'UtilityNetPlt-2016'!D41</f>
        <v>2531901896</v>
      </c>
      <c r="E37" s="148">
        <f>'UtilityNetPlt-2016'!E41</f>
        <v>461825314</v>
      </c>
      <c r="F37" s="148">
        <f>'UtilityNetPlt-2016'!F41</f>
        <v>250238105</v>
      </c>
      <c r="G37" s="150"/>
    </row>
    <row r="38" spans="1:7" x14ac:dyDescent="0.2">
      <c r="A38" s="158"/>
      <c r="B38" s="158"/>
      <c r="C38" s="158"/>
      <c r="D38" s="158"/>
      <c r="E38" s="158"/>
      <c r="F38" s="158"/>
      <c r="G38" s="158"/>
    </row>
    <row r="39" spans="1:7" x14ac:dyDescent="0.2">
      <c r="A39" s="145" t="s">
        <v>58</v>
      </c>
      <c r="B39" s="145"/>
      <c r="C39" s="153">
        <f>SUM(D39:F39)</f>
        <v>1</v>
      </c>
      <c r="D39" s="170">
        <f>ROUND(D37/C37,5)-0</f>
        <v>0.78049999999999997</v>
      </c>
      <c r="E39" s="153">
        <f>ROUND(E37/C37,5)</f>
        <v>0.14235999999999999</v>
      </c>
      <c r="F39" s="153">
        <f>ROUND(F37/C37,5)</f>
        <v>7.714E-2</v>
      </c>
      <c r="G39" s="164" t="str">
        <f>IF(C39=1," ","Check rounding")</f>
        <v xml:space="preserve"> </v>
      </c>
    </row>
    <row r="40" spans="1:7" x14ac:dyDescent="0.2">
      <c r="A40" s="158"/>
      <c r="B40" s="158"/>
      <c r="C40" s="158"/>
      <c r="D40" s="158"/>
      <c r="E40" s="158"/>
      <c r="F40" s="158"/>
      <c r="G40" s="158"/>
    </row>
    <row r="41" spans="1:7" x14ac:dyDescent="0.2">
      <c r="A41" s="145" t="s">
        <v>64</v>
      </c>
      <c r="B41" s="145"/>
      <c r="C41" s="145"/>
      <c r="D41" s="145"/>
      <c r="E41" s="145"/>
      <c r="F41" s="145"/>
      <c r="G41" s="145"/>
    </row>
    <row r="42" spans="1:7" x14ac:dyDescent="0.2">
      <c r="A42" s="145" t="s">
        <v>65</v>
      </c>
      <c r="B42" s="145"/>
      <c r="C42" s="157">
        <f>SUM(D42:F42)</f>
        <v>4</v>
      </c>
      <c r="D42" s="157">
        <f>D18+D26+D34+D39</f>
        <v>2.8131200000000001</v>
      </c>
      <c r="E42" s="157">
        <f>E18+E26+E34+E39</f>
        <v>0.81780000000000008</v>
      </c>
      <c r="F42" s="157">
        <f>F18+F26+F34+F39</f>
        <v>0.36907999999999996</v>
      </c>
      <c r="G42" s="145"/>
    </row>
    <row r="43" spans="1:7" ht="13.5" thickBot="1" x14ac:dyDescent="0.25">
      <c r="A43" s="158"/>
      <c r="B43" s="158"/>
      <c r="C43" s="158"/>
      <c r="D43" s="158"/>
      <c r="E43" s="158"/>
      <c r="F43" s="158"/>
      <c r="G43" s="158"/>
    </row>
    <row r="44" spans="1:7" ht="13.5" thickBot="1" x14ac:dyDescent="0.25">
      <c r="A44" s="174" t="s">
        <v>66</v>
      </c>
      <c r="B44" s="175"/>
      <c r="C44" s="176">
        <f>SUM(D44:F44)</f>
        <v>1</v>
      </c>
      <c r="D44" s="177">
        <f>ROUND(+D42/C42,5)-0</f>
        <v>0.70328000000000002</v>
      </c>
      <c r="E44" s="176">
        <f>ROUND(+E42/C42,5)</f>
        <v>0.20444999999999999</v>
      </c>
      <c r="F44" s="178">
        <f>ROUND(F42/C42,5)</f>
        <v>9.2270000000000005E-2</v>
      </c>
      <c r="G44" s="164" t="str">
        <f>IF(C44=1," ","Check rounding")</f>
        <v xml:space="preserve"> </v>
      </c>
    </row>
    <row r="45" spans="1:7" x14ac:dyDescent="0.2">
      <c r="A45" s="145"/>
      <c r="B45" s="145"/>
      <c r="C45" s="145"/>
      <c r="D45" s="145"/>
      <c r="E45" s="145"/>
      <c r="F45" s="145"/>
      <c r="G45" s="145"/>
    </row>
    <row r="46" spans="1:7" x14ac:dyDescent="0.2">
      <c r="A46" s="145"/>
      <c r="B46" s="145"/>
      <c r="C46" s="145"/>
      <c r="D46" s="145"/>
      <c r="E46" s="145"/>
      <c r="F46" s="145"/>
      <c r="G46" s="145"/>
    </row>
    <row r="47" spans="1:7" x14ac:dyDescent="0.2">
      <c r="A47" s="145" t="s">
        <v>332</v>
      </c>
      <c r="B47" s="145"/>
      <c r="C47" s="145"/>
      <c r="D47" s="145"/>
      <c r="E47" s="145"/>
      <c r="F47" s="145"/>
      <c r="G47" s="145"/>
    </row>
    <row r="48" spans="1:7" x14ac:dyDescent="0.2">
      <c r="A48" s="145" t="s">
        <v>136</v>
      </c>
      <c r="B48" s="145"/>
      <c r="C48" s="145"/>
      <c r="D48" s="145"/>
      <c r="E48" s="145"/>
      <c r="F48" s="158"/>
      <c r="G48" s="158"/>
    </row>
    <row r="49" spans="1:7" x14ac:dyDescent="0.2">
      <c r="A49" s="145"/>
      <c r="B49" s="145"/>
      <c r="C49" s="145"/>
      <c r="D49" s="145"/>
      <c r="E49" s="145"/>
      <c r="F49" s="158"/>
      <c r="G49" s="158"/>
    </row>
    <row r="50" spans="1:7" x14ac:dyDescent="0.2">
      <c r="A50" s="158"/>
      <c r="B50" s="158"/>
      <c r="C50" s="158"/>
      <c r="D50" s="158"/>
      <c r="E50" s="158"/>
      <c r="F50" s="158"/>
      <c r="G50" s="158"/>
    </row>
  </sheetData>
  <mergeCells count="2">
    <mergeCell ref="I5:K5"/>
    <mergeCell ref="M5:O5"/>
  </mergeCells>
  <pageMargins left="0.7" right="0.7" top="0.75" bottom="0.75" header="0.3" footer="0.3"/>
  <pageSetup scale="96" orientation="portrait" r:id="rId1"/>
  <headerFooter>
    <oddHeader>&amp;RExh. PDE-2</oddHeader>
    <oddFooter>&amp;RPage 1 of 3</oddFooter>
  </headerFooter>
  <colBreaks count="1" manualBreakCount="1">
    <brk id="7" max="1048575" man="1"/>
  </colBreaks>
  <ignoredErrors>
    <ignoredError sqref="D44 D39 D18" unlockedFormula="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G44"/>
  <sheetViews>
    <sheetView showOutlineSymbols="0" workbookViewId="0">
      <pane xSplit="1" ySplit="7" topLeftCell="C23" activePane="bottomRight" state="frozen"/>
      <selection activeCell="M34" sqref="M34"/>
      <selection pane="topRight" activeCell="M34" sqref="M34"/>
      <selection pane="bottomLeft" activeCell="M34" sqref="M34"/>
      <selection pane="bottomRight" activeCell="M34" sqref="M34"/>
    </sheetView>
  </sheetViews>
  <sheetFormatPr defaultColWidth="9.7109375" defaultRowHeight="12.75" x14ac:dyDescent="0.2"/>
  <cols>
    <col min="1" max="1" width="31.7109375" customWidth="1"/>
    <col min="2" max="2" width="6.42578125" hidden="1" customWidth="1"/>
    <col min="3" max="3" width="15.42578125" customWidth="1"/>
    <col min="4" max="4" width="14" bestFit="1" customWidth="1"/>
    <col min="5" max="5" width="12.42578125" bestFit="1" customWidth="1"/>
    <col min="6" max="6" width="7" bestFit="1" customWidth="1"/>
    <col min="7" max="7" width="6.140625" bestFit="1" customWidth="1"/>
  </cols>
  <sheetData>
    <row r="1" spans="1:7" x14ac:dyDescent="0.2">
      <c r="A1" s="1" t="str">
        <f>Notes!A1</f>
        <v>Avista Utilities</v>
      </c>
      <c r="B1" s="1"/>
      <c r="C1" s="1"/>
      <c r="D1" s="1"/>
      <c r="E1" s="1"/>
      <c r="F1" s="91"/>
      <c r="G1" s="1"/>
    </row>
    <row r="2" spans="1:7" x14ac:dyDescent="0.2">
      <c r="A2" s="1" t="s">
        <v>203</v>
      </c>
      <c r="B2" s="1"/>
      <c r="C2" s="1"/>
      <c r="D2" s="1"/>
      <c r="E2" s="1"/>
      <c r="F2" s="1"/>
      <c r="G2" s="1"/>
    </row>
    <row r="3" spans="1:7" x14ac:dyDescent="0.2">
      <c r="A3" s="1" t="s">
        <v>204</v>
      </c>
      <c r="B3" s="1"/>
      <c r="C3" s="1"/>
      <c r="D3" s="1"/>
      <c r="E3" s="1"/>
      <c r="F3" s="1"/>
      <c r="G3" s="1"/>
    </row>
    <row r="4" spans="1:7" x14ac:dyDescent="0.2">
      <c r="A4" s="1" t="str">
        <f>Notes!A4</f>
        <v>For the Twelve Months Ended December 31, 2016</v>
      </c>
      <c r="B4" s="1"/>
      <c r="C4" s="1"/>
      <c r="D4" s="1"/>
      <c r="E4" s="1"/>
      <c r="F4" s="1"/>
      <c r="G4" s="1"/>
    </row>
    <row r="5" spans="1:7" x14ac:dyDescent="0.2">
      <c r="A5" s="1"/>
      <c r="B5" s="1"/>
      <c r="C5" s="1"/>
      <c r="D5" s="1"/>
      <c r="E5" s="1"/>
      <c r="F5" s="1"/>
      <c r="G5" s="1"/>
    </row>
    <row r="7" spans="1:7" x14ac:dyDescent="0.2">
      <c r="A7" s="1"/>
      <c r="B7" s="19" t="s">
        <v>54</v>
      </c>
      <c r="C7" s="20" t="s">
        <v>1</v>
      </c>
      <c r="D7" s="20" t="s">
        <v>2</v>
      </c>
      <c r="E7" s="20" t="s">
        <v>200</v>
      </c>
      <c r="F7" s="20" t="s">
        <v>173</v>
      </c>
      <c r="G7" s="21" t="s">
        <v>55</v>
      </c>
    </row>
    <row r="9" spans="1:7" x14ac:dyDescent="0.2">
      <c r="A9" s="1" t="s">
        <v>309</v>
      </c>
      <c r="B9" s="1"/>
      <c r="C9" s="1"/>
      <c r="D9" s="1"/>
      <c r="E9" s="1"/>
      <c r="F9" s="1"/>
      <c r="G9" s="1"/>
    </row>
    <row r="10" spans="1:7" x14ac:dyDescent="0.2">
      <c r="A10" s="1" t="s">
        <v>310</v>
      </c>
      <c r="B10" s="6" t="s">
        <v>178</v>
      </c>
      <c r="C10" s="5">
        <f>SUM(D10:F10)</f>
        <v>68433452</v>
      </c>
      <c r="D10" s="5">
        <f>'Expenses-2016'!H6+'Expenses-2016'!I6+'Expenses-2016'!K6</f>
        <v>61020528</v>
      </c>
      <c r="E10" s="5">
        <f>'Expenses-2016'!L12+'Expenses-2016'!M12+'Expenses-2016'!O12+'Expenses-2016'!Q12</f>
        <v>7412924</v>
      </c>
      <c r="F10" s="5"/>
      <c r="G10" s="6" t="s">
        <v>333</v>
      </c>
    </row>
    <row r="11" spans="1:7" x14ac:dyDescent="0.2">
      <c r="A11" s="1" t="s">
        <v>312</v>
      </c>
      <c r="B11" s="6" t="s">
        <v>178</v>
      </c>
      <c r="C11" s="2">
        <f>SUM(D11:F11)</f>
        <v>38872048</v>
      </c>
      <c r="D11" s="2">
        <f>'Expenses-2016'!H5+'Expenses-2016'!I5+'Expenses-2016'!J5+'Expenses-2016'!K5</f>
        <v>29783317</v>
      </c>
      <c r="E11" s="2">
        <f>'Expenses-2016'!L11+'Expenses-2016'!M11+'Expenses-2016'!O11+'Expenses-2016'!Q11</f>
        <v>9088731</v>
      </c>
      <c r="F11" s="2"/>
      <c r="G11" s="7">
        <v>-2</v>
      </c>
    </row>
    <row r="12" spans="1:7" x14ac:dyDescent="0.2">
      <c r="A12" s="1"/>
      <c r="B12" s="6"/>
      <c r="C12" s="2"/>
      <c r="D12" s="2"/>
      <c r="E12" s="2"/>
      <c r="F12" s="2"/>
      <c r="G12" s="7"/>
    </row>
    <row r="13" spans="1:7" x14ac:dyDescent="0.2">
      <c r="A13" s="1" t="e">
        <f>+#REF!</f>
        <v>#REF!</v>
      </c>
      <c r="B13" s="6"/>
      <c r="C13" s="2"/>
      <c r="D13" s="2"/>
      <c r="E13" s="2"/>
      <c r="F13" s="2"/>
      <c r="G13" s="7"/>
    </row>
    <row r="14" spans="1:7" x14ac:dyDescent="0.2">
      <c r="A14" s="1" t="e">
        <f>+#REF!</f>
        <v>#REF!</v>
      </c>
      <c r="B14" s="6"/>
      <c r="C14" s="2"/>
      <c r="D14" s="2"/>
      <c r="E14" s="15"/>
      <c r="F14" s="85"/>
      <c r="G14" s="7"/>
    </row>
    <row r="15" spans="1:7" x14ac:dyDescent="0.2">
      <c r="A15" s="1" t="s">
        <v>57</v>
      </c>
      <c r="B15" s="1"/>
      <c r="C15" s="22">
        <f>SUM(C10:C14)</f>
        <v>107305500</v>
      </c>
      <c r="D15" s="22">
        <f>SUM(D10:D14)</f>
        <v>90803845</v>
      </c>
      <c r="E15" s="22">
        <f>SUM(E10:E14)</f>
        <v>16501655</v>
      </c>
      <c r="F15" s="22">
        <f>SUM(F10:F14)</f>
        <v>0</v>
      </c>
      <c r="G15" s="2"/>
    </row>
    <row r="16" spans="1:7" x14ac:dyDescent="0.2">
      <c r="G16" s="48"/>
    </row>
    <row r="17" spans="1:7" x14ac:dyDescent="0.2">
      <c r="A17" s="1" t="s">
        <v>58</v>
      </c>
      <c r="B17" s="1"/>
      <c r="C17" s="23">
        <f>SUM(D17:F17)</f>
        <v>1</v>
      </c>
      <c r="D17" s="3">
        <f>ROUND(+D15/C15,5)</f>
        <v>0.84621999999999997</v>
      </c>
      <c r="E17" s="3">
        <f>ROUND(+E15/C15,5)</f>
        <v>0.15378</v>
      </c>
      <c r="F17" s="3">
        <f>ROUND(F15/C15,5)</f>
        <v>0</v>
      </c>
      <c r="G17" s="87" t="str">
        <f>IF(C17=1," ","Check rounding")</f>
        <v xml:space="preserve"> </v>
      </c>
    </row>
    <row r="18" spans="1:7" x14ac:dyDescent="0.2">
      <c r="G18" s="48"/>
    </row>
    <row r="19" spans="1:7" x14ac:dyDescent="0.2">
      <c r="A19" s="1" t="s">
        <v>59</v>
      </c>
      <c r="B19" s="1"/>
      <c r="C19" s="1"/>
      <c r="D19" s="1"/>
      <c r="E19" s="1"/>
      <c r="F19" s="1"/>
      <c r="G19" s="2"/>
    </row>
    <row r="20" spans="1:7" x14ac:dyDescent="0.2">
      <c r="A20" s="1" t="s">
        <v>310</v>
      </c>
      <c r="B20" s="6" t="s">
        <v>178</v>
      </c>
      <c r="C20" s="5">
        <f>SUM(D20:F20)</f>
        <v>69390893</v>
      </c>
      <c r="D20" s="5">
        <f>'Expenses-2016'!H9+'Expenses-2016'!I9+'Expenses-2016'!K9+'Expenses-2016'!H10</f>
        <v>55802150</v>
      </c>
      <c r="E20" s="5">
        <f>'Expenses-2016'!L15+'Expenses-2016'!M15+'Expenses-2016'!O15+'Expenses-2016'!Q15</f>
        <v>13588743</v>
      </c>
      <c r="F20" s="5">
        <v>0</v>
      </c>
      <c r="G20" s="7"/>
    </row>
    <row r="21" spans="1:7" x14ac:dyDescent="0.2">
      <c r="A21" s="1" t="s">
        <v>312</v>
      </c>
      <c r="B21" s="6" t="s">
        <v>178</v>
      </c>
      <c r="C21" s="2">
        <f>SUM(D21:F21)</f>
        <v>4216898</v>
      </c>
      <c r="D21" s="2">
        <f>'Expenses-2016'!H8+'Expenses-2016'!I8+'Expenses-2016'!K8</f>
        <v>3640911</v>
      </c>
      <c r="E21" s="2">
        <f>'Expenses-2016'!L14+'Expenses-2016'!O14+'Expenses-2016'!Q14</f>
        <v>575987</v>
      </c>
      <c r="F21" s="2">
        <v>0</v>
      </c>
      <c r="G21" s="7"/>
    </row>
    <row r="22" spans="1:7" x14ac:dyDescent="0.2">
      <c r="A22" s="1"/>
      <c r="B22" s="1"/>
      <c r="C22" s="2"/>
      <c r="D22" s="2"/>
      <c r="E22" s="1"/>
      <c r="F22" s="1"/>
      <c r="G22" s="2"/>
    </row>
    <row r="23" spans="1:7" x14ac:dyDescent="0.2">
      <c r="A23" s="1" t="s">
        <v>57</v>
      </c>
      <c r="B23" s="1"/>
      <c r="C23" s="22">
        <f>SUM(C20:C22)</f>
        <v>73607791</v>
      </c>
      <c r="D23" s="22">
        <f>SUM(D20:D22)</f>
        <v>59443061</v>
      </c>
      <c r="E23" s="22">
        <f>SUM(E20:E22)</f>
        <v>14164730</v>
      </c>
      <c r="F23" s="22">
        <f>SUM(F20:F22)</f>
        <v>0</v>
      </c>
      <c r="G23" s="2"/>
    </row>
    <row r="24" spans="1:7" x14ac:dyDescent="0.2">
      <c r="G24" s="48"/>
    </row>
    <row r="25" spans="1:7" x14ac:dyDescent="0.2">
      <c r="A25" s="1" t="s">
        <v>58</v>
      </c>
      <c r="B25" s="1"/>
      <c r="C25" s="23">
        <f>SUM(D25:F25)</f>
        <v>1</v>
      </c>
      <c r="D25" s="3">
        <f>ROUND(+D23/C23,5)</f>
        <v>0.80755999999999994</v>
      </c>
      <c r="E25" s="3">
        <f>ROUND(+E23/C23,5)</f>
        <v>0.19244</v>
      </c>
      <c r="F25" s="3">
        <f>ROUND(F23/C23,5)</f>
        <v>0</v>
      </c>
      <c r="G25" s="87" t="str">
        <f>IF(C25=1," ","Check rounding")</f>
        <v xml:space="preserve"> </v>
      </c>
    </row>
    <row r="26" spans="1:7" x14ac:dyDescent="0.2">
      <c r="G26" s="48"/>
    </row>
    <row r="27" spans="1:7" x14ac:dyDescent="0.2">
      <c r="A27" s="2" t="str">
        <f>'Factor 7 for 2017'!A28</f>
        <v>Year End Customers at 12/31/16</v>
      </c>
      <c r="B27" s="1"/>
      <c r="C27" s="1"/>
      <c r="D27" s="1"/>
      <c r="E27" s="1"/>
      <c r="F27" s="1"/>
      <c r="G27" s="2"/>
    </row>
    <row r="28" spans="1:7" x14ac:dyDescent="0.2">
      <c r="A28" s="2" t="e">
        <f>#REF!</f>
        <v>#REF!</v>
      </c>
      <c r="B28" s="1"/>
      <c r="C28" s="2">
        <f>SUM(D28:F28)</f>
        <v>617107</v>
      </c>
      <c r="D28" s="2">
        <f>'Factor 7 for 2017'!D32</f>
        <v>377285</v>
      </c>
      <c r="E28" s="2">
        <f>'Factor 7 for 2017'!$E$32</f>
        <v>239822</v>
      </c>
      <c r="F28" s="4">
        <v>0</v>
      </c>
      <c r="G28" s="2"/>
    </row>
    <row r="29" spans="1:7" x14ac:dyDescent="0.2">
      <c r="G29" s="48"/>
    </row>
    <row r="30" spans="1:7" x14ac:dyDescent="0.2">
      <c r="A30" s="1" t="s">
        <v>58</v>
      </c>
      <c r="B30" s="1"/>
      <c r="C30" s="23">
        <f>SUM(D30:F30)</f>
        <v>1</v>
      </c>
      <c r="D30" s="3">
        <f>ROUND(+D28/C28,5)</f>
        <v>0.61138000000000003</v>
      </c>
      <c r="E30" s="3">
        <f>ROUND(+E28/C28,5)</f>
        <v>0.38862000000000002</v>
      </c>
      <c r="F30" s="3">
        <f>ROUND(F28/C28,5)</f>
        <v>0</v>
      </c>
      <c r="G30" s="87" t="str">
        <f>IF(C30=1," ","Check rounding")</f>
        <v xml:space="preserve"> </v>
      </c>
    </row>
    <row r="31" spans="1:7" x14ac:dyDescent="0.2">
      <c r="G31" s="48"/>
    </row>
    <row r="32" spans="1:7" x14ac:dyDescent="0.2">
      <c r="A32" s="1" t="str">
        <f>'Factor 7 for 2017'!A36</f>
        <v>Net Direct Plant (Ending Balance at 12/31/16)</v>
      </c>
      <c r="B32" s="1"/>
      <c r="C32" s="1"/>
      <c r="D32" s="1"/>
      <c r="E32" s="1"/>
      <c r="F32" s="1"/>
      <c r="G32" s="2"/>
    </row>
    <row r="33" spans="1:7" x14ac:dyDescent="0.2">
      <c r="A33" s="1" t="s">
        <v>63</v>
      </c>
      <c r="B33" s="1"/>
      <c r="C33" s="5">
        <f>SUM(D33:F33)</f>
        <v>2956680102</v>
      </c>
      <c r="D33" s="5">
        <f>'UtilityNetPlt-2016'!D31</f>
        <v>2504855013</v>
      </c>
      <c r="E33" s="5">
        <f>'UtilityNetPlt-2016'!E31</f>
        <v>451825089</v>
      </c>
      <c r="F33" s="5">
        <v>0</v>
      </c>
      <c r="G33" s="7"/>
    </row>
    <row r="34" spans="1:7" x14ac:dyDescent="0.2">
      <c r="G34" s="48"/>
    </row>
    <row r="35" spans="1:7" x14ac:dyDescent="0.2">
      <c r="A35" s="1" t="s">
        <v>58</v>
      </c>
      <c r="B35" s="1"/>
      <c r="C35" s="23">
        <f>SUM(D35:F35)</f>
        <v>1</v>
      </c>
      <c r="D35" s="3">
        <f>ROUND(+D33/C33,5)</f>
        <v>0.84718000000000004</v>
      </c>
      <c r="E35" s="3">
        <f>ROUND(+E33/C33,5)</f>
        <v>0.15282000000000001</v>
      </c>
      <c r="F35" s="3">
        <f>ROUND(F33/C33,5)</f>
        <v>0</v>
      </c>
      <c r="G35" s="87" t="str">
        <f>IF(C35=1," ","Check rounding")</f>
        <v xml:space="preserve"> </v>
      </c>
    </row>
    <row r="36" spans="1:7" x14ac:dyDescent="0.2">
      <c r="G36" s="48"/>
    </row>
    <row r="37" spans="1:7" x14ac:dyDescent="0.2">
      <c r="A37" s="1" t="s">
        <v>64</v>
      </c>
      <c r="B37" s="1"/>
      <c r="C37" s="1"/>
      <c r="D37" s="1"/>
      <c r="E37" s="1"/>
      <c r="F37" s="1"/>
      <c r="G37" s="2"/>
    </row>
    <row r="38" spans="1:7" x14ac:dyDescent="0.2">
      <c r="A38" s="1" t="s">
        <v>65</v>
      </c>
      <c r="B38" s="1"/>
      <c r="C38" s="24">
        <f>SUM(D38:F38)</f>
        <v>3.9999999999999996</v>
      </c>
      <c r="D38" s="24">
        <f>D17+D25+D30+D35</f>
        <v>3.1123399999999997</v>
      </c>
      <c r="E38" s="24">
        <f>E17+E25+E30+E35</f>
        <v>0.88765999999999989</v>
      </c>
      <c r="F38" s="24">
        <f>F17+F25+F30+F35</f>
        <v>0</v>
      </c>
      <c r="G38" s="2"/>
    </row>
    <row r="39" spans="1:7" x14ac:dyDescent="0.2">
      <c r="G39" s="48"/>
    </row>
    <row r="40" spans="1:7" ht="13.5" thickBot="1" x14ac:dyDescent="0.25">
      <c r="A40" s="1" t="s">
        <v>66</v>
      </c>
      <c r="B40" s="1"/>
      <c r="C40" s="86">
        <f>SUM(D40:F40)</f>
        <v>1</v>
      </c>
      <c r="D40" s="26">
        <f>ROUND(+D38/C38,5)-0.00001</f>
        <v>0.77807999999999999</v>
      </c>
      <c r="E40" s="25">
        <f>ROUND(+E38/C38,5)</f>
        <v>0.22192000000000001</v>
      </c>
      <c r="F40" s="25">
        <f>ROUND(F38/C38,5)</f>
        <v>0</v>
      </c>
      <c r="G40" s="87" t="str">
        <f>IF(C40=1," ","Check rounding")</f>
        <v xml:space="preserve"> </v>
      </c>
    </row>
    <row r="41" spans="1:7" ht="13.5" thickTop="1" x14ac:dyDescent="0.2">
      <c r="A41" s="1"/>
      <c r="B41" s="1"/>
      <c r="C41" s="1"/>
      <c r="D41" s="1"/>
      <c r="E41" s="1"/>
      <c r="F41" s="1"/>
      <c r="G41" s="1"/>
    </row>
    <row r="43" spans="1:7" x14ac:dyDescent="0.2">
      <c r="A43" s="1" t="s">
        <v>332</v>
      </c>
      <c r="B43" s="1"/>
      <c r="C43" s="1"/>
      <c r="D43" s="1"/>
      <c r="E43" s="1"/>
      <c r="F43" s="1"/>
      <c r="G43" s="1"/>
    </row>
    <row r="44" spans="1:7" x14ac:dyDescent="0.2">
      <c r="A44" s="1" t="s">
        <v>136</v>
      </c>
      <c r="B44" s="1"/>
      <c r="C44" s="1"/>
      <c r="D44" s="1"/>
      <c r="E44" s="1"/>
      <c r="F44" s="1"/>
      <c r="G44" s="1"/>
    </row>
  </sheetData>
  <pageMargins left="0.7" right="0.7" top="0.75" bottom="0.75" header="0.3" footer="0.3"/>
  <pageSetup orientation="portrait" r:id="rId1"/>
  <headerFooter>
    <oddFooter>&amp;L&amp;F
&amp;A&amp;RPrepared By: Jeanne Pluth
Date: January 23, 2015</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pageSetUpPr fitToPage="1"/>
  </sheetPr>
  <dimension ref="B1:K52"/>
  <sheetViews>
    <sheetView showZeros="0" zoomScaleNormal="100" workbookViewId="0">
      <selection activeCell="M34" sqref="M34"/>
    </sheetView>
  </sheetViews>
  <sheetFormatPr defaultRowHeight="12.75" x14ac:dyDescent="0.2"/>
  <cols>
    <col min="1" max="1" width="3.7109375" customWidth="1"/>
    <col min="2" max="2" width="13.7109375" customWidth="1"/>
    <col min="3" max="3" width="15.7109375" customWidth="1"/>
    <col min="4" max="6" width="10.7109375" customWidth="1"/>
    <col min="7" max="7" width="5.5703125" customWidth="1"/>
    <col min="8" max="8" width="13.28515625" customWidth="1"/>
    <col min="9" max="9" width="14.42578125" customWidth="1"/>
    <col min="10" max="10" width="13.28515625" customWidth="1"/>
    <col min="11" max="11" width="8.7109375" customWidth="1"/>
  </cols>
  <sheetData>
    <row r="1" spans="2:10" ht="19.5" x14ac:dyDescent="0.35">
      <c r="H1" s="75" t="s">
        <v>191</v>
      </c>
    </row>
    <row r="2" spans="2:10" ht="30.75" x14ac:dyDescent="0.45">
      <c r="B2" s="27"/>
      <c r="C2" s="27"/>
      <c r="D2" s="27"/>
      <c r="H2" s="75" t="s">
        <v>192</v>
      </c>
    </row>
    <row r="3" spans="2:10" x14ac:dyDescent="0.2">
      <c r="E3" s="1"/>
      <c r="F3" s="1"/>
      <c r="G3" s="1"/>
      <c r="H3" s="1"/>
    </row>
    <row r="4" spans="2:10" x14ac:dyDescent="0.2">
      <c r="E4" s="1"/>
      <c r="F4" s="1"/>
      <c r="G4" s="1"/>
      <c r="H4" s="1"/>
    </row>
    <row r="5" spans="2:10" ht="15.75" x14ac:dyDescent="0.25">
      <c r="B5" s="28" t="s">
        <v>68</v>
      </c>
      <c r="C5" s="9" t="s">
        <v>46</v>
      </c>
      <c r="D5" s="28"/>
      <c r="E5" s="29"/>
      <c r="H5" s="30" t="s">
        <v>69</v>
      </c>
      <c r="I5" s="122">
        <v>42761</v>
      </c>
    </row>
    <row r="6" spans="2:10" ht="15.75" x14ac:dyDescent="0.25">
      <c r="B6" s="29"/>
      <c r="C6" s="29"/>
      <c r="D6" s="29"/>
      <c r="E6" s="29"/>
      <c r="H6" s="29"/>
      <c r="I6" s="29"/>
      <c r="J6" s="29"/>
    </row>
    <row r="7" spans="2:10" ht="15.75" x14ac:dyDescent="0.25">
      <c r="B7" s="28" t="s">
        <v>70</v>
      </c>
      <c r="C7" s="9" t="s">
        <v>317</v>
      </c>
      <c r="D7" s="28"/>
      <c r="E7" s="29"/>
      <c r="H7" s="9"/>
      <c r="I7" s="9"/>
      <c r="J7" s="9"/>
    </row>
    <row r="8" spans="2:10" ht="15.75" x14ac:dyDescent="0.25">
      <c r="B8" s="29"/>
      <c r="C8" s="29"/>
      <c r="D8" s="29"/>
      <c r="E8" s="29"/>
      <c r="H8" s="29"/>
      <c r="I8" s="29"/>
      <c r="J8" s="29"/>
    </row>
    <row r="9" spans="2:10" ht="15.75" x14ac:dyDescent="0.25">
      <c r="B9" s="28" t="s">
        <v>71</v>
      </c>
      <c r="C9" s="9" t="s">
        <v>334</v>
      </c>
      <c r="D9" s="28"/>
      <c r="E9" s="29"/>
      <c r="H9" s="9"/>
      <c r="I9" s="9"/>
      <c r="J9" s="9"/>
    </row>
    <row r="10" spans="2:10" ht="15.75" customHeight="1" x14ac:dyDescent="0.25">
      <c r="B10" s="29"/>
      <c r="C10" s="29"/>
      <c r="D10" s="29"/>
      <c r="E10" s="29"/>
      <c r="F10" s="29"/>
      <c r="G10" s="29"/>
      <c r="H10" s="29"/>
      <c r="I10" s="29"/>
      <c r="J10" s="29"/>
    </row>
    <row r="11" spans="2:10" ht="15.75" customHeight="1" x14ac:dyDescent="0.2">
      <c r="B11" s="140" t="s">
        <v>378</v>
      </c>
      <c r="C11" s="141"/>
      <c r="D11" s="141"/>
      <c r="E11" s="141"/>
      <c r="F11" s="141"/>
      <c r="G11" s="141"/>
      <c r="H11" s="141"/>
      <c r="I11" s="141"/>
      <c r="J11" s="141"/>
    </row>
    <row r="12" spans="2:10" ht="15.75" customHeight="1" x14ac:dyDescent="0.2">
      <c r="B12" s="141"/>
      <c r="C12" s="141"/>
      <c r="D12" s="141"/>
      <c r="E12" s="141"/>
      <c r="F12" s="141"/>
      <c r="G12" s="141"/>
      <c r="H12" s="141"/>
      <c r="I12" s="141"/>
      <c r="J12" s="141"/>
    </row>
    <row r="13" spans="2:10" ht="15.75" x14ac:dyDescent="0.25">
      <c r="B13" s="29"/>
      <c r="C13" s="29"/>
      <c r="D13" s="29"/>
      <c r="E13" s="29"/>
      <c r="F13" s="29"/>
      <c r="G13" s="29"/>
      <c r="H13" s="29"/>
      <c r="I13" s="29"/>
      <c r="J13" s="29"/>
    </row>
    <row r="14" spans="2:10" ht="15.75" x14ac:dyDescent="0.25">
      <c r="B14" s="30" t="s">
        <v>184</v>
      </c>
      <c r="C14" s="30" t="s">
        <v>184</v>
      </c>
      <c r="D14" s="30" t="s">
        <v>183</v>
      </c>
      <c r="E14" s="139" t="s">
        <v>72</v>
      </c>
      <c r="F14" s="139"/>
      <c r="G14" s="30"/>
      <c r="H14" s="30" t="s">
        <v>2</v>
      </c>
      <c r="I14" s="30" t="s">
        <v>3</v>
      </c>
      <c r="J14" s="119" t="s">
        <v>300</v>
      </c>
    </row>
    <row r="15" spans="2:10" ht="15.75" x14ac:dyDescent="0.25">
      <c r="B15" s="30" t="s">
        <v>185</v>
      </c>
      <c r="C15" s="30" t="s">
        <v>186</v>
      </c>
      <c r="D15" s="30" t="s">
        <v>54</v>
      </c>
      <c r="E15" s="9"/>
      <c r="F15" s="9"/>
      <c r="G15" s="9"/>
      <c r="H15" s="9"/>
      <c r="I15" s="9"/>
      <c r="J15" s="30" t="s">
        <v>3</v>
      </c>
    </row>
    <row r="16" spans="2:10" ht="15.75" x14ac:dyDescent="0.25">
      <c r="B16" s="30" t="s">
        <v>73</v>
      </c>
      <c r="C16" s="30" t="s">
        <v>73</v>
      </c>
      <c r="D16" s="30" t="s">
        <v>73</v>
      </c>
      <c r="E16" s="9"/>
      <c r="F16" s="9"/>
      <c r="G16" s="9"/>
      <c r="H16" s="9"/>
      <c r="I16" s="9"/>
      <c r="J16" s="30"/>
    </row>
    <row r="17" spans="2:11" ht="15.75" x14ac:dyDescent="0.25">
      <c r="B17" s="29"/>
      <c r="C17" s="29"/>
      <c r="D17" s="29"/>
      <c r="E17" s="29"/>
      <c r="F17" s="29"/>
      <c r="G17" s="29"/>
      <c r="H17" s="29"/>
      <c r="I17" s="29"/>
      <c r="J17" s="29"/>
    </row>
    <row r="18" spans="2:11" ht="16.149999999999999" customHeight="1" x14ac:dyDescent="0.25">
      <c r="B18" s="52" t="s">
        <v>187</v>
      </c>
      <c r="C18" s="73" t="s">
        <v>189</v>
      </c>
      <c r="D18" s="73">
        <v>7</v>
      </c>
      <c r="E18" s="65" t="s">
        <v>74</v>
      </c>
      <c r="F18" s="65"/>
      <c r="G18" s="65"/>
      <c r="H18" s="53">
        <f>'Factor 7 for 2017'!D34</f>
        <v>0.52576999999999996</v>
      </c>
      <c r="I18" s="53">
        <f>'Factor 7 for 2017'!E34</f>
        <v>0.33421000000000001</v>
      </c>
      <c r="J18" s="76">
        <f>'Factor 7 for 2017'!F34</f>
        <v>0.14002000000000001</v>
      </c>
      <c r="K18" t="str">
        <f>IF(1-SUM(H18:J18)=0," ",1-SUM(H18:J18))</f>
        <v xml:space="preserve"> </v>
      </c>
    </row>
    <row r="19" spans="2:11" ht="15.75" x14ac:dyDescent="0.25">
      <c r="B19" s="57"/>
      <c r="C19" s="64"/>
      <c r="D19" s="64"/>
      <c r="E19" s="58"/>
      <c r="F19" s="58"/>
      <c r="G19" s="58"/>
      <c r="H19" s="59"/>
      <c r="I19" s="59"/>
      <c r="J19" s="77"/>
    </row>
    <row r="20" spans="2:11" ht="15.75" x14ac:dyDescent="0.25">
      <c r="B20" s="57" t="s">
        <v>187</v>
      </c>
      <c r="C20" s="64" t="s">
        <v>189</v>
      </c>
      <c r="D20" s="64">
        <v>7</v>
      </c>
      <c r="E20" s="55" t="s">
        <v>75</v>
      </c>
      <c r="F20" s="55"/>
      <c r="G20" s="55"/>
      <c r="H20" s="59">
        <f>'Factor 7 for 2017'!D39</f>
        <v>0.78049999999999997</v>
      </c>
      <c r="I20" s="59">
        <f>'Factor 7 for 2017'!E39</f>
        <v>0.14235999999999999</v>
      </c>
      <c r="J20" s="77">
        <f>'Factor 7 for 2017'!F39</f>
        <v>7.714E-2</v>
      </c>
      <c r="K20" t="str">
        <f>IF(1-SUM(H20:J20)=0," ",1-SUM(H20:J20))</f>
        <v xml:space="preserve"> </v>
      </c>
    </row>
    <row r="21" spans="2:11" ht="15.75" x14ac:dyDescent="0.25">
      <c r="B21" s="57"/>
      <c r="C21" s="64"/>
      <c r="D21" s="64"/>
      <c r="E21" s="55"/>
      <c r="F21" s="55"/>
      <c r="G21" s="55"/>
      <c r="H21" s="59"/>
      <c r="I21" s="59"/>
      <c r="J21" s="77"/>
    </row>
    <row r="22" spans="2:11" ht="15.75" x14ac:dyDescent="0.25">
      <c r="B22" s="60" t="s">
        <v>187</v>
      </c>
      <c r="C22" s="74" t="s">
        <v>189</v>
      </c>
      <c r="D22" s="74">
        <v>7</v>
      </c>
      <c r="E22" s="61" t="s">
        <v>64</v>
      </c>
      <c r="F22" s="61"/>
      <c r="G22" s="61"/>
      <c r="H22" s="62">
        <f>ROUND('Factor 7 for 2017'!D44,5)</f>
        <v>0.70328000000000002</v>
      </c>
      <c r="I22" s="62">
        <f>ROUND('Factor 7 for 2017'!E44,5)</f>
        <v>0.20444999999999999</v>
      </c>
      <c r="J22" s="78">
        <f>ROUND('Factor 7 for 2017'!F44,5)</f>
        <v>9.2270000000000005E-2</v>
      </c>
      <c r="K22" t="str">
        <f>IF(1-SUM(H22:J22)=0," ",1-SUM(H22:J22))</f>
        <v xml:space="preserve"> </v>
      </c>
    </row>
    <row r="23" spans="2:11" ht="15.75" x14ac:dyDescent="0.25">
      <c r="B23" s="55"/>
      <c r="C23" s="55"/>
      <c r="D23" s="55"/>
      <c r="E23" s="55"/>
      <c r="F23" s="55"/>
      <c r="G23" s="55"/>
      <c r="H23" s="55"/>
      <c r="I23" s="55"/>
      <c r="J23" s="55"/>
    </row>
    <row r="24" spans="2:11" ht="15.75" x14ac:dyDescent="0.25">
      <c r="B24" s="52" t="s">
        <v>188</v>
      </c>
      <c r="C24" s="73" t="s">
        <v>189</v>
      </c>
      <c r="D24" s="73">
        <v>8</v>
      </c>
      <c r="E24" s="65" t="s">
        <v>74</v>
      </c>
      <c r="F24" s="65"/>
      <c r="G24" s="65"/>
      <c r="H24" s="53">
        <f>'8-2016'!D28</f>
        <v>0</v>
      </c>
      <c r="I24" s="53">
        <f>'8-2016'!E28</f>
        <v>0.70474999999999999</v>
      </c>
      <c r="J24" s="76">
        <f>'8-2016'!F28</f>
        <v>0.29525000000000001</v>
      </c>
      <c r="K24" t="str">
        <f>IF(1-SUM(H24:J24)=0," ",1-SUM(H24:J24))</f>
        <v xml:space="preserve"> </v>
      </c>
    </row>
    <row r="25" spans="2:11" ht="15.75" x14ac:dyDescent="0.25">
      <c r="B25" s="54"/>
      <c r="C25" s="55"/>
      <c r="D25" s="55"/>
      <c r="E25" s="55"/>
      <c r="F25" s="55"/>
      <c r="G25" s="55"/>
      <c r="H25" s="55"/>
      <c r="I25" s="55"/>
      <c r="J25" s="56"/>
    </row>
    <row r="26" spans="2:11" ht="15.75" x14ac:dyDescent="0.25">
      <c r="B26" s="60" t="s">
        <v>188</v>
      </c>
      <c r="C26" s="74" t="s">
        <v>189</v>
      </c>
      <c r="D26" s="74">
        <v>8</v>
      </c>
      <c r="E26" s="61" t="str">
        <f>E22</f>
        <v>Four Factor</v>
      </c>
      <c r="F26" s="61"/>
      <c r="G26" s="61"/>
      <c r="H26" s="62">
        <f>'8-2016'!D38</f>
        <v>0</v>
      </c>
      <c r="I26" s="62">
        <f>'8-2016'!E38</f>
        <v>0.68557999999999997</v>
      </c>
      <c r="J26" s="78">
        <f>'8-2016'!F38</f>
        <v>0.31441999999999998</v>
      </c>
      <c r="K26" t="str">
        <f>IF(1-SUM(H26:J26)=0," ",1-SUM(H26:J26))</f>
        <v xml:space="preserve"> </v>
      </c>
    </row>
    <row r="27" spans="2:11" x14ac:dyDescent="0.2">
      <c r="B27" s="63"/>
      <c r="C27" s="63"/>
      <c r="D27" s="63"/>
      <c r="E27" s="63"/>
      <c r="F27" s="63"/>
      <c r="G27" s="63"/>
      <c r="H27" s="63"/>
      <c r="I27" s="63"/>
      <c r="J27" s="63"/>
    </row>
    <row r="28" spans="2:11" ht="15.75" x14ac:dyDescent="0.25">
      <c r="B28" s="52" t="s">
        <v>187</v>
      </c>
      <c r="C28" s="73" t="s">
        <v>190</v>
      </c>
      <c r="D28" s="73">
        <v>9</v>
      </c>
      <c r="E28" s="65" t="s">
        <v>74</v>
      </c>
      <c r="F28" s="65"/>
      <c r="G28" s="65"/>
      <c r="H28" s="53">
        <f>'9-2016'!D30</f>
        <v>0.61138000000000003</v>
      </c>
      <c r="I28" s="53">
        <f>'9-2016'!E30</f>
        <v>0.38862000000000002</v>
      </c>
      <c r="J28" s="76">
        <f>'9-2016'!F30</f>
        <v>0</v>
      </c>
      <c r="K28" t="str">
        <f>IF(1-SUM(H28:J28)=0," ",1-SUM(H28:J28))</f>
        <v xml:space="preserve"> </v>
      </c>
    </row>
    <row r="29" spans="2:11" ht="15.75" x14ac:dyDescent="0.25">
      <c r="B29" s="57"/>
      <c r="C29" s="64"/>
      <c r="D29" s="64"/>
      <c r="E29" s="58"/>
      <c r="F29" s="58"/>
      <c r="G29" s="58"/>
      <c r="H29" s="59"/>
      <c r="I29" s="59"/>
      <c r="J29" s="77"/>
    </row>
    <row r="30" spans="2:11" ht="15.75" x14ac:dyDescent="0.25">
      <c r="B30" s="60" t="s">
        <v>187</v>
      </c>
      <c r="C30" s="74" t="s">
        <v>193</v>
      </c>
      <c r="D30" s="74">
        <v>9</v>
      </c>
      <c r="E30" s="61" t="str">
        <f>E26</f>
        <v>Four Factor</v>
      </c>
      <c r="F30" s="61"/>
      <c r="G30" s="61"/>
      <c r="H30" s="62">
        <f>ROUND('9-2016'!D40,5)</f>
        <v>0.77807999999999999</v>
      </c>
      <c r="I30" s="62">
        <f>ROUND('9-2016'!E40,5)</f>
        <v>0.22192000000000001</v>
      </c>
      <c r="J30" s="78">
        <f>ROUND('9-2016'!F40,5)</f>
        <v>0</v>
      </c>
      <c r="K30" t="str">
        <f>IF(1-SUM(H30:J30)=0," ",1-SUM(H30:J30))</f>
        <v xml:space="preserve"> </v>
      </c>
    </row>
    <row r="31" spans="2:11" ht="15.75" x14ac:dyDescent="0.25">
      <c r="B31" s="64"/>
      <c r="C31" s="64"/>
      <c r="D31" s="64"/>
      <c r="E31" s="58"/>
      <c r="F31" s="58"/>
      <c r="G31" s="58"/>
      <c r="H31" s="59"/>
      <c r="I31" s="59"/>
      <c r="J31" s="59"/>
    </row>
    <row r="32" spans="2:11" ht="15.75" x14ac:dyDescent="0.25">
      <c r="B32" s="64"/>
      <c r="C32" s="64"/>
      <c r="D32" s="64"/>
      <c r="E32" s="58"/>
      <c r="F32" s="58"/>
      <c r="G32" s="58"/>
      <c r="H32" s="59"/>
      <c r="I32" s="59"/>
      <c r="J32" s="59"/>
    </row>
    <row r="33" spans="2:10" ht="15.75" x14ac:dyDescent="0.25">
      <c r="B33" s="29" t="s">
        <v>343</v>
      </c>
      <c r="C33" s="29"/>
      <c r="D33" s="29"/>
      <c r="E33" s="29"/>
      <c r="F33" s="29"/>
      <c r="G33" s="29"/>
      <c r="H33" s="29"/>
      <c r="I33" s="29"/>
      <c r="J33" s="29"/>
    </row>
    <row r="34" spans="2:10" ht="15.75" x14ac:dyDescent="0.25">
      <c r="B34" s="29"/>
      <c r="C34" s="29"/>
      <c r="D34" s="29"/>
      <c r="E34" s="29"/>
      <c r="F34" s="29"/>
      <c r="G34" s="29"/>
      <c r="H34" s="29"/>
      <c r="I34" s="29"/>
      <c r="J34" s="29"/>
    </row>
    <row r="35" spans="2:10" ht="15.75" hidden="1" x14ac:dyDescent="0.25">
      <c r="B35" s="29" t="s">
        <v>76</v>
      </c>
      <c r="C35" s="29" t="s">
        <v>246</v>
      </c>
      <c r="E35" s="29" t="s">
        <v>252</v>
      </c>
      <c r="H35" s="29" t="s">
        <v>259</v>
      </c>
    </row>
    <row r="36" spans="2:10" ht="15.75" hidden="1" x14ac:dyDescent="0.25">
      <c r="B36" s="29"/>
      <c r="C36" s="29" t="s">
        <v>250</v>
      </c>
      <c r="D36" s="29"/>
      <c r="E36" s="29" t="s">
        <v>253</v>
      </c>
      <c r="F36" s="29"/>
      <c r="H36" s="29" t="s">
        <v>260</v>
      </c>
    </row>
    <row r="37" spans="2:10" ht="15.75" hidden="1" x14ac:dyDescent="0.25">
      <c r="B37" s="29"/>
      <c r="C37" s="29" t="s">
        <v>247</v>
      </c>
      <c r="D37" s="29"/>
      <c r="E37" s="29" t="s">
        <v>254</v>
      </c>
      <c r="F37" s="29"/>
      <c r="H37" s="29" t="s">
        <v>261</v>
      </c>
    </row>
    <row r="38" spans="2:10" ht="15.75" hidden="1" x14ac:dyDescent="0.25">
      <c r="B38" s="29"/>
      <c r="C38" s="29" t="s">
        <v>245</v>
      </c>
      <c r="D38" s="29"/>
      <c r="E38" s="29" t="s">
        <v>255</v>
      </c>
      <c r="F38" s="29"/>
      <c r="H38" s="29" t="s">
        <v>262</v>
      </c>
    </row>
    <row r="39" spans="2:10" ht="15.75" hidden="1" x14ac:dyDescent="0.25">
      <c r="B39" s="29"/>
      <c r="C39" s="29" t="s">
        <v>248</v>
      </c>
      <c r="D39" s="29"/>
      <c r="E39" s="29" t="s">
        <v>256</v>
      </c>
      <c r="F39" s="29"/>
      <c r="H39" s="29" t="s">
        <v>263</v>
      </c>
    </row>
    <row r="40" spans="2:10" ht="15.75" hidden="1" x14ac:dyDescent="0.25">
      <c r="C40" s="29" t="s">
        <v>249</v>
      </c>
      <c r="D40" s="29"/>
      <c r="E40" s="29" t="s">
        <v>257</v>
      </c>
      <c r="F40" s="29"/>
      <c r="H40" s="29" t="s">
        <v>264</v>
      </c>
    </row>
    <row r="41" spans="2:10" ht="15.75" hidden="1" x14ac:dyDescent="0.25">
      <c r="C41" s="29" t="s">
        <v>251</v>
      </c>
      <c r="E41" s="29" t="s">
        <v>258</v>
      </c>
      <c r="H41" s="29" t="s">
        <v>265</v>
      </c>
    </row>
    <row r="42" spans="2:10" ht="15.75" hidden="1" x14ac:dyDescent="0.25">
      <c r="C42" s="29" t="s">
        <v>266</v>
      </c>
      <c r="E42" s="29" t="s">
        <v>267</v>
      </c>
      <c r="H42" s="29" t="s">
        <v>268</v>
      </c>
    </row>
    <row r="43" spans="2:10" ht="15.75" x14ac:dyDescent="0.25">
      <c r="B43" s="29" t="s">
        <v>76</v>
      </c>
      <c r="C43" s="29" t="s">
        <v>362</v>
      </c>
      <c r="E43" s="29" t="s">
        <v>345</v>
      </c>
      <c r="H43" s="29" t="s">
        <v>346</v>
      </c>
    </row>
    <row r="44" spans="2:10" ht="15.75" x14ac:dyDescent="0.25">
      <c r="B44" s="29"/>
      <c r="C44" s="29" t="s">
        <v>347</v>
      </c>
      <c r="D44" s="29"/>
      <c r="E44" s="29" t="s">
        <v>348</v>
      </c>
      <c r="F44" s="29"/>
      <c r="H44" s="29" t="s">
        <v>349</v>
      </c>
    </row>
    <row r="45" spans="2:10" ht="15.75" x14ac:dyDescent="0.25">
      <c r="B45" s="29"/>
      <c r="C45" s="29" t="s">
        <v>350</v>
      </c>
      <c r="D45" s="29"/>
      <c r="E45" s="29" t="s">
        <v>351</v>
      </c>
      <c r="F45" s="29"/>
      <c r="H45" s="29" t="s">
        <v>354</v>
      </c>
    </row>
    <row r="46" spans="2:10" ht="15.75" x14ac:dyDescent="0.25">
      <c r="B46" s="29"/>
      <c r="C46" s="29" t="s">
        <v>352</v>
      </c>
      <c r="D46" s="29"/>
      <c r="E46" s="29" t="s">
        <v>353</v>
      </c>
      <c r="F46" s="29"/>
      <c r="H46" s="29" t="s">
        <v>372</v>
      </c>
    </row>
    <row r="47" spans="2:10" ht="15.75" x14ac:dyDescent="0.25">
      <c r="B47" s="29"/>
      <c r="C47" s="29" t="s">
        <v>355</v>
      </c>
      <c r="D47" s="29"/>
      <c r="E47" s="29" t="s">
        <v>356</v>
      </c>
      <c r="F47" s="29"/>
      <c r="H47" s="29" t="s">
        <v>360</v>
      </c>
    </row>
    <row r="48" spans="2:10" ht="15.75" x14ac:dyDescent="0.25">
      <c r="C48" s="29" t="s">
        <v>357</v>
      </c>
      <c r="D48" s="29"/>
      <c r="E48" s="29" t="s">
        <v>369</v>
      </c>
      <c r="F48" s="29"/>
      <c r="H48" s="29" t="s">
        <v>364</v>
      </c>
    </row>
    <row r="49" spans="3:8" ht="15.75" x14ac:dyDescent="0.25">
      <c r="C49" s="29" t="s">
        <v>358</v>
      </c>
      <c r="E49" s="29" t="s">
        <v>359</v>
      </c>
      <c r="H49" s="29" t="s">
        <v>365</v>
      </c>
    </row>
    <row r="50" spans="3:8" ht="15.75" x14ac:dyDescent="0.25">
      <c r="C50" s="29" t="s">
        <v>361</v>
      </c>
      <c r="E50" s="29" t="s">
        <v>368</v>
      </c>
      <c r="H50" s="29" t="s">
        <v>371</v>
      </c>
    </row>
    <row r="51" spans="3:8" ht="15.75" x14ac:dyDescent="0.25">
      <c r="E51" s="29" t="s">
        <v>383</v>
      </c>
      <c r="H51" s="29" t="s">
        <v>382</v>
      </c>
    </row>
    <row r="52" spans="3:8" ht="15.75" x14ac:dyDescent="0.25">
      <c r="C52" s="29"/>
    </row>
  </sheetData>
  <mergeCells count="2">
    <mergeCell ref="E14:F14"/>
    <mergeCell ref="B11:J12"/>
  </mergeCells>
  <phoneticPr fontId="0" type="noConversion"/>
  <pageMargins left="0.45" right="0.45" top="0.75" bottom="0.75" header="0.3" footer="0.3"/>
  <pageSetup scale="88" orientation="portrait" r:id="rId1"/>
  <headerFooter>
    <oddFooter>&amp;L&amp;F
&amp;A&amp;RPrepared By: Jeanne Pluth
Date: January 23, 2015</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H40"/>
  <sheetViews>
    <sheetView showZeros="0" showOutlineSymbols="0" zoomScaleNormal="100" workbookViewId="0">
      <pane xSplit="3" ySplit="10" topLeftCell="D17" activePane="bottomRight" state="frozen"/>
      <selection pane="topRight"/>
      <selection pane="bottomLeft"/>
      <selection pane="bottomRight" activeCell="H38" sqref="H38"/>
    </sheetView>
  </sheetViews>
  <sheetFormatPr defaultColWidth="9.7109375" defaultRowHeight="12.75" x14ac:dyDescent="0.2"/>
  <cols>
    <col min="1" max="1" width="8.7109375" customWidth="1"/>
    <col min="2" max="2" width="15.7109375" customWidth="1"/>
    <col min="3" max="3" width="16.7109375" customWidth="1"/>
    <col min="4" max="5" width="12.7109375" customWidth="1"/>
    <col min="6" max="6" width="10.7109375" bestFit="1" customWidth="1"/>
    <col min="7" max="7" width="13.5703125" bestFit="1" customWidth="1"/>
    <col min="8" max="8" width="12.7109375" customWidth="1"/>
  </cols>
  <sheetData>
    <row r="1" spans="1:8" x14ac:dyDescent="0.2">
      <c r="A1" s="1" t="str">
        <f>Notes!A1</f>
        <v>Avista Utilities</v>
      </c>
      <c r="B1" s="1"/>
      <c r="C1" s="1"/>
      <c r="D1" s="1"/>
      <c r="E1" s="1"/>
      <c r="F1" s="1"/>
      <c r="G1" s="88"/>
    </row>
    <row r="2" spans="1:8" x14ac:dyDescent="0.2">
      <c r="A2" s="1" t="s">
        <v>77</v>
      </c>
      <c r="B2" s="1"/>
      <c r="C2" s="1"/>
      <c r="D2" s="1"/>
      <c r="E2" s="1"/>
      <c r="F2" s="1"/>
    </row>
    <row r="3" spans="1:8" x14ac:dyDescent="0.2">
      <c r="A3" s="1" t="str">
        <f>Notes!A5</f>
        <v>Balances at December 31, 2016</v>
      </c>
      <c r="B3" s="1"/>
      <c r="C3" s="1"/>
      <c r="D3" s="1"/>
      <c r="E3" s="1"/>
      <c r="F3" s="1"/>
    </row>
    <row r="4" spans="1:8" x14ac:dyDescent="0.2">
      <c r="A4" s="1"/>
      <c r="B4" s="1"/>
      <c r="C4" s="1"/>
      <c r="D4" s="1"/>
      <c r="E4" s="1"/>
      <c r="F4" s="1"/>
    </row>
    <row r="5" spans="1:8" x14ac:dyDescent="0.2">
      <c r="A5" s="1"/>
      <c r="B5" s="1"/>
      <c r="C5" s="1"/>
      <c r="D5" s="1"/>
      <c r="E5" s="1"/>
      <c r="F5" s="1"/>
    </row>
    <row r="6" spans="1:8" x14ac:dyDescent="0.2">
      <c r="A6" s="1"/>
      <c r="B6" s="1"/>
      <c r="C6" s="1"/>
      <c r="D6" s="1"/>
      <c r="E6" s="1"/>
      <c r="F6" s="1"/>
    </row>
    <row r="7" spans="1:8" x14ac:dyDescent="0.2">
      <c r="A7" s="1"/>
      <c r="B7" s="1"/>
      <c r="C7" s="1"/>
      <c r="D7" s="1"/>
      <c r="E7" s="1"/>
      <c r="F7" s="1"/>
    </row>
    <row r="8" spans="1:8" x14ac:dyDescent="0.2">
      <c r="A8" s="1"/>
      <c r="B8" s="1"/>
      <c r="C8" s="1"/>
      <c r="D8" s="6" t="s">
        <v>200</v>
      </c>
      <c r="E8" s="6" t="s">
        <v>78</v>
      </c>
      <c r="F8" s="6" t="s">
        <v>79</v>
      </c>
      <c r="G8" s="38" t="s">
        <v>133</v>
      </c>
      <c r="H8" s="113" t="s">
        <v>235</v>
      </c>
    </row>
    <row r="9" spans="1:8" x14ac:dyDescent="0.2">
      <c r="A9" s="1"/>
      <c r="B9" s="1"/>
      <c r="C9" s="1"/>
      <c r="D9" s="8" t="s">
        <v>175</v>
      </c>
      <c r="E9" s="6" t="s">
        <v>3</v>
      </c>
      <c r="F9" s="6" t="s">
        <v>3</v>
      </c>
      <c r="G9" s="38" t="s">
        <v>272</v>
      </c>
      <c r="H9" s="89" t="s">
        <v>236</v>
      </c>
    </row>
    <row r="10" spans="1:8" x14ac:dyDescent="0.2">
      <c r="A10" s="1"/>
      <c r="B10" s="1"/>
      <c r="C10" s="1"/>
      <c r="D10" s="6" t="s">
        <v>1</v>
      </c>
      <c r="E10" s="6" t="s">
        <v>80</v>
      </c>
      <c r="F10" s="6" t="s">
        <v>80</v>
      </c>
      <c r="G10" s="38" t="s">
        <v>273</v>
      </c>
    </row>
    <row r="11" spans="1:8" x14ac:dyDescent="0.2">
      <c r="A11" s="1" t="s">
        <v>81</v>
      </c>
      <c r="B11" s="1"/>
      <c r="C11" s="1"/>
      <c r="D11" s="1"/>
      <c r="E11" s="1"/>
      <c r="F11" s="1"/>
      <c r="G11" s="39"/>
      <c r="H11" s="48"/>
    </row>
    <row r="12" spans="1:8" x14ac:dyDescent="0.2">
      <c r="G12" s="39"/>
      <c r="H12" s="48"/>
    </row>
    <row r="13" spans="1:8" x14ac:dyDescent="0.2">
      <c r="A13" s="1" t="s">
        <v>224</v>
      </c>
      <c r="B13" s="1" t="s">
        <v>82</v>
      </c>
      <c r="C13" s="1"/>
      <c r="D13" s="2">
        <f t="shared" ref="D13:D22" si="0">E13+F13</f>
        <v>601171</v>
      </c>
      <c r="E13" s="4">
        <v>601171</v>
      </c>
      <c r="F13" s="4"/>
      <c r="G13" s="39"/>
      <c r="H13" s="48">
        <f>SUM(E13:G13)-'UtilityPlt-2016'!E29</f>
        <v>0</v>
      </c>
    </row>
    <row r="14" spans="1:8" x14ac:dyDescent="0.2">
      <c r="A14" s="1" t="s">
        <v>225</v>
      </c>
      <c r="B14" s="1" t="s">
        <v>83</v>
      </c>
      <c r="C14" s="1"/>
      <c r="D14" s="2">
        <f t="shared" si="0"/>
        <v>2233288</v>
      </c>
      <c r="E14" s="4">
        <v>2233288</v>
      </c>
      <c r="F14" s="4"/>
      <c r="G14" s="40"/>
      <c r="H14" s="48">
        <f>SUM(E14:G14)-'UtilityPlt-2016'!E30</f>
        <v>0</v>
      </c>
    </row>
    <row r="15" spans="1:8" x14ac:dyDescent="0.2">
      <c r="A15" s="1" t="s">
        <v>226</v>
      </c>
      <c r="B15" s="1" t="s">
        <v>84</v>
      </c>
      <c r="C15" s="1"/>
      <c r="D15" s="2">
        <f t="shared" si="0"/>
        <v>0</v>
      </c>
      <c r="E15" s="4">
        <v>0</v>
      </c>
      <c r="F15" s="4">
        <v>0</v>
      </c>
      <c r="G15" s="40">
        <v>6650</v>
      </c>
      <c r="H15" s="48">
        <f>SUM(E15:G15)-'UtilityPlt-2016'!E31</f>
        <v>0</v>
      </c>
    </row>
    <row r="16" spans="1:8" x14ac:dyDescent="0.2">
      <c r="A16" s="1" t="s">
        <v>227</v>
      </c>
      <c r="B16" s="1" t="s">
        <v>19</v>
      </c>
      <c r="C16" s="1"/>
      <c r="D16" s="2">
        <f t="shared" si="0"/>
        <v>10449699</v>
      </c>
      <c r="E16" s="4">
        <v>8084705</v>
      </c>
      <c r="F16" s="4">
        <v>2364994</v>
      </c>
      <c r="G16" s="40">
        <v>1694553</v>
      </c>
      <c r="H16" s="48">
        <f>SUM(E16:G16)-'UtilityPlt-2016'!E32</f>
        <v>0</v>
      </c>
    </row>
    <row r="17" spans="1:8" x14ac:dyDescent="0.2">
      <c r="A17" s="1" t="s">
        <v>228</v>
      </c>
      <c r="B17" s="1" t="s">
        <v>20</v>
      </c>
      <c r="C17" s="1"/>
      <c r="D17" s="2">
        <f t="shared" si="0"/>
        <v>88160</v>
      </c>
      <c r="E17" s="4">
        <v>88160</v>
      </c>
      <c r="F17" s="4"/>
      <c r="G17" s="40"/>
      <c r="H17" s="48">
        <f>SUM(E17:G17)-'UtilityPlt-2016'!E33</f>
        <v>0</v>
      </c>
    </row>
    <row r="18" spans="1:8" x14ac:dyDescent="0.2">
      <c r="A18" s="1" t="s">
        <v>229</v>
      </c>
      <c r="B18" s="1" t="s">
        <v>85</v>
      </c>
      <c r="C18" s="1"/>
      <c r="D18" s="2">
        <f t="shared" si="0"/>
        <v>2253762</v>
      </c>
      <c r="E18" s="4">
        <v>1915821</v>
      </c>
      <c r="F18" s="4">
        <v>337941</v>
      </c>
      <c r="G18" s="40">
        <v>382502</v>
      </c>
      <c r="H18" s="48">
        <f>SUM(E18:G18)-'UtilityPlt-2016'!E34</f>
        <v>0</v>
      </c>
    </row>
    <row r="19" spans="1:8" x14ac:dyDescent="0.2">
      <c r="A19" s="1" t="s">
        <v>230</v>
      </c>
      <c r="B19" s="1" t="s">
        <v>22</v>
      </c>
      <c r="C19" s="1"/>
      <c r="D19" s="2">
        <f t="shared" si="0"/>
        <v>20210</v>
      </c>
      <c r="E19" s="4">
        <v>15240</v>
      </c>
      <c r="F19" s="4">
        <v>4970</v>
      </c>
      <c r="G19" s="40">
        <v>120039</v>
      </c>
      <c r="H19" s="48">
        <f>SUM(E19:G19)-'UtilityPlt-2016'!E35</f>
        <v>0</v>
      </c>
    </row>
    <row r="20" spans="1:8" x14ac:dyDescent="0.2">
      <c r="A20" s="1" t="s">
        <v>231</v>
      </c>
      <c r="B20" s="1" t="s">
        <v>23</v>
      </c>
      <c r="C20" s="1"/>
      <c r="D20" s="2">
        <f t="shared" si="0"/>
        <v>3206217</v>
      </c>
      <c r="E20" s="4">
        <v>2458498</v>
      </c>
      <c r="F20" s="4">
        <v>747719</v>
      </c>
      <c r="G20" s="40">
        <v>830494</v>
      </c>
      <c r="H20" s="48">
        <f>SUM(E20:G20)-'UtilityPlt-2016'!E36</f>
        <v>0</v>
      </c>
    </row>
    <row r="21" spans="1:8" x14ac:dyDescent="0.2">
      <c r="A21" s="1" t="s">
        <v>232</v>
      </c>
      <c r="B21" s="1" t="s">
        <v>86</v>
      </c>
      <c r="C21" s="1"/>
      <c r="D21" s="2">
        <f t="shared" si="0"/>
        <v>1184732</v>
      </c>
      <c r="E21" s="4">
        <v>689935</v>
      </c>
      <c r="F21" s="4">
        <v>494797</v>
      </c>
      <c r="G21" s="40">
        <v>0</v>
      </c>
      <c r="H21" s="48">
        <f>SUM(E21:G21)-'UtilityPlt-2016'!E37</f>
        <v>0</v>
      </c>
    </row>
    <row r="22" spans="1:8" x14ac:dyDescent="0.2">
      <c r="A22" s="1" t="s">
        <v>233</v>
      </c>
      <c r="B22" s="1" t="s">
        <v>25</v>
      </c>
      <c r="C22" s="1"/>
      <c r="D22" s="92">
        <f t="shared" si="0"/>
        <v>0</v>
      </c>
      <c r="E22" s="93"/>
      <c r="F22" s="93"/>
      <c r="G22" s="94">
        <v>0</v>
      </c>
      <c r="H22" s="95">
        <f>SUM(E22:G22)-'UtilityPlt-2016'!E38</f>
        <v>0</v>
      </c>
    </row>
    <row r="23" spans="1:8" ht="13.5" thickBot="1" x14ac:dyDescent="0.25">
      <c r="A23" s="1"/>
      <c r="B23" s="6" t="s">
        <v>1</v>
      </c>
      <c r="C23" s="1"/>
      <c r="D23" s="11">
        <f>SUM(D13:D22)</f>
        <v>20037239</v>
      </c>
      <c r="E23" s="11">
        <f>SUM(E13:E22)</f>
        <v>16086818</v>
      </c>
      <c r="F23" s="11">
        <f>SUM(F13:F22)</f>
        <v>3950421</v>
      </c>
      <c r="G23" s="41">
        <f>SUM(G13:G22)</f>
        <v>3034238</v>
      </c>
      <c r="H23" s="48">
        <f>SUM(E23:G23)-'UtilityPlt-2016'!E39</f>
        <v>0</v>
      </c>
    </row>
    <row r="24" spans="1:8" ht="13.5" thickTop="1" x14ac:dyDescent="0.2">
      <c r="A24" s="1"/>
      <c r="B24" s="1"/>
      <c r="C24" s="1"/>
      <c r="D24">
        <f>+G23+D23-'UtilityPlt-2016'!E39</f>
        <v>0</v>
      </c>
      <c r="E24" s="1"/>
      <c r="F24" s="1"/>
      <c r="H24" s="48"/>
    </row>
    <row r="25" spans="1:8" x14ac:dyDescent="0.2">
      <c r="E25" s="142" t="s">
        <v>366</v>
      </c>
      <c r="F25" s="143"/>
      <c r="G25" s="144"/>
      <c r="H25" s="48"/>
    </row>
    <row r="26" spans="1:8" x14ac:dyDescent="0.2">
      <c r="A26" s="1"/>
      <c r="B26" s="1"/>
      <c r="C26" s="1"/>
      <c r="D26" s="8" t="s">
        <v>88</v>
      </c>
      <c r="E26" s="7" t="s">
        <v>78</v>
      </c>
      <c r="F26" s="7" t="s">
        <v>79</v>
      </c>
      <c r="G26" s="7" t="s">
        <v>40</v>
      </c>
      <c r="H26" s="48"/>
    </row>
    <row r="27" spans="1:8" x14ac:dyDescent="0.2">
      <c r="A27" s="1" t="s">
        <v>87</v>
      </c>
      <c r="B27" s="1"/>
      <c r="C27" s="1"/>
      <c r="D27" s="7" t="s">
        <v>1</v>
      </c>
      <c r="E27" s="6" t="s">
        <v>80</v>
      </c>
      <c r="F27" s="6" t="s">
        <v>80</v>
      </c>
      <c r="G27" s="1"/>
      <c r="H27" s="48"/>
    </row>
    <row r="28" spans="1:8" x14ac:dyDescent="0.2">
      <c r="H28" s="48"/>
    </row>
    <row r="29" spans="1:8" x14ac:dyDescent="0.2">
      <c r="A29" s="1" t="s">
        <v>89</v>
      </c>
      <c r="B29" s="1" t="s">
        <v>16</v>
      </c>
      <c r="C29" s="1"/>
      <c r="D29" s="2">
        <f t="shared" ref="D29:D38" si="1">SUM(E29:G29)</f>
        <v>1633633</v>
      </c>
      <c r="E29" s="4">
        <f>699092+191664</f>
        <v>890756</v>
      </c>
      <c r="F29" s="4">
        <f>343147+94078</f>
        <v>437225</v>
      </c>
      <c r="G29" s="4">
        <f>239885+65767</f>
        <v>305652</v>
      </c>
      <c r="H29" s="48">
        <f>+D29-'UtilityPlt-2016'!I29</f>
        <v>0</v>
      </c>
    </row>
    <row r="30" spans="1:8" x14ac:dyDescent="0.2">
      <c r="A30" s="1" t="s">
        <v>90</v>
      </c>
      <c r="B30" s="1" t="s">
        <v>17</v>
      </c>
      <c r="C30" s="1"/>
      <c r="D30" s="2">
        <f t="shared" si="1"/>
        <v>24949267</v>
      </c>
      <c r="E30" s="4">
        <f>5586345+1531560</f>
        <v>7117905</v>
      </c>
      <c r="F30" s="4">
        <f>5624765+1542093</f>
        <v>7166858</v>
      </c>
      <c r="G30" s="4">
        <f>8369823+2294681</f>
        <v>10664504</v>
      </c>
      <c r="H30" s="48">
        <f>+D30-'UtilityPlt-2016'!I30</f>
        <v>0</v>
      </c>
    </row>
    <row r="31" spans="1:8" x14ac:dyDescent="0.2">
      <c r="A31" s="1" t="s">
        <v>91</v>
      </c>
      <c r="B31" s="1" t="s">
        <v>18</v>
      </c>
      <c r="C31" s="1"/>
      <c r="D31" s="2">
        <f t="shared" si="1"/>
        <v>683946</v>
      </c>
      <c r="E31" s="4">
        <f>324933+89084</f>
        <v>414017</v>
      </c>
      <c r="F31" s="4">
        <f>66785+18310</f>
        <v>85095</v>
      </c>
      <c r="G31" s="4">
        <f>145063+39771</f>
        <v>184834</v>
      </c>
      <c r="H31" s="48">
        <f>+D31-'UtilityPlt-2016'!I31</f>
        <v>0</v>
      </c>
    </row>
    <row r="32" spans="1:8" x14ac:dyDescent="0.2">
      <c r="A32" s="1" t="s">
        <v>92</v>
      </c>
      <c r="B32" s="1" t="s">
        <v>19</v>
      </c>
      <c r="C32" s="1"/>
      <c r="D32" s="2">
        <f t="shared" si="1"/>
        <v>6114249</v>
      </c>
      <c r="E32" s="4">
        <f>2027436+555844</f>
        <v>2583280</v>
      </c>
      <c r="F32" s="4">
        <f>835730+229125</f>
        <v>1064855</v>
      </c>
      <c r="G32" s="4">
        <f>1935480+530634</f>
        <v>2466114</v>
      </c>
      <c r="H32" s="48">
        <f>+D32-'UtilityPlt-2016'!I32</f>
        <v>0</v>
      </c>
    </row>
    <row r="33" spans="1:8" x14ac:dyDescent="0.2">
      <c r="A33" s="1" t="s">
        <v>93</v>
      </c>
      <c r="B33" s="1" t="s">
        <v>20</v>
      </c>
      <c r="C33" s="1"/>
      <c r="D33" s="2">
        <f t="shared" si="1"/>
        <v>4196439</v>
      </c>
      <c r="E33" s="4">
        <f>104613+28681</f>
        <v>133294</v>
      </c>
      <c r="F33" s="4">
        <f>121879+33415</f>
        <v>155294</v>
      </c>
      <c r="G33" s="4">
        <f>3066999+840852</f>
        <v>3907851</v>
      </c>
      <c r="H33" s="48">
        <f>+D33-'UtilityPlt-2016'!I33</f>
        <v>0</v>
      </c>
    </row>
    <row r="34" spans="1:8" x14ac:dyDescent="0.2">
      <c r="A34" s="1" t="s">
        <v>94</v>
      </c>
      <c r="B34" s="1" t="s">
        <v>21</v>
      </c>
      <c r="C34" s="1"/>
      <c r="D34" s="2">
        <f t="shared" si="1"/>
        <v>1209527</v>
      </c>
      <c r="E34" s="4">
        <f>16398+4496</f>
        <v>20894</v>
      </c>
      <c r="F34" s="4">
        <f>762875+209151</f>
        <v>972026</v>
      </c>
      <c r="G34" s="4">
        <f>170000+46607</f>
        <v>216607</v>
      </c>
      <c r="H34" s="48">
        <f>+D34-'UtilityPlt-2016'!I34</f>
        <v>0</v>
      </c>
    </row>
    <row r="35" spans="1:8" x14ac:dyDescent="0.2">
      <c r="A35" s="1" t="s">
        <v>95</v>
      </c>
      <c r="B35" s="1" t="s">
        <v>22</v>
      </c>
      <c r="C35" s="1"/>
      <c r="D35" s="2">
        <f t="shared" si="1"/>
        <v>29158</v>
      </c>
      <c r="E35" s="4">
        <f>1319+362</f>
        <v>1681</v>
      </c>
      <c r="F35" s="4">
        <f>421+115</f>
        <v>536</v>
      </c>
      <c r="G35" s="4">
        <f>21144+5797</f>
        <v>26941</v>
      </c>
      <c r="H35" s="48">
        <f>+D35-'UtilityPlt-2016'!I35</f>
        <v>0</v>
      </c>
    </row>
    <row r="36" spans="1:8" x14ac:dyDescent="0.2">
      <c r="A36" s="1" t="s">
        <v>96</v>
      </c>
      <c r="B36" s="1" t="s">
        <v>23</v>
      </c>
      <c r="C36" s="1"/>
      <c r="D36" s="2">
        <f t="shared" si="1"/>
        <v>1265106</v>
      </c>
      <c r="E36" s="4">
        <f>254350+69733</f>
        <v>324083</v>
      </c>
      <c r="F36" s="4">
        <f>311589+85426</f>
        <v>397015</v>
      </c>
      <c r="G36" s="4">
        <f>426954+117054</f>
        <v>544008</v>
      </c>
      <c r="H36" s="48">
        <f>+D36-'UtilityPlt-2016'!I36</f>
        <v>0</v>
      </c>
    </row>
    <row r="37" spans="1:8" x14ac:dyDescent="0.2">
      <c r="A37" s="1" t="s">
        <v>97</v>
      </c>
      <c r="B37" s="1" t="s">
        <v>24</v>
      </c>
      <c r="C37" s="1"/>
      <c r="D37" s="2">
        <f t="shared" si="1"/>
        <v>15123198</v>
      </c>
      <c r="E37" s="4">
        <f>1390142+381123</f>
        <v>1771265</v>
      </c>
      <c r="F37" s="4">
        <f>2968009+813713</f>
        <v>3781722</v>
      </c>
      <c r="G37" s="4">
        <f>7510989+2059222</f>
        <v>9570211</v>
      </c>
      <c r="H37" s="48">
        <f>+D37-'UtilityPlt-2016'!I37</f>
        <v>0</v>
      </c>
    </row>
    <row r="38" spans="1:8" x14ac:dyDescent="0.2">
      <c r="A38" s="1" t="s">
        <v>98</v>
      </c>
      <c r="B38" s="1" t="s">
        <v>25</v>
      </c>
      <c r="C38" s="1"/>
      <c r="D38" s="14">
        <f t="shared" si="1"/>
        <v>9978</v>
      </c>
      <c r="E38" s="4">
        <f>3913+1073</f>
        <v>4986</v>
      </c>
      <c r="F38" s="4">
        <v>0</v>
      </c>
      <c r="G38" s="4">
        <f>3918+1074</f>
        <v>4992</v>
      </c>
      <c r="H38" s="48">
        <f>+D38-'UtilityPlt-2016'!I38</f>
        <v>0</v>
      </c>
    </row>
    <row r="39" spans="1:8" ht="13.5" thickBot="1" x14ac:dyDescent="0.25">
      <c r="A39" s="1"/>
      <c r="B39" s="6" t="s">
        <v>1</v>
      </c>
      <c r="C39" s="1"/>
      <c r="D39" s="11">
        <f>SUM(D29:D38)</f>
        <v>55214501</v>
      </c>
      <c r="E39" s="11">
        <f>SUM(E29:E38)</f>
        <v>13262161</v>
      </c>
      <c r="F39" s="11">
        <f>SUM(F29:F38)</f>
        <v>14060626</v>
      </c>
      <c r="G39" s="11">
        <f>SUM(G29:G38)</f>
        <v>27891714</v>
      </c>
      <c r="H39" s="48"/>
    </row>
    <row r="40" spans="1:8" ht="13.5" thickTop="1" x14ac:dyDescent="0.2">
      <c r="A40" s="1"/>
      <c r="B40" s="1"/>
      <c r="C40" s="1"/>
      <c r="D40" s="1" t="str">
        <f>IF(D39='UtilityPlt-2016'!I39," ","CALCULATION ERROR")</f>
        <v xml:space="preserve"> </v>
      </c>
      <c r="E40" s="1"/>
      <c r="F40" s="1"/>
      <c r="G40" s="1"/>
      <c r="H40" s="48"/>
    </row>
  </sheetData>
  <mergeCells count="1">
    <mergeCell ref="E25:G25"/>
  </mergeCells>
  <pageMargins left="0.7" right="0.7" top="0.75" bottom="0.75" header="0.3" footer="0.3"/>
  <pageSetup orientation="portrait" r:id="rId1"/>
  <headerFooter>
    <oddFooter>&amp;L&amp;F
&amp;A&amp;RPrepared By: Jeanne Pluth
Date: January 23, 2015</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pageSetUpPr fitToPage="1"/>
  </sheetPr>
  <dimension ref="A1:K56"/>
  <sheetViews>
    <sheetView showZeros="0" showOutlineSymbols="0" zoomScaleNormal="100" workbookViewId="0">
      <pane xSplit="5" ySplit="8" topLeftCell="F9" activePane="bottomRight" state="frozen"/>
      <selection pane="topRight"/>
      <selection pane="bottomLeft"/>
      <selection pane="bottomRight" activeCell="I49" sqref="I49"/>
    </sheetView>
  </sheetViews>
  <sheetFormatPr defaultColWidth="10.7109375" defaultRowHeight="12.75" x14ac:dyDescent="0.2"/>
  <cols>
    <col min="1" max="1" width="3.7109375" customWidth="1"/>
    <col min="2" max="2" width="1.7109375" customWidth="1"/>
    <col min="3" max="3" width="6.7109375" customWidth="1"/>
    <col min="4" max="4" width="5.7109375" customWidth="1"/>
    <col min="5" max="5" width="31.7109375" customWidth="1"/>
    <col min="6" max="9" width="13.42578125" customWidth="1"/>
    <col min="10" max="10" width="14.42578125" bestFit="1" customWidth="1"/>
  </cols>
  <sheetData>
    <row r="1" spans="1:10" x14ac:dyDescent="0.2">
      <c r="A1" s="1" t="str">
        <f>Notes!A1</f>
        <v>Avista Utilities</v>
      </c>
      <c r="B1" s="1"/>
      <c r="C1" s="1"/>
      <c r="D1" s="1"/>
      <c r="E1" s="1"/>
      <c r="F1" s="1"/>
      <c r="G1" s="44"/>
      <c r="H1" s="51"/>
      <c r="I1" s="1"/>
    </row>
    <row r="2" spans="1:10" x14ac:dyDescent="0.2">
      <c r="A2" s="1" t="s">
        <v>77</v>
      </c>
      <c r="B2" s="1"/>
      <c r="C2" s="1"/>
      <c r="D2" s="1"/>
      <c r="E2" s="1"/>
      <c r="F2" s="1"/>
      <c r="G2" s="1"/>
      <c r="H2" s="1"/>
      <c r="I2" s="1"/>
    </row>
    <row r="3" spans="1:10" x14ac:dyDescent="0.2">
      <c r="A3" s="1" t="str">
        <f>Notes!A5</f>
        <v>Balances at December 31, 2016</v>
      </c>
      <c r="B3" s="1"/>
      <c r="C3" s="1"/>
      <c r="D3" s="1"/>
      <c r="E3" s="1"/>
      <c r="F3" s="1"/>
      <c r="G3" s="1"/>
      <c r="H3" s="1"/>
      <c r="I3" s="1"/>
    </row>
    <row r="4" spans="1:10" x14ac:dyDescent="0.2">
      <c r="A4" s="1"/>
      <c r="B4" s="1"/>
      <c r="C4" s="1"/>
      <c r="D4" s="1"/>
      <c r="E4" s="1"/>
      <c r="F4" s="1"/>
      <c r="G4" s="1"/>
      <c r="H4" s="1"/>
      <c r="I4" s="1"/>
    </row>
    <row r="6" spans="1:10" x14ac:dyDescent="0.2">
      <c r="A6" s="6" t="s">
        <v>99</v>
      </c>
      <c r="B6" s="1"/>
      <c r="C6" s="1"/>
      <c r="D6" s="1"/>
      <c r="E6" s="1"/>
      <c r="F6" s="6" t="s">
        <v>200</v>
      </c>
      <c r="G6" s="6" t="s">
        <v>78</v>
      </c>
      <c r="H6" s="6" t="s">
        <v>79</v>
      </c>
      <c r="I6" s="6" t="s">
        <v>40</v>
      </c>
      <c r="J6" s="7" t="s">
        <v>40</v>
      </c>
    </row>
    <row r="7" spans="1:10" x14ac:dyDescent="0.2">
      <c r="A7" s="1"/>
      <c r="B7" s="1"/>
      <c r="C7" s="1"/>
      <c r="D7" s="1"/>
      <c r="E7" s="1"/>
      <c r="F7" s="6" t="s">
        <v>1</v>
      </c>
      <c r="G7" s="6" t="s">
        <v>3</v>
      </c>
      <c r="H7" s="6" t="s">
        <v>3</v>
      </c>
      <c r="I7" s="6" t="s">
        <v>3</v>
      </c>
      <c r="J7" s="6" t="s">
        <v>180</v>
      </c>
    </row>
    <row r="8" spans="1:10" x14ac:dyDescent="0.2">
      <c r="A8" s="1"/>
      <c r="B8" s="1"/>
      <c r="C8" s="1"/>
      <c r="D8" s="1"/>
      <c r="E8" s="1"/>
      <c r="F8" s="6" t="s">
        <v>100</v>
      </c>
      <c r="G8" s="6" t="s">
        <v>101</v>
      </c>
      <c r="H8" s="6" t="s">
        <v>102</v>
      </c>
      <c r="I8" s="6" t="s">
        <v>103</v>
      </c>
      <c r="J8" s="1" t="s">
        <v>181</v>
      </c>
    </row>
    <row r="9" spans="1:10" x14ac:dyDescent="0.2">
      <c r="A9" s="1"/>
      <c r="B9" s="1"/>
      <c r="C9" s="1" t="s">
        <v>104</v>
      </c>
      <c r="D9" s="1"/>
      <c r="E9" s="1"/>
      <c r="F9" s="1"/>
      <c r="G9" s="1"/>
      <c r="H9" s="1"/>
    </row>
    <row r="10" spans="1:10" x14ac:dyDescent="0.2">
      <c r="A10" s="2">
        <v>1</v>
      </c>
      <c r="B10" s="1"/>
      <c r="C10" s="1" t="s">
        <v>177</v>
      </c>
      <c r="D10" s="1"/>
      <c r="E10" s="1"/>
      <c r="F10" s="2">
        <f>G10+H10</f>
        <v>1802199</v>
      </c>
      <c r="G10" s="4">
        <v>1022594</v>
      </c>
      <c r="H10" s="4">
        <v>779605</v>
      </c>
      <c r="I10" s="95">
        <f>+J10+F10-'UtilityPlt-2016'!E42</f>
        <v>0</v>
      </c>
      <c r="J10" s="2"/>
    </row>
    <row r="11" spans="1:10" x14ac:dyDescent="0.2">
      <c r="A11" s="2">
        <v>2</v>
      </c>
      <c r="B11" s="1"/>
      <c r="C11" s="1" t="s">
        <v>105</v>
      </c>
      <c r="D11" s="1"/>
      <c r="E11" s="1"/>
      <c r="F11" s="2">
        <f>G11+H11</f>
        <v>0</v>
      </c>
      <c r="G11" s="4">
        <v>0</v>
      </c>
      <c r="H11" s="4">
        <v>0</v>
      </c>
      <c r="I11" s="48"/>
      <c r="J11" s="2"/>
    </row>
    <row r="12" spans="1:10" x14ac:dyDescent="0.2">
      <c r="A12" s="2">
        <v>3</v>
      </c>
      <c r="B12" s="1"/>
      <c r="C12" s="1" t="s">
        <v>106</v>
      </c>
      <c r="D12" s="1"/>
      <c r="E12" s="1"/>
      <c r="F12" s="2">
        <f>G12+H12</f>
        <v>611809876</v>
      </c>
      <c r="G12" s="93">
        <v>406778209</v>
      </c>
      <c r="H12" s="93">
        <v>205031667</v>
      </c>
      <c r="I12" s="95">
        <f>+J12+F12-'UtilityPlt-2016'!E25</f>
        <v>0</v>
      </c>
      <c r="J12" s="93">
        <f>1802017+837605</f>
        <v>2639622</v>
      </c>
    </row>
    <row r="13" spans="1:10" x14ac:dyDescent="0.2">
      <c r="A13" s="2">
        <v>4</v>
      </c>
      <c r="B13" s="1"/>
      <c r="C13" s="1" t="s">
        <v>152</v>
      </c>
      <c r="D13" s="1"/>
      <c r="E13" s="1"/>
      <c r="F13" s="2">
        <f>G13+H13</f>
        <v>20037239</v>
      </c>
      <c r="G13" s="2">
        <f>'GasPlt-2016'!E23</f>
        <v>16086818</v>
      </c>
      <c r="H13" s="2">
        <f>'GasPlt-2016'!F23</f>
        <v>3950421</v>
      </c>
      <c r="I13" s="48"/>
      <c r="J13" s="2">
        <f>'GasPlt-2016'!G23</f>
        <v>3034238</v>
      </c>
    </row>
    <row r="14" spans="1:10" x14ac:dyDescent="0.2">
      <c r="A14" s="2">
        <v>5</v>
      </c>
      <c r="B14" s="1"/>
      <c r="C14" s="1" t="s">
        <v>107</v>
      </c>
      <c r="D14" s="1"/>
      <c r="E14" s="1"/>
      <c r="F14" s="31">
        <f>SUM(F10:F13)</f>
        <v>633649314</v>
      </c>
      <c r="G14" s="31">
        <f>SUM(G10:G13)</f>
        <v>423887621</v>
      </c>
      <c r="H14" s="31">
        <f>SUM(H10:H13)</f>
        <v>209761693</v>
      </c>
      <c r="J14" s="31">
        <f>SUM(J10:J13)</f>
        <v>5673860</v>
      </c>
    </row>
    <row r="15" spans="1:10" x14ac:dyDescent="0.2">
      <c r="A15" s="2"/>
      <c r="B15" s="1"/>
      <c r="C15" s="1"/>
      <c r="D15" s="1"/>
      <c r="E15" s="1"/>
      <c r="F15" s="2"/>
      <c r="G15" s="2"/>
      <c r="H15" s="2"/>
      <c r="J15" s="2"/>
    </row>
    <row r="16" spans="1:10" x14ac:dyDescent="0.2">
      <c r="A16" s="2">
        <v>6</v>
      </c>
      <c r="B16" s="1"/>
      <c r="C16" s="1" t="s">
        <v>108</v>
      </c>
      <c r="D16" s="1"/>
      <c r="E16" s="1"/>
      <c r="F16" s="2"/>
      <c r="G16" s="2"/>
      <c r="H16" s="2"/>
      <c r="I16" s="2"/>
    </row>
    <row r="17" spans="1:10" x14ac:dyDescent="0.2">
      <c r="A17" s="2">
        <v>7</v>
      </c>
      <c r="B17" s="1"/>
      <c r="C17" s="1" t="s">
        <v>109</v>
      </c>
      <c r="D17" s="1"/>
      <c r="E17" s="1"/>
      <c r="F17" s="1"/>
      <c r="G17" s="1"/>
      <c r="H17" s="1"/>
      <c r="I17" s="1"/>
    </row>
    <row r="18" spans="1:10" x14ac:dyDescent="0.2">
      <c r="A18" s="2">
        <v>8</v>
      </c>
      <c r="B18" s="1"/>
      <c r="C18" s="1" t="s">
        <v>110</v>
      </c>
      <c r="D18" s="1"/>
      <c r="E18" s="1"/>
      <c r="F18" s="2">
        <f>G18+H18</f>
        <v>20037239</v>
      </c>
      <c r="G18" s="2">
        <f>G13</f>
        <v>16086818</v>
      </c>
      <c r="H18" s="2">
        <f>H13</f>
        <v>3950421</v>
      </c>
      <c r="I18" s="2"/>
    </row>
    <row r="19" spans="1:10" x14ac:dyDescent="0.2">
      <c r="A19" s="2">
        <v>9</v>
      </c>
      <c r="B19" s="1"/>
      <c r="C19" s="1" t="s">
        <v>111</v>
      </c>
      <c r="D19" s="1"/>
      <c r="E19" s="1"/>
      <c r="F19" s="2">
        <f>G19+H19</f>
        <v>-601171</v>
      </c>
      <c r="G19" s="2">
        <f>-'GasPlt-2016'!E13</f>
        <v>-601171</v>
      </c>
      <c r="H19" s="2">
        <f>-'GasPlt-2016'!F13</f>
        <v>0</v>
      </c>
      <c r="I19" s="2"/>
    </row>
    <row r="20" spans="1:10" x14ac:dyDescent="0.2">
      <c r="A20" s="2">
        <v>10</v>
      </c>
      <c r="B20" s="1"/>
      <c r="C20" s="1" t="s">
        <v>112</v>
      </c>
      <c r="D20" s="1"/>
      <c r="E20" s="1"/>
      <c r="F20" s="2">
        <f>G20+H20</f>
        <v>-10449699</v>
      </c>
      <c r="G20" s="2">
        <f>-'GasPlt-2016'!E16</f>
        <v>-8084705</v>
      </c>
      <c r="H20" s="2">
        <f>-'GasPlt-2016'!F16</f>
        <v>-2364994</v>
      </c>
      <c r="I20" s="2"/>
    </row>
    <row r="21" spans="1:10" ht="13.5" thickBot="1" x14ac:dyDescent="0.25">
      <c r="A21" s="2">
        <v>11</v>
      </c>
      <c r="B21" s="1"/>
      <c r="C21" s="1" t="s">
        <v>113</v>
      </c>
      <c r="D21" s="1"/>
      <c r="E21" s="1"/>
      <c r="F21" s="11">
        <f>SUM(F18:F20)</f>
        <v>8986369</v>
      </c>
      <c r="G21" s="11">
        <f>SUM(G18:G20)</f>
        <v>7400942</v>
      </c>
      <c r="H21" s="11">
        <f>SUM(H18:H20)</f>
        <v>1585427</v>
      </c>
      <c r="I21" s="2"/>
    </row>
    <row r="22" spans="1:10" ht="13.5" thickTop="1" x14ac:dyDescent="0.2">
      <c r="A22" s="2"/>
      <c r="B22" s="1"/>
      <c r="C22" s="1"/>
      <c r="D22" s="1"/>
      <c r="E22" s="1"/>
      <c r="F22" s="1"/>
      <c r="G22" s="1"/>
      <c r="H22" s="1"/>
      <c r="I22" s="1"/>
    </row>
    <row r="23" spans="1:10" ht="13.5" thickBot="1" x14ac:dyDescent="0.25">
      <c r="A23" s="2">
        <v>12</v>
      </c>
      <c r="B23" s="1"/>
      <c r="C23" s="1" t="s">
        <v>114</v>
      </c>
      <c r="D23" s="1"/>
      <c r="E23" s="1"/>
      <c r="F23" s="32">
        <f>G23+H23</f>
        <v>1</v>
      </c>
      <c r="G23" s="32">
        <f>ROUND(+G21/F21,5)</f>
        <v>0.82357000000000002</v>
      </c>
      <c r="H23" s="32">
        <f>ROUND(+H21/F21,5)</f>
        <v>0.17643</v>
      </c>
      <c r="I23" s="3"/>
    </row>
    <row r="24" spans="1:10" ht="13.5" thickTop="1" x14ac:dyDescent="0.2">
      <c r="A24" s="2"/>
      <c r="B24" s="1"/>
      <c r="C24" s="1"/>
      <c r="D24" s="1"/>
      <c r="E24" s="1"/>
      <c r="F24" s="1"/>
      <c r="G24" s="1"/>
      <c r="H24" s="1"/>
      <c r="I24" s="1"/>
    </row>
    <row r="25" spans="1:10" ht="13.5" thickBot="1" x14ac:dyDescent="0.25">
      <c r="A25" s="2">
        <v>13</v>
      </c>
      <c r="B25" s="1"/>
      <c r="C25" s="1" t="s">
        <v>115</v>
      </c>
      <c r="D25" s="1"/>
      <c r="E25" s="1"/>
      <c r="F25" s="32">
        <f>G25+H25</f>
        <v>1</v>
      </c>
      <c r="G25" s="32">
        <f>ROUND(+G20/F20,5)</f>
        <v>0.77368000000000003</v>
      </c>
      <c r="H25" s="32">
        <f>ROUND(+H20/F20,5)</f>
        <v>0.22631999999999999</v>
      </c>
      <c r="I25" s="3"/>
    </row>
    <row r="26" spans="1:10" ht="13.5" thickTop="1" x14ac:dyDescent="0.2">
      <c r="A26" s="2"/>
      <c r="B26" s="1"/>
      <c r="C26" s="1"/>
      <c r="D26" s="1"/>
      <c r="E26" s="1"/>
      <c r="F26" s="2"/>
      <c r="G26" s="2"/>
      <c r="H26" s="2"/>
      <c r="I26" s="2"/>
    </row>
    <row r="27" spans="1:10" x14ac:dyDescent="0.2">
      <c r="A27" s="2">
        <v>14</v>
      </c>
      <c r="B27" s="1"/>
      <c r="C27" s="1" t="s">
        <v>116</v>
      </c>
      <c r="D27" s="1"/>
      <c r="E27" s="1"/>
      <c r="F27" s="2"/>
      <c r="G27" s="2"/>
      <c r="H27" s="2"/>
      <c r="I27" s="2"/>
    </row>
    <row r="28" spans="1:10" x14ac:dyDescent="0.2">
      <c r="A28" s="2">
        <v>15</v>
      </c>
      <c r="B28" s="1"/>
      <c r="C28" s="1" t="s">
        <v>176</v>
      </c>
      <c r="D28" s="1"/>
      <c r="E28" s="1"/>
      <c r="F28" s="2">
        <f>G28+H28</f>
        <v>0</v>
      </c>
      <c r="G28" s="4">
        <v>0</v>
      </c>
      <c r="H28" s="4">
        <v>0</v>
      </c>
      <c r="I28" s="2"/>
    </row>
    <row r="29" spans="1:10" x14ac:dyDescent="0.2">
      <c r="A29" s="2">
        <v>16</v>
      </c>
      <c r="B29" s="1"/>
      <c r="C29" s="1" t="s">
        <v>117</v>
      </c>
      <c r="D29" s="1"/>
      <c r="E29" s="1"/>
      <c r="F29" s="2">
        <f>G29+H29</f>
        <v>0</v>
      </c>
      <c r="G29" s="4">
        <v>0</v>
      </c>
      <c r="H29" s="4">
        <v>0</v>
      </c>
      <c r="I29" s="2"/>
    </row>
    <row r="30" spans="1:10" x14ac:dyDescent="0.2">
      <c r="A30" s="2">
        <v>17</v>
      </c>
      <c r="B30" s="1"/>
      <c r="C30" s="1" t="s">
        <v>118</v>
      </c>
      <c r="D30" s="1"/>
      <c r="E30" s="1"/>
      <c r="F30" s="2">
        <f>G30+H30</f>
        <v>199959275</v>
      </c>
      <c r="G30" s="4">
        <v>131686420</v>
      </c>
      <c r="H30" s="4">
        <v>68272855</v>
      </c>
      <c r="I30" s="48">
        <f>+F30+J30-'UtilityAccDep-2016'!E34</f>
        <v>0</v>
      </c>
      <c r="J30" s="4">
        <v>1671855</v>
      </c>
    </row>
    <row r="31" spans="1:10" x14ac:dyDescent="0.2">
      <c r="A31" s="2">
        <v>18</v>
      </c>
      <c r="B31" s="1"/>
      <c r="C31" s="1" t="s">
        <v>119</v>
      </c>
      <c r="D31" s="1"/>
      <c r="E31" s="1"/>
      <c r="F31" s="42">
        <f>+'UtilityAccDep-2016'!E37</f>
        <v>9267937</v>
      </c>
      <c r="G31" s="2">
        <f>ROUND(F31*G23,0)</f>
        <v>7632795</v>
      </c>
      <c r="H31" s="2">
        <f>F31-G31</f>
        <v>1635142</v>
      </c>
      <c r="I31" s="2"/>
    </row>
    <row r="32" spans="1:10" x14ac:dyDescent="0.2">
      <c r="A32" s="2">
        <v>19</v>
      </c>
      <c r="B32" s="1"/>
      <c r="C32" s="1" t="s">
        <v>120</v>
      </c>
      <c r="D32" s="1"/>
      <c r="E32" s="1"/>
      <c r="F32" s="42">
        <f>+'UtilityAccDep-2016'!E38</f>
        <v>0</v>
      </c>
      <c r="G32" s="2">
        <f>ROUND(F32*G25,0)</f>
        <v>0</v>
      </c>
      <c r="H32" s="2">
        <f>F32-G32</f>
        <v>0</v>
      </c>
      <c r="I32" s="2"/>
    </row>
    <row r="33" spans="1:11" x14ac:dyDescent="0.2">
      <c r="A33" s="2">
        <v>20</v>
      </c>
      <c r="B33" s="1"/>
      <c r="C33" s="1" t="s">
        <v>107</v>
      </c>
      <c r="D33" s="1"/>
      <c r="E33" s="1"/>
      <c r="F33" s="31">
        <f>SUM(F28:F32)</f>
        <v>209227212</v>
      </c>
      <c r="G33" s="31">
        <f>SUM(G28:G32)</f>
        <v>139319215</v>
      </c>
      <c r="H33" s="31">
        <f>SUM(H28:H32)</f>
        <v>69907997</v>
      </c>
      <c r="I33" s="2"/>
      <c r="J33" s="31">
        <f>SUM(J28:J32)</f>
        <v>1671855</v>
      </c>
    </row>
    <row r="34" spans="1:11" x14ac:dyDescent="0.2">
      <c r="A34" s="2"/>
      <c r="B34" s="1"/>
      <c r="C34" s="1"/>
      <c r="D34" s="1"/>
      <c r="E34" s="1"/>
      <c r="F34" s="2"/>
      <c r="G34" s="2"/>
      <c r="H34" s="2"/>
      <c r="I34" s="2"/>
    </row>
    <row r="35" spans="1:11" x14ac:dyDescent="0.2">
      <c r="A35" s="2">
        <v>21</v>
      </c>
      <c r="B35" s="1"/>
      <c r="C35" s="1" t="s">
        <v>121</v>
      </c>
      <c r="D35" s="1"/>
      <c r="E35" s="1"/>
      <c r="F35" s="2">
        <f>F14-F33</f>
        <v>424422102</v>
      </c>
      <c r="G35" s="2">
        <f>G14-G33</f>
        <v>284568406</v>
      </c>
      <c r="H35" s="2">
        <f>H14-H33</f>
        <v>139853696</v>
      </c>
      <c r="I35" s="2"/>
    </row>
    <row r="36" spans="1:11" x14ac:dyDescent="0.2">
      <c r="A36" s="2"/>
      <c r="B36" s="1"/>
      <c r="C36" s="1"/>
      <c r="D36" s="1"/>
      <c r="E36" s="1"/>
      <c r="F36" s="2"/>
      <c r="G36" s="2"/>
      <c r="H36" s="2"/>
      <c r="I36" s="2"/>
    </row>
    <row r="37" spans="1:11" x14ac:dyDescent="0.2">
      <c r="A37" s="2">
        <v>22</v>
      </c>
      <c r="B37" s="1"/>
      <c r="C37" s="1" t="s">
        <v>122</v>
      </c>
      <c r="D37" s="1"/>
      <c r="E37" s="1"/>
      <c r="F37" s="2"/>
      <c r="G37" s="2"/>
      <c r="H37" s="2"/>
      <c r="I37" s="2"/>
    </row>
    <row r="38" spans="1:11" x14ac:dyDescent="0.2">
      <c r="A38" s="2">
        <v>23</v>
      </c>
      <c r="B38" s="1"/>
      <c r="C38" s="1" t="s">
        <v>123</v>
      </c>
      <c r="D38" s="1"/>
      <c r="E38" s="1"/>
      <c r="F38" s="2">
        <f>G38+H38</f>
        <v>27322787</v>
      </c>
      <c r="G38" s="2">
        <f>'GasPlt-2016'!E39</f>
        <v>13262161</v>
      </c>
      <c r="H38" s="2">
        <f>'GasPlt-2016'!F39</f>
        <v>14060626</v>
      </c>
      <c r="I38" s="1"/>
    </row>
    <row r="39" spans="1:11" x14ac:dyDescent="0.2">
      <c r="A39" s="2">
        <v>24</v>
      </c>
      <c r="B39" s="1"/>
      <c r="C39" s="1" t="s">
        <v>220</v>
      </c>
      <c r="D39" s="1"/>
      <c r="E39" s="1"/>
      <c r="F39" s="3">
        <f>'UtilityNetPlt-2016'!E34</f>
        <v>0.22192000000000001</v>
      </c>
      <c r="G39" s="3">
        <f>F39</f>
        <v>0.22192000000000001</v>
      </c>
      <c r="H39" s="3">
        <f>G39</f>
        <v>0.22192000000000001</v>
      </c>
      <c r="I39" s="3"/>
    </row>
    <row r="40" spans="1:11" x14ac:dyDescent="0.2">
      <c r="A40" s="2">
        <v>25</v>
      </c>
      <c r="B40" s="1"/>
      <c r="C40" s="1" t="s">
        <v>124</v>
      </c>
      <c r="D40" s="1"/>
      <c r="E40" s="1"/>
      <c r="F40" s="18">
        <f>G40+H40</f>
        <v>6063473</v>
      </c>
      <c r="G40" s="18">
        <f>ROUND(G38*G39,0)</f>
        <v>2943139</v>
      </c>
      <c r="H40" s="18">
        <f>ROUND(H38*H39,0)</f>
        <v>3120334</v>
      </c>
      <c r="I40" s="2"/>
    </row>
    <row r="41" spans="1:11" x14ac:dyDescent="0.2">
      <c r="A41" s="2">
        <v>26</v>
      </c>
      <c r="B41" s="1"/>
      <c r="C41" s="1" t="s">
        <v>341</v>
      </c>
      <c r="D41" s="1"/>
      <c r="E41" s="1"/>
      <c r="F41" s="14">
        <f>G41+H41</f>
        <v>2266972</v>
      </c>
      <c r="G41" s="14">
        <f>G55</f>
        <v>1100364</v>
      </c>
      <c r="H41" s="14">
        <f>H55</f>
        <v>1166608</v>
      </c>
      <c r="I41" s="2"/>
    </row>
    <row r="42" spans="1:11" x14ac:dyDescent="0.2">
      <c r="A42" s="2">
        <v>27</v>
      </c>
      <c r="B42" s="1"/>
      <c r="C42" s="1" t="s">
        <v>125</v>
      </c>
      <c r="D42" s="1"/>
      <c r="E42" s="1"/>
      <c r="F42" s="2">
        <f>F40-F41</f>
        <v>3796501</v>
      </c>
      <c r="G42" s="2">
        <f>G40-G41</f>
        <v>1842775</v>
      </c>
      <c r="H42" s="2">
        <f>H40-H41</f>
        <v>1953726</v>
      </c>
      <c r="I42" s="2"/>
    </row>
    <row r="43" spans="1:11" x14ac:dyDescent="0.2">
      <c r="A43" s="2"/>
      <c r="B43" s="1"/>
      <c r="C43" s="1"/>
      <c r="D43" s="1"/>
      <c r="E43" s="1"/>
      <c r="F43" s="2"/>
      <c r="G43" s="2"/>
      <c r="H43" s="2"/>
      <c r="I43" s="2"/>
    </row>
    <row r="44" spans="1:11" ht="13.5" thickBot="1" x14ac:dyDescent="0.25">
      <c r="A44" s="2">
        <v>28</v>
      </c>
      <c r="B44" s="1"/>
      <c r="C44" s="1" t="s">
        <v>126</v>
      </c>
      <c r="D44" s="1"/>
      <c r="E44" s="1"/>
      <c r="F44" s="11">
        <f>F35+F42</f>
        <v>428218603</v>
      </c>
      <c r="G44" s="11">
        <f>G35+G42</f>
        <v>286411181</v>
      </c>
      <c r="H44" s="11">
        <f>H35+H42</f>
        <v>141807422</v>
      </c>
      <c r="I44" s="2"/>
    </row>
    <row r="45" spans="1:11" ht="13.5" thickTop="1" x14ac:dyDescent="0.2">
      <c r="A45" s="2"/>
      <c r="B45" s="1"/>
      <c r="C45" s="1"/>
      <c r="D45" s="1"/>
      <c r="E45" s="1"/>
      <c r="F45" s="2"/>
      <c r="G45" s="2"/>
      <c r="H45" s="2"/>
      <c r="I45" s="2"/>
    </row>
    <row r="46" spans="1:11" ht="13.5" thickBot="1" x14ac:dyDescent="0.25">
      <c r="A46" s="2">
        <v>29</v>
      </c>
      <c r="B46" s="1"/>
      <c r="C46" s="1" t="s">
        <v>127</v>
      </c>
      <c r="D46" s="1"/>
      <c r="E46" s="1"/>
      <c r="F46" s="13">
        <f>'UtilityNetPlt-2016'!G18-'UtilityNetPlt-2016'!G12</f>
        <v>55214501</v>
      </c>
      <c r="G46" s="13">
        <f>'GasPlt-2016'!E39</f>
        <v>13262161</v>
      </c>
      <c r="H46" s="13">
        <f>'GasPlt-2016'!F39</f>
        <v>14060626</v>
      </c>
      <c r="I46" s="13">
        <f>'GasPlt-2016'!G39</f>
        <v>27891714</v>
      </c>
      <c r="J46" s="95">
        <f>SUM(G46:I46)</f>
        <v>55214501</v>
      </c>
      <c r="K46" s="96">
        <f>F46-J46</f>
        <v>0</v>
      </c>
    </row>
    <row r="47" spans="1:11" ht="13.5" thickTop="1" x14ac:dyDescent="0.2">
      <c r="A47" s="2"/>
      <c r="B47" s="1"/>
      <c r="C47" s="1"/>
      <c r="D47" s="1"/>
      <c r="E47" s="1"/>
      <c r="F47" s="1"/>
      <c r="G47" s="1"/>
      <c r="H47" s="1"/>
      <c r="I47" s="1"/>
    </row>
    <row r="48" spans="1:11" ht="13.5" thickBot="1" x14ac:dyDescent="0.25">
      <c r="A48" s="2">
        <v>30</v>
      </c>
      <c r="B48" s="1"/>
      <c r="C48" s="1" t="s">
        <v>128</v>
      </c>
      <c r="D48" s="1"/>
      <c r="E48" s="1"/>
      <c r="F48" s="32">
        <f>IF(+G48+H48+I48=1,G48+H48+I48,"ERROR")</f>
        <v>0.99999999999999989</v>
      </c>
      <c r="G48" s="32">
        <f>ROUND(+G46/F46,5)</f>
        <v>0.24018999999999999</v>
      </c>
      <c r="H48" s="32">
        <f>ROUND(+H46/F46,5)</f>
        <v>0.25464999999999999</v>
      </c>
      <c r="I48" s="33">
        <f>ROUND(+I46/F46,5)+0.00001</f>
        <v>0.50515999999999994</v>
      </c>
      <c r="J48">
        <f>+I48+H48+G48-F48</f>
        <v>0</v>
      </c>
    </row>
    <row r="49" spans="1:9" ht="13.5" thickTop="1" x14ac:dyDescent="0.2">
      <c r="A49" s="2"/>
      <c r="B49" s="1"/>
      <c r="C49" s="1"/>
      <c r="D49" s="1"/>
      <c r="E49" s="1"/>
      <c r="F49" s="2"/>
      <c r="G49" s="2"/>
      <c r="H49" s="2"/>
      <c r="I49" s="2"/>
    </row>
    <row r="50" spans="1:9" x14ac:dyDescent="0.2">
      <c r="A50" s="2">
        <v>31</v>
      </c>
      <c r="B50" s="1"/>
      <c r="C50" s="1" t="s">
        <v>129</v>
      </c>
      <c r="D50" s="1"/>
      <c r="E50" s="1"/>
      <c r="F50" s="1"/>
      <c r="G50" s="1"/>
      <c r="H50" s="1"/>
      <c r="I50" s="1"/>
    </row>
    <row r="51" spans="1:9" x14ac:dyDescent="0.2">
      <c r="A51" s="2">
        <v>32</v>
      </c>
      <c r="B51" s="1"/>
      <c r="C51" s="1" t="s">
        <v>130</v>
      </c>
      <c r="D51" s="1"/>
      <c r="E51" s="1"/>
      <c r="F51" s="42">
        <f>+'UtilityAccDep-2016'!I37</f>
        <v>20643579</v>
      </c>
      <c r="G51" s="2">
        <f>ROUND(G48*F51,0)</f>
        <v>4958381</v>
      </c>
      <c r="H51" s="2">
        <f>ROUND(H48*F51,0)</f>
        <v>5256887</v>
      </c>
      <c r="I51" s="2">
        <f>F51-G51-H51</f>
        <v>10428311</v>
      </c>
    </row>
    <row r="52" spans="1:9" x14ac:dyDescent="0.2">
      <c r="A52" s="2">
        <v>33</v>
      </c>
      <c r="B52" s="1"/>
      <c r="C52" s="1" t="s">
        <v>131</v>
      </c>
      <c r="D52" s="1"/>
      <c r="E52" s="1"/>
      <c r="F52" s="42">
        <f>+'UtilityAccDep-2016'!I38</f>
        <v>0</v>
      </c>
      <c r="G52" s="2">
        <f>ROUND(G48*F52,0)</f>
        <v>0</v>
      </c>
      <c r="H52" s="2">
        <f>ROUND(H48*F52,0)</f>
        <v>0</v>
      </c>
      <c r="I52" s="2">
        <f>F52-G52-H52</f>
        <v>0</v>
      </c>
    </row>
    <row r="53" spans="1:9" x14ac:dyDescent="0.2">
      <c r="A53" s="2">
        <v>34</v>
      </c>
      <c r="B53" s="1"/>
      <c r="C53" s="1" t="s">
        <v>132</v>
      </c>
      <c r="D53" s="1"/>
      <c r="E53" s="1"/>
      <c r="F53" s="43">
        <f>F51+F52</f>
        <v>20643579</v>
      </c>
      <c r="G53" s="43">
        <f>G51+G52</f>
        <v>4958381</v>
      </c>
      <c r="H53" s="43">
        <f>H51+H52</f>
        <v>5256887</v>
      </c>
      <c r="I53" s="43">
        <f>I51+I52</f>
        <v>10428311</v>
      </c>
    </row>
    <row r="54" spans="1:9" x14ac:dyDescent="0.2">
      <c r="A54" s="2">
        <v>35</v>
      </c>
      <c r="B54" s="1"/>
      <c r="C54" s="1" t="s">
        <v>221</v>
      </c>
      <c r="D54" s="1"/>
      <c r="E54" s="1"/>
      <c r="F54" s="34">
        <f>F39</f>
        <v>0.22192000000000001</v>
      </c>
      <c r="G54" s="34">
        <f>F54</f>
        <v>0.22192000000000001</v>
      </c>
      <c r="H54" s="34">
        <f>G54</f>
        <v>0.22192000000000001</v>
      </c>
      <c r="I54" s="34">
        <f>H54</f>
        <v>0.22192000000000001</v>
      </c>
    </row>
    <row r="55" spans="1:9" ht="13.5" thickBot="1" x14ac:dyDescent="0.25">
      <c r="A55" s="2">
        <v>36</v>
      </c>
      <c r="B55" s="1"/>
      <c r="C55" s="1" t="s">
        <v>219</v>
      </c>
      <c r="D55" s="1"/>
      <c r="E55" s="1"/>
      <c r="F55" s="13">
        <f>SUM(G55:I55)</f>
        <v>4581223</v>
      </c>
      <c r="G55" s="13">
        <f>ROUND(G53*G54,0)</f>
        <v>1100364</v>
      </c>
      <c r="H55" s="13">
        <f>ROUND(H53*H54,0)</f>
        <v>1166608</v>
      </c>
      <c r="I55" s="13">
        <f>ROUND(I53*I54,0)</f>
        <v>2314251</v>
      </c>
    </row>
    <row r="56" spans="1:9" ht="13.5" thickTop="1" x14ac:dyDescent="0.2">
      <c r="A56" s="1"/>
      <c r="B56" s="1"/>
      <c r="C56" s="1"/>
      <c r="D56" s="1"/>
      <c r="E56" s="1"/>
      <c r="F56" s="1"/>
      <c r="G56" s="1"/>
      <c r="H56" s="1"/>
      <c r="I56" s="1"/>
    </row>
  </sheetData>
  <pageMargins left="0.2" right="0.2" top="0.75" bottom="0.75" header="0.3" footer="0.3"/>
  <pageSetup scale="99" orientation="portrait" r:id="rId1"/>
  <headerFooter>
    <oddFooter>&amp;L&amp;F
&amp;A&amp;RPrepared By: Jeanne Pluth
Date: January 23, 2015</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H38"/>
  <sheetViews>
    <sheetView showZeros="0" showOutlineSymbols="0" zoomScaleNormal="100" workbookViewId="0">
      <pane xSplit="3" ySplit="8" topLeftCell="D13" activePane="bottomRight" state="frozen"/>
      <selection pane="topRight"/>
      <selection pane="bottomLeft"/>
      <selection pane="bottomRight" activeCell="E27" sqref="E27"/>
    </sheetView>
  </sheetViews>
  <sheetFormatPr defaultColWidth="9.7109375" defaultRowHeight="12.75" x14ac:dyDescent="0.2"/>
  <cols>
    <col min="1" max="1" width="9.7109375" customWidth="1"/>
    <col min="2" max="3" width="16.7109375" customWidth="1"/>
    <col min="4" max="4" width="12.5703125" customWidth="1"/>
    <col min="5" max="5" width="11.42578125" bestFit="1" customWidth="1"/>
    <col min="6" max="6" width="12.7109375" customWidth="1"/>
    <col min="7" max="7" width="11.7109375" bestFit="1" customWidth="1"/>
    <col min="8" max="8" width="12.42578125" bestFit="1" customWidth="1"/>
  </cols>
  <sheetData>
    <row r="1" spans="1:8" x14ac:dyDescent="0.2">
      <c r="A1" s="1" t="str">
        <f>Notes!A1</f>
        <v>Avista Utilities</v>
      </c>
      <c r="B1" s="1"/>
      <c r="C1" s="1"/>
      <c r="D1" s="1"/>
      <c r="E1" s="1"/>
      <c r="F1" s="1"/>
      <c r="G1" s="79"/>
    </row>
    <row r="2" spans="1:8" x14ac:dyDescent="0.2">
      <c r="A2" s="1" t="s">
        <v>137</v>
      </c>
      <c r="B2" s="1"/>
      <c r="C2" s="1"/>
      <c r="D2" s="1"/>
      <c r="E2" s="1"/>
      <c r="F2" s="1"/>
      <c r="G2" s="1"/>
    </row>
    <row r="3" spans="1:8" x14ac:dyDescent="0.2">
      <c r="A3" s="1" t="str">
        <f>Notes!A5</f>
        <v>Balances at December 31, 2016</v>
      </c>
      <c r="B3" s="1"/>
      <c r="C3" s="1"/>
      <c r="D3" s="1"/>
      <c r="E3" s="1"/>
      <c r="F3" s="1"/>
      <c r="G3" s="1"/>
    </row>
    <row r="4" spans="1:8" x14ac:dyDescent="0.2">
      <c r="A4" s="1"/>
      <c r="B4" s="1"/>
      <c r="C4" s="1"/>
      <c r="D4" s="1"/>
      <c r="E4" s="1"/>
      <c r="F4" s="1"/>
      <c r="G4" s="1"/>
    </row>
    <row r="5" spans="1:8" x14ac:dyDescent="0.2">
      <c r="A5" s="1"/>
      <c r="B5" s="1"/>
      <c r="C5" s="1"/>
      <c r="D5" s="1"/>
      <c r="E5" s="1"/>
      <c r="F5" s="1"/>
      <c r="G5" s="1"/>
    </row>
    <row r="6" spans="1:8" x14ac:dyDescent="0.2">
      <c r="D6" s="6" t="s">
        <v>2</v>
      </c>
    </row>
    <row r="7" spans="1:8" x14ac:dyDescent="0.2">
      <c r="A7" s="1"/>
      <c r="B7" s="1"/>
      <c r="C7" s="1"/>
      <c r="D7" s="6" t="s">
        <v>80</v>
      </c>
      <c r="E7" s="6" t="s">
        <v>78</v>
      </c>
      <c r="F7" s="6" t="s">
        <v>79</v>
      </c>
      <c r="G7" s="45" t="s">
        <v>40</v>
      </c>
    </row>
    <row r="8" spans="1:8" x14ac:dyDescent="0.2">
      <c r="A8" s="1"/>
      <c r="B8" s="1"/>
      <c r="C8" s="1"/>
      <c r="D8" s="6" t="s">
        <v>1</v>
      </c>
      <c r="E8" s="6" t="s">
        <v>80</v>
      </c>
      <c r="F8" s="6" t="s">
        <v>80</v>
      </c>
      <c r="G8" s="35"/>
    </row>
    <row r="9" spans="1:8" x14ac:dyDescent="0.2">
      <c r="A9" s="1" t="s">
        <v>138</v>
      </c>
      <c r="B9" s="1"/>
      <c r="C9" s="1"/>
      <c r="D9" s="1"/>
      <c r="E9" s="1"/>
      <c r="F9" s="1"/>
      <c r="G9" s="35"/>
    </row>
    <row r="10" spans="1:8" x14ac:dyDescent="0.2">
      <c r="G10" s="39"/>
    </row>
    <row r="11" spans="1:8" x14ac:dyDescent="0.2">
      <c r="A11" s="1" t="s">
        <v>139</v>
      </c>
      <c r="B11" s="1" t="s">
        <v>82</v>
      </c>
      <c r="C11" s="1"/>
      <c r="D11" s="2">
        <f t="shared" ref="D11:D20" si="0">E11+F11</f>
        <v>375890</v>
      </c>
      <c r="E11" s="4">
        <v>13611</v>
      </c>
      <c r="F11" s="4">
        <v>362279</v>
      </c>
      <c r="G11" s="46">
        <v>22774</v>
      </c>
      <c r="H11" s="48">
        <f>SUM(E11:G11)-'UtilityPlt-2016'!D29</f>
        <v>0</v>
      </c>
    </row>
    <row r="12" spans="1:8" x14ac:dyDescent="0.2">
      <c r="A12" s="1" t="s">
        <v>140</v>
      </c>
      <c r="B12" s="1" t="s">
        <v>83</v>
      </c>
      <c r="C12" s="1"/>
      <c r="D12" s="2">
        <f t="shared" si="0"/>
        <v>3468506</v>
      </c>
      <c r="E12" s="4">
        <v>1052423</v>
      </c>
      <c r="F12" s="4">
        <v>2416083</v>
      </c>
      <c r="G12" s="46">
        <v>4626080</v>
      </c>
      <c r="H12" s="48">
        <f>SUM(E12:G12)-'UtilityPlt-2016'!D30</f>
        <v>0</v>
      </c>
    </row>
    <row r="13" spans="1:8" x14ac:dyDescent="0.2">
      <c r="A13" s="1" t="s">
        <v>141</v>
      </c>
      <c r="B13" s="1" t="s">
        <v>84</v>
      </c>
      <c r="C13" s="1"/>
      <c r="D13" s="2">
        <f t="shared" si="0"/>
        <v>2656452</v>
      </c>
      <c r="E13" s="4">
        <v>2656452</v>
      </c>
      <c r="F13" s="4">
        <v>0</v>
      </c>
      <c r="G13" s="46">
        <v>5726014</v>
      </c>
      <c r="H13" s="48">
        <f>SUM(E13:G13)-'UtilityPlt-2016'!D31</f>
        <v>0</v>
      </c>
    </row>
    <row r="14" spans="1:8" x14ac:dyDescent="0.2">
      <c r="A14" s="1" t="s">
        <v>142</v>
      </c>
      <c r="B14" s="1" t="s">
        <v>19</v>
      </c>
      <c r="C14" s="1"/>
      <c r="D14" s="2">
        <f t="shared" si="0"/>
        <v>25920958</v>
      </c>
      <c r="E14" s="4">
        <v>18262202</v>
      </c>
      <c r="F14" s="4">
        <v>7658756</v>
      </c>
      <c r="G14" s="46">
        <v>12860371</v>
      </c>
      <c r="H14" s="48">
        <f>SUM(E14:G14)-'UtilityPlt-2016'!D32</f>
        <v>0</v>
      </c>
    </row>
    <row r="15" spans="1:8" x14ac:dyDescent="0.2">
      <c r="A15" s="1" t="s">
        <v>143</v>
      </c>
      <c r="B15" s="1" t="s">
        <v>20</v>
      </c>
      <c r="C15" s="1"/>
      <c r="D15" s="2">
        <f t="shared" si="0"/>
        <v>25484</v>
      </c>
      <c r="E15" s="4">
        <v>10739</v>
      </c>
      <c r="F15" s="4">
        <v>14745</v>
      </c>
      <c r="G15" s="46">
        <v>375022</v>
      </c>
      <c r="H15" s="48">
        <f>SUM(E15:G15)-'UtilityPlt-2016'!D33</f>
        <v>0</v>
      </c>
    </row>
    <row r="16" spans="1:8" x14ac:dyDescent="0.2">
      <c r="A16" s="1" t="s">
        <v>144</v>
      </c>
      <c r="B16" s="1" t="s">
        <v>85</v>
      </c>
      <c r="C16" s="1"/>
      <c r="D16" s="2">
        <f t="shared" si="0"/>
        <v>1115343</v>
      </c>
      <c r="E16" s="4">
        <v>849600</v>
      </c>
      <c r="F16" s="4">
        <v>265743</v>
      </c>
      <c r="G16" s="46">
        <f>2850940+51258</f>
        <v>2902198</v>
      </c>
      <c r="H16" s="48">
        <f>SUM(E16:G16)-'UtilityPlt-2016'!D34</f>
        <v>0</v>
      </c>
    </row>
    <row r="17" spans="1:8" x14ac:dyDescent="0.2">
      <c r="A17" s="1" t="s">
        <v>145</v>
      </c>
      <c r="B17" s="1" t="s">
        <v>22</v>
      </c>
      <c r="C17" s="1"/>
      <c r="D17" s="2">
        <f t="shared" si="0"/>
        <v>237274</v>
      </c>
      <c r="E17" s="4">
        <v>210611</v>
      </c>
      <c r="F17" s="4">
        <v>26663</v>
      </c>
      <c r="G17" s="46">
        <v>678437</v>
      </c>
      <c r="H17" s="48">
        <f>SUM(E17:G17)-'UtilityPlt-2016'!D35</f>
        <v>0</v>
      </c>
    </row>
    <row r="18" spans="1:8" x14ac:dyDescent="0.2">
      <c r="A18" s="1" t="s">
        <v>146</v>
      </c>
      <c r="B18" s="1" t="s">
        <v>23</v>
      </c>
      <c r="C18" s="1"/>
      <c r="D18" s="2">
        <f t="shared" si="0"/>
        <v>24387946</v>
      </c>
      <c r="E18" s="4">
        <v>14805581</v>
      </c>
      <c r="F18" s="4">
        <v>9582365</v>
      </c>
      <c r="G18" s="46">
        <v>7873408</v>
      </c>
      <c r="H18" s="48">
        <f>SUM(E18:G18)-'UtilityPlt-2016'!D36</f>
        <v>0</v>
      </c>
    </row>
    <row r="19" spans="1:8" x14ac:dyDescent="0.2">
      <c r="A19" s="1" t="s">
        <v>147</v>
      </c>
      <c r="B19" s="1" t="s">
        <v>86</v>
      </c>
      <c r="C19" s="1"/>
      <c r="D19" s="2">
        <f t="shared" si="0"/>
        <v>18827742</v>
      </c>
      <c r="E19" s="4">
        <v>12650489</v>
      </c>
      <c r="F19" s="4">
        <v>6177253</v>
      </c>
      <c r="G19" s="46">
        <v>44931192</v>
      </c>
      <c r="H19" s="48">
        <f>SUM(E19:G19)-'UtilityPlt-2016'!D37</f>
        <v>0</v>
      </c>
    </row>
    <row r="20" spans="1:8" x14ac:dyDescent="0.2">
      <c r="A20" s="1" t="s">
        <v>148</v>
      </c>
      <c r="B20" s="1" t="s">
        <v>25</v>
      </c>
      <c r="C20" s="1"/>
      <c r="D20" s="2">
        <f t="shared" si="0"/>
        <v>0</v>
      </c>
      <c r="E20" s="4"/>
      <c r="F20" s="4">
        <v>0</v>
      </c>
      <c r="G20" s="46">
        <v>141145</v>
      </c>
      <c r="H20" s="48">
        <f>SUM(E20:G20)-'UtilityPlt-2016'!D38</f>
        <v>0</v>
      </c>
    </row>
    <row r="21" spans="1:8" ht="13.5" thickBot="1" x14ac:dyDescent="0.25">
      <c r="A21" s="1"/>
      <c r="B21" s="6" t="s">
        <v>1</v>
      </c>
      <c r="C21" s="1"/>
      <c r="D21" s="11">
        <f>SUM(D11:D20)</f>
        <v>77015595</v>
      </c>
      <c r="E21" s="11">
        <f>SUM(E11:E20)</f>
        <v>50511708</v>
      </c>
      <c r="F21" s="11">
        <f>SUM(F11:F20)</f>
        <v>26503887</v>
      </c>
      <c r="G21" s="41">
        <f>SUM(G11:G20)</f>
        <v>80136641</v>
      </c>
      <c r="H21" s="48">
        <f>SUM(E21:G21)-'UtilityPlt-2016'!D39</f>
        <v>0</v>
      </c>
    </row>
    <row r="22" spans="1:8" ht="13.5" thickTop="1" x14ac:dyDescent="0.2">
      <c r="A22" s="1"/>
      <c r="B22" s="1"/>
      <c r="C22" s="1"/>
      <c r="D22" s="68" t="str">
        <f>IF(+D21+G21-'UtilityPlt-2016'!D39=0," ",+'UtilityPlt-2016'!D39)</f>
        <v xml:space="preserve"> </v>
      </c>
      <c r="E22" s="1"/>
      <c r="F22" s="1"/>
      <c r="G22" s="1"/>
    </row>
    <row r="24" spans="1:8" x14ac:dyDescent="0.2">
      <c r="A24" s="1"/>
      <c r="B24" s="1"/>
      <c r="C24" s="1"/>
      <c r="D24" s="7" t="s">
        <v>1</v>
      </c>
      <c r="E24" s="7" t="s">
        <v>78</v>
      </c>
      <c r="F24" s="7" t="s">
        <v>79</v>
      </c>
      <c r="G24" s="7" t="s">
        <v>40</v>
      </c>
    </row>
    <row r="25" spans="1:8" x14ac:dyDescent="0.2">
      <c r="A25" s="1" t="s">
        <v>87</v>
      </c>
      <c r="B25" s="1"/>
      <c r="C25" s="1"/>
      <c r="D25" s="1"/>
      <c r="E25" s="6" t="s">
        <v>80</v>
      </c>
      <c r="F25" s="6" t="s">
        <v>80</v>
      </c>
      <c r="G25" s="1"/>
    </row>
    <row r="27" spans="1:8" x14ac:dyDescent="0.2">
      <c r="A27" s="1" t="s">
        <v>89</v>
      </c>
      <c r="B27" s="1" t="s">
        <v>16</v>
      </c>
      <c r="C27" s="1"/>
      <c r="D27" s="2">
        <f t="shared" ref="D27:D36" si="1">SUM(E27:G27)</f>
        <v>1633633</v>
      </c>
      <c r="E27" s="2">
        <f>'GasPlt-2016'!E29</f>
        <v>890756</v>
      </c>
      <c r="F27" s="2">
        <f>'GasPlt-2016'!F29</f>
        <v>437225</v>
      </c>
      <c r="G27" s="2">
        <f>'GasPlt-2016'!G29</f>
        <v>305652</v>
      </c>
      <c r="H27" s="48">
        <f>SUM(E27:G27)-'UtilityPlt-2016'!I29</f>
        <v>0</v>
      </c>
    </row>
    <row r="28" spans="1:8" x14ac:dyDescent="0.2">
      <c r="A28" s="1" t="s">
        <v>90</v>
      </c>
      <c r="B28" s="1" t="s">
        <v>17</v>
      </c>
      <c r="C28" s="1"/>
      <c r="D28" s="2">
        <f t="shared" si="1"/>
        <v>24949267</v>
      </c>
      <c r="E28" s="2">
        <f>'GasPlt-2016'!E30</f>
        <v>7117905</v>
      </c>
      <c r="F28" s="2">
        <f>'GasPlt-2016'!F30</f>
        <v>7166858</v>
      </c>
      <c r="G28" s="2">
        <f>'GasPlt-2016'!G30</f>
        <v>10664504</v>
      </c>
      <c r="H28" s="48">
        <f>SUM(E28:G28)-'UtilityPlt-2016'!I30</f>
        <v>0</v>
      </c>
    </row>
    <row r="29" spans="1:8" x14ac:dyDescent="0.2">
      <c r="A29" s="1" t="s">
        <v>91</v>
      </c>
      <c r="B29" s="1" t="s">
        <v>18</v>
      </c>
      <c r="C29" s="1"/>
      <c r="D29" s="2">
        <f t="shared" si="1"/>
        <v>683946</v>
      </c>
      <c r="E29" s="2">
        <f>'GasPlt-2016'!E31</f>
        <v>414017</v>
      </c>
      <c r="F29" s="2">
        <f>'GasPlt-2016'!F31</f>
        <v>85095</v>
      </c>
      <c r="G29" s="2">
        <f>'GasPlt-2016'!G31</f>
        <v>184834</v>
      </c>
      <c r="H29" s="48">
        <f>SUM(E29:G29)-'UtilityPlt-2016'!I31</f>
        <v>0</v>
      </c>
    </row>
    <row r="30" spans="1:8" x14ac:dyDescent="0.2">
      <c r="A30" s="1" t="s">
        <v>92</v>
      </c>
      <c r="B30" s="1" t="s">
        <v>19</v>
      </c>
      <c r="C30" s="1"/>
      <c r="D30" s="2">
        <f t="shared" si="1"/>
        <v>6114249</v>
      </c>
      <c r="E30" s="2">
        <f>'GasPlt-2016'!E32</f>
        <v>2583280</v>
      </c>
      <c r="F30" s="2">
        <f>'GasPlt-2016'!F32</f>
        <v>1064855</v>
      </c>
      <c r="G30" s="2">
        <f>'GasPlt-2016'!G32</f>
        <v>2466114</v>
      </c>
      <c r="H30" s="48">
        <f>SUM(E30:G30)-'UtilityPlt-2016'!I32</f>
        <v>0</v>
      </c>
    </row>
    <row r="31" spans="1:8" x14ac:dyDescent="0.2">
      <c r="A31" s="1" t="s">
        <v>93</v>
      </c>
      <c r="B31" s="1" t="s">
        <v>20</v>
      </c>
      <c r="C31" s="1"/>
      <c r="D31" s="2">
        <f t="shared" si="1"/>
        <v>4196439</v>
      </c>
      <c r="E31" s="2">
        <f>'GasPlt-2016'!E33</f>
        <v>133294</v>
      </c>
      <c r="F31" s="2">
        <f>'GasPlt-2016'!F33</f>
        <v>155294</v>
      </c>
      <c r="G31" s="2">
        <f>'GasPlt-2016'!G33</f>
        <v>3907851</v>
      </c>
      <c r="H31" s="48">
        <f>SUM(E31:G31)-'UtilityPlt-2016'!I33</f>
        <v>0</v>
      </c>
    </row>
    <row r="32" spans="1:8" x14ac:dyDescent="0.2">
      <c r="A32" s="1" t="s">
        <v>94</v>
      </c>
      <c r="B32" s="1" t="s">
        <v>21</v>
      </c>
      <c r="C32" s="1"/>
      <c r="D32" s="2">
        <f t="shared" si="1"/>
        <v>1209527</v>
      </c>
      <c r="E32" s="2">
        <f>'GasPlt-2016'!E34</f>
        <v>20894</v>
      </c>
      <c r="F32" s="2">
        <f>'GasPlt-2016'!F34</f>
        <v>972026</v>
      </c>
      <c r="G32" s="2">
        <f>'GasPlt-2016'!G34</f>
        <v>216607</v>
      </c>
      <c r="H32" s="48">
        <f>SUM(E32:G32)-'UtilityPlt-2016'!I34</f>
        <v>0</v>
      </c>
    </row>
    <row r="33" spans="1:8" x14ac:dyDescent="0.2">
      <c r="A33" s="1" t="s">
        <v>95</v>
      </c>
      <c r="B33" s="1" t="s">
        <v>22</v>
      </c>
      <c r="C33" s="1"/>
      <c r="D33" s="2">
        <f t="shared" si="1"/>
        <v>29158</v>
      </c>
      <c r="E33" s="2">
        <f>'GasPlt-2016'!E35</f>
        <v>1681</v>
      </c>
      <c r="F33" s="2">
        <f>'GasPlt-2016'!F35</f>
        <v>536</v>
      </c>
      <c r="G33" s="2">
        <f>'GasPlt-2016'!G35</f>
        <v>26941</v>
      </c>
      <c r="H33" s="48">
        <f>SUM(E33:G33)-'UtilityPlt-2016'!I35</f>
        <v>0</v>
      </c>
    </row>
    <row r="34" spans="1:8" x14ac:dyDescent="0.2">
      <c r="A34" s="1" t="s">
        <v>96</v>
      </c>
      <c r="B34" s="1" t="s">
        <v>23</v>
      </c>
      <c r="C34" s="1"/>
      <c r="D34" s="2">
        <f t="shared" si="1"/>
        <v>1265106</v>
      </c>
      <c r="E34" s="2">
        <f>'GasPlt-2016'!E36</f>
        <v>324083</v>
      </c>
      <c r="F34" s="2">
        <f>'GasPlt-2016'!F36</f>
        <v>397015</v>
      </c>
      <c r="G34" s="2">
        <f>'GasPlt-2016'!G36</f>
        <v>544008</v>
      </c>
      <c r="H34" s="48">
        <f>SUM(E34:G34)-'UtilityPlt-2016'!I36</f>
        <v>0</v>
      </c>
    </row>
    <row r="35" spans="1:8" x14ac:dyDescent="0.2">
      <c r="A35" s="1" t="s">
        <v>97</v>
      </c>
      <c r="B35" s="1" t="s">
        <v>24</v>
      </c>
      <c r="C35" s="1"/>
      <c r="D35" s="2">
        <f t="shared" si="1"/>
        <v>15123198</v>
      </c>
      <c r="E35" s="2">
        <f>'GasPlt-2016'!E37</f>
        <v>1771265</v>
      </c>
      <c r="F35" s="2">
        <f>'GasPlt-2016'!F37</f>
        <v>3781722</v>
      </c>
      <c r="G35" s="2">
        <f>'GasPlt-2016'!G37</f>
        <v>9570211</v>
      </c>
      <c r="H35" s="48">
        <f>SUM(E35:G35)-'UtilityPlt-2016'!I37</f>
        <v>0</v>
      </c>
    </row>
    <row r="36" spans="1:8" x14ac:dyDescent="0.2">
      <c r="A36" s="1" t="s">
        <v>98</v>
      </c>
      <c r="B36" s="1" t="s">
        <v>25</v>
      </c>
      <c r="C36" s="1"/>
      <c r="D36" s="14">
        <f t="shared" si="1"/>
        <v>9978</v>
      </c>
      <c r="E36" s="2">
        <f>'GasPlt-2016'!E38</f>
        <v>4986</v>
      </c>
      <c r="F36" s="2">
        <f>'GasPlt-2016'!F38</f>
        <v>0</v>
      </c>
      <c r="G36" s="2">
        <f>'GasPlt-2016'!G38</f>
        <v>4992</v>
      </c>
      <c r="H36">
        <f>SUM(E36:G36)-'UtilityPlt-2016'!I38</f>
        <v>0</v>
      </c>
    </row>
    <row r="37" spans="1:8" ht="13.5" thickBot="1" x14ac:dyDescent="0.25">
      <c r="A37" s="1"/>
      <c r="B37" s="6" t="s">
        <v>1</v>
      </c>
      <c r="C37" s="1"/>
      <c r="D37" s="11">
        <f>SUM(D27:D36)</f>
        <v>55214501</v>
      </c>
      <c r="E37" s="11">
        <f>SUM(E27:E36)</f>
        <v>13262161</v>
      </c>
      <c r="F37" s="11">
        <f>SUM(F27:F36)</f>
        <v>14060626</v>
      </c>
      <c r="G37" s="11">
        <f>SUM(G27:G36)</f>
        <v>27891714</v>
      </c>
      <c r="H37">
        <f>SUM(E37:G37)-'UtilityPlt-2016'!I39</f>
        <v>0</v>
      </c>
    </row>
    <row r="38" spans="1:8" ht="13.5" thickTop="1" x14ac:dyDescent="0.2">
      <c r="A38" s="1"/>
      <c r="B38" s="1"/>
      <c r="C38" s="1"/>
      <c r="D38" s="2" t="str">
        <f>IF(D37='UtilityPlt-2016'!I39," ","CALCULATION ERROR")</f>
        <v xml:space="preserve"> </v>
      </c>
      <c r="E38" s="2"/>
      <c r="F38" s="2"/>
      <c r="G38" s="2"/>
    </row>
  </sheetData>
  <pageMargins left="0.7" right="0.7" top="0.75" bottom="0.75" header="0.3" footer="0.3"/>
  <pageSetup orientation="portrait" r:id="rId1"/>
  <headerFooter>
    <oddFooter>&amp;L&amp;F
&amp;A&amp;RPrepared By: Jeanne Pluth
Date: January 23, 2015</oddFoot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ransitionEvaluation="1">
    <pageSetUpPr fitToPage="1"/>
  </sheetPr>
  <dimension ref="A1:J59"/>
  <sheetViews>
    <sheetView showZeros="0" showOutlineSymbols="0" zoomScaleNormal="100" workbookViewId="0">
      <pane xSplit="5" ySplit="7" topLeftCell="F33" activePane="bottomRight" state="frozen"/>
      <selection pane="topRight"/>
      <selection pane="bottomLeft"/>
      <selection pane="bottomRight" activeCell="S6" sqref="S6:S14"/>
    </sheetView>
  </sheetViews>
  <sheetFormatPr defaultColWidth="9.7109375" defaultRowHeight="12.75" x14ac:dyDescent="0.2"/>
  <cols>
    <col min="1" max="1" width="4.7109375" customWidth="1"/>
    <col min="2" max="2" width="1.7109375" customWidth="1"/>
    <col min="3" max="3" width="11.7109375" customWidth="1"/>
    <col min="4" max="4" width="12.7109375" customWidth="1"/>
    <col min="5" max="5" width="23.7109375" customWidth="1"/>
    <col min="6" max="6" width="13.7109375" customWidth="1"/>
    <col min="7" max="7" width="12.7109375" customWidth="1"/>
    <col min="8" max="8" width="11.7109375" customWidth="1"/>
    <col min="9" max="9" width="12" bestFit="1" customWidth="1"/>
    <col min="10" max="10" width="14.42578125" bestFit="1" customWidth="1"/>
  </cols>
  <sheetData>
    <row r="1" spans="1:10" x14ac:dyDescent="0.2">
      <c r="A1" s="1" t="str">
        <f>Notes!A1</f>
        <v>Avista Utilities</v>
      </c>
      <c r="B1" s="1"/>
      <c r="C1" s="1"/>
      <c r="D1" s="1"/>
      <c r="E1" s="1"/>
      <c r="F1" s="1"/>
      <c r="G1" s="1"/>
      <c r="H1" s="1"/>
      <c r="I1" s="79"/>
    </row>
    <row r="2" spans="1:10" x14ac:dyDescent="0.2">
      <c r="A2" s="6" t="s">
        <v>137</v>
      </c>
      <c r="B2" s="1"/>
      <c r="C2" s="1"/>
      <c r="D2" s="1"/>
      <c r="E2" s="1"/>
      <c r="F2" s="1"/>
      <c r="G2" s="1"/>
      <c r="H2" s="1"/>
      <c r="I2" s="1"/>
    </row>
    <row r="3" spans="1:10" x14ac:dyDescent="0.2">
      <c r="A3" s="1" t="str">
        <f>Notes!A5</f>
        <v>Balances at December 31, 2016</v>
      </c>
      <c r="B3" s="1"/>
      <c r="C3" s="1"/>
      <c r="D3" s="1"/>
      <c r="E3" s="1"/>
      <c r="F3" s="1"/>
      <c r="G3" s="1"/>
      <c r="H3" s="1"/>
      <c r="I3" s="1"/>
    </row>
    <row r="5" spans="1:10" x14ac:dyDescent="0.2">
      <c r="A5" s="1"/>
      <c r="B5" s="1"/>
      <c r="C5" s="1"/>
      <c r="D5" s="1"/>
      <c r="E5" s="1"/>
      <c r="F5" s="6" t="s">
        <v>2</v>
      </c>
      <c r="G5" s="6" t="s">
        <v>78</v>
      </c>
      <c r="H5" s="6" t="s">
        <v>79</v>
      </c>
      <c r="I5" s="7" t="s">
        <v>40</v>
      </c>
      <c r="J5" s="7" t="s">
        <v>40</v>
      </c>
    </row>
    <row r="6" spans="1:10" x14ac:dyDescent="0.2">
      <c r="A6" s="6" t="s">
        <v>99</v>
      </c>
      <c r="B6" s="1"/>
      <c r="C6" s="1"/>
      <c r="D6" s="1"/>
      <c r="E6" s="1"/>
      <c r="F6" s="6" t="s">
        <v>1</v>
      </c>
      <c r="G6" s="1"/>
      <c r="H6" s="1"/>
      <c r="I6" s="1"/>
      <c r="J6" s="6" t="s">
        <v>180</v>
      </c>
    </row>
    <row r="7" spans="1:10" x14ac:dyDescent="0.2">
      <c r="A7" s="1"/>
      <c r="B7" s="1"/>
      <c r="C7" s="1"/>
      <c r="D7" s="1"/>
      <c r="E7" s="1"/>
      <c r="F7" s="6" t="s">
        <v>100</v>
      </c>
      <c r="G7" s="6" t="s">
        <v>101</v>
      </c>
      <c r="H7" s="6" t="s">
        <v>102</v>
      </c>
      <c r="I7" s="6" t="s">
        <v>103</v>
      </c>
      <c r="J7" s="1" t="s">
        <v>181</v>
      </c>
    </row>
    <row r="8" spans="1:10" x14ac:dyDescent="0.2">
      <c r="A8" s="2">
        <v>1</v>
      </c>
      <c r="B8" s="1"/>
      <c r="C8" s="1" t="s">
        <v>149</v>
      </c>
      <c r="D8" s="1"/>
      <c r="E8" s="1"/>
      <c r="F8" s="1"/>
      <c r="G8" s="1"/>
      <c r="H8" s="1"/>
      <c r="I8" s="1"/>
    </row>
    <row r="9" spans="1:10" x14ac:dyDescent="0.2">
      <c r="A9" s="2">
        <v>2</v>
      </c>
      <c r="B9" s="1"/>
      <c r="C9" s="1" t="s">
        <v>286</v>
      </c>
      <c r="D9" s="1"/>
      <c r="E9" s="1"/>
      <c r="F9" s="2">
        <f t="shared" ref="F9:F16" si="0">G9+H9</f>
        <v>602704</v>
      </c>
      <c r="G9" s="4">
        <v>602704</v>
      </c>
      <c r="H9" s="4">
        <v>0</v>
      </c>
      <c r="I9" s="4"/>
      <c r="J9" s="48"/>
    </row>
    <row r="10" spans="1:10" x14ac:dyDescent="0.2">
      <c r="A10" s="2">
        <v>3</v>
      </c>
      <c r="B10" s="1"/>
      <c r="C10" s="1" t="s">
        <v>282</v>
      </c>
      <c r="D10" s="1"/>
      <c r="E10" s="1"/>
      <c r="F10" s="2">
        <f t="shared" si="0"/>
        <v>335477</v>
      </c>
      <c r="G10" s="4">
        <v>335477</v>
      </c>
      <c r="H10" s="4"/>
      <c r="I10" s="4"/>
      <c r="J10" s="48"/>
    </row>
    <row r="11" spans="1:10" x14ac:dyDescent="0.2">
      <c r="A11" s="2">
        <v>4</v>
      </c>
      <c r="B11" s="1"/>
      <c r="C11" s="1" t="s">
        <v>283</v>
      </c>
      <c r="D11" s="1"/>
      <c r="E11" s="1"/>
      <c r="F11" s="2">
        <f t="shared" si="0"/>
        <v>4310911</v>
      </c>
      <c r="G11" s="4">
        <v>4212292</v>
      </c>
      <c r="H11" s="4">
        <v>98619</v>
      </c>
      <c r="I11" s="4"/>
      <c r="J11" s="48"/>
    </row>
    <row r="12" spans="1:10" x14ac:dyDescent="0.2">
      <c r="A12" s="2">
        <v>5</v>
      </c>
      <c r="B12" s="1"/>
      <c r="C12" s="1" t="s">
        <v>284</v>
      </c>
      <c r="D12" s="1"/>
      <c r="E12" s="1"/>
      <c r="F12" s="2">
        <f t="shared" si="0"/>
        <v>0</v>
      </c>
      <c r="G12" s="4"/>
      <c r="H12" s="4"/>
      <c r="I12" s="4"/>
      <c r="J12" s="48"/>
    </row>
    <row r="13" spans="1:10" x14ac:dyDescent="0.2">
      <c r="A13" s="2">
        <v>6</v>
      </c>
      <c r="B13" s="1"/>
      <c r="C13" s="1" t="s">
        <v>150</v>
      </c>
      <c r="D13" s="1"/>
      <c r="E13" s="1"/>
      <c r="F13" s="2">
        <f t="shared" si="0"/>
        <v>0</v>
      </c>
      <c r="G13" s="1"/>
      <c r="H13" s="1"/>
      <c r="I13" s="1"/>
    </row>
    <row r="14" spans="1:10" x14ac:dyDescent="0.2">
      <c r="A14" s="2">
        <v>7</v>
      </c>
      <c r="B14" s="1"/>
      <c r="C14" s="1" t="s">
        <v>151</v>
      </c>
      <c r="D14" s="1"/>
      <c r="E14" s="1"/>
      <c r="F14" s="2">
        <f t="shared" si="0"/>
        <v>0</v>
      </c>
      <c r="G14" s="1"/>
      <c r="H14" s="1"/>
      <c r="I14" s="1"/>
    </row>
    <row r="15" spans="1:10" x14ac:dyDescent="0.2">
      <c r="A15" s="2">
        <v>8</v>
      </c>
      <c r="B15" s="1"/>
      <c r="C15" s="1" t="s">
        <v>106</v>
      </c>
      <c r="D15" s="1"/>
      <c r="E15" s="1"/>
      <c r="F15" s="2">
        <f t="shared" si="0"/>
        <v>1548678467</v>
      </c>
      <c r="G15" s="4">
        <v>1004420324</v>
      </c>
      <c r="H15" s="4">
        <v>544258143</v>
      </c>
      <c r="I15" s="2">
        <f>+F15-'UtilityPlt-2016'!D25+J15</f>
        <v>0</v>
      </c>
      <c r="J15" s="133">
        <v>2127322</v>
      </c>
    </row>
    <row r="16" spans="1:10" x14ac:dyDescent="0.2">
      <c r="A16" s="2">
        <v>9</v>
      </c>
      <c r="B16" s="1"/>
      <c r="C16" s="1" t="s">
        <v>152</v>
      </c>
      <c r="D16" s="1"/>
      <c r="E16" s="1"/>
      <c r="F16" s="2">
        <f t="shared" si="0"/>
        <v>77015595</v>
      </c>
      <c r="G16" s="2">
        <f>'ElecPlt-2016'!E21</f>
        <v>50511708</v>
      </c>
      <c r="H16" s="2">
        <f>'ElecPlt-2016'!F21</f>
        <v>26503887</v>
      </c>
      <c r="I16" s="2"/>
    </row>
    <row r="17" spans="1:9" x14ac:dyDescent="0.2">
      <c r="A17" s="2">
        <v>10</v>
      </c>
      <c r="B17" s="1"/>
      <c r="C17" s="1" t="s">
        <v>107</v>
      </c>
      <c r="D17" s="1"/>
      <c r="E17" s="1"/>
      <c r="F17" s="31">
        <f>SUM(F9:F16)</f>
        <v>1630943154</v>
      </c>
      <c r="G17" s="31">
        <f>SUM(G9:G16)</f>
        <v>1060082505</v>
      </c>
      <c r="H17" s="31">
        <f>SUM(H9:H16)</f>
        <v>570860649</v>
      </c>
      <c r="I17" s="2"/>
    </row>
    <row r="18" spans="1:9" x14ac:dyDescent="0.2">
      <c r="A18" s="2"/>
      <c r="B18" s="1"/>
      <c r="C18" s="1"/>
      <c r="D18" s="1"/>
      <c r="E18" s="1"/>
      <c r="F18" s="2"/>
      <c r="G18" s="2"/>
      <c r="H18" s="2"/>
      <c r="I18" s="2"/>
    </row>
    <row r="19" spans="1:9" x14ac:dyDescent="0.2">
      <c r="A19" s="2">
        <v>11</v>
      </c>
      <c r="B19" s="1"/>
      <c r="C19" s="1" t="s">
        <v>153</v>
      </c>
      <c r="D19" s="1"/>
      <c r="E19" s="1"/>
      <c r="F19" s="2"/>
      <c r="G19" s="2"/>
      <c r="H19" s="2"/>
      <c r="I19" s="2"/>
    </row>
    <row r="20" spans="1:9" x14ac:dyDescent="0.2">
      <c r="A20" s="2">
        <v>12</v>
      </c>
      <c r="B20" s="1"/>
      <c r="C20" s="1" t="s">
        <v>109</v>
      </c>
      <c r="D20" s="1"/>
      <c r="E20" s="1"/>
      <c r="F20" s="1"/>
      <c r="G20" s="1"/>
      <c r="H20" s="1"/>
      <c r="I20" s="1"/>
    </row>
    <row r="21" spans="1:9" x14ac:dyDescent="0.2">
      <c r="A21" s="2">
        <v>13</v>
      </c>
      <c r="B21" s="1"/>
      <c r="C21" s="1" t="s">
        <v>154</v>
      </c>
      <c r="D21" s="1"/>
      <c r="E21" s="1"/>
      <c r="F21" s="2">
        <f>G21+H21</f>
        <v>77015595</v>
      </c>
      <c r="G21" s="2">
        <f>G16</f>
        <v>50511708</v>
      </c>
      <c r="H21" s="2">
        <f>H16</f>
        <v>26503887</v>
      </c>
      <c r="I21" s="2"/>
    </row>
    <row r="22" spans="1:9" x14ac:dyDescent="0.2">
      <c r="A22" s="2">
        <v>14</v>
      </c>
      <c r="B22" s="1"/>
      <c r="C22" s="1" t="s">
        <v>111</v>
      </c>
      <c r="D22" s="1"/>
      <c r="E22" s="1"/>
      <c r="F22" s="2">
        <f>G22+H22</f>
        <v>-375890</v>
      </c>
      <c r="G22" s="2">
        <f>-'ElecPlt-2016'!E11</f>
        <v>-13611</v>
      </c>
      <c r="H22" s="2">
        <f>-'ElecPlt-2016'!F11</f>
        <v>-362279</v>
      </c>
      <c r="I22" s="2"/>
    </row>
    <row r="23" spans="1:9" x14ac:dyDescent="0.2">
      <c r="A23" s="2">
        <v>15</v>
      </c>
      <c r="B23" s="1"/>
      <c r="C23" s="1" t="s">
        <v>112</v>
      </c>
      <c r="D23" s="1"/>
      <c r="E23" s="1"/>
      <c r="F23" s="2">
        <f>G23+H23</f>
        <v>-25920958</v>
      </c>
      <c r="G23" s="2">
        <f>-'ElecPlt-2016'!E14</f>
        <v>-18262202</v>
      </c>
      <c r="H23" s="2">
        <f>-'ElecPlt-2016'!F14</f>
        <v>-7658756</v>
      </c>
      <c r="I23" s="2"/>
    </row>
    <row r="24" spans="1:9" ht="13.5" thickBot="1" x14ac:dyDescent="0.25">
      <c r="A24" s="2">
        <v>16</v>
      </c>
      <c r="B24" s="1"/>
      <c r="C24" s="1" t="s">
        <v>113</v>
      </c>
      <c r="D24" s="1"/>
      <c r="E24" s="1"/>
      <c r="F24" s="11">
        <f>SUM(F21:F23)</f>
        <v>50718747</v>
      </c>
      <c r="G24" s="11">
        <f>SUM(G21:G23)</f>
        <v>32235895</v>
      </c>
      <c r="H24" s="11">
        <f>SUM(H21:H23)</f>
        <v>18482852</v>
      </c>
      <c r="I24" s="2"/>
    </row>
    <row r="25" spans="1:9" ht="13.5" thickTop="1" x14ac:dyDescent="0.2">
      <c r="A25" s="2"/>
      <c r="B25" s="1"/>
      <c r="C25" s="1"/>
      <c r="D25" s="1"/>
      <c r="E25" s="1"/>
      <c r="F25" s="1"/>
      <c r="G25" s="1"/>
      <c r="H25" s="1"/>
      <c r="I25" s="1"/>
    </row>
    <row r="26" spans="1:9" ht="13.5" thickBot="1" x14ac:dyDescent="0.25">
      <c r="A26" s="2">
        <v>17</v>
      </c>
      <c r="B26" s="1"/>
      <c r="C26" s="1" t="s">
        <v>155</v>
      </c>
      <c r="D26" s="1"/>
      <c r="E26" s="1"/>
      <c r="F26" s="32">
        <f>G26+H26</f>
        <v>1</v>
      </c>
      <c r="G26" s="32">
        <f>ROUND(+G24/F24,5)</f>
        <v>0.63558000000000003</v>
      </c>
      <c r="H26" s="32">
        <f>ROUND(+H24/F24,5)</f>
        <v>0.36442000000000002</v>
      </c>
      <c r="I26" s="3"/>
    </row>
    <row r="27" spans="1:9" ht="13.5" thickTop="1" x14ac:dyDescent="0.2">
      <c r="A27" s="2"/>
      <c r="B27" s="1"/>
      <c r="C27" s="1"/>
      <c r="D27" s="1"/>
      <c r="E27" s="1"/>
      <c r="F27" s="1"/>
      <c r="G27" s="1"/>
      <c r="H27" s="1"/>
      <c r="I27" s="1"/>
    </row>
    <row r="28" spans="1:9" ht="13.5" thickBot="1" x14ac:dyDescent="0.25">
      <c r="A28" s="2">
        <v>18</v>
      </c>
      <c r="B28" s="1"/>
      <c r="C28" s="1" t="s">
        <v>156</v>
      </c>
      <c r="D28" s="1"/>
      <c r="E28" s="1"/>
      <c r="F28" s="32">
        <f>G28+H28</f>
        <v>1</v>
      </c>
      <c r="G28" s="32">
        <f>ROUND(+G23/F23,5)</f>
        <v>0.70452999999999999</v>
      </c>
      <c r="H28" s="32">
        <f>ROUND(+H23/F23,5)</f>
        <v>0.29547000000000001</v>
      </c>
      <c r="I28" s="3"/>
    </row>
    <row r="29" spans="1:9" ht="13.5" thickTop="1" x14ac:dyDescent="0.2">
      <c r="B29" s="1"/>
      <c r="C29" s="1"/>
      <c r="D29" s="1"/>
      <c r="E29" s="1"/>
      <c r="F29" s="2"/>
      <c r="G29" s="2"/>
      <c r="H29" s="2"/>
      <c r="I29" s="2"/>
    </row>
    <row r="30" spans="1:9" x14ac:dyDescent="0.2">
      <c r="A30" s="2">
        <v>19</v>
      </c>
      <c r="B30" s="1"/>
      <c r="C30" s="1" t="s">
        <v>157</v>
      </c>
      <c r="D30" s="1"/>
      <c r="E30" s="1"/>
      <c r="F30" s="2"/>
      <c r="G30" s="2"/>
      <c r="H30" s="2"/>
      <c r="I30" s="2"/>
    </row>
    <row r="31" spans="1:9" x14ac:dyDescent="0.2">
      <c r="A31" s="2">
        <v>20</v>
      </c>
      <c r="B31" s="1"/>
      <c r="C31" s="1" t="s">
        <v>287</v>
      </c>
      <c r="D31" s="1"/>
      <c r="E31" s="1"/>
      <c r="F31" s="2">
        <f>G31+H31</f>
        <v>203800</v>
      </c>
      <c r="G31" s="4">
        <v>203800</v>
      </c>
      <c r="H31" s="4">
        <v>0</v>
      </c>
      <c r="I31" s="2"/>
    </row>
    <row r="32" spans="1:9" x14ac:dyDescent="0.2">
      <c r="A32" s="2">
        <v>21</v>
      </c>
      <c r="B32" s="1"/>
      <c r="C32" s="1" t="s">
        <v>176</v>
      </c>
      <c r="D32" s="1"/>
      <c r="E32" s="1"/>
      <c r="F32" s="2">
        <f>G32+H32</f>
        <v>2759407</v>
      </c>
      <c r="G32" s="4">
        <v>2695110</v>
      </c>
      <c r="H32" s="4">
        <v>64297</v>
      </c>
      <c r="I32" s="2"/>
    </row>
    <row r="33" spans="1:10" x14ac:dyDescent="0.2">
      <c r="A33" s="2">
        <v>22</v>
      </c>
      <c r="B33" s="1"/>
      <c r="C33" s="1" t="s">
        <v>158</v>
      </c>
      <c r="D33" s="1"/>
      <c r="E33" s="1"/>
      <c r="F33" s="2">
        <f>G33+H33</f>
        <v>0</v>
      </c>
      <c r="G33" s="4">
        <v>0</v>
      </c>
      <c r="H33" s="4">
        <v>0</v>
      </c>
      <c r="I33" s="2"/>
    </row>
    <row r="34" spans="1:10" x14ac:dyDescent="0.2">
      <c r="A34" s="2">
        <v>23</v>
      </c>
      <c r="B34" s="1"/>
      <c r="C34" s="1" t="s">
        <v>159</v>
      </c>
      <c r="D34" s="1"/>
      <c r="E34" s="1"/>
      <c r="F34" s="2">
        <f>G34+H34</f>
        <v>0</v>
      </c>
      <c r="G34" s="1"/>
      <c r="H34" s="1"/>
      <c r="I34" s="1"/>
    </row>
    <row r="35" spans="1:10" x14ac:dyDescent="0.2">
      <c r="A35" s="2">
        <v>24</v>
      </c>
      <c r="B35" s="1"/>
      <c r="C35" s="1" t="s">
        <v>118</v>
      </c>
      <c r="D35" s="1"/>
      <c r="E35" s="1"/>
      <c r="F35" s="2">
        <f>G35+H35</f>
        <v>495345980</v>
      </c>
      <c r="G35" s="4">
        <v>305046582</v>
      </c>
      <c r="H35" s="4">
        <v>190299398</v>
      </c>
      <c r="I35" s="2">
        <f>+F35-'UtilityNetPlt-2016'!D27+J35</f>
        <v>0</v>
      </c>
      <c r="J35" s="48">
        <v>78128</v>
      </c>
    </row>
    <row r="36" spans="1:10" x14ac:dyDescent="0.2">
      <c r="A36" s="2">
        <v>25</v>
      </c>
      <c r="B36" s="1"/>
      <c r="C36" s="1" t="s">
        <v>160</v>
      </c>
      <c r="D36" s="1"/>
      <c r="E36" s="1"/>
      <c r="F36" s="42">
        <f>+'UtilityAccDep-2016'!D37</f>
        <v>72979443</v>
      </c>
      <c r="G36" s="2">
        <f>ROUND(F36*G26,0)</f>
        <v>46384274</v>
      </c>
      <c r="H36" s="2">
        <f>F36-G36</f>
        <v>26595169</v>
      </c>
      <c r="I36" s="2"/>
    </row>
    <row r="37" spans="1:10" x14ac:dyDescent="0.2">
      <c r="A37" s="2">
        <v>26</v>
      </c>
      <c r="B37" s="1"/>
      <c r="C37" s="1" t="s">
        <v>161</v>
      </c>
      <c r="D37" s="1"/>
      <c r="E37" s="1"/>
      <c r="F37" s="42">
        <f>+'UtilityAccDep-2016'!D38</f>
        <v>0</v>
      </c>
      <c r="G37" s="2">
        <f>ROUND(F37*G28,0)</f>
        <v>0</v>
      </c>
      <c r="H37" s="2">
        <f>F37-G37</f>
        <v>0</v>
      </c>
      <c r="I37" s="2"/>
    </row>
    <row r="38" spans="1:10" x14ac:dyDescent="0.2">
      <c r="A38" s="2">
        <v>27</v>
      </c>
      <c r="B38" s="1"/>
      <c r="C38" s="1" t="s">
        <v>162</v>
      </c>
      <c r="D38" s="1"/>
      <c r="E38" s="1"/>
      <c r="F38" s="31">
        <f>SUM(F31:F37)</f>
        <v>571288630</v>
      </c>
      <c r="G38" s="31">
        <f>SUM(G31:G37)</f>
        <v>354329766</v>
      </c>
      <c r="H38" s="31">
        <f>SUM(H31:H37)</f>
        <v>216958864</v>
      </c>
      <c r="I38" s="2"/>
    </row>
    <row r="39" spans="1:10" x14ac:dyDescent="0.2">
      <c r="A39" s="2">
        <v>28</v>
      </c>
      <c r="B39" s="1"/>
      <c r="C39" s="1" t="s">
        <v>163</v>
      </c>
      <c r="D39" s="1"/>
      <c r="E39" s="1"/>
      <c r="F39" s="2">
        <f>F17-F38</f>
        <v>1059654524</v>
      </c>
      <c r="G39" s="2">
        <f>G17-G38</f>
        <v>705752739</v>
      </c>
      <c r="H39" s="2">
        <f>H17-H38</f>
        <v>353901785</v>
      </c>
      <c r="I39" s="2"/>
    </row>
    <row r="40" spans="1:10" x14ac:dyDescent="0.2">
      <c r="A40" s="2"/>
      <c r="B40" s="1"/>
      <c r="C40" s="1"/>
      <c r="D40" s="1"/>
      <c r="E40" s="1"/>
      <c r="F40" s="2"/>
      <c r="G40" s="2"/>
      <c r="H40" s="2"/>
      <c r="I40" s="2"/>
    </row>
    <row r="41" spans="1:10" x14ac:dyDescent="0.2">
      <c r="A41" s="2">
        <v>29</v>
      </c>
      <c r="B41" s="1"/>
      <c r="C41" s="1" t="s">
        <v>164</v>
      </c>
      <c r="D41" s="1"/>
      <c r="E41" s="1"/>
      <c r="F41" s="2"/>
      <c r="G41" s="2"/>
      <c r="H41" s="2"/>
      <c r="I41" s="2"/>
    </row>
    <row r="42" spans="1:10" x14ac:dyDescent="0.2">
      <c r="A42" s="2">
        <v>30</v>
      </c>
      <c r="B42" s="1"/>
      <c r="C42" s="1" t="s">
        <v>123</v>
      </c>
      <c r="D42" s="1"/>
      <c r="E42" s="1"/>
      <c r="F42" s="2">
        <f>G42+H42</f>
        <v>27322787</v>
      </c>
      <c r="G42" s="2">
        <f>'ElecPlt-2016'!E$37</f>
        <v>13262161</v>
      </c>
      <c r="H42" s="2">
        <f>'ElecPlt-2016'!F$37</f>
        <v>14060626</v>
      </c>
      <c r="I42" s="2"/>
    </row>
    <row r="43" spans="1:10" x14ac:dyDescent="0.2">
      <c r="A43" s="2">
        <v>31</v>
      </c>
      <c r="B43" s="1"/>
      <c r="C43" s="1" t="s">
        <v>165</v>
      </c>
      <c r="D43" s="1"/>
      <c r="E43" s="1"/>
      <c r="F43" s="3">
        <f>'UtilityNetPlt-2016'!D34</f>
        <v>0.77807999999999999</v>
      </c>
      <c r="G43" s="3">
        <f>F43</f>
        <v>0.77807999999999999</v>
      </c>
      <c r="H43" s="3">
        <f>G43</f>
        <v>0.77807999999999999</v>
      </c>
      <c r="I43" s="3"/>
    </row>
    <row r="44" spans="1:10" x14ac:dyDescent="0.2">
      <c r="A44" s="2">
        <v>32</v>
      </c>
      <c r="B44" s="1"/>
      <c r="C44" s="1" t="s">
        <v>166</v>
      </c>
      <c r="D44" s="1"/>
      <c r="E44" s="1"/>
      <c r="F44" s="18">
        <f>G44+H44</f>
        <v>21259314</v>
      </c>
      <c r="G44" s="18">
        <f>ROUND(G42*G43,0)</f>
        <v>10319022</v>
      </c>
      <c r="H44" s="18">
        <f>ROUND(H42*H43,0)</f>
        <v>10940292</v>
      </c>
      <c r="I44" s="2"/>
    </row>
    <row r="45" spans="1:10" x14ac:dyDescent="0.2">
      <c r="A45" s="2">
        <v>33</v>
      </c>
      <c r="B45" s="1"/>
      <c r="C45" s="1" t="s">
        <v>342</v>
      </c>
      <c r="D45" s="1"/>
      <c r="E45" s="1"/>
      <c r="F45" s="14">
        <f>G45+H45</f>
        <v>7948296</v>
      </c>
      <c r="G45" s="14">
        <f>G58</f>
        <v>3858017</v>
      </c>
      <c r="H45" s="14">
        <f>H58</f>
        <v>4090279</v>
      </c>
      <c r="I45" s="2"/>
    </row>
    <row r="46" spans="1:10" x14ac:dyDescent="0.2">
      <c r="A46" s="2">
        <v>34</v>
      </c>
      <c r="B46" s="1"/>
      <c r="C46" s="1" t="s">
        <v>167</v>
      </c>
      <c r="D46" s="1"/>
      <c r="E46" s="1"/>
      <c r="F46" s="2">
        <f>F44-F45</f>
        <v>13311018</v>
      </c>
      <c r="G46" s="2">
        <f>G44-G45</f>
        <v>6461005</v>
      </c>
      <c r="H46" s="2">
        <f>H44-H45</f>
        <v>6850013</v>
      </c>
      <c r="I46" s="2"/>
    </row>
    <row r="47" spans="1:10" ht="13.5" thickBot="1" x14ac:dyDescent="0.25">
      <c r="A47" s="2">
        <v>35</v>
      </c>
      <c r="B47" s="1"/>
      <c r="C47" s="1" t="s">
        <v>179</v>
      </c>
      <c r="D47" s="1"/>
      <c r="E47" s="1"/>
      <c r="F47" s="11">
        <f>F39+F46</f>
        <v>1072965542</v>
      </c>
      <c r="G47" s="11">
        <f>G39+G46</f>
        <v>712213744</v>
      </c>
      <c r="H47" s="11">
        <f>H39+H46</f>
        <v>360751798</v>
      </c>
      <c r="I47" s="2"/>
    </row>
    <row r="48" spans="1:10" ht="13.5" thickTop="1" x14ac:dyDescent="0.2">
      <c r="B48" s="1"/>
      <c r="C48" s="1"/>
      <c r="D48" s="1"/>
      <c r="E48" s="1"/>
      <c r="F48" s="2"/>
      <c r="G48" s="2"/>
      <c r="H48" s="2"/>
      <c r="I48" s="2"/>
    </row>
    <row r="49" spans="1:9" ht="13.5" thickBot="1" x14ac:dyDescent="0.25">
      <c r="A49" s="2">
        <v>36</v>
      </c>
      <c r="B49" s="1"/>
      <c r="C49" s="1" t="s">
        <v>168</v>
      </c>
      <c r="D49" s="1"/>
      <c r="E49" s="1"/>
      <c r="F49" s="13">
        <f>'UtilityNetPlt-2016'!G18-'UtilityNetPlt-2016'!G12</f>
        <v>55214501</v>
      </c>
      <c r="G49" s="13">
        <f>G42</f>
        <v>13262161</v>
      </c>
      <c r="H49" s="13">
        <f>H42</f>
        <v>14060626</v>
      </c>
      <c r="I49" s="13">
        <f>'ElecPlt-2016'!$G$37</f>
        <v>27891714</v>
      </c>
    </row>
    <row r="50" spans="1:9" ht="13.5" thickTop="1" x14ac:dyDescent="0.2">
      <c r="B50" s="1"/>
      <c r="C50" s="1"/>
      <c r="D50" s="1"/>
      <c r="E50" s="1"/>
      <c r="F50" s="1"/>
      <c r="G50" s="1"/>
      <c r="H50" s="1"/>
      <c r="I50" s="1"/>
    </row>
    <row r="51" spans="1:9" ht="13.5" thickBot="1" x14ac:dyDescent="0.25">
      <c r="A51" s="2">
        <v>37</v>
      </c>
      <c r="B51" s="1"/>
      <c r="C51" s="1" t="s">
        <v>128</v>
      </c>
      <c r="D51" s="1"/>
      <c r="E51" s="1"/>
      <c r="F51" s="32">
        <f>IF(+G51+H51+I51=1,G51+H51+I51,"ERROR")</f>
        <v>0.99999999999999989</v>
      </c>
      <c r="G51" s="32">
        <f>ROUND(+G49/F49,5)</f>
        <v>0.24018999999999999</v>
      </c>
      <c r="H51" s="32">
        <f>ROUND(+H49/F49,5)</f>
        <v>0.25464999999999999</v>
      </c>
      <c r="I51" s="33">
        <f>ROUND(+I49/F49,5)+0.00001</f>
        <v>0.50515999999999994</v>
      </c>
    </row>
    <row r="52" spans="1:9" ht="13.5" thickTop="1" x14ac:dyDescent="0.2">
      <c r="A52" s="2"/>
      <c r="B52" s="1"/>
      <c r="C52" s="1"/>
      <c r="D52" s="1"/>
      <c r="E52" s="1"/>
      <c r="F52" s="2"/>
      <c r="G52" s="2"/>
      <c r="H52" s="2"/>
      <c r="I52" s="2"/>
    </row>
    <row r="53" spans="1:9" x14ac:dyDescent="0.2">
      <c r="A53" s="2">
        <v>38</v>
      </c>
      <c r="B53" s="1"/>
      <c r="C53" s="1" t="s">
        <v>129</v>
      </c>
      <c r="D53" s="1"/>
      <c r="E53" s="1"/>
      <c r="F53" s="1"/>
      <c r="G53" s="1"/>
      <c r="H53" s="1"/>
      <c r="I53" s="1"/>
    </row>
    <row r="54" spans="1:9" x14ac:dyDescent="0.2">
      <c r="A54" s="2">
        <v>39</v>
      </c>
      <c r="B54" s="1"/>
      <c r="C54" s="1" t="s">
        <v>169</v>
      </c>
      <c r="D54" s="1"/>
      <c r="E54" s="1"/>
      <c r="F54" s="2">
        <f>'GasNetPlt-2016'!F51</f>
        <v>20643579</v>
      </c>
      <c r="G54" s="2">
        <f>ROUND($F54*G51,0)</f>
        <v>4958381</v>
      </c>
      <c r="H54" s="2">
        <f>ROUND($F54*H51,0)</f>
        <v>5256887</v>
      </c>
      <c r="I54" s="2">
        <f>F54-G54-H54</f>
        <v>10428311</v>
      </c>
    </row>
    <row r="55" spans="1:9" x14ac:dyDescent="0.2">
      <c r="A55" s="2">
        <v>40</v>
      </c>
      <c r="B55" s="1"/>
      <c r="C55" s="1" t="s">
        <v>170</v>
      </c>
      <c r="D55" s="1"/>
      <c r="E55" s="1"/>
      <c r="F55" s="2">
        <f>'GasNetPlt-2016'!F52</f>
        <v>0</v>
      </c>
      <c r="G55" s="2">
        <f>ROUND($F55*G51,0)</f>
        <v>0</v>
      </c>
      <c r="H55" s="2">
        <f>ROUND($F55*H51,0)</f>
        <v>0</v>
      </c>
      <c r="I55" s="2">
        <f>F55-G55-H55</f>
        <v>0</v>
      </c>
    </row>
    <row r="56" spans="1:9" x14ac:dyDescent="0.2">
      <c r="A56" s="2">
        <v>41</v>
      </c>
      <c r="B56" s="1"/>
      <c r="C56" s="1" t="s">
        <v>171</v>
      </c>
      <c r="D56" s="1"/>
      <c r="E56" s="1"/>
      <c r="F56" s="18">
        <f>F55+F54</f>
        <v>20643579</v>
      </c>
      <c r="G56" s="18">
        <f>G55+G54</f>
        <v>4958381</v>
      </c>
      <c r="H56" s="18">
        <f>H55+H54</f>
        <v>5256887</v>
      </c>
      <c r="I56" s="18">
        <f>I55+I54</f>
        <v>10428311</v>
      </c>
    </row>
    <row r="57" spans="1:9" x14ac:dyDescent="0.2">
      <c r="A57" s="2">
        <v>42</v>
      </c>
      <c r="B57" s="1"/>
      <c r="C57" s="1" t="s">
        <v>172</v>
      </c>
      <c r="D57" s="1"/>
      <c r="E57" s="1"/>
      <c r="F57" s="34">
        <f>F43</f>
        <v>0.77807999999999999</v>
      </c>
      <c r="G57" s="34">
        <f>F57</f>
        <v>0.77807999999999999</v>
      </c>
      <c r="H57" s="34">
        <f>G57</f>
        <v>0.77807999999999999</v>
      </c>
      <c r="I57" s="34">
        <f>H57</f>
        <v>0.77807999999999999</v>
      </c>
    </row>
    <row r="58" spans="1:9" ht="13.5" thickBot="1" x14ac:dyDescent="0.25">
      <c r="A58" s="2">
        <v>43</v>
      </c>
      <c r="B58" s="1"/>
      <c r="C58" s="1" t="s">
        <v>182</v>
      </c>
      <c r="D58" s="1"/>
      <c r="E58" s="1"/>
      <c r="F58" s="13">
        <f>G58+H58+I58</f>
        <v>16062356</v>
      </c>
      <c r="G58" s="13">
        <f>ROUND(G56*G57,0)</f>
        <v>3858017</v>
      </c>
      <c r="H58" s="13">
        <f>ROUND(H56*H57,0)</f>
        <v>4090279</v>
      </c>
      <c r="I58" s="13">
        <f>ROUND(I56*I57,0)</f>
        <v>8114060</v>
      </c>
    </row>
    <row r="59" spans="1:9" ht="13.5" thickTop="1" x14ac:dyDescent="0.2">
      <c r="A59" s="1"/>
      <c r="B59" s="1"/>
      <c r="C59" s="1"/>
      <c r="D59" s="1"/>
      <c r="E59" s="1"/>
      <c r="F59" s="1"/>
      <c r="G59" s="1"/>
      <c r="H59" s="1"/>
      <c r="I59" s="1"/>
    </row>
  </sheetData>
  <pageMargins left="0.2" right="0.2" top="0.75" bottom="0.75" header="0.3" footer="0.3"/>
  <pageSetup scale="94" orientation="portrait" r:id="rId1"/>
  <headerFooter>
    <oddFooter>&amp;L&amp;F
&amp;A&amp;RPrepared By: Jeanne Pluth
Date: January 23, 2015</oddFooter>
  </headerFooter>
  <legacy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3"/>
  <dimension ref="A6:G69"/>
  <sheetViews>
    <sheetView showZeros="0" zoomScaleNormal="100" workbookViewId="0">
      <pane xSplit="2" ySplit="7" topLeftCell="C8" activePane="bottomRight" state="frozen"/>
      <selection pane="topRight"/>
      <selection pane="bottomLeft"/>
      <selection pane="bottomRight" activeCell="D27" sqref="D27:F27"/>
    </sheetView>
  </sheetViews>
  <sheetFormatPr defaultRowHeight="12.75" x14ac:dyDescent="0.2"/>
  <cols>
    <col min="1" max="1" width="1.7109375" customWidth="1"/>
    <col min="2" max="2" width="20.7109375" customWidth="1"/>
    <col min="3" max="6" width="12.7109375" customWidth="1"/>
  </cols>
  <sheetData>
    <row r="6" spans="1:7" x14ac:dyDescent="0.2">
      <c r="C6" s="49" t="s">
        <v>1</v>
      </c>
      <c r="D6" s="82" t="s">
        <v>2</v>
      </c>
      <c r="E6" s="82" t="s">
        <v>3</v>
      </c>
      <c r="F6" s="82" t="s">
        <v>300</v>
      </c>
    </row>
    <row r="8" spans="1:7" x14ac:dyDescent="0.2">
      <c r="A8" s="50" t="s">
        <v>194</v>
      </c>
    </row>
    <row r="9" spans="1:7" x14ac:dyDescent="0.2">
      <c r="B9" s="90" t="s">
        <v>237</v>
      </c>
      <c r="C9" s="83">
        <f>+D9+E9+F9</f>
        <v>1</v>
      </c>
      <c r="D9" s="101">
        <v>0.72399000000000002</v>
      </c>
      <c r="E9" s="101">
        <v>0.19517999999999999</v>
      </c>
      <c r="F9" s="101">
        <v>8.0829999999999999E-2</v>
      </c>
      <c r="G9" s="83">
        <f>1-SUM(D9:F9)</f>
        <v>0</v>
      </c>
    </row>
    <row r="10" spans="1:7" x14ac:dyDescent="0.2">
      <c r="B10" s="67"/>
      <c r="C10" s="67"/>
      <c r="D10" s="101"/>
      <c r="E10" s="101"/>
      <c r="F10" s="101"/>
      <c r="G10" s="83"/>
    </row>
    <row r="11" spans="1:7" x14ac:dyDescent="0.2">
      <c r="B11" s="67" t="s">
        <v>238</v>
      </c>
      <c r="C11" s="83">
        <f>+D11+E11+F11</f>
        <v>1</v>
      </c>
      <c r="D11" s="101">
        <v>0.73197000000000001</v>
      </c>
      <c r="E11" s="101">
        <v>0.18926999999999999</v>
      </c>
      <c r="F11" s="101">
        <v>7.8759999999999997E-2</v>
      </c>
      <c r="G11" s="83">
        <f>1-SUM(D11:F11)</f>
        <v>0</v>
      </c>
    </row>
    <row r="12" spans="1:7" x14ac:dyDescent="0.2">
      <c r="B12" s="67" t="s">
        <v>239</v>
      </c>
      <c r="C12" s="83">
        <f>+D12+E12+F12</f>
        <v>1</v>
      </c>
      <c r="D12" s="101">
        <v>0.73541000000000001</v>
      </c>
      <c r="E12" s="101">
        <v>0.18382999999999999</v>
      </c>
      <c r="F12" s="101">
        <v>8.0759999999999998E-2</v>
      </c>
      <c r="G12" s="83">
        <f>1-SUM(D12:F12)</f>
        <v>0</v>
      </c>
    </row>
    <row r="13" spans="1:7" x14ac:dyDescent="0.2">
      <c r="B13" s="67"/>
      <c r="C13" s="67"/>
      <c r="D13" s="101"/>
      <c r="E13" s="101"/>
      <c r="F13" s="101"/>
      <c r="G13" s="83"/>
    </row>
    <row r="14" spans="1:7" x14ac:dyDescent="0.2">
      <c r="B14" s="67" t="s">
        <v>240</v>
      </c>
      <c r="C14" s="83">
        <f>+D14+E14+F14</f>
        <v>0.99999999999999989</v>
      </c>
      <c r="D14" s="101">
        <v>0.73341999999999996</v>
      </c>
      <c r="E14" s="101">
        <v>0.18434</v>
      </c>
      <c r="F14" s="101">
        <v>8.2239999999999994E-2</v>
      </c>
      <c r="G14" s="83">
        <f>1-SUM(D14:F14)</f>
        <v>0</v>
      </c>
    </row>
    <row r="15" spans="1:7" x14ac:dyDescent="0.2">
      <c r="B15" s="67" t="s">
        <v>241</v>
      </c>
      <c r="C15" s="83">
        <f>+D15+E15+F15</f>
        <v>1</v>
      </c>
      <c r="D15" s="101">
        <v>0.71960000000000002</v>
      </c>
      <c r="E15" s="101">
        <v>0.1918</v>
      </c>
      <c r="F15" s="101">
        <v>8.8599999999999998E-2</v>
      </c>
      <c r="G15" s="83">
        <f>1-SUM(D15:F15)</f>
        <v>0</v>
      </c>
    </row>
    <row r="16" spans="1:7" x14ac:dyDescent="0.2">
      <c r="B16" s="67" t="s">
        <v>243</v>
      </c>
      <c r="C16" s="83">
        <f>+D16+E16+F16</f>
        <v>0.99999999999999989</v>
      </c>
      <c r="D16" s="101">
        <v>0.72043999999999997</v>
      </c>
      <c r="E16" s="101">
        <v>0.19345999999999999</v>
      </c>
      <c r="F16" s="101">
        <v>8.6099999999999996E-2</v>
      </c>
      <c r="G16" s="83"/>
    </row>
    <row r="17" spans="1:7" x14ac:dyDescent="0.2">
      <c r="B17" s="67" t="s">
        <v>269</v>
      </c>
      <c r="C17" s="83">
        <f>+D17+E17+F17</f>
        <v>1</v>
      </c>
      <c r="D17" s="101">
        <v>0.72382999999999997</v>
      </c>
      <c r="E17" s="101">
        <v>0.19477</v>
      </c>
      <c r="F17" s="101">
        <v>8.14E-2</v>
      </c>
      <c r="G17" s="83">
        <f>1-SUM(D17:F17)</f>
        <v>0</v>
      </c>
    </row>
    <row r="18" spans="1:7" x14ac:dyDescent="0.2">
      <c r="B18" s="67"/>
      <c r="C18" s="83"/>
      <c r="D18" s="101"/>
      <c r="E18" s="101"/>
      <c r="F18" s="101"/>
      <c r="G18" s="83"/>
    </row>
    <row r="19" spans="1:7" x14ac:dyDescent="0.2">
      <c r="B19" s="67" t="s">
        <v>337</v>
      </c>
      <c r="C19" s="83">
        <f>+D19+E19+F19</f>
        <v>1</v>
      </c>
      <c r="D19" s="101">
        <v>0.72043999999999997</v>
      </c>
      <c r="E19" s="101">
        <v>0.19889000000000001</v>
      </c>
      <c r="F19" s="101">
        <v>8.0670000000000006E-2</v>
      </c>
      <c r="G19" s="83"/>
    </row>
    <row r="20" spans="1:7" x14ac:dyDescent="0.2">
      <c r="B20" s="67" t="s">
        <v>338</v>
      </c>
      <c r="C20" s="83">
        <f>+D20+E20+F20</f>
        <v>1</v>
      </c>
      <c r="D20" s="117">
        <v>0.71122000000000007</v>
      </c>
      <c r="E20" s="117">
        <v>0.20502000000000001</v>
      </c>
      <c r="F20" s="117">
        <v>8.3760000000000001E-2</v>
      </c>
      <c r="G20" s="83"/>
    </row>
    <row r="21" spans="1:7" x14ac:dyDescent="0.2">
      <c r="B21" s="67"/>
      <c r="C21" s="83"/>
      <c r="D21" s="101"/>
      <c r="E21" s="101"/>
      <c r="F21" s="101"/>
      <c r="G21" s="83"/>
    </row>
    <row r="22" spans="1:7" x14ac:dyDescent="0.2">
      <c r="B22" s="67" t="s">
        <v>339</v>
      </c>
      <c r="C22" s="83">
        <f t="shared" ref="C22:C26" si="0">+D22+E22+F22</f>
        <v>1</v>
      </c>
      <c r="D22" s="101">
        <v>0.72345999999999999</v>
      </c>
      <c r="E22" s="101">
        <v>0.19400999999999999</v>
      </c>
      <c r="F22" s="101">
        <v>8.2530000000000006E-2</v>
      </c>
      <c r="G22" s="83"/>
    </row>
    <row r="23" spans="1:7" x14ac:dyDescent="0.2">
      <c r="B23" s="67" t="s">
        <v>344</v>
      </c>
      <c r="C23" s="83">
        <f t="shared" si="0"/>
        <v>0.99999999999999989</v>
      </c>
      <c r="D23" s="101">
        <v>0.71289999999999998</v>
      </c>
      <c r="E23" s="101">
        <v>0.19822000000000001</v>
      </c>
      <c r="F23" s="101">
        <v>8.8880000000000001E-2</v>
      </c>
      <c r="G23" s="83"/>
    </row>
    <row r="24" spans="1:7" x14ac:dyDescent="0.2">
      <c r="B24" s="67" t="s">
        <v>370</v>
      </c>
      <c r="C24" s="83">
        <v>1</v>
      </c>
      <c r="D24" s="101">
        <v>0.71547000000000005</v>
      </c>
      <c r="E24" s="101">
        <v>0.19750999999999999</v>
      </c>
      <c r="F24" s="101">
        <v>8.702E-2</v>
      </c>
      <c r="G24" s="83"/>
    </row>
    <row r="25" spans="1:7" x14ac:dyDescent="0.2">
      <c r="B25" s="67" t="s">
        <v>375</v>
      </c>
      <c r="C25" s="83">
        <v>1</v>
      </c>
      <c r="D25" s="101">
        <v>0.71326000000000001</v>
      </c>
      <c r="E25" s="101">
        <v>0.19958000000000001</v>
      </c>
      <c r="F25" s="101">
        <v>8.7160000000000001E-2</v>
      </c>
      <c r="G25" s="83"/>
    </row>
    <row r="26" spans="1:7" x14ac:dyDescent="0.2">
      <c r="B26" s="67" t="s">
        <v>379</v>
      </c>
      <c r="C26" s="83">
        <f t="shared" si="0"/>
        <v>1</v>
      </c>
      <c r="D26" s="83">
        <f>+NewMemo!H22</f>
        <v>0.70328000000000002</v>
      </c>
      <c r="E26" s="83">
        <f>+NewMemo!I22</f>
        <v>0.20444999999999999</v>
      </c>
      <c r="F26" s="83">
        <f>+NewMemo!J22</f>
        <v>9.2270000000000005E-2</v>
      </c>
      <c r="G26" s="83"/>
    </row>
    <row r="27" spans="1:7" x14ac:dyDescent="0.2">
      <c r="B27" s="67"/>
      <c r="C27" s="83"/>
      <c r="D27" s="83"/>
      <c r="E27" s="83"/>
      <c r="F27" s="83"/>
      <c r="G27" s="83"/>
    </row>
    <row r="28" spans="1:7" x14ac:dyDescent="0.2">
      <c r="D28" s="83"/>
      <c r="E28" s="83"/>
      <c r="F28" s="83"/>
      <c r="G28" s="83"/>
    </row>
    <row r="29" spans="1:7" x14ac:dyDescent="0.2">
      <c r="A29" s="50" t="s">
        <v>195</v>
      </c>
      <c r="D29" s="83"/>
      <c r="E29" s="83"/>
      <c r="F29" s="83"/>
      <c r="G29" s="83"/>
    </row>
    <row r="30" spans="1:7" x14ac:dyDescent="0.2">
      <c r="B30" s="84" t="str">
        <f>+B9</f>
        <v>For 2005</v>
      </c>
      <c r="C30" s="83">
        <f>+D30+E30+F30</f>
        <v>1</v>
      </c>
      <c r="D30" s="101">
        <v>0</v>
      </c>
      <c r="E30" s="101">
        <v>0.71536</v>
      </c>
      <c r="F30" s="101">
        <v>0.28464</v>
      </c>
      <c r="G30" s="83">
        <f>1-SUM(D30:F30)</f>
        <v>0</v>
      </c>
    </row>
    <row r="31" spans="1:7" x14ac:dyDescent="0.2">
      <c r="D31" s="101"/>
      <c r="E31" s="101"/>
      <c r="F31" s="101"/>
      <c r="G31" s="83"/>
    </row>
    <row r="32" spans="1:7" x14ac:dyDescent="0.2">
      <c r="B32" s="84" t="str">
        <f>+B11</f>
        <v>Original For 2006</v>
      </c>
      <c r="C32" s="83">
        <f>+D32+E32+F32</f>
        <v>1</v>
      </c>
      <c r="D32" s="101"/>
      <c r="E32" s="101">
        <v>0.71565000000000001</v>
      </c>
      <c r="F32" s="101">
        <v>0.28434999999999999</v>
      </c>
      <c r="G32" s="83">
        <f>1-SUM(D32:F32)</f>
        <v>0</v>
      </c>
    </row>
    <row r="33" spans="2:7" x14ac:dyDescent="0.2">
      <c r="B33" s="84" t="str">
        <f>+B12</f>
        <v>Revised For 2006</v>
      </c>
      <c r="C33" s="83">
        <f>+D33+E33+F33</f>
        <v>1</v>
      </c>
      <c r="D33" s="101"/>
      <c r="E33" s="101">
        <v>0.69884999999999997</v>
      </c>
      <c r="F33" s="101">
        <v>0.30114999999999997</v>
      </c>
      <c r="G33" s="83">
        <f>1-SUM(D33:F33)</f>
        <v>0</v>
      </c>
    </row>
    <row r="34" spans="2:7" x14ac:dyDescent="0.2">
      <c r="D34" s="101"/>
      <c r="E34" s="101"/>
      <c r="F34" s="101"/>
      <c r="G34" s="83"/>
    </row>
    <row r="35" spans="2:7" x14ac:dyDescent="0.2">
      <c r="B35" s="84" t="str">
        <f>+B14</f>
        <v>For 2007</v>
      </c>
      <c r="C35" s="83">
        <f>+D35+E35+F35</f>
        <v>1</v>
      </c>
      <c r="D35" s="101"/>
      <c r="E35" s="101">
        <v>0.6925</v>
      </c>
      <c r="F35" s="101">
        <v>0.3075</v>
      </c>
      <c r="G35" s="83">
        <f>1-SUM(D35:F35)</f>
        <v>0</v>
      </c>
    </row>
    <row r="36" spans="2:7" x14ac:dyDescent="0.2">
      <c r="B36" s="84" t="str">
        <f>+B15</f>
        <v>For 2008</v>
      </c>
      <c r="C36" s="83">
        <f>+D36+E36+F36</f>
        <v>1</v>
      </c>
      <c r="D36" s="101"/>
      <c r="E36" s="101">
        <v>0.68157000000000001</v>
      </c>
      <c r="F36" s="101">
        <v>0.31842999999999999</v>
      </c>
      <c r="G36" s="83">
        <f>1-SUM(D36:F36)</f>
        <v>0</v>
      </c>
    </row>
    <row r="37" spans="2:7" x14ac:dyDescent="0.2">
      <c r="B37" s="84" t="str">
        <f>+B16</f>
        <v>For 2009</v>
      </c>
      <c r="C37" s="83">
        <f>+D37+E37+F37</f>
        <v>1</v>
      </c>
      <c r="D37" s="101"/>
      <c r="E37" s="101">
        <v>0.68979999999999997</v>
      </c>
      <c r="F37" s="101">
        <v>0.31019999999999998</v>
      </c>
      <c r="G37" s="83"/>
    </row>
    <row r="38" spans="2:7" x14ac:dyDescent="0.2">
      <c r="B38" s="84" t="str">
        <f>+B17</f>
        <v>For 2010</v>
      </c>
      <c r="C38" s="83">
        <f>+D38+E38+F38</f>
        <v>1</v>
      </c>
      <c r="D38" s="101"/>
      <c r="E38" s="101">
        <v>0.70574999999999999</v>
      </c>
      <c r="F38" s="101">
        <v>0.29425000000000001</v>
      </c>
      <c r="G38" s="83">
        <f>1-SUM(D38:F38)</f>
        <v>0</v>
      </c>
    </row>
    <row r="39" spans="2:7" x14ac:dyDescent="0.2">
      <c r="B39" s="84"/>
      <c r="C39" s="83"/>
      <c r="D39" s="101"/>
      <c r="E39" s="101"/>
      <c r="F39" s="101"/>
      <c r="G39" s="83"/>
    </row>
    <row r="40" spans="2:7" x14ac:dyDescent="0.2">
      <c r="B40" s="84" t="str">
        <f>+B19</f>
        <v>Original For 2011</v>
      </c>
      <c r="C40" s="83">
        <f>+D40+E40+F40</f>
        <v>1</v>
      </c>
      <c r="D40" s="83"/>
      <c r="E40" s="101">
        <v>0.71331</v>
      </c>
      <c r="F40" s="101">
        <v>0.28669</v>
      </c>
      <c r="G40" s="83"/>
    </row>
    <row r="41" spans="2:7" x14ac:dyDescent="0.2">
      <c r="B41" s="118" t="s">
        <v>338</v>
      </c>
      <c r="C41" s="83">
        <f>+D41+E41+F41</f>
        <v>1</v>
      </c>
      <c r="D41" s="83"/>
      <c r="E41" s="117">
        <v>0.71467000000000003</v>
      </c>
      <c r="F41" s="117">
        <v>0.28532999999999997</v>
      </c>
      <c r="G41" s="83"/>
    </row>
    <row r="42" spans="2:7" x14ac:dyDescent="0.2">
      <c r="B42" s="84"/>
      <c r="C42" s="83"/>
      <c r="D42" s="83"/>
      <c r="E42" s="101"/>
      <c r="F42" s="101"/>
      <c r="G42" s="83"/>
    </row>
    <row r="43" spans="2:7" x14ac:dyDescent="0.2">
      <c r="B43" s="84" t="str">
        <f>+B22</f>
        <v>For 2012</v>
      </c>
      <c r="C43" s="83">
        <f t="shared" ref="C43:C44" si="1">+D43+E43+F43</f>
        <v>1</v>
      </c>
      <c r="D43" s="83"/>
      <c r="E43" s="101">
        <v>0.70320000000000005</v>
      </c>
      <c r="F43" s="101">
        <v>0.29680000000000001</v>
      </c>
      <c r="G43" s="83"/>
    </row>
    <row r="44" spans="2:7" x14ac:dyDescent="0.2">
      <c r="B44" s="84" t="str">
        <f>+B23</f>
        <v>For 2013</v>
      </c>
      <c r="C44" s="83">
        <f t="shared" si="1"/>
        <v>1</v>
      </c>
      <c r="D44" s="83"/>
      <c r="E44" s="101">
        <v>0.68732000000000004</v>
      </c>
      <c r="F44" s="101">
        <v>0.31268000000000001</v>
      </c>
      <c r="G44" s="83"/>
    </row>
    <row r="45" spans="2:7" x14ac:dyDescent="0.2">
      <c r="B45" s="84" t="s">
        <v>370</v>
      </c>
      <c r="C45" s="83">
        <v>1</v>
      </c>
      <c r="D45" s="83"/>
      <c r="E45" s="101">
        <v>0.69081999999999999</v>
      </c>
      <c r="F45" s="101">
        <v>0.30918000000000001</v>
      </c>
      <c r="G45" s="83"/>
    </row>
    <row r="46" spans="2:7" x14ac:dyDescent="0.2">
      <c r="B46" s="84" t="s">
        <v>375</v>
      </c>
      <c r="C46" s="83">
        <v>1</v>
      </c>
      <c r="D46" s="83"/>
      <c r="E46" s="101">
        <v>0.69633999999999996</v>
      </c>
      <c r="F46" s="101">
        <v>0.30365999999999999</v>
      </c>
      <c r="G46" s="83"/>
    </row>
    <row r="47" spans="2:7" x14ac:dyDescent="0.2">
      <c r="B47" s="84" t="str">
        <f t="shared" ref="B47" si="2">+B26</f>
        <v>For 2016</v>
      </c>
      <c r="C47" s="83">
        <f t="shared" ref="C47" si="3">+D47+E47+F47</f>
        <v>1</v>
      </c>
      <c r="D47" s="83"/>
      <c r="E47" s="83">
        <f>+NewMemo!I26</f>
        <v>0.68557999999999997</v>
      </c>
      <c r="F47" s="83">
        <f>+NewMemo!J26</f>
        <v>0.31441999999999998</v>
      </c>
      <c r="G47" s="83"/>
    </row>
    <row r="48" spans="2:7" x14ac:dyDescent="0.2">
      <c r="B48" s="84"/>
      <c r="C48" s="83"/>
      <c r="D48" s="83"/>
      <c r="E48" s="83"/>
      <c r="F48" s="83"/>
      <c r="G48" s="83"/>
    </row>
    <row r="49" spans="1:7" x14ac:dyDescent="0.2">
      <c r="B49" s="84"/>
      <c r="C49" s="83"/>
      <c r="D49" s="83"/>
      <c r="E49" s="83"/>
      <c r="F49" s="83"/>
      <c r="G49" s="83"/>
    </row>
    <row r="50" spans="1:7" x14ac:dyDescent="0.2">
      <c r="B50" s="84"/>
      <c r="C50" s="84"/>
      <c r="D50" s="83"/>
      <c r="E50" s="83"/>
      <c r="F50" s="83"/>
      <c r="G50" s="83"/>
    </row>
    <row r="51" spans="1:7" x14ac:dyDescent="0.2">
      <c r="A51" s="50" t="s">
        <v>196</v>
      </c>
      <c r="D51" s="83"/>
      <c r="E51" s="83"/>
      <c r="F51" s="83"/>
      <c r="G51" s="83"/>
    </row>
    <row r="52" spans="1:7" x14ac:dyDescent="0.2">
      <c r="B52" s="84" t="str">
        <f>+B30</f>
        <v>For 2005</v>
      </c>
      <c r="C52" s="83">
        <f>+D52+E52+F52</f>
        <v>1</v>
      </c>
      <c r="D52" s="101">
        <v>0.79318</v>
      </c>
      <c r="E52" s="101">
        <v>0.20682</v>
      </c>
      <c r="F52" s="101"/>
      <c r="G52" s="83">
        <f>1-SUM(D52:F52)</f>
        <v>0</v>
      </c>
    </row>
    <row r="53" spans="1:7" x14ac:dyDescent="0.2">
      <c r="D53" s="101"/>
      <c r="E53" s="101"/>
      <c r="F53" s="101"/>
      <c r="G53" s="83"/>
    </row>
    <row r="54" spans="1:7" x14ac:dyDescent="0.2">
      <c r="B54" s="84" t="str">
        <f>+B32</f>
        <v>Original For 2006</v>
      </c>
      <c r="C54" s="83">
        <f>+D54+E54+F54</f>
        <v>1</v>
      </c>
      <c r="D54" s="101">
        <v>0.80105999999999999</v>
      </c>
      <c r="E54" s="101">
        <v>0.19894000000000001</v>
      </c>
      <c r="F54" s="101"/>
      <c r="G54" s="83">
        <f>1-SUM(D54:F54)</f>
        <v>0</v>
      </c>
    </row>
    <row r="55" spans="1:7" x14ac:dyDescent="0.2">
      <c r="B55" s="84" t="str">
        <f>+B33</f>
        <v>Revised For 2006</v>
      </c>
      <c r="C55" s="83">
        <f>+D55+E55+F55</f>
        <v>1</v>
      </c>
      <c r="D55" s="101">
        <v>0.80198000000000003</v>
      </c>
      <c r="E55" s="101">
        <v>0.19802</v>
      </c>
      <c r="F55" s="101"/>
      <c r="G55" s="83">
        <f>1-SUM(D55:F55)</f>
        <v>0</v>
      </c>
    </row>
    <row r="56" spans="1:7" x14ac:dyDescent="0.2">
      <c r="D56" s="101"/>
      <c r="E56" s="101"/>
      <c r="F56" s="101"/>
      <c r="G56" s="83"/>
    </row>
    <row r="57" spans="1:7" x14ac:dyDescent="0.2">
      <c r="B57" s="84" t="str">
        <f>+B35</f>
        <v>For 2007</v>
      </c>
      <c r="C57" s="83">
        <f>+D57+E57+F57</f>
        <v>1</v>
      </c>
      <c r="D57" s="101">
        <v>0.80115000000000003</v>
      </c>
      <c r="E57" s="101">
        <v>0.19885</v>
      </c>
      <c r="F57" s="101"/>
      <c r="G57" s="83">
        <f>1-SUM(D57:F57)</f>
        <v>0</v>
      </c>
    </row>
    <row r="58" spans="1:7" x14ac:dyDescent="0.2">
      <c r="B58" s="84" t="str">
        <f>+B36</f>
        <v>For 2008</v>
      </c>
      <c r="C58" s="83">
        <f>+D58+E58+F58</f>
        <v>1</v>
      </c>
      <c r="D58" s="101">
        <v>0.79122000000000003</v>
      </c>
      <c r="E58" s="101">
        <v>0.20877999999999999</v>
      </c>
      <c r="F58" s="101">
        <v>0</v>
      </c>
    </row>
    <row r="59" spans="1:7" x14ac:dyDescent="0.2">
      <c r="B59" s="84" t="str">
        <f>+B37</f>
        <v>For 2009</v>
      </c>
      <c r="C59" s="83">
        <f>+D59+E59+F59</f>
        <v>1</v>
      </c>
      <c r="D59" s="101">
        <v>0.79003999999999996</v>
      </c>
      <c r="E59" s="101">
        <v>0.20996000000000001</v>
      </c>
      <c r="F59" s="101"/>
    </row>
    <row r="60" spans="1:7" x14ac:dyDescent="0.2">
      <c r="B60" s="84" t="str">
        <f>+B38</f>
        <v>For 2010</v>
      </c>
      <c r="C60" s="83">
        <f>+D60+E60+F60</f>
        <v>1</v>
      </c>
      <c r="D60" s="101">
        <v>0.79074999999999995</v>
      </c>
      <c r="E60" s="101">
        <v>0.20924999999999999</v>
      </c>
      <c r="F60" s="101"/>
      <c r="G60" s="83">
        <f>1-SUM(D60:F60)</f>
        <v>0</v>
      </c>
    </row>
    <row r="61" spans="1:7" x14ac:dyDescent="0.2">
      <c r="B61" s="84"/>
      <c r="C61" s="83"/>
      <c r="D61" s="101"/>
      <c r="E61" s="101"/>
      <c r="F61" s="101"/>
      <c r="G61" s="83"/>
    </row>
    <row r="62" spans="1:7" x14ac:dyDescent="0.2">
      <c r="B62" s="84" t="str">
        <f>+B40</f>
        <v>Original For 2011</v>
      </c>
      <c r="C62" s="83">
        <f>+D62+E62+F62</f>
        <v>1</v>
      </c>
      <c r="D62" s="101">
        <v>0.78661000000000003</v>
      </c>
      <c r="E62" s="101">
        <v>0.21339</v>
      </c>
      <c r="F62" s="83"/>
      <c r="G62" s="83"/>
    </row>
    <row r="63" spans="1:7" x14ac:dyDescent="0.2">
      <c r="B63" s="118" t="s">
        <v>338</v>
      </c>
      <c r="C63" s="83">
        <f>+D63+E63+F63</f>
        <v>1</v>
      </c>
      <c r="D63" s="101">
        <v>0.77944000000000002</v>
      </c>
      <c r="E63" s="101">
        <v>0.22056000000000001</v>
      </c>
      <c r="F63" s="83"/>
      <c r="G63" s="83"/>
    </row>
    <row r="64" spans="1:7" x14ac:dyDescent="0.2">
      <c r="B64" s="84"/>
      <c r="C64" s="83"/>
      <c r="D64" s="101"/>
      <c r="E64" s="101"/>
      <c r="F64" s="83"/>
      <c r="G64" s="83"/>
    </row>
    <row r="65" spans="2:6" x14ac:dyDescent="0.2">
      <c r="B65" s="84" t="str">
        <f>+B43</f>
        <v>For 2012</v>
      </c>
      <c r="C65" s="83">
        <f t="shared" ref="C65:C66" si="4">+D65+E65+F65</f>
        <v>1</v>
      </c>
      <c r="D65" s="101">
        <v>0.79220999999999997</v>
      </c>
      <c r="E65" s="101">
        <v>0.20779</v>
      </c>
      <c r="F65" s="83"/>
    </row>
    <row r="66" spans="2:6" x14ac:dyDescent="0.2">
      <c r="B66" s="84" t="str">
        <f>+B44</f>
        <v>For 2013</v>
      </c>
      <c r="C66" s="83">
        <f t="shared" si="4"/>
        <v>1</v>
      </c>
      <c r="D66" s="101">
        <v>0.78641000000000005</v>
      </c>
      <c r="E66" s="101">
        <v>0.21359</v>
      </c>
    </row>
    <row r="67" spans="2:6" x14ac:dyDescent="0.2">
      <c r="B67" s="84" t="s">
        <v>370</v>
      </c>
      <c r="C67" s="83">
        <v>1</v>
      </c>
      <c r="D67" s="101">
        <v>0.78744000000000003</v>
      </c>
      <c r="E67" s="101">
        <v>0.21256</v>
      </c>
    </row>
    <row r="68" spans="2:6" x14ac:dyDescent="0.2">
      <c r="B68" s="84" t="s">
        <v>375</v>
      </c>
      <c r="C68" s="83">
        <v>1</v>
      </c>
      <c r="D68" s="101">
        <v>0.78481999999999996</v>
      </c>
      <c r="E68" s="101">
        <v>0.21518000000000001</v>
      </c>
    </row>
    <row r="69" spans="2:6" x14ac:dyDescent="0.2">
      <c r="B69" s="84" t="str">
        <f t="shared" ref="B69" si="5">+B47</f>
        <v>For 2016</v>
      </c>
      <c r="C69" s="83">
        <f t="shared" ref="C69" si="6">+D69+E69+F69</f>
        <v>1</v>
      </c>
      <c r="D69" s="83">
        <f>+NewMemo!H30</f>
        <v>0.77807999999999999</v>
      </c>
      <c r="E69" s="83">
        <f>+NewMemo!I30</f>
        <v>0.22192000000000001</v>
      </c>
    </row>
  </sheetData>
  <phoneticPr fontId="0" type="noConversion"/>
  <pageMargins left="0.7" right="0.7" top="0.75" bottom="0.75" header="0.3" footer="0.3"/>
  <pageSetup orientation="portrait" r:id="rId1"/>
  <headerFooter>
    <oddFooter>&amp;L&amp;F
&amp;A&amp;RPrepared By: Jeanne Pluth
Date: January 23, 2015</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tabColor rgb="FFFFFF00"/>
  </sheetPr>
  <dimension ref="A1:F48"/>
  <sheetViews>
    <sheetView showZeros="0" tabSelected="1" showOutlineSymbols="0" zoomScaleNormal="100" workbookViewId="0">
      <pane xSplit="1" ySplit="8" topLeftCell="B14" activePane="bottomRight" state="frozen"/>
      <selection activeCell="D18" sqref="D18"/>
      <selection pane="topRight" activeCell="D18" sqref="D18"/>
      <selection pane="bottomLeft" activeCell="D18" sqref="D18"/>
      <selection pane="bottomRight" activeCell="D18" sqref="D18"/>
    </sheetView>
  </sheetViews>
  <sheetFormatPr defaultColWidth="9.7109375" defaultRowHeight="12.75" x14ac:dyDescent="0.2"/>
  <cols>
    <col min="1" max="1" width="36.7109375" customWidth="1"/>
    <col min="2" max="4" width="14.7109375" customWidth="1"/>
    <col min="5" max="5" width="6.28515625" bestFit="1" customWidth="1"/>
    <col min="6" max="6" width="1.7109375" customWidth="1"/>
    <col min="7" max="7" width="25.7109375" customWidth="1"/>
    <col min="8" max="10" width="13.7109375" customWidth="1"/>
    <col min="11" max="11" width="1.7109375" customWidth="1"/>
  </cols>
  <sheetData>
    <row r="1" spans="1:6" x14ac:dyDescent="0.2">
      <c r="A1" s="145" t="str">
        <f>Notes!A1</f>
        <v>Avista Utilities</v>
      </c>
      <c r="B1" s="145"/>
      <c r="C1" s="145"/>
      <c r="D1" s="145"/>
      <c r="E1" s="160"/>
      <c r="F1" s="81"/>
    </row>
    <row r="2" spans="1:6" x14ac:dyDescent="0.2">
      <c r="A2" s="145" t="s">
        <v>315</v>
      </c>
      <c r="B2" s="145"/>
      <c r="C2" s="145"/>
      <c r="D2" s="145"/>
      <c r="E2" s="145"/>
      <c r="F2" s="1"/>
    </row>
    <row r="3" spans="1:6" x14ac:dyDescent="0.2">
      <c r="A3" s="145" t="str">
        <f>Notes!A4</f>
        <v>For the Twelve Months Ended December 31, 2016</v>
      </c>
      <c r="B3" s="145"/>
      <c r="C3" s="145"/>
      <c r="D3" s="145"/>
      <c r="E3" s="145"/>
      <c r="F3" s="1"/>
    </row>
    <row r="4" spans="1:6" x14ac:dyDescent="0.2">
      <c r="A4" s="145"/>
      <c r="B4" s="145"/>
      <c r="C4" s="145"/>
      <c r="D4" s="145"/>
      <c r="E4" s="145"/>
      <c r="F4" s="1"/>
    </row>
    <row r="5" spans="1:6" x14ac:dyDescent="0.2">
      <c r="A5" s="158"/>
      <c r="B5" s="158"/>
      <c r="C5" s="158"/>
      <c r="D5" s="158"/>
      <c r="E5" s="158"/>
    </row>
    <row r="6" spans="1:6" x14ac:dyDescent="0.2">
      <c r="A6" s="158"/>
      <c r="B6" s="158"/>
      <c r="C6" s="158"/>
      <c r="D6" s="158"/>
      <c r="E6" s="158"/>
    </row>
    <row r="7" spans="1:6" x14ac:dyDescent="0.2">
      <c r="A7" s="145"/>
      <c r="B7" s="147" t="s">
        <v>1</v>
      </c>
      <c r="C7" s="147" t="s">
        <v>78</v>
      </c>
      <c r="D7" s="147" t="s">
        <v>79</v>
      </c>
      <c r="E7" s="147" t="s">
        <v>55</v>
      </c>
      <c r="F7" s="6"/>
    </row>
    <row r="8" spans="1:6" x14ac:dyDescent="0.2">
      <c r="A8" s="145"/>
      <c r="B8" s="147" t="s">
        <v>2</v>
      </c>
      <c r="C8" s="145"/>
      <c r="D8" s="145"/>
      <c r="E8" s="145"/>
      <c r="F8" s="1"/>
    </row>
    <row r="9" spans="1:6" x14ac:dyDescent="0.2">
      <c r="A9" s="158"/>
      <c r="B9" s="158"/>
      <c r="C9" s="158"/>
      <c r="D9" s="158"/>
      <c r="E9" s="158"/>
    </row>
    <row r="10" spans="1:6" x14ac:dyDescent="0.2">
      <c r="A10" s="145" t="s">
        <v>309</v>
      </c>
      <c r="B10" s="145"/>
      <c r="C10" s="145"/>
      <c r="D10" s="145"/>
      <c r="E10" s="145"/>
      <c r="F10" s="1"/>
    </row>
    <row r="11" spans="1:6" x14ac:dyDescent="0.2">
      <c r="A11" s="145" t="s">
        <v>310</v>
      </c>
      <c r="B11" s="148">
        <f>SUM(C11:D11)</f>
        <v>19878625</v>
      </c>
      <c r="C11" s="148">
        <f>'Expenses-2016'!K6</f>
        <v>13041456</v>
      </c>
      <c r="D11" s="148">
        <f>'Expenses-2016'!I6</f>
        <v>6837169</v>
      </c>
      <c r="E11" s="147" t="s">
        <v>333</v>
      </c>
      <c r="F11" s="6"/>
    </row>
    <row r="12" spans="1:6" x14ac:dyDescent="0.2">
      <c r="A12" s="145" t="s">
        <v>312</v>
      </c>
      <c r="B12" s="149">
        <f>SUM(C12:D12)</f>
        <v>25456934</v>
      </c>
      <c r="C12" s="149">
        <f>'Expenses-2016'!K5</f>
        <v>18532681</v>
      </c>
      <c r="D12" s="149">
        <f>'Expenses-2016'!I5+'Expenses-2016'!J5</f>
        <v>6924253</v>
      </c>
      <c r="E12" s="150">
        <v>-2</v>
      </c>
      <c r="F12" s="6"/>
    </row>
    <row r="13" spans="1:6" x14ac:dyDescent="0.2">
      <c r="A13" s="145" t="s">
        <v>311</v>
      </c>
      <c r="B13" s="149">
        <f>SUM(C13:D13)</f>
        <v>1706431</v>
      </c>
      <c r="C13" s="149">
        <f>'Expenses-2016'!G5</f>
        <v>1240806</v>
      </c>
      <c r="D13" s="149">
        <f>'Expenses-2016'!F5</f>
        <v>465625</v>
      </c>
      <c r="E13" s="150">
        <v>-2</v>
      </c>
      <c r="F13" s="6"/>
    </row>
    <row r="14" spans="1:6" x14ac:dyDescent="0.2">
      <c r="A14" s="145" t="s">
        <v>135</v>
      </c>
      <c r="B14" s="151">
        <f>SUM(B11:B13)</f>
        <v>47041990</v>
      </c>
      <c r="C14" s="151">
        <f>SUM(C11:C13)</f>
        <v>32814943</v>
      </c>
      <c r="D14" s="151">
        <f>SUM(D11:D13)</f>
        <v>14227047</v>
      </c>
      <c r="E14" s="152"/>
      <c r="F14" s="1"/>
    </row>
    <row r="15" spans="1:6" x14ac:dyDescent="0.2">
      <c r="A15" s="158"/>
      <c r="B15" s="158"/>
      <c r="C15" s="158"/>
      <c r="D15" s="158"/>
      <c r="E15" s="161"/>
    </row>
    <row r="16" spans="1:6" x14ac:dyDescent="0.2">
      <c r="A16" s="145" t="s">
        <v>58</v>
      </c>
      <c r="B16" s="153">
        <f>SUM(C16:D16)</f>
        <v>1</v>
      </c>
      <c r="C16" s="153">
        <f>ROUND(+C14/B14,5)</f>
        <v>0.69757000000000002</v>
      </c>
      <c r="D16" s="153">
        <f>ROUND(+D14/B14,5)</f>
        <v>0.30242999999999998</v>
      </c>
      <c r="E16" s="162"/>
      <c r="F16" s="72"/>
    </row>
    <row r="17" spans="1:6" x14ac:dyDescent="0.2">
      <c r="A17" s="158"/>
      <c r="B17" s="158"/>
      <c r="C17" s="158"/>
      <c r="D17" s="158"/>
      <c r="E17" s="161"/>
    </row>
    <row r="18" spans="1:6" x14ac:dyDescent="0.2">
      <c r="A18" s="145" t="s">
        <v>59</v>
      </c>
      <c r="B18" s="145"/>
      <c r="C18" s="145"/>
      <c r="D18" s="145"/>
      <c r="E18" s="152"/>
      <c r="F18" s="1"/>
    </row>
    <row r="19" spans="1:6" x14ac:dyDescent="0.2">
      <c r="A19" s="145" t="s">
        <v>310</v>
      </c>
      <c r="B19" s="148">
        <f>SUM(C19:D19)</f>
        <v>13100158</v>
      </c>
      <c r="C19" s="148">
        <f>'Expenses-2016'!K9</f>
        <v>8869997</v>
      </c>
      <c r="D19" s="148">
        <f>'Expenses-2016'!I9</f>
        <v>4230161</v>
      </c>
      <c r="E19" s="154"/>
      <c r="F19" s="6"/>
    </row>
    <row r="20" spans="1:6" x14ac:dyDescent="0.2">
      <c r="A20" s="145" t="s">
        <v>312</v>
      </c>
      <c r="B20" s="149">
        <f>SUM(C20:D20)</f>
        <v>674582</v>
      </c>
      <c r="C20" s="149">
        <f>'Expenses-2016'!K8</f>
        <v>436117</v>
      </c>
      <c r="D20" s="149">
        <f>'Expenses-2016'!I8</f>
        <v>238465</v>
      </c>
      <c r="E20" s="154"/>
      <c r="F20" s="6"/>
    </row>
    <row r="21" spans="1:6" x14ac:dyDescent="0.2">
      <c r="A21" s="145" t="s">
        <v>311</v>
      </c>
      <c r="B21" s="149">
        <f>SUM(C21:D21)</f>
        <v>5657439</v>
      </c>
      <c r="C21" s="149">
        <f>'Expenses-2016'!G8</f>
        <v>4543331</v>
      </c>
      <c r="D21" s="149">
        <f>'Expenses-2016'!F8</f>
        <v>1114108</v>
      </c>
      <c r="E21" s="154"/>
      <c r="F21" s="6"/>
    </row>
    <row r="22" spans="1:6" x14ac:dyDescent="0.2">
      <c r="A22" s="145" t="s">
        <v>135</v>
      </c>
      <c r="B22" s="151">
        <f>SUM(B19:B21)</f>
        <v>19432179</v>
      </c>
      <c r="C22" s="151">
        <f>SUM(C19:C21)</f>
        <v>13849445</v>
      </c>
      <c r="D22" s="151">
        <f>SUM(D19:D21)</f>
        <v>5582734</v>
      </c>
      <c r="E22" s="152"/>
      <c r="F22" s="1"/>
    </row>
    <row r="23" spans="1:6" x14ac:dyDescent="0.2">
      <c r="A23" s="158"/>
      <c r="B23" s="158"/>
      <c r="C23" s="158"/>
      <c r="D23" s="158"/>
      <c r="E23" s="161"/>
    </row>
    <row r="24" spans="1:6" x14ac:dyDescent="0.2">
      <c r="A24" s="145" t="s">
        <v>58</v>
      </c>
      <c r="B24" s="153">
        <f>SUM(C24:D24)</f>
        <v>1</v>
      </c>
      <c r="C24" s="153">
        <f>ROUND(+C22/B22,5)</f>
        <v>0.71270999999999995</v>
      </c>
      <c r="D24" s="153">
        <f>ROUND(+D22/B22,5)</f>
        <v>0.28728999999999999</v>
      </c>
      <c r="E24" s="162"/>
      <c r="F24" s="72"/>
    </row>
    <row r="25" spans="1:6" x14ac:dyDescent="0.2">
      <c r="A25" s="158"/>
      <c r="B25" s="158"/>
      <c r="C25" s="158"/>
      <c r="D25" s="158"/>
      <c r="E25" s="161"/>
    </row>
    <row r="26" spans="1:6" x14ac:dyDescent="0.2">
      <c r="A26" s="145" t="str">
        <f>'Factor 7 for 2017'!A28</f>
        <v>Year End Customers at 12/31/16</v>
      </c>
      <c r="B26" s="149" t="str">
        <f>IF(B27=+'Factor 7 for 2017'!$D$32," ","CHECK CUSTOMER NUMBERS")</f>
        <v xml:space="preserve"> </v>
      </c>
      <c r="C26" s="145"/>
      <c r="D26" s="145"/>
      <c r="E26" s="152"/>
      <c r="F26" s="1"/>
    </row>
    <row r="27" spans="1:6" x14ac:dyDescent="0.2">
      <c r="A27" s="145" t="s">
        <v>63</v>
      </c>
      <c r="B27" s="149">
        <f>SUM(C27:D27)</f>
        <v>377285</v>
      </c>
      <c r="C27" s="149">
        <f>'Factor 7 for 2017'!D29</f>
        <v>247777</v>
      </c>
      <c r="D27" s="149">
        <f>'Factor 7 for 2017'!D30</f>
        <v>129508</v>
      </c>
      <c r="E27" s="149"/>
      <c r="F27" s="2"/>
    </row>
    <row r="28" spans="1:6" x14ac:dyDescent="0.2">
      <c r="A28" s="158"/>
      <c r="B28" s="158"/>
      <c r="C28" s="158"/>
      <c r="D28" s="158"/>
      <c r="E28" s="158"/>
    </row>
    <row r="29" spans="1:6" x14ac:dyDescent="0.2">
      <c r="A29" s="145" t="s">
        <v>58</v>
      </c>
      <c r="B29" s="153">
        <f>SUM(C29:D29)</f>
        <v>1</v>
      </c>
      <c r="C29" s="153">
        <f>ROUND(+C27/B27,5)</f>
        <v>0.65673999999999999</v>
      </c>
      <c r="D29" s="153">
        <f>ROUND(+D27/B27,5)</f>
        <v>0.34326000000000001</v>
      </c>
      <c r="E29" s="163"/>
      <c r="F29" s="72"/>
    </row>
    <row r="30" spans="1:6" x14ac:dyDescent="0.2">
      <c r="A30" s="158"/>
      <c r="B30" s="158"/>
      <c r="C30" s="158"/>
      <c r="D30" s="158"/>
      <c r="E30" s="158"/>
    </row>
    <row r="31" spans="1:6" x14ac:dyDescent="0.2">
      <c r="A31" s="145" t="str">
        <f>'Factor 7 for 2017'!A36</f>
        <v>Net Direct Plant (Ending Balance at 12/31/16)</v>
      </c>
      <c r="B31" s="145"/>
      <c r="C31" s="145"/>
      <c r="D31" s="145"/>
      <c r="E31" s="145"/>
      <c r="F31" s="1"/>
    </row>
    <row r="32" spans="1:6" x14ac:dyDescent="0.2">
      <c r="A32" s="145" t="s">
        <v>63</v>
      </c>
      <c r="B32" s="148">
        <f>SUM(C32:D32)</f>
        <v>1072965542</v>
      </c>
      <c r="C32" s="148">
        <f>'ElecNetPlt-2016'!G47</f>
        <v>712213744</v>
      </c>
      <c r="D32" s="148">
        <f>'ElecNetPlt-2016'!H47</f>
        <v>360751798</v>
      </c>
      <c r="E32" s="150"/>
      <c r="F32" s="1"/>
    </row>
    <row r="33" spans="1:6" x14ac:dyDescent="0.2">
      <c r="A33" s="145"/>
      <c r="B33" s="148">
        <f>SUM(C33:D33)</f>
        <v>0</v>
      </c>
      <c r="C33" s="145"/>
      <c r="D33" s="148"/>
      <c r="E33" s="145"/>
      <c r="F33" s="1"/>
    </row>
    <row r="34" spans="1:6" x14ac:dyDescent="0.2">
      <c r="A34" s="145" t="s">
        <v>65</v>
      </c>
      <c r="B34" s="151">
        <f>SUM(C34:D34)</f>
        <v>1072965542</v>
      </c>
      <c r="C34" s="151">
        <f>SUM(C32:C33)</f>
        <v>712213744</v>
      </c>
      <c r="D34" s="151">
        <f>SUM(D32:D33)</f>
        <v>360751798</v>
      </c>
      <c r="E34" s="150"/>
      <c r="F34" s="7"/>
    </row>
    <row r="35" spans="1:6" x14ac:dyDescent="0.2">
      <c r="A35" s="158"/>
      <c r="B35" s="158"/>
      <c r="C35" s="158"/>
      <c r="D35" s="158"/>
      <c r="E35" s="158"/>
    </row>
    <row r="36" spans="1:6" x14ac:dyDescent="0.2">
      <c r="A36" s="145" t="s">
        <v>58</v>
      </c>
      <c r="B36" s="153">
        <f>SUM(C36:D36)</f>
        <v>1</v>
      </c>
      <c r="C36" s="153">
        <f>ROUND(+C34/B34,5)</f>
        <v>0.66378000000000004</v>
      </c>
      <c r="D36" s="153">
        <f>ROUND(+D34/B34,5)</f>
        <v>0.33622000000000002</v>
      </c>
      <c r="E36" s="163">
        <f>+C36+D36-1</f>
        <v>0</v>
      </c>
      <c r="F36" s="72"/>
    </row>
    <row r="37" spans="1:6" x14ac:dyDescent="0.2">
      <c r="A37" s="158"/>
      <c r="B37" s="158"/>
      <c r="C37" s="158"/>
      <c r="D37" s="158"/>
      <c r="E37" s="158"/>
    </row>
    <row r="38" spans="1:6" x14ac:dyDescent="0.2">
      <c r="A38" s="145" t="s">
        <v>64</v>
      </c>
      <c r="B38" s="145"/>
      <c r="C38" s="145"/>
      <c r="D38" s="145"/>
      <c r="E38" s="145"/>
      <c r="F38" s="1"/>
    </row>
    <row r="39" spans="1:6" ht="13.5" thickBot="1" x14ac:dyDescent="0.25">
      <c r="A39" s="145" t="s">
        <v>65</v>
      </c>
      <c r="B39" s="157">
        <f>SUM(C39:D39)</f>
        <v>4</v>
      </c>
      <c r="C39" s="157">
        <f>C16+C24+C29+C36</f>
        <v>2.7307999999999999</v>
      </c>
      <c r="D39" s="157">
        <f>D16+D24+D29+D36</f>
        <v>1.2692000000000001</v>
      </c>
      <c r="E39" s="163">
        <f>+C39+D39-4</f>
        <v>0</v>
      </c>
      <c r="F39" s="72"/>
    </row>
    <row r="40" spans="1:6" ht="13.5" thickBot="1" x14ac:dyDescent="0.25">
      <c r="A40" s="174" t="s">
        <v>66</v>
      </c>
      <c r="B40" s="176">
        <f>SUM(C40:D40)</f>
        <v>1</v>
      </c>
      <c r="C40" s="177">
        <f>ROUND(+C39/4,5)</f>
        <v>0.68269999999999997</v>
      </c>
      <c r="D40" s="178">
        <f>ROUND(+D39/4,5)</f>
        <v>0.31730000000000003</v>
      </c>
      <c r="E40" s="163">
        <f>+C40+D40-1</f>
        <v>0</v>
      </c>
      <c r="F40" s="72"/>
    </row>
    <row r="41" spans="1:6" x14ac:dyDescent="0.2">
      <c r="A41" s="145"/>
      <c r="B41" s="145"/>
      <c r="C41" s="145"/>
      <c r="D41" s="145"/>
      <c r="E41" s="145"/>
      <c r="F41" s="1"/>
    </row>
    <row r="42" spans="1:6" x14ac:dyDescent="0.2">
      <c r="A42" s="158"/>
      <c r="B42" s="158"/>
      <c r="C42" s="158"/>
      <c r="D42" s="158"/>
      <c r="E42" s="158"/>
    </row>
    <row r="43" spans="1:6" x14ac:dyDescent="0.2">
      <c r="A43" s="145" t="s">
        <v>335</v>
      </c>
      <c r="B43" s="158"/>
      <c r="C43" s="158"/>
      <c r="D43" s="158"/>
      <c r="E43" s="158"/>
    </row>
    <row r="44" spans="1:6" x14ac:dyDescent="0.2">
      <c r="A44" s="145" t="s">
        <v>136</v>
      </c>
      <c r="B44" s="145"/>
      <c r="C44" s="145"/>
      <c r="D44" s="145"/>
      <c r="E44" s="145"/>
      <c r="F44" s="1"/>
    </row>
    <row r="45" spans="1:6" x14ac:dyDescent="0.2">
      <c r="A45" s="158"/>
      <c r="B45" s="158"/>
      <c r="C45" s="158"/>
      <c r="D45" s="158"/>
      <c r="E45" s="158"/>
    </row>
    <row r="46" spans="1:6" x14ac:dyDescent="0.2">
      <c r="B46" s="69"/>
    </row>
    <row r="48" spans="1:6" x14ac:dyDescent="0.2">
      <c r="C48" s="50"/>
    </row>
  </sheetData>
  <pageMargins left="0.7" right="0.7" top="0.75" bottom="0.75" header="0.3" footer="0.3"/>
  <pageSetup orientation="portrait" r:id="rId1"/>
  <headerFooter>
    <oddHeader>&amp;RExh. PDE-2</oddHeader>
    <oddFooter>&amp;RPage 2 of 3</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tabColor rgb="FFFFFF00"/>
    <pageSetUpPr fitToPage="1"/>
  </sheetPr>
  <dimension ref="A1:I49"/>
  <sheetViews>
    <sheetView tabSelected="1" showOutlineSymbols="0" zoomScaleNormal="100" zoomScaleSheetLayoutView="100" workbookViewId="0">
      <pane xSplit="1" ySplit="9" topLeftCell="B10" activePane="bottomRight" state="frozen"/>
      <selection activeCell="D18" sqref="D18"/>
      <selection pane="topRight" activeCell="D18" sqref="D18"/>
      <selection pane="bottomLeft" activeCell="D18" sqref="D18"/>
      <selection pane="bottomRight" activeCell="D18" sqref="D18"/>
    </sheetView>
  </sheetViews>
  <sheetFormatPr defaultColWidth="9.7109375" defaultRowHeight="12.75" x14ac:dyDescent="0.2"/>
  <cols>
    <col min="1" max="1" width="36.7109375" style="69" customWidth="1"/>
    <col min="2" max="4" width="15.7109375" style="69" customWidth="1"/>
    <col min="5" max="5" width="11.42578125" style="69" bestFit="1" customWidth="1"/>
    <col min="10" max="16384" width="9.7109375" style="69"/>
  </cols>
  <sheetData>
    <row r="1" spans="1:5" x14ac:dyDescent="0.2">
      <c r="A1" s="145" t="str">
        <f>Notes!A1</f>
        <v>Avista Utilities</v>
      </c>
      <c r="B1" s="145"/>
      <c r="C1" s="145"/>
      <c r="D1" s="145"/>
      <c r="E1" s="146"/>
    </row>
    <row r="2" spans="1:5" x14ac:dyDescent="0.2">
      <c r="A2" s="145" t="s">
        <v>316</v>
      </c>
      <c r="B2" s="145"/>
      <c r="C2" s="145"/>
      <c r="D2" s="145"/>
      <c r="E2" s="145"/>
    </row>
    <row r="3" spans="1:5" x14ac:dyDescent="0.2">
      <c r="A3" s="145" t="str">
        <f>Notes!A4</f>
        <v>For the Twelve Months Ended December 31, 2016</v>
      </c>
      <c r="B3" s="145"/>
      <c r="C3" s="145"/>
      <c r="D3" s="145"/>
      <c r="E3" s="145"/>
    </row>
    <row r="4" spans="1:5" x14ac:dyDescent="0.2">
      <c r="A4" s="145"/>
      <c r="B4" s="145"/>
      <c r="C4" s="145"/>
      <c r="D4" s="145"/>
      <c r="E4" s="145"/>
    </row>
    <row r="5" spans="1:5" x14ac:dyDescent="0.2">
      <c r="A5" s="145"/>
      <c r="B5" s="145"/>
      <c r="C5" s="145"/>
      <c r="D5" s="145"/>
      <c r="E5" s="145"/>
    </row>
    <row r="6" spans="1:5" x14ac:dyDescent="0.2">
      <c r="A6" s="145"/>
      <c r="B6" s="145"/>
      <c r="C6" s="145"/>
      <c r="D6" s="145"/>
      <c r="E6" s="145"/>
    </row>
    <row r="7" spans="1:5" x14ac:dyDescent="0.2">
      <c r="A7" s="145"/>
      <c r="B7" s="147" t="s">
        <v>1</v>
      </c>
      <c r="C7" s="147" t="s">
        <v>78</v>
      </c>
      <c r="D7" s="147" t="s">
        <v>79</v>
      </c>
      <c r="E7" s="147" t="s">
        <v>55</v>
      </c>
    </row>
    <row r="8" spans="1:5" x14ac:dyDescent="0.2">
      <c r="A8" s="145"/>
      <c r="B8" s="147" t="s">
        <v>200</v>
      </c>
      <c r="C8" s="145"/>
      <c r="D8" s="145"/>
      <c r="E8" s="145"/>
    </row>
    <row r="9" spans="1:5" x14ac:dyDescent="0.2">
      <c r="A9" s="145"/>
      <c r="B9" s="145"/>
      <c r="C9" s="145"/>
      <c r="D9" s="145"/>
      <c r="E9" s="145"/>
    </row>
    <row r="10" spans="1:5" x14ac:dyDescent="0.2">
      <c r="A10" s="145" t="s">
        <v>309</v>
      </c>
      <c r="B10" s="145"/>
      <c r="C10" s="145"/>
      <c r="D10" s="145"/>
      <c r="E10" s="145"/>
    </row>
    <row r="11" spans="1:5" x14ac:dyDescent="0.2">
      <c r="A11" s="145" t="s">
        <v>310</v>
      </c>
      <c r="B11" s="148">
        <f>SUM(C11:D11)</f>
        <v>5323361</v>
      </c>
      <c r="C11" s="148">
        <f>'Expenses-2016'!Q12</f>
        <v>3454659</v>
      </c>
      <c r="D11" s="148">
        <f>'Expenses-2016'!O12</f>
        <v>1868702</v>
      </c>
      <c r="E11" s="147" t="s">
        <v>333</v>
      </c>
    </row>
    <row r="12" spans="1:5" x14ac:dyDescent="0.2">
      <c r="A12" s="145" t="s">
        <v>312</v>
      </c>
      <c r="B12" s="149">
        <f>SUM(C12:D12)</f>
        <v>8599184</v>
      </c>
      <c r="C12" s="149">
        <f>'Expenses-2016'!Q11</f>
        <v>7310016</v>
      </c>
      <c r="D12" s="149">
        <f>'Expenses-2016'!O11</f>
        <v>1289168</v>
      </c>
      <c r="E12" s="150">
        <v>-2</v>
      </c>
    </row>
    <row r="13" spans="1:5" x14ac:dyDescent="0.2">
      <c r="A13" s="145" t="s">
        <v>311</v>
      </c>
      <c r="B13" s="149">
        <f>SUM(C13:D13)</f>
        <v>817261</v>
      </c>
      <c r="C13" s="149">
        <f>'Expenses-2016'!G11</f>
        <v>624408</v>
      </c>
      <c r="D13" s="149">
        <f>'Expenses-2016'!F11</f>
        <v>192853</v>
      </c>
      <c r="E13" s="150">
        <v>-2</v>
      </c>
    </row>
    <row r="14" spans="1:5" x14ac:dyDescent="0.2">
      <c r="A14" s="145" t="s">
        <v>135</v>
      </c>
      <c r="B14" s="151">
        <f>SUM(B11:B13)</f>
        <v>14739806</v>
      </c>
      <c r="C14" s="151">
        <f t="shared" ref="C14:D14" si="0">SUM(C11:C13)</f>
        <v>11389083</v>
      </c>
      <c r="D14" s="151">
        <f t="shared" si="0"/>
        <v>3350723</v>
      </c>
      <c r="E14" s="152"/>
    </row>
    <row r="15" spans="1:5" x14ac:dyDescent="0.2">
      <c r="A15" s="145"/>
      <c r="B15" s="145"/>
      <c r="C15" s="145"/>
      <c r="D15" s="145"/>
      <c r="E15" s="152"/>
    </row>
    <row r="16" spans="1:5" x14ac:dyDescent="0.2">
      <c r="A16" s="145" t="s">
        <v>58</v>
      </c>
      <c r="B16" s="153">
        <f>SUM(C16:D16)</f>
        <v>1</v>
      </c>
      <c r="C16" s="153">
        <f>ROUND(+C14/B14,5)</f>
        <v>0.77268000000000003</v>
      </c>
      <c r="D16" s="153">
        <f>ROUND(+D14/B14,5)</f>
        <v>0.22731999999999999</v>
      </c>
      <c r="E16" s="152"/>
    </row>
    <row r="17" spans="1:5" x14ac:dyDescent="0.2">
      <c r="A17" s="145"/>
      <c r="B17" s="145"/>
      <c r="C17" s="145"/>
      <c r="D17" s="145"/>
      <c r="E17" s="152"/>
    </row>
    <row r="18" spans="1:5" x14ac:dyDescent="0.2">
      <c r="A18" s="145" t="s">
        <v>59</v>
      </c>
      <c r="B18" s="145"/>
      <c r="C18" s="145"/>
      <c r="D18" s="145"/>
      <c r="E18" s="152"/>
    </row>
    <row r="19" spans="1:5" x14ac:dyDescent="0.2">
      <c r="A19" s="145" t="s">
        <v>310</v>
      </c>
      <c r="B19" s="148">
        <f>SUM(C19:D19)</f>
        <v>9086688</v>
      </c>
      <c r="C19" s="148">
        <f>'Expenses-2016'!Q15</f>
        <v>6100791</v>
      </c>
      <c r="D19" s="148">
        <f>'Expenses-2016'!O15</f>
        <v>2985897</v>
      </c>
      <c r="E19" s="154"/>
    </row>
    <row r="20" spans="1:5" x14ac:dyDescent="0.2">
      <c r="A20" s="145" t="s">
        <v>312</v>
      </c>
      <c r="B20" s="149">
        <f>SUM(C20:D20)</f>
        <v>225934</v>
      </c>
      <c r="C20" s="149">
        <f>'Expenses-2016'!Q14</f>
        <v>183994</v>
      </c>
      <c r="D20" s="149">
        <f>'Expenses-2016'!O14</f>
        <v>41940</v>
      </c>
      <c r="E20" s="154"/>
    </row>
    <row r="21" spans="1:5" x14ac:dyDescent="0.2">
      <c r="A21" s="145" t="s">
        <v>311</v>
      </c>
      <c r="B21" s="149">
        <f>SUM(C21:D21)</f>
        <v>3013024</v>
      </c>
      <c r="C21" s="149">
        <f>'Expenses-2016'!G14</f>
        <v>2445792</v>
      </c>
      <c r="D21" s="149">
        <f>'Expenses-2016'!F14</f>
        <v>567232</v>
      </c>
      <c r="E21" s="154"/>
    </row>
    <row r="22" spans="1:5" x14ac:dyDescent="0.2">
      <c r="A22" s="145" t="s">
        <v>135</v>
      </c>
      <c r="B22" s="151">
        <f>SUM(B19:B21)</f>
        <v>12325646</v>
      </c>
      <c r="C22" s="151">
        <f t="shared" ref="C22:D22" si="1">SUM(C19:C21)</f>
        <v>8730577</v>
      </c>
      <c r="D22" s="151">
        <f t="shared" si="1"/>
        <v>3595069</v>
      </c>
      <c r="E22" s="152"/>
    </row>
    <row r="23" spans="1:5" x14ac:dyDescent="0.2">
      <c r="A23" s="145"/>
      <c r="B23" s="145"/>
      <c r="C23" s="145"/>
      <c r="D23" s="145"/>
      <c r="E23" s="152"/>
    </row>
    <row r="24" spans="1:5" x14ac:dyDescent="0.2">
      <c r="A24" s="145" t="s">
        <v>58</v>
      </c>
      <c r="B24" s="153">
        <f>SUM(C24:D24)</f>
        <v>1</v>
      </c>
      <c r="C24" s="153">
        <f>ROUND(+C22/B22,5)</f>
        <v>0.70833000000000002</v>
      </c>
      <c r="D24" s="153">
        <f>ROUND(+D22/B22,5)</f>
        <v>0.29166999999999998</v>
      </c>
      <c r="E24" s="145"/>
    </row>
    <row r="25" spans="1:5" x14ac:dyDescent="0.2">
      <c r="A25" s="145"/>
      <c r="B25" s="145"/>
      <c r="C25" s="145"/>
      <c r="D25" s="145"/>
      <c r="E25" s="145"/>
    </row>
    <row r="26" spans="1:5" x14ac:dyDescent="0.2">
      <c r="A26" s="155" t="str">
        <f>'Factor 7 for 2017'!A28</f>
        <v>Year End Customers at 12/31/16</v>
      </c>
      <c r="B26" s="149">
        <f>SUM(C26:D26)</f>
        <v>239822</v>
      </c>
      <c r="C26" s="149">
        <f>'Factor 7 for 2017'!E29</f>
        <v>158677</v>
      </c>
      <c r="D26" s="149">
        <f>'Factor 7 for 2017'!E30</f>
        <v>81145</v>
      </c>
      <c r="E26" s="149"/>
    </row>
    <row r="27" spans="1:5" x14ac:dyDescent="0.2">
      <c r="A27" s="145"/>
      <c r="B27" s="145"/>
      <c r="C27" s="145"/>
      <c r="D27" s="145"/>
      <c r="E27" s="145"/>
    </row>
    <row r="28" spans="1:5" x14ac:dyDescent="0.2">
      <c r="A28" s="145" t="s">
        <v>58</v>
      </c>
      <c r="B28" s="153">
        <f>SUM(C28:D28)</f>
        <v>1</v>
      </c>
      <c r="C28" s="153">
        <f>ROUND(+C26/B26,5)</f>
        <v>0.66164000000000001</v>
      </c>
      <c r="D28" s="153">
        <f>ROUND(+D26/B26,5)</f>
        <v>0.33835999999999999</v>
      </c>
      <c r="E28" s="145"/>
    </row>
    <row r="29" spans="1:5" x14ac:dyDescent="0.2">
      <c r="A29" s="145"/>
      <c r="B29" s="145"/>
      <c r="C29" s="145"/>
      <c r="D29" s="145"/>
      <c r="E29" s="145"/>
    </row>
    <row r="30" spans="1:5" x14ac:dyDescent="0.2">
      <c r="A30" s="145" t="str">
        <f>'Factor 7 for 2017'!A36</f>
        <v>Net Direct Plant (Ending Balance at 12/31/16)</v>
      </c>
      <c r="B30" s="148">
        <f>SUM(C30:D30)</f>
        <v>428218603</v>
      </c>
      <c r="C30" s="148">
        <f>'GasNetPlt-2016'!G44</f>
        <v>286411181</v>
      </c>
      <c r="D30" s="148">
        <f>'GasNetPlt-2016'!H44</f>
        <v>141807422</v>
      </c>
      <c r="E30" s="150"/>
    </row>
    <row r="31" spans="1:5" x14ac:dyDescent="0.2">
      <c r="A31" s="145"/>
      <c r="B31" s="148"/>
      <c r="C31" s="148"/>
      <c r="D31" s="148"/>
      <c r="E31" s="150"/>
    </row>
    <row r="32" spans="1:5" x14ac:dyDescent="0.2">
      <c r="A32" s="145" t="s">
        <v>242</v>
      </c>
      <c r="B32" s="156">
        <f>SUM(C32:D32)</f>
        <v>428218603</v>
      </c>
      <c r="C32" s="156">
        <f>+C30+C31</f>
        <v>286411181</v>
      </c>
      <c r="D32" s="156">
        <f>+D30+D31</f>
        <v>141807422</v>
      </c>
      <c r="E32" s="150"/>
    </row>
    <row r="33" spans="1:5" x14ac:dyDescent="0.2">
      <c r="A33" s="145"/>
      <c r="B33" s="145"/>
      <c r="C33" s="145"/>
      <c r="D33" s="145"/>
      <c r="E33" s="145"/>
    </row>
    <row r="34" spans="1:5" x14ac:dyDescent="0.2">
      <c r="A34" s="145" t="s">
        <v>58</v>
      </c>
      <c r="B34" s="153">
        <f>SUM(C34:D34)</f>
        <v>1</v>
      </c>
      <c r="C34" s="153">
        <f>ROUND(+C32/B32,5)</f>
        <v>0.66883999999999999</v>
      </c>
      <c r="D34" s="153">
        <f>ROUND(+D32/B32,5)</f>
        <v>0.33116000000000001</v>
      </c>
      <c r="E34" s="145"/>
    </row>
    <row r="35" spans="1:5" x14ac:dyDescent="0.2">
      <c r="A35" s="145"/>
      <c r="B35" s="145"/>
      <c r="C35" s="145"/>
      <c r="D35" s="145"/>
      <c r="E35" s="145"/>
    </row>
    <row r="36" spans="1:5" x14ac:dyDescent="0.2">
      <c r="A36" s="145" t="s">
        <v>64</v>
      </c>
      <c r="B36" s="145"/>
      <c r="C36" s="145"/>
      <c r="D36" s="145"/>
      <c r="E36" s="145"/>
    </row>
    <row r="37" spans="1:5" ht="13.5" thickBot="1" x14ac:dyDescent="0.25">
      <c r="A37" s="145" t="s">
        <v>65</v>
      </c>
      <c r="B37" s="157">
        <f>SUM(C37:D37)</f>
        <v>3.9999999999999996</v>
      </c>
      <c r="C37" s="157">
        <f>C16+C24+C28+C34</f>
        <v>2.8114899999999996</v>
      </c>
      <c r="D37" s="157">
        <f>D16+D24+D28+D34</f>
        <v>1.18851</v>
      </c>
      <c r="E37" s="147" t="s">
        <v>134</v>
      </c>
    </row>
    <row r="38" spans="1:5" ht="13.5" thickBot="1" x14ac:dyDescent="0.25">
      <c r="A38" s="174" t="s">
        <v>66</v>
      </c>
      <c r="B38" s="176">
        <f>SUM(C38:D38)</f>
        <v>1</v>
      </c>
      <c r="C38" s="177">
        <f>ROUND(+C37/4,5)-0</f>
        <v>0.70286999999999999</v>
      </c>
      <c r="D38" s="178">
        <f>ROUND(+D37/4,5)</f>
        <v>0.29713000000000001</v>
      </c>
      <c r="E38" s="147" t="s">
        <v>134</v>
      </c>
    </row>
    <row r="39" spans="1:5" x14ac:dyDescent="0.2">
      <c r="A39" s="145"/>
      <c r="B39" s="145"/>
      <c r="C39" s="145"/>
      <c r="D39" s="145"/>
      <c r="E39" s="145"/>
    </row>
    <row r="40" spans="1:5" x14ac:dyDescent="0.2">
      <c r="A40" s="145" t="s">
        <v>336</v>
      </c>
      <c r="B40" s="145"/>
      <c r="C40" s="145"/>
      <c r="D40" s="145"/>
      <c r="E40" s="145"/>
    </row>
    <row r="41" spans="1:5" x14ac:dyDescent="0.2">
      <c r="A41" s="145" t="s">
        <v>136</v>
      </c>
      <c r="B41" s="158"/>
      <c r="C41" s="158"/>
      <c r="D41" s="158"/>
      <c r="E41" s="158"/>
    </row>
    <row r="42" spans="1:5" x14ac:dyDescent="0.2">
      <c r="A42" s="158"/>
      <c r="B42" s="158"/>
      <c r="C42" s="158"/>
      <c r="D42" s="158"/>
      <c r="E42" s="158"/>
    </row>
    <row r="43" spans="1:5" x14ac:dyDescent="0.2">
      <c r="A43" s="158"/>
      <c r="B43" s="158"/>
      <c r="C43" s="158"/>
      <c r="D43" s="158"/>
      <c r="E43" s="158"/>
    </row>
    <row r="44" spans="1:5" x14ac:dyDescent="0.2">
      <c r="A44" s="158"/>
      <c r="B44" s="158"/>
      <c r="C44" s="158"/>
      <c r="D44" s="158"/>
      <c r="E44" s="158"/>
    </row>
    <row r="45" spans="1:5" x14ac:dyDescent="0.2">
      <c r="A45" s="158"/>
      <c r="B45" s="158"/>
      <c r="C45" s="159"/>
      <c r="D45" s="158"/>
      <c r="E45" s="158"/>
    </row>
    <row r="46" spans="1:5" x14ac:dyDescent="0.2">
      <c r="A46" s="158"/>
      <c r="B46" s="158"/>
      <c r="C46" s="158"/>
      <c r="D46" s="158"/>
      <c r="E46" s="158"/>
    </row>
    <row r="47" spans="1:5" x14ac:dyDescent="0.2">
      <c r="A47" s="158"/>
      <c r="B47" s="158"/>
      <c r="C47" s="158"/>
      <c r="D47" s="158"/>
      <c r="E47" s="158"/>
    </row>
    <row r="48" spans="1:5" x14ac:dyDescent="0.2">
      <c r="A48" s="158"/>
      <c r="B48" s="158"/>
      <c r="C48" s="158"/>
      <c r="D48" s="158"/>
      <c r="E48" s="158"/>
    </row>
    <row r="49" spans="1:5" x14ac:dyDescent="0.2">
      <c r="A49" s="158"/>
      <c r="B49" s="158"/>
      <c r="C49" s="158"/>
      <c r="D49" s="158"/>
      <c r="E49" s="158"/>
    </row>
  </sheetData>
  <pageMargins left="0.45" right="0.45" top="0.75" bottom="0.75" header="0.3" footer="0.3"/>
  <pageSetup orientation="portrait" r:id="rId1"/>
  <headerFooter>
    <oddHeader>&amp;RExh. PDE-2</oddHeader>
    <oddFooter>&amp;RPage 3 of 3</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7"/>
  <sheetViews>
    <sheetView workbookViewId="0">
      <selection activeCell="A3" sqref="A3"/>
    </sheetView>
  </sheetViews>
  <sheetFormatPr defaultRowHeight="12.75" x14ac:dyDescent="0.2"/>
  <cols>
    <col min="1" max="1" width="9.42578125" bestFit="1" customWidth="1"/>
  </cols>
  <sheetData>
    <row r="1" spans="1:6" x14ac:dyDescent="0.2">
      <c r="A1" s="114" t="s">
        <v>0</v>
      </c>
    </row>
    <row r="2" spans="1:6" x14ac:dyDescent="0.2">
      <c r="A2" s="114" t="s">
        <v>373</v>
      </c>
    </row>
    <row r="3" spans="1:6" x14ac:dyDescent="0.2">
      <c r="A3" s="114" t="s">
        <v>374</v>
      </c>
    </row>
    <row r="4" spans="1:6" x14ac:dyDescent="0.2">
      <c r="A4" s="114" t="s">
        <v>377</v>
      </c>
    </row>
    <row r="5" spans="1:6" x14ac:dyDescent="0.2">
      <c r="A5" s="114" t="s">
        <v>376</v>
      </c>
    </row>
    <row r="8" spans="1:6" x14ac:dyDescent="0.2">
      <c r="A8" s="84"/>
    </row>
    <row r="9" spans="1:6" x14ac:dyDescent="0.2">
      <c r="C9" s="48"/>
      <c r="D9" s="48"/>
      <c r="E9" s="48"/>
      <c r="F9" s="48"/>
    </row>
    <row r="10" spans="1:6" x14ac:dyDescent="0.2">
      <c r="C10" s="48"/>
      <c r="D10" s="48"/>
      <c r="E10" s="48"/>
      <c r="F10" s="48"/>
    </row>
    <row r="11" spans="1:6" x14ac:dyDescent="0.2">
      <c r="C11" s="48"/>
      <c r="D11" s="48"/>
      <c r="E11" s="48"/>
    </row>
    <row r="13" spans="1:6" x14ac:dyDescent="0.2">
      <c r="C13" s="48"/>
    </row>
    <row r="14" spans="1:6" x14ac:dyDescent="0.2">
      <c r="C14" s="48"/>
      <c r="D14" s="48"/>
      <c r="E14" s="48"/>
      <c r="F14" s="48"/>
    </row>
    <row r="15" spans="1:6" x14ac:dyDescent="0.2">
      <c r="C15" s="48"/>
      <c r="D15" s="48"/>
      <c r="E15" s="48"/>
      <c r="F15" s="48"/>
    </row>
    <row r="16" spans="1:6" x14ac:dyDescent="0.2">
      <c r="C16" s="48"/>
      <c r="D16" s="48"/>
      <c r="E16" s="48"/>
      <c r="F16" s="48"/>
    </row>
    <row r="17" spans="1:8" x14ac:dyDescent="0.2">
      <c r="C17" s="48"/>
      <c r="D17" s="48"/>
      <c r="E17" s="48"/>
      <c r="F17" s="48"/>
    </row>
    <row r="19" spans="1:8" ht="78" customHeight="1" x14ac:dyDescent="0.2">
      <c r="A19" s="99" t="s">
        <v>274</v>
      </c>
      <c r="B19" s="135" t="s">
        <v>275</v>
      </c>
      <c r="C19" s="135"/>
      <c r="D19" s="135"/>
      <c r="E19" s="135"/>
      <c r="F19" s="135"/>
      <c r="G19" s="135"/>
      <c r="H19" s="135"/>
    </row>
    <row r="21" spans="1:8" ht="43.5" customHeight="1" x14ac:dyDescent="0.2">
      <c r="A21" s="99"/>
      <c r="B21" s="135"/>
      <c r="C21" s="135"/>
      <c r="D21" s="135"/>
      <c r="E21" s="135"/>
      <c r="F21" s="135"/>
      <c r="G21" s="135"/>
      <c r="H21" s="135"/>
    </row>
    <row r="26" spans="1:8" x14ac:dyDescent="0.2">
      <c r="C26" s="48"/>
    </row>
    <row r="27" spans="1:8" x14ac:dyDescent="0.2">
      <c r="C27" s="48"/>
    </row>
  </sheetData>
  <mergeCells count="2">
    <mergeCell ref="B19:H19"/>
    <mergeCell ref="B21:H21"/>
  </mergeCells>
  <pageMargins left="0.7" right="0.7" top="0.75" bottom="0.75" header="0.3" footer="0.3"/>
  <pageSetup orientation="portrait" r:id="rId1"/>
  <headerFooter>
    <oddFooter>&amp;L&amp;F
&amp;A&amp;RPrepared By: Jeanne Pluth
Date: January 23, 2015</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33"/>
  <sheetViews>
    <sheetView zoomScaleNormal="100" workbookViewId="0">
      <pane xSplit="3" ySplit="4" topLeftCell="D6" activePane="bottomRight" state="frozen"/>
      <selection pane="topRight" activeCell="D1" sqref="D1"/>
      <selection pane="bottomLeft" activeCell="A5" sqref="A5"/>
      <selection pane="bottomRight" activeCell="S20" sqref="S20"/>
    </sheetView>
  </sheetViews>
  <sheetFormatPr defaultRowHeight="12.75" x14ac:dyDescent="0.2"/>
  <cols>
    <col min="1" max="1" width="3.85546875" bestFit="1" customWidth="1"/>
    <col min="2" max="2" width="10.140625" bestFit="1" customWidth="1"/>
    <col min="3" max="3" width="5.28515625" bestFit="1" customWidth="1"/>
    <col min="4" max="4" width="11.42578125" bestFit="1" customWidth="1"/>
    <col min="5" max="5" width="10.28515625" bestFit="1" customWidth="1"/>
    <col min="6" max="6" width="9.5703125" bestFit="1" customWidth="1"/>
    <col min="7" max="7" width="10.7109375" bestFit="1" customWidth="1"/>
    <col min="8" max="8" width="12.5703125" bestFit="1" customWidth="1"/>
    <col min="9" max="9" width="11.140625" bestFit="1" customWidth="1"/>
    <col min="10" max="10" width="4.7109375" bestFit="1" customWidth="1"/>
    <col min="11" max="11" width="11" bestFit="1" customWidth="1"/>
    <col min="12" max="12" width="10.28515625" bestFit="1" customWidth="1"/>
    <col min="13" max="13" width="12.5703125" bestFit="1" customWidth="1"/>
    <col min="14" max="14" width="8.7109375" bestFit="1" customWidth="1"/>
    <col min="15" max="15" width="10.7109375" bestFit="1" customWidth="1"/>
    <col min="16" max="16" width="13.7109375" bestFit="1" customWidth="1"/>
    <col min="17" max="17" width="13.7109375" customWidth="1"/>
    <col min="18" max="18" width="9.42578125" style="125" bestFit="1" customWidth="1"/>
    <col min="19" max="19" width="10.85546875" style="125" bestFit="1" customWidth="1"/>
    <col min="20" max="20" width="8.85546875" style="125" bestFit="1" customWidth="1"/>
  </cols>
  <sheetData>
    <row r="1" spans="1:21" x14ac:dyDescent="0.2">
      <c r="A1" t="str">
        <f>Notes!A4</f>
        <v>For the Twelve Months Ended December 31, 2016</v>
      </c>
    </row>
    <row r="2" spans="1:21" ht="13.5" thickBot="1" x14ac:dyDescent="0.25"/>
    <row r="3" spans="1:21" ht="13.5" thickBot="1" x14ac:dyDescent="0.25">
      <c r="D3" s="136" t="s">
        <v>187</v>
      </c>
      <c r="E3" s="137"/>
      <c r="F3" s="137"/>
      <c r="G3" s="138"/>
      <c r="H3" s="136" t="s">
        <v>288</v>
      </c>
      <c r="I3" s="137"/>
      <c r="J3" s="137"/>
      <c r="K3" s="138"/>
      <c r="L3" s="136" t="s">
        <v>188</v>
      </c>
      <c r="M3" s="137"/>
      <c r="N3" s="137"/>
      <c r="O3" s="137"/>
      <c r="P3" s="137"/>
      <c r="Q3" s="138"/>
      <c r="R3" s="126" t="s">
        <v>235</v>
      </c>
      <c r="S3" s="126"/>
    </row>
    <row r="4" spans="1:21" s="110" customFormat="1" x14ac:dyDescent="0.2">
      <c r="D4" s="110" t="s">
        <v>189</v>
      </c>
      <c r="E4" s="110" t="s">
        <v>190</v>
      </c>
      <c r="F4" s="110" t="s">
        <v>293</v>
      </c>
      <c r="G4" s="110" t="s">
        <v>294</v>
      </c>
      <c r="H4" s="110" t="s">
        <v>190</v>
      </c>
      <c r="I4" s="110" t="s">
        <v>293</v>
      </c>
      <c r="J4" s="110" t="s">
        <v>295</v>
      </c>
      <c r="K4" s="110" t="s">
        <v>294</v>
      </c>
      <c r="L4" s="110" t="s">
        <v>189</v>
      </c>
      <c r="M4" s="110" t="s">
        <v>190</v>
      </c>
      <c r="N4" s="110" t="s">
        <v>299</v>
      </c>
      <c r="O4" s="110" t="s">
        <v>293</v>
      </c>
      <c r="P4" s="110" t="s">
        <v>300</v>
      </c>
      <c r="Q4" s="110" t="s">
        <v>294</v>
      </c>
      <c r="R4" s="127"/>
      <c r="S4" s="127"/>
      <c r="T4" s="127"/>
    </row>
    <row r="5" spans="1:21" x14ac:dyDescent="0.2">
      <c r="A5" t="s">
        <v>288</v>
      </c>
      <c r="B5" t="s">
        <v>289</v>
      </c>
      <c r="C5" t="s">
        <v>290</v>
      </c>
      <c r="D5" s="100">
        <v>32859477</v>
      </c>
      <c r="E5" s="100">
        <v>1435429</v>
      </c>
      <c r="F5" s="100">
        <v>465625</v>
      </c>
      <c r="G5" s="100">
        <v>1240806</v>
      </c>
      <c r="H5" s="100">
        <v>4326383</v>
      </c>
      <c r="I5" s="100">
        <v>6924253</v>
      </c>
      <c r="J5" s="100">
        <v>0</v>
      </c>
      <c r="K5" s="100">
        <v>18532681</v>
      </c>
      <c r="L5" s="100"/>
      <c r="M5" s="100"/>
      <c r="N5" s="100"/>
      <c r="O5" s="100"/>
      <c r="P5" s="100"/>
      <c r="Q5" s="100"/>
      <c r="R5" s="128">
        <f>S5-T5</f>
        <v>0</v>
      </c>
      <c r="S5" s="129">
        <v>65784654</v>
      </c>
      <c r="T5" s="128">
        <f>SUM(D5:Q5)</f>
        <v>65784654</v>
      </c>
      <c r="U5" s="48"/>
    </row>
    <row r="6" spans="1:21" x14ac:dyDescent="0.2">
      <c r="A6" t="s">
        <v>288</v>
      </c>
      <c r="B6" t="s">
        <v>289</v>
      </c>
      <c r="C6" t="s">
        <v>291</v>
      </c>
      <c r="D6" s="100"/>
      <c r="E6" s="100"/>
      <c r="F6" s="100"/>
      <c r="G6" s="100"/>
      <c r="H6" s="100">
        <v>41141903</v>
      </c>
      <c r="I6" s="100">
        <v>6837169</v>
      </c>
      <c r="J6" s="100"/>
      <c r="K6" s="100">
        <v>13041456</v>
      </c>
      <c r="L6" s="100"/>
      <c r="M6" s="100"/>
      <c r="N6" s="100"/>
      <c r="O6" s="100"/>
      <c r="P6" s="100"/>
      <c r="Q6" s="100"/>
      <c r="R6" s="128">
        <f t="shared" ref="R6:R22" si="0">S6-T6</f>
        <v>0</v>
      </c>
      <c r="S6" s="129">
        <v>61020528</v>
      </c>
      <c r="T6" s="128">
        <f t="shared" ref="T6:T22" si="1">SUM(D6:Q6)</f>
        <v>61020528</v>
      </c>
      <c r="U6" s="48"/>
    </row>
    <row r="7" spans="1:21" x14ac:dyDescent="0.2">
      <c r="A7" t="s">
        <v>288</v>
      </c>
      <c r="B7" t="s">
        <v>289</v>
      </c>
      <c r="C7" t="s">
        <v>292</v>
      </c>
      <c r="D7" s="100"/>
      <c r="E7" s="100"/>
      <c r="F7" s="100"/>
      <c r="G7" s="100"/>
      <c r="H7" s="100">
        <v>337988596</v>
      </c>
      <c r="I7" s="100">
        <v>2747638</v>
      </c>
      <c r="J7" s="100"/>
      <c r="K7" s="100">
        <v>3609992</v>
      </c>
      <c r="L7" s="100"/>
      <c r="M7" s="100"/>
      <c r="N7" s="100"/>
      <c r="O7" s="100"/>
      <c r="P7" s="100"/>
      <c r="Q7" s="100"/>
      <c r="R7" s="128">
        <f t="shared" si="0"/>
        <v>0</v>
      </c>
      <c r="S7" s="129">
        <v>344346226</v>
      </c>
      <c r="T7" s="128">
        <f t="shared" si="1"/>
        <v>344346226</v>
      </c>
      <c r="U7" s="48"/>
    </row>
    <row r="8" spans="1:21" x14ac:dyDescent="0.2">
      <c r="A8" s="120" t="s">
        <v>288</v>
      </c>
      <c r="B8" s="120" t="s">
        <v>296</v>
      </c>
      <c r="C8" s="120" t="s">
        <v>290</v>
      </c>
      <c r="D8" s="121">
        <v>38478407</v>
      </c>
      <c r="E8" s="121">
        <v>2032794</v>
      </c>
      <c r="F8" s="121">
        <v>1114108</v>
      </c>
      <c r="G8" s="121">
        <v>4543331</v>
      </c>
      <c r="H8" s="121">
        <v>2966329</v>
      </c>
      <c r="I8" s="121">
        <v>238465</v>
      </c>
      <c r="J8" s="121">
        <v>0</v>
      </c>
      <c r="K8" s="121">
        <v>436117</v>
      </c>
      <c r="L8" s="121"/>
      <c r="M8" s="121"/>
      <c r="N8" s="121"/>
      <c r="O8" s="121"/>
      <c r="P8" s="121"/>
      <c r="Q8" s="121"/>
      <c r="R8" s="128">
        <f t="shared" si="0"/>
        <v>1</v>
      </c>
      <c r="S8" s="129">
        <v>49809552</v>
      </c>
      <c r="T8" s="128">
        <f t="shared" si="1"/>
        <v>49809551</v>
      </c>
      <c r="U8" s="48"/>
    </row>
    <row r="9" spans="1:21" x14ac:dyDescent="0.2">
      <c r="A9" s="120" t="s">
        <v>288</v>
      </c>
      <c r="B9" s="120" t="s">
        <v>296</v>
      </c>
      <c r="C9" s="120" t="s">
        <v>291</v>
      </c>
      <c r="D9" s="121"/>
      <c r="E9" s="121"/>
      <c r="F9" s="121"/>
      <c r="G9" s="121"/>
      <c r="H9" s="121">
        <v>35769215</v>
      </c>
      <c r="I9" s="121">
        <v>4230161</v>
      </c>
      <c r="J9" s="121"/>
      <c r="K9" s="121">
        <v>8869997</v>
      </c>
      <c r="L9" s="121"/>
      <c r="M9" s="121"/>
      <c r="N9" s="121"/>
      <c r="O9" s="121"/>
      <c r="P9" s="121"/>
      <c r="Q9" s="121"/>
      <c r="R9" s="128">
        <f t="shared" si="0"/>
        <v>1</v>
      </c>
      <c r="S9" s="129">
        <v>48869374</v>
      </c>
      <c r="T9" s="128">
        <f t="shared" si="1"/>
        <v>48869373</v>
      </c>
      <c r="U9" s="48"/>
    </row>
    <row r="10" spans="1:21" ht="13.5" thickBot="1" x14ac:dyDescent="0.25">
      <c r="A10" s="123" t="s">
        <v>288</v>
      </c>
      <c r="B10" s="123" t="s">
        <v>296</v>
      </c>
      <c r="C10" s="123" t="s">
        <v>292</v>
      </c>
      <c r="D10" s="124"/>
      <c r="E10" s="124"/>
      <c r="F10" s="124"/>
      <c r="G10" s="124"/>
      <c r="H10" s="124">
        <v>6932777</v>
      </c>
      <c r="I10" s="124"/>
      <c r="J10" s="124"/>
      <c r="K10" s="124"/>
      <c r="L10" s="124"/>
      <c r="M10" s="124"/>
      <c r="N10" s="124"/>
      <c r="O10" s="124"/>
      <c r="P10" s="124"/>
      <c r="Q10" s="124"/>
      <c r="R10" s="128">
        <f t="shared" si="0"/>
        <v>0</v>
      </c>
      <c r="S10" s="129">
        <v>6932777</v>
      </c>
      <c r="T10" s="128">
        <f t="shared" si="1"/>
        <v>6932777</v>
      </c>
      <c r="U10" s="48"/>
    </row>
    <row r="11" spans="1:21" x14ac:dyDescent="0.2">
      <c r="A11" t="s">
        <v>297</v>
      </c>
      <c r="B11" t="s">
        <v>289</v>
      </c>
      <c r="C11" t="s">
        <v>290</v>
      </c>
      <c r="D11" s="100">
        <v>10882052</v>
      </c>
      <c r="E11" s="100">
        <v>608815</v>
      </c>
      <c r="F11" s="100">
        <v>192853</v>
      </c>
      <c r="G11" s="100">
        <v>624408</v>
      </c>
      <c r="H11" s="100"/>
      <c r="I11" s="100"/>
      <c r="J11" s="100"/>
      <c r="K11" s="100"/>
      <c r="L11" s="100">
        <v>357712</v>
      </c>
      <c r="M11" s="100">
        <v>131835</v>
      </c>
      <c r="N11" s="100"/>
      <c r="O11" s="100">
        <v>1289168</v>
      </c>
      <c r="P11" s="100"/>
      <c r="Q11" s="100">
        <v>7310016</v>
      </c>
      <c r="R11" s="128">
        <f t="shared" si="0"/>
        <v>0</v>
      </c>
      <c r="S11" s="129">
        <v>21396859</v>
      </c>
      <c r="T11" s="128">
        <f t="shared" si="1"/>
        <v>21396859</v>
      </c>
      <c r="U11" s="48"/>
    </row>
    <row r="12" spans="1:21" x14ac:dyDescent="0.2">
      <c r="A12" t="s">
        <v>297</v>
      </c>
      <c r="B12" t="s">
        <v>289</v>
      </c>
      <c r="C12" t="s">
        <v>291</v>
      </c>
      <c r="D12" s="100"/>
      <c r="E12" s="100"/>
      <c r="F12" s="100"/>
      <c r="G12" s="100"/>
      <c r="H12" s="100"/>
      <c r="I12" s="100"/>
      <c r="J12" s="100"/>
      <c r="K12" s="100"/>
      <c r="L12" s="100">
        <v>416533</v>
      </c>
      <c r="M12" s="100">
        <v>1673030</v>
      </c>
      <c r="N12" s="100"/>
      <c r="O12" s="100">
        <v>1868702</v>
      </c>
      <c r="P12" s="100"/>
      <c r="Q12" s="100">
        <v>3454659</v>
      </c>
      <c r="R12" s="128">
        <f t="shared" si="0"/>
        <v>0</v>
      </c>
      <c r="S12" s="129">
        <v>7412924</v>
      </c>
      <c r="T12" s="128">
        <f t="shared" si="1"/>
        <v>7412924</v>
      </c>
      <c r="U12" s="48"/>
    </row>
    <row r="13" spans="1:21" x14ac:dyDescent="0.2">
      <c r="A13" t="s">
        <v>297</v>
      </c>
      <c r="B13" t="s">
        <v>289</v>
      </c>
      <c r="C13" t="s">
        <v>292</v>
      </c>
      <c r="D13" s="100"/>
      <c r="E13" s="100"/>
      <c r="F13" s="100"/>
      <c r="G13" s="100"/>
      <c r="H13" s="100"/>
      <c r="I13" s="100"/>
      <c r="J13" s="100"/>
      <c r="K13" s="100"/>
      <c r="L13" s="100">
        <v>0</v>
      </c>
      <c r="M13" s="100">
        <v>158223658</v>
      </c>
      <c r="N13" s="100"/>
      <c r="O13" s="100">
        <v>3433781</v>
      </c>
      <c r="P13" s="100"/>
      <c r="Q13" s="100">
        <v>7288789</v>
      </c>
      <c r="R13" s="128">
        <f t="shared" si="0"/>
        <v>-1</v>
      </c>
      <c r="S13" s="129">
        <v>168946227</v>
      </c>
      <c r="T13" s="128">
        <f t="shared" si="1"/>
        <v>168946228</v>
      </c>
      <c r="U13" s="48"/>
    </row>
    <row r="14" spans="1:21" x14ac:dyDescent="0.2">
      <c r="A14" s="120" t="s">
        <v>297</v>
      </c>
      <c r="B14" s="120" t="s">
        <v>296</v>
      </c>
      <c r="C14" s="120" t="s">
        <v>290</v>
      </c>
      <c r="D14" s="121">
        <v>13177372</v>
      </c>
      <c r="E14" s="121">
        <v>791706</v>
      </c>
      <c r="F14" s="121">
        <v>567232</v>
      </c>
      <c r="G14" s="121">
        <v>2445792</v>
      </c>
      <c r="H14" s="121"/>
      <c r="I14" s="121"/>
      <c r="J14" s="121"/>
      <c r="K14" s="121"/>
      <c r="L14" s="121">
        <v>350053</v>
      </c>
      <c r="M14" s="121">
        <v>781</v>
      </c>
      <c r="N14" s="121"/>
      <c r="O14" s="121">
        <v>41940</v>
      </c>
      <c r="P14" s="121"/>
      <c r="Q14" s="121">
        <v>183994</v>
      </c>
      <c r="R14" s="128">
        <f t="shared" si="0"/>
        <v>-1</v>
      </c>
      <c r="S14" s="129">
        <v>17558869</v>
      </c>
      <c r="T14" s="128">
        <f t="shared" si="1"/>
        <v>17558870</v>
      </c>
      <c r="U14" s="48"/>
    </row>
    <row r="15" spans="1:21" x14ac:dyDescent="0.2">
      <c r="A15" s="120" t="s">
        <v>297</v>
      </c>
      <c r="B15" s="120" t="s">
        <v>296</v>
      </c>
      <c r="C15" s="120" t="s">
        <v>291</v>
      </c>
      <c r="D15" s="121"/>
      <c r="E15" s="121"/>
      <c r="F15" s="121"/>
      <c r="G15" s="121"/>
      <c r="H15" s="121"/>
      <c r="I15" s="121"/>
      <c r="J15" s="121"/>
      <c r="K15" s="121"/>
      <c r="L15" s="121">
        <v>3499557</v>
      </c>
      <c r="M15" s="121">
        <v>1002498</v>
      </c>
      <c r="N15" s="121"/>
      <c r="O15" s="121">
        <v>2985897</v>
      </c>
      <c r="P15" s="121"/>
      <c r="Q15" s="121">
        <v>6100791</v>
      </c>
      <c r="R15" s="128">
        <f t="shared" si="0"/>
        <v>0</v>
      </c>
      <c r="S15" s="129">
        <v>13588743</v>
      </c>
      <c r="T15" s="128">
        <f t="shared" si="1"/>
        <v>13588743</v>
      </c>
      <c r="U15" s="48"/>
    </row>
    <row r="16" spans="1:21" ht="13.5" thickBot="1" x14ac:dyDescent="0.25">
      <c r="A16" s="123" t="s">
        <v>297</v>
      </c>
      <c r="B16" s="123" t="s">
        <v>296</v>
      </c>
      <c r="C16" s="123" t="s">
        <v>292</v>
      </c>
      <c r="D16" s="124"/>
      <c r="E16" s="124"/>
      <c r="F16" s="124"/>
      <c r="G16" s="124"/>
      <c r="H16" s="124"/>
      <c r="I16" s="124"/>
      <c r="J16" s="124"/>
      <c r="K16" s="124"/>
      <c r="L16" s="124"/>
      <c r="M16" s="124"/>
      <c r="N16" s="124"/>
      <c r="O16" s="124"/>
      <c r="P16" s="124"/>
      <c r="Q16" s="124"/>
      <c r="R16" s="128">
        <f t="shared" si="0"/>
        <v>0</v>
      </c>
      <c r="S16" s="129"/>
      <c r="T16" s="128">
        <f t="shared" si="1"/>
        <v>0</v>
      </c>
      <c r="U16" s="48"/>
    </row>
    <row r="17" spans="1:21" x14ac:dyDescent="0.2">
      <c r="A17" t="s">
        <v>298</v>
      </c>
      <c r="B17" t="s">
        <v>289</v>
      </c>
      <c r="C17" t="s">
        <v>290</v>
      </c>
      <c r="D17" s="100">
        <v>4707928</v>
      </c>
      <c r="E17" s="100"/>
      <c r="F17" s="100"/>
      <c r="G17" s="100"/>
      <c r="H17" s="100"/>
      <c r="I17" s="100"/>
      <c r="J17" s="100"/>
      <c r="K17" s="100"/>
      <c r="L17" s="100">
        <v>155991</v>
      </c>
      <c r="M17" s="100"/>
      <c r="N17" s="100">
        <v>123585</v>
      </c>
      <c r="O17" s="100"/>
      <c r="P17" s="100">
        <v>4183248</v>
      </c>
      <c r="Q17" s="100"/>
      <c r="R17" s="128">
        <f t="shared" si="0"/>
        <v>-1</v>
      </c>
      <c r="S17" s="129">
        <v>9170751</v>
      </c>
      <c r="T17" s="128">
        <f t="shared" si="1"/>
        <v>9170752</v>
      </c>
      <c r="U17" s="48"/>
    </row>
    <row r="18" spans="1:21" x14ac:dyDescent="0.2">
      <c r="A18" t="s">
        <v>298</v>
      </c>
      <c r="B18" t="s">
        <v>289</v>
      </c>
      <c r="C18" t="s">
        <v>291</v>
      </c>
      <c r="D18" s="100"/>
      <c r="E18" s="100"/>
      <c r="F18" s="100"/>
      <c r="G18" s="100"/>
      <c r="H18" s="100"/>
      <c r="I18" s="100"/>
      <c r="J18" s="100"/>
      <c r="K18" s="100"/>
      <c r="L18" s="100">
        <v>181644</v>
      </c>
      <c r="M18" s="100"/>
      <c r="N18" s="100"/>
      <c r="O18" s="100"/>
      <c r="P18" s="100">
        <v>4100845</v>
      </c>
      <c r="Q18" s="100"/>
      <c r="R18" s="128">
        <f t="shared" si="0"/>
        <v>0</v>
      </c>
      <c r="S18" s="129">
        <v>4282489</v>
      </c>
      <c r="T18" s="128">
        <f t="shared" si="1"/>
        <v>4282489</v>
      </c>
      <c r="U18" s="48"/>
    </row>
    <row r="19" spans="1:21" x14ac:dyDescent="0.2">
      <c r="A19" t="s">
        <v>298</v>
      </c>
      <c r="B19" t="s">
        <v>289</v>
      </c>
      <c r="C19" t="s">
        <v>292</v>
      </c>
      <c r="D19" s="100"/>
      <c r="E19" s="100"/>
      <c r="F19" s="100"/>
      <c r="G19" s="100"/>
      <c r="H19" s="100"/>
      <c r="I19" s="100"/>
      <c r="J19" s="100"/>
      <c r="K19" s="100"/>
      <c r="L19" s="100">
        <v>0</v>
      </c>
      <c r="M19" s="100"/>
      <c r="N19" s="100"/>
      <c r="O19" s="100"/>
      <c r="P19" s="100">
        <v>94846048</v>
      </c>
      <c r="Q19" s="100"/>
      <c r="R19" s="128">
        <f t="shared" si="0"/>
        <v>0</v>
      </c>
      <c r="S19" s="129">
        <v>94846048</v>
      </c>
      <c r="T19" s="128">
        <f t="shared" si="1"/>
        <v>94846048</v>
      </c>
      <c r="U19" s="48"/>
    </row>
    <row r="20" spans="1:21" x14ac:dyDescent="0.2">
      <c r="A20" s="120" t="s">
        <v>298</v>
      </c>
      <c r="B20" s="120" t="s">
        <v>296</v>
      </c>
      <c r="C20" s="120" t="s">
        <v>290</v>
      </c>
      <c r="D20" s="121">
        <v>5691295</v>
      </c>
      <c r="E20" s="121"/>
      <c r="F20" s="121"/>
      <c r="G20" s="121"/>
      <c r="H20" s="121"/>
      <c r="I20" s="121"/>
      <c r="J20" s="121"/>
      <c r="K20" s="121"/>
      <c r="L20" s="121">
        <v>152651</v>
      </c>
      <c r="M20" s="121"/>
      <c r="N20" s="121">
        <v>462</v>
      </c>
      <c r="O20" s="121"/>
      <c r="P20" s="121">
        <v>1506732</v>
      </c>
      <c r="Q20" s="121"/>
      <c r="R20" s="128">
        <f t="shared" si="0"/>
        <v>0</v>
      </c>
      <c r="S20" s="129">
        <v>7351140</v>
      </c>
      <c r="T20" s="128">
        <f t="shared" si="1"/>
        <v>7351140</v>
      </c>
      <c r="U20" s="48"/>
    </row>
    <row r="21" spans="1:21" x14ac:dyDescent="0.2">
      <c r="A21" s="120" t="s">
        <v>298</v>
      </c>
      <c r="B21" s="120" t="s">
        <v>296</v>
      </c>
      <c r="C21" s="120" t="s">
        <v>291</v>
      </c>
      <c r="D21" s="121"/>
      <c r="E21" s="121"/>
      <c r="F21" s="121"/>
      <c r="G21" s="121"/>
      <c r="H21" s="121"/>
      <c r="I21" s="121"/>
      <c r="J21" s="121"/>
      <c r="K21" s="121"/>
      <c r="L21" s="121">
        <v>1526086</v>
      </c>
      <c r="M21" s="121"/>
      <c r="N21" s="121"/>
      <c r="O21" s="121"/>
      <c r="P21" s="121">
        <v>3930297</v>
      </c>
      <c r="Q21" s="121"/>
      <c r="R21" s="128">
        <f t="shared" si="0"/>
        <v>0</v>
      </c>
      <c r="S21" s="129">
        <v>5456383</v>
      </c>
      <c r="T21" s="128">
        <f t="shared" si="1"/>
        <v>5456383</v>
      </c>
      <c r="U21" s="48"/>
    </row>
    <row r="22" spans="1:21" x14ac:dyDescent="0.2">
      <c r="A22" s="120" t="s">
        <v>298</v>
      </c>
      <c r="B22" s="120" t="s">
        <v>296</v>
      </c>
      <c r="C22" s="120" t="s">
        <v>292</v>
      </c>
      <c r="D22" s="121"/>
      <c r="E22" s="121"/>
      <c r="F22" s="121"/>
      <c r="G22" s="121"/>
      <c r="H22" s="121"/>
      <c r="I22" s="121"/>
      <c r="J22" s="121"/>
      <c r="K22" s="121"/>
      <c r="L22" s="121"/>
      <c r="M22" s="121"/>
      <c r="N22" s="121"/>
      <c r="O22" s="121"/>
      <c r="P22" s="121"/>
      <c r="Q22" s="121"/>
      <c r="R22" s="128">
        <f t="shared" si="0"/>
        <v>0</v>
      </c>
      <c r="S22" s="129"/>
      <c r="T22" s="128">
        <f t="shared" si="1"/>
        <v>0</v>
      </c>
      <c r="U22" s="48"/>
    </row>
    <row r="23" spans="1:21" x14ac:dyDescent="0.2">
      <c r="D23" s="48"/>
      <c r="E23" s="48"/>
      <c r="F23" s="48"/>
      <c r="G23" s="48"/>
      <c r="H23" s="48"/>
      <c r="I23" s="48"/>
      <c r="J23" s="48"/>
      <c r="K23" s="48"/>
      <c r="L23" s="48"/>
      <c r="M23" s="48"/>
      <c r="N23" s="48"/>
      <c r="O23" s="48"/>
      <c r="P23" s="48"/>
      <c r="Q23" s="48"/>
      <c r="R23" s="128"/>
      <c r="S23" s="128"/>
      <c r="T23" s="128"/>
      <c r="U23" s="48"/>
    </row>
    <row r="24" spans="1:21" ht="13.5" thickBot="1" x14ac:dyDescent="0.25">
      <c r="D24" s="48"/>
      <c r="E24" s="48"/>
      <c r="F24" s="48"/>
      <c r="G24" s="48"/>
      <c r="H24" s="48"/>
      <c r="I24" s="48"/>
      <c r="J24" s="48"/>
      <c r="K24" s="48"/>
      <c r="L24" s="48"/>
      <c r="M24" s="48"/>
      <c r="N24" s="48"/>
      <c r="O24" s="48"/>
      <c r="P24" s="48"/>
      <c r="Q24" s="48"/>
      <c r="R24" s="128"/>
      <c r="S24" s="128"/>
      <c r="T24" s="128"/>
      <c r="U24" s="48"/>
    </row>
    <row r="25" spans="1:21" x14ac:dyDescent="0.2">
      <c r="D25" s="48"/>
      <c r="E25" s="48"/>
      <c r="F25" s="48"/>
      <c r="G25" s="48"/>
      <c r="H25" s="48"/>
      <c r="I25" s="48"/>
      <c r="J25" s="48"/>
      <c r="K25" s="48"/>
      <c r="L25" s="48"/>
      <c r="M25" s="48"/>
      <c r="N25" s="48"/>
      <c r="O25" s="48"/>
      <c r="P25" s="102" t="s">
        <v>307</v>
      </c>
      <c r="Q25" s="103"/>
      <c r="R25" s="130"/>
      <c r="S25" s="130"/>
      <c r="T25" s="128"/>
      <c r="U25" s="48"/>
    </row>
    <row r="26" spans="1:21" x14ac:dyDescent="0.2">
      <c r="D26" s="48"/>
      <c r="E26" s="48"/>
      <c r="F26" s="48"/>
      <c r="G26" s="48"/>
      <c r="H26" s="48"/>
      <c r="I26" s="48"/>
      <c r="J26" s="48"/>
      <c r="K26" s="48"/>
      <c r="L26" s="48"/>
      <c r="M26" s="48"/>
      <c r="N26" s="48"/>
      <c r="O26" s="48"/>
      <c r="P26" s="104" t="s">
        <v>1</v>
      </c>
      <c r="Q26" s="105">
        <f>SUM(D5:Q22)</f>
        <v>926773545</v>
      </c>
      <c r="R26" s="130"/>
      <c r="S26" s="130"/>
      <c r="T26" s="128"/>
      <c r="U26" s="48"/>
    </row>
    <row r="27" spans="1:21" x14ac:dyDescent="0.2">
      <c r="D27" s="48"/>
      <c r="E27" s="48"/>
      <c r="F27" s="48"/>
      <c r="G27" s="48"/>
      <c r="H27" s="48"/>
      <c r="I27" s="48"/>
      <c r="J27" s="48"/>
      <c r="K27" s="48"/>
      <c r="L27" s="48"/>
      <c r="M27" s="48"/>
      <c r="N27" s="48"/>
      <c r="O27" s="48"/>
      <c r="P27" s="104" t="s">
        <v>301</v>
      </c>
      <c r="Q27" s="116">
        <v>471151408</v>
      </c>
      <c r="R27" s="131"/>
      <c r="S27" s="131"/>
      <c r="T27" s="128"/>
      <c r="U27" s="48"/>
    </row>
    <row r="28" spans="1:21" x14ac:dyDescent="0.2">
      <c r="D28" s="48"/>
      <c r="E28" s="48"/>
      <c r="F28" s="48"/>
      <c r="G28" s="48"/>
      <c r="H28" s="48"/>
      <c r="I28" s="48"/>
      <c r="J28" s="48"/>
      <c r="K28" s="48"/>
      <c r="L28" s="48"/>
      <c r="M28" s="48"/>
      <c r="N28" s="48"/>
      <c r="O28" s="48"/>
      <c r="P28" s="104" t="s">
        <v>302</v>
      </c>
      <c r="Q28" s="116">
        <v>105611703</v>
      </c>
      <c r="R28" s="131"/>
      <c r="S28" s="131"/>
      <c r="T28" s="128"/>
      <c r="U28" s="48"/>
    </row>
    <row r="29" spans="1:21" x14ac:dyDescent="0.2">
      <c r="D29" s="48"/>
      <c r="E29" s="48"/>
      <c r="F29" s="48"/>
      <c r="G29" s="48"/>
      <c r="H29" s="48"/>
      <c r="I29" s="48"/>
      <c r="J29" s="48"/>
      <c r="K29" s="48"/>
      <c r="L29" s="48"/>
      <c r="M29" s="48"/>
      <c r="N29" s="48"/>
      <c r="O29" s="48"/>
      <c r="P29" s="104" t="s">
        <v>303</v>
      </c>
      <c r="Q29" s="116">
        <v>197756010</v>
      </c>
      <c r="R29" s="131"/>
      <c r="S29" s="131"/>
      <c r="T29" s="128"/>
      <c r="U29" s="48"/>
    </row>
    <row r="30" spans="1:21" x14ac:dyDescent="0.2">
      <c r="D30" s="48"/>
      <c r="E30" s="48"/>
      <c r="F30" s="48"/>
      <c r="G30" s="48"/>
      <c r="H30" s="48"/>
      <c r="I30" s="48"/>
      <c r="J30" s="48"/>
      <c r="K30" s="48"/>
      <c r="L30" s="48"/>
      <c r="M30" s="48"/>
      <c r="N30" s="48"/>
      <c r="O30" s="48"/>
      <c r="P30" s="104" t="s">
        <v>304</v>
      </c>
      <c r="Q30" s="116">
        <v>31147612</v>
      </c>
      <c r="R30" s="131"/>
      <c r="S30" s="131"/>
      <c r="T30" s="128"/>
      <c r="U30" s="48"/>
    </row>
    <row r="31" spans="1:21" x14ac:dyDescent="0.2">
      <c r="D31" s="48"/>
      <c r="E31" s="48"/>
      <c r="F31" s="48"/>
      <c r="G31" s="48"/>
      <c r="H31" s="48"/>
      <c r="I31" s="48"/>
      <c r="J31" s="48"/>
      <c r="K31" s="48"/>
      <c r="L31" s="48"/>
      <c r="M31" s="48"/>
      <c r="N31" s="48"/>
      <c r="O31" s="48"/>
      <c r="P31" s="104" t="s">
        <v>305</v>
      </c>
      <c r="Q31" s="116">
        <v>108299288</v>
      </c>
      <c r="R31" s="131"/>
      <c r="S31" s="131"/>
      <c r="T31" s="128"/>
      <c r="U31" s="48"/>
    </row>
    <row r="32" spans="1:21" x14ac:dyDescent="0.2">
      <c r="D32" s="48"/>
      <c r="E32" s="48"/>
      <c r="F32" s="48"/>
      <c r="G32" s="48"/>
      <c r="H32" s="48"/>
      <c r="I32" s="48"/>
      <c r="J32" s="48"/>
      <c r="K32" s="48"/>
      <c r="L32" s="48"/>
      <c r="M32" s="48"/>
      <c r="N32" s="48"/>
      <c r="O32" s="48"/>
      <c r="P32" s="104" t="s">
        <v>306</v>
      </c>
      <c r="Q32" s="116">
        <v>12807523</v>
      </c>
      <c r="R32" s="131"/>
      <c r="S32" s="131"/>
      <c r="T32" s="128"/>
      <c r="U32" s="48"/>
    </row>
    <row r="33" spans="4:21" ht="13.5" thickBot="1" x14ac:dyDescent="0.25">
      <c r="D33" s="48"/>
      <c r="E33" s="48"/>
      <c r="F33" s="48"/>
      <c r="G33" s="48"/>
      <c r="H33" s="48"/>
      <c r="I33" s="48"/>
      <c r="J33" s="48"/>
      <c r="K33" s="48"/>
      <c r="L33" s="48"/>
      <c r="M33" s="48"/>
      <c r="N33" s="48"/>
      <c r="O33" s="48"/>
      <c r="P33" s="106" t="s">
        <v>308</v>
      </c>
      <c r="Q33" s="107">
        <f>SUM(Q26-Q27-Q28-Q29-Q30-Q31-Q32)</f>
        <v>1</v>
      </c>
      <c r="R33" s="130"/>
      <c r="S33" s="130"/>
      <c r="T33" s="128"/>
      <c r="U33" s="48"/>
    </row>
  </sheetData>
  <mergeCells count="3">
    <mergeCell ref="D3:G3"/>
    <mergeCell ref="H3:K3"/>
    <mergeCell ref="L3:Q3"/>
  </mergeCells>
  <pageMargins left="0.7" right="0.7" top="0.75" bottom="0.75" header="0.3" footer="0.3"/>
  <pageSetup scale="73" orientation="landscape" r:id="rId1"/>
  <headerFooter>
    <oddFooter>&amp;L&amp;F
&amp;A&amp;RPrepared By: Jeanne Pluth
Date: January 23, 2015</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ransitionEvaluation="1">
    <pageSetUpPr fitToPage="1"/>
  </sheetPr>
  <dimension ref="A1:K53"/>
  <sheetViews>
    <sheetView showZeros="0" showOutlineSymbols="0" zoomScaleNormal="100" workbookViewId="0">
      <pane xSplit="3" ySplit="8" topLeftCell="D28" activePane="bottomRight" state="frozen"/>
      <selection pane="topRight"/>
      <selection pane="bottomLeft"/>
      <selection pane="bottomRight" activeCell="F27" sqref="F27"/>
    </sheetView>
  </sheetViews>
  <sheetFormatPr defaultColWidth="9.7109375" defaultRowHeight="12.75" x14ac:dyDescent="0.2"/>
  <cols>
    <col min="1" max="1" width="3.7109375" customWidth="1"/>
    <col min="2" max="2" width="10.85546875" style="110" customWidth="1"/>
    <col min="3" max="3" width="25" bestFit="1" customWidth="1"/>
    <col min="4" max="4" width="13.7109375" customWidth="1"/>
    <col min="5" max="5" width="13.85546875" bestFit="1" customWidth="1"/>
    <col min="6" max="6" width="11.7109375" customWidth="1"/>
    <col min="7" max="7" width="12.7109375" bestFit="1" customWidth="1"/>
    <col min="8" max="9" width="10.7109375" customWidth="1"/>
    <col min="10" max="10" width="14.85546875" bestFit="1" customWidth="1"/>
    <col min="11" max="11" width="12.42578125" bestFit="1" customWidth="1"/>
  </cols>
  <sheetData>
    <row r="1" spans="1:10" x14ac:dyDescent="0.2">
      <c r="A1" s="1" t="str">
        <f>Notes!A1</f>
        <v>Avista Utilities</v>
      </c>
      <c r="B1" s="6"/>
      <c r="C1" s="1"/>
      <c r="D1" s="1"/>
      <c r="E1" s="1"/>
      <c r="F1" s="1"/>
      <c r="G1" s="1"/>
      <c r="H1" s="1"/>
      <c r="I1" s="1"/>
      <c r="J1" s="51"/>
    </row>
    <row r="2" spans="1:10" x14ac:dyDescent="0.2">
      <c r="A2" s="1" t="s">
        <v>4</v>
      </c>
      <c r="B2" s="6"/>
      <c r="C2" s="1"/>
      <c r="D2" s="1"/>
      <c r="E2" s="1"/>
      <c r="F2" s="1"/>
      <c r="G2" s="1"/>
      <c r="H2" s="1"/>
      <c r="I2" s="1"/>
      <c r="J2" s="1"/>
    </row>
    <row r="3" spans="1:10" x14ac:dyDescent="0.2">
      <c r="A3" s="66" t="str">
        <f>Notes!A5</f>
        <v>Balances at December 31, 2016</v>
      </c>
      <c r="B3" s="6"/>
      <c r="C3" s="1"/>
      <c r="D3" s="1"/>
      <c r="E3" s="1"/>
      <c r="F3" s="1"/>
      <c r="G3" s="1"/>
      <c r="H3" s="1"/>
      <c r="I3" s="1"/>
      <c r="J3" s="1"/>
    </row>
    <row r="4" spans="1:10" x14ac:dyDescent="0.2">
      <c r="A4" s="1"/>
      <c r="B4" s="6"/>
      <c r="C4" s="1"/>
      <c r="D4" s="1"/>
      <c r="E4" s="1"/>
      <c r="F4" s="1"/>
      <c r="G4" s="1"/>
      <c r="H4" s="1"/>
      <c r="I4" s="1"/>
      <c r="J4" s="1"/>
    </row>
    <row r="7" spans="1:10" x14ac:dyDescent="0.2">
      <c r="A7" s="1"/>
      <c r="B7" s="6"/>
      <c r="C7" s="1"/>
      <c r="D7" s="7" t="s">
        <v>2</v>
      </c>
      <c r="E7" s="7" t="s">
        <v>200</v>
      </c>
      <c r="F7" s="7" t="s">
        <v>234</v>
      </c>
      <c r="G7" s="6" t="s">
        <v>205</v>
      </c>
      <c r="H7" s="6" t="s">
        <v>206</v>
      </c>
      <c r="I7" s="6" t="s">
        <v>207</v>
      </c>
      <c r="J7" s="6" t="s">
        <v>1</v>
      </c>
    </row>
    <row r="8" spans="1:10" x14ac:dyDescent="0.2">
      <c r="I8" s="6" t="s">
        <v>208</v>
      </c>
    </row>
    <row r="9" spans="1:10" x14ac:dyDescent="0.2">
      <c r="A9" s="1" t="s">
        <v>5</v>
      </c>
      <c r="B9" s="6"/>
      <c r="C9" s="1"/>
      <c r="D9" s="1"/>
      <c r="E9" s="1"/>
      <c r="F9" s="1"/>
      <c r="G9" s="1"/>
      <c r="H9" s="1"/>
      <c r="I9" s="1"/>
      <c r="J9" s="1"/>
    </row>
    <row r="10" spans="1:10" x14ac:dyDescent="0.2">
      <c r="A10" s="1"/>
      <c r="B10" s="6" t="s">
        <v>222</v>
      </c>
      <c r="C10" s="1" t="s">
        <v>6</v>
      </c>
      <c r="D10" s="4"/>
      <c r="E10" s="4"/>
      <c r="F10" s="4"/>
      <c r="G10" s="2"/>
      <c r="H10" s="2"/>
      <c r="I10" s="2"/>
      <c r="J10" s="2">
        <f>SUM(D10:I10)</f>
        <v>0</v>
      </c>
    </row>
    <row r="11" spans="1:10" x14ac:dyDescent="0.2">
      <c r="A11" s="1"/>
      <c r="B11" s="6" t="s">
        <v>223</v>
      </c>
      <c r="C11" s="1" t="s">
        <v>7</v>
      </c>
      <c r="D11" s="4">
        <v>44651922</v>
      </c>
      <c r="E11" s="4"/>
      <c r="F11" s="4"/>
      <c r="G11" s="2"/>
      <c r="H11" s="2"/>
      <c r="I11" s="2"/>
      <c r="J11" s="2">
        <f>SUM(D11:I11)</f>
        <v>44651922</v>
      </c>
    </row>
    <row r="12" spans="1:10" x14ac:dyDescent="0.2">
      <c r="A12" s="1"/>
      <c r="B12" s="6" t="s">
        <v>363</v>
      </c>
      <c r="C12" s="1" t="s">
        <v>244</v>
      </c>
      <c r="D12" s="4">
        <f>8550000+1211982+32748005</f>
        <v>42509987</v>
      </c>
      <c r="E12" s="4"/>
      <c r="F12" s="4"/>
      <c r="G12" s="2"/>
      <c r="H12" s="2"/>
      <c r="I12" s="2"/>
      <c r="J12" s="2">
        <f>SUM(D12:I12)</f>
        <v>42509987</v>
      </c>
    </row>
    <row r="13" spans="1:10" x14ac:dyDescent="0.2">
      <c r="A13" s="1"/>
      <c r="B13" s="98">
        <v>182325</v>
      </c>
      <c r="C13" s="1" t="s">
        <v>270</v>
      </c>
      <c r="D13" s="4">
        <v>2000000</v>
      </c>
      <c r="E13" s="4"/>
      <c r="F13" s="4"/>
      <c r="G13" s="2"/>
      <c r="H13" s="2"/>
      <c r="I13" s="2"/>
      <c r="J13" s="2">
        <f>SUM(D13:I13)</f>
        <v>2000000</v>
      </c>
    </row>
    <row r="14" spans="1:10" ht="13.5" thickBot="1" x14ac:dyDescent="0.25">
      <c r="A14" s="1"/>
      <c r="B14" s="6"/>
      <c r="C14" s="1"/>
      <c r="D14" s="11">
        <f t="shared" ref="D14:J14" si="0">SUM(D10:D13)</f>
        <v>89161909</v>
      </c>
      <c r="E14" s="11">
        <f t="shared" si="0"/>
        <v>0</v>
      </c>
      <c r="F14" s="11">
        <f t="shared" si="0"/>
        <v>0</v>
      </c>
      <c r="G14" s="11">
        <f t="shared" si="0"/>
        <v>0</v>
      </c>
      <c r="H14" s="11">
        <f t="shared" si="0"/>
        <v>0</v>
      </c>
      <c r="I14" s="11">
        <f t="shared" si="0"/>
        <v>0</v>
      </c>
      <c r="J14" s="11">
        <f t="shared" si="0"/>
        <v>89161909</v>
      </c>
    </row>
    <row r="15" spans="1:10" ht="13.5" thickTop="1" x14ac:dyDescent="0.2">
      <c r="A15" s="1"/>
      <c r="B15" s="6"/>
      <c r="C15" s="1"/>
      <c r="D15" s="2"/>
      <c r="E15" s="2"/>
      <c r="F15" s="2"/>
      <c r="G15" s="2"/>
      <c r="H15" s="2"/>
      <c r="I15" s="2"/>
      <c r="J15" s="2"/>
    </row>
    <row r="16" spans="1:10" x14ac:dyDescent="0.2">
      <c r="A16" s="1" t="s">
        <v>8</v>
      </c>
      <c r="B16" s="6"/>
      <c r="C16" s="1"/>
      <c r="D16" s="4">
        <v>418126216</v>
      </c>
      <c r="E16" s="4"/>
      <c r="F16" s="4"/>
      <c r="G16" s="2"/>
      <c r="H16" s="2"/>
      <c r="I16" s="2"/>
      <c r="J16" s="2">
        <f>SUM(D16:I16)</f>
        <v>418126216</v>
      </c>
    </row>
    <row r="17" spans="1:11" x14ac:dyDescent="0.2">
      <c r="A17" s="1" t="s">
        <v>9</v>
      </c>
      <c r="B17" s="6"/>
      <c r="C17" s="1"/>
      <c r="D17" s="4">
        <v>607676666</v>
      </c>
      <c r="E17" s="4"/>
      <c r="F17" s="4"/>
      <c r="G17" s="2"/>
      <c r="H17" s="2"/>
      <c r="I17" s="2"/>
      <c r="J17" s="2">
        <f>SUM(D17:I17)</f>
        <v>607676666</v>
      </c>
    </row>
    <row r="18" spans="1:11" x14ac:dyDescent="0.2">
      <c r="A18" s="1" t="s">
        <v>10</v>
      </c>
      <c r="B18" s="6"/>
      <c r="C18" s="1"/>
      <c r="D18" s="4">
        <v>303995832</v>
      </c>
      <c r="E18" s="4"/>
      <c r="F18" s="4">
        <v>7628</v>
      </c>
      <c r="G18" s="2"/>
      <c r="H18" s="2"/>
      <c r="I18" s="2"/>
      <c r="J18" s="2">
        <f>SUM(D18:I18)</f>
        <v>304003460</v>
      </c>
    </row>
    <row r="19" spans="1:11" ht="13.5" thickBot="1" x14ac:dyDescent="0.25">
      <c r="A19" s="1" t="s">
        <v>11</v>
      </c>
      <c r="B19" s="6"/>
      <c r="C19" s="1"/>
      <c r="D19" s="11">
        <f t="shared" ref="D19:J19" si="1">SUM(D16:D18)</f>
        <v>1329798714</v>
      </c>
      <c r="E19" s="11">
        <f t="shared" si="1"/>
        <v>0</v>
      </c>
      <c r="F19" s="11">
        <f t="shared" si="1"/>
        <v>7628</v>
      </c>
      <c r="G19" s="11">
        <f t="shared" si="1"/>
        <v>0</v>
      </c>
      <c r="H19" s="11">
        <f t="shared" si="1"/>
        <v>0</v>
      </c>
      <c r="I19" s="11">
        <f t="shared" si="1"/>
        <v>0</v>
      </c>
      <c r="J19" s="11">
        <f t="shared" si="1"/>
        <v>1329806342</v>
      </c>
    </row>
    <row r="20" spans="1:11" ht="13.5" thickTop="1" x14ac:dyDescent="0.2">
      <c r="A20" s="1"/>
      <c r="B20" s="6"/>
      <c r="C20" s="1"/>
      <c r="D20" s="2">
        <f>-D19+1329798714</f>
        <v>0</v>
      </c>
      <c r="E20" s="2"/>
      <c r="F20" s="2"/>
      <c r="G20" s="2"/>
      <c r="H20" s="2"/>
      <c r="I20" s="2"/>
      <c r="J20" s="2"/>
    </row>
    <row r="21" spans="1:11" ht="13.5" thickBot="1" x14ac:dyDescent="0.25">
      <c r="A21" s="1" t="s">
        <v>12</v>
      </c>
      <c r="B21" s="6"/>
      <c r="C21" s="1"/>
      <c r="D21" s="12">
        <v>678742802</v>
      </c>
      <c r="E21" s="12"/>
      <c r="F21" s="12"/>
      <c r="G21" s="13"/>
      <c r="H21" s="13"/>
      <c r="I21" s="13"/>
      <c r="J21" s="13">
        <f>SUM(D21:I21)</f>
        <v>678742802</v>
      </c>
    </row>
    <row r="22" spans="1:11" ht="13.5" thickTop="1" x14ac:dyDescent="0.2">
      <c r="A22" s="1"/>
      <c r="B22" s="6"/>
      <c r="C22" s="1"/>
      <c r="D22" s="4"/>
      <c r="E22" s="4"/>
      <c r="F22" s="4"/>
      <c r="G22" s="2"/>
      <c r="H22" s="2"/>
      <c r="I22" s="2"/>
      <c r="J22" s="2"/>
    </row>
    <row r="23" spans="1:11" ht="13.5" thickBot="1" x14ac:dyDescent="0.25">
      <c r="A23" s="1" t="s">
        <v>13</v>
      </c>
      <c r="B23" s="6"/>
      <c r="C23" s="1"/>
      <c r="D23" s="12"/>
      <c r="E23" s="12">
        <v>38486576</v>
      </c>
      <c r="F23" s="12">
        <v>6190186</v>
      </c>
      <c r="G23" s="13"/>
      <c r="H23" s="13"/>
      <c r="I23" s="13"/>
      <c r="J23" s="13">
        <f>SUM(D23:I23)</f>
        <v>44676762</v>
      </c>
    </row>
    <row r="24" spans="1:11" ht="13.5" thickTop="1" x14ac:dyDescent="0.2">
      <c r="A24" s="1"/>
      <c r="B24" s="6"/>
      <c r="C24" s="1"/>
      <c r="D24" s="4"/>
      <c r="E24" s="4"/>
      <c r="F24" s="4"/>
      <c r="G24" s="2"/>
      <c r="H24" s="2"/>
      <c r="I24" s="2"/>
      <c r="J24" s="2"/>
    </row>
    <row r="25" spans="1:11" ht="13.5" thickBot="1" x14ac:dyDescent="0.25">
      <c r="A25" s="1" t="s">
        <v>14</v>
      </c>
      <c r="B25" s="6"/>
      <c r="C25" s="1"/>
      <c r="D25" s="12">
        <v>1550805789</v>
      </c>
      <c r="E25" s="12">
        <v>614449498</v>
      </c>
      <c r="F25" s="12">
        <v>339652994</v>
      </c>
      <c r="G25" s="13"/>
      <c r="H25" s="13"/>
      <c r="I25" s="13"/>
      <c r="J25" s="13">
        <f>SUM(D25:I25)</f>
        <v>2504908281</v>
      </c>
    </row>
    <row r="26" spans="1:11" ht="13.5" thickTop="1" x14ac:dyDescent="0.2">
      <c r="A26" s="1"/>
      <c r="B26" s="6"/>
      <c r="C26" s="1"/>
      <c r="D26" s="2">
        <f>ROUND(+D25+D23+D21+D19+D14-4159778234+17182098+52998457+4621576+71918864+364548025,0)</f>
        <v>0</v>
      </c>
      <c r="E26" s="2">
        <f>ROUND(+E25+E23+E21+E19+E14-775853840+38520920+84396846,0)</f>
        <v>0</v>
      </c>
      <c r="F26" s="2">
        <f>ROUND(+F25+F23+F21+F19+F14-394856826+16425965+32580053,0)</f>
        <v>0</v>
      </c>
      <c r="G26" s="97"/>
      <c r="H26" s="97"/>
      <c r="I26" s="97"/>
      <c r="J26" s="97"/>
    </row>
    <row r="27" spans="1:11" x14ac:dyDescent="0.2">
      <c r="A27" s="1"/>
      <c r="B27" s="6"/>
      <c r="C27" s="1"/>
      <c r="G27" s="2"/>
      <c r="H27" s="2"/>
      <c r="I27" s="2"/>
      <c r="J27" s="2"/>
    </row>
    <row r="28" spans="1:11" x14ac:dyDescent="0.2">
      <c r="A28" s="1" t="s">
        <v>15</v>
      </c>
      <c r="B28" s="6"/>
      <c r="C28" s="1"/>
      <c r="D28" s="2"/>
      <c r="E28" s="2"/>
      <c r="F28" s="2"/>
      <c r="G28" s="2"/>
      <c r="H28" s="2"/>
      <c r="I28" s="2"/>
      <c r="J28" s="2"/>
    </row>
    <row r="29" spans="1:11" x14ac:dyDescent="0.2">
      <c r="A29" s="1"/>
      <c r="B29" s="6" t="s">
        <v>224</v>
      </c>
      <c r="C29" s="1" t="s">
        <v>16</v>
      </c>
      <c r="D29" s="4">
        <v>398664</v>
      </c>
      <c r="E29" s="4">
        <v>601171</v>
      </c>
      <c r="F29" s="4">
        <v>848544</v>
      </c>
      <c r="G29" s="4">
        <v>9918058</v>
      </c>
      <c r="H29" s="4"/>
      <c r="I29" s="4">
        <v>1633633</v>
      </c>
      <c r="J29" s="2">
        <f t="shared" ref="J29:J39" si="2">SUM(D29:I29)</f>
        <v>13400070</v>
      </c>
      <c r="K29" s="48">
        <f>-J29+13400070</f>
        <v>0</v>
      </c>
    </row>
    <row r="30" spans="1:11" x14ac:dyDescent="0.2">
      <c r="A30" s="1"/>
      <c r="B30" s="6" t="s">
        <v>225</v>
      </c>
      <c r="C30" s="1" t="s">
        <v>17</v>
      </c>
      <c r="D30" s="4">
        <v>8094586</v>
      </c>
      <c r="E30" s="4">
        <v>2233288</v>
      </c>
      <c r="F30" s="4">
        <v>3604553</v>
      </c>
      <c r="G30" s="4">
        <v>102478015</v>
      </c>
      <c r="H30" s="4"/>
      <c r="I30" s="4">
        <v>24949267</v>
      </c>
      <c r="J30" s="2">
        <f t="shared" si="2"/>
        <v>141359709</v>
      </c>
      <c r="K30" s="48">
        <f>-J30+141359709</f>
        <v>0</v>
      </c>
    </row>
    <row r="31" spans="1:11" x14ac:dyDescent="0.2">
      <c r="A31" s="1"/>
      <c r="B31" s="6" t="s">
        <v>226</v>
      </c>
      <c r="C31" s="1" t="s">
        <v>18</v>
      </c>
      <c r="D31" s="4">
        <v>8382466</v>
      </c>
      <c r="E31" s="4">
        <v>6650</v>
      </c>
      <c r="F31" s="4"/>
      <c r="G31" s="4">
        <v>59271284</v>
      </c>
      <c r="H31" s="4">
        <v>614934</v>
      </c>
      <c r="I31" s="4">
        <v>683946</v>
      </c>
      <c r="J31" s="2">
        <f t="shared" si="2"/>
        <v>68959280</v>
      </c>
      <c r="K31" s="48">
        <f>-J31+68959280</f>
        <v>0</v>
      </c>
    </row>
    <row r="32" spans="1:11" x14ac:dyDescent="0.2">
      <c r="A32" s="1"/>
      <c r="B32" s="6" t="s">
        <v>227</v>
      </c>
      <c r="C32" s="1" t="s">
        <v>19</v>
      </c>
      <c r="D32" s="4">
        <v>38781329</v>
      </c>
      <c r="E32" s="4">
        <v>12144252</v>
      </c>
      <c r="F32" s="4">
        <v>4212262</v>
      </c>
      <c r="G32" s="4">
        <v>580212</v>
      </c>
      <c r="H32" s="4"/>
      <c r="I32" s="4">
        <v>6114249</v>
      </c>
      <c r="J32" s="2">
        <f t="shared" si="2"/>
        <v>61832304</v>
      </c>
      <c r="K32" s="48">
        <f>-J32+61832304</f>
        <v>0</v>
      </c>
    </row>
    <row r="33" spans="1:11" x14ac:dyDescent="0.2">
      <c r="A33" s="1"/>
      <c r="B33" s="6" t="s">
        <v>228</v>
      </c>
      <c r="C33" s="1" t="s">
        <v>20</v>
      </c>
      <c r="D33" s="4">
        <v>400506</v>
      </c>
      <c r="E33" s="4">
        <v>88160</v>
      </c>
      <c r="F33" s="4">
        <v>57227</v>
      </c>
      <c r="G33" s="4">
        <v>0</v>
      </c>
      <c r="H33" s="4"/>
      <c r="I33" s="4">
        <v>4196439</v>
      </c>
      <c r="J33" s="2">
        <f t="shared" si="2"/>
        <v>4742332</v>
      </c>
      <c r="K33" s="48">
        <f>-J33+4742332</f>
        <v>0</v>
      </c>
    </row>
    <row r="34" spans="1:11" x14ac:dyDescent="0.2">
      <c r="A34" s="1"/>
      <c r="B34" s="6" t="s">
        <v>229</v>
      </c>
      <c r="C34" s="1" t="s">
        <v>198</v>
      </c>
      <c r="D34" s="4">
        <f>3966283+51258</f>
        <v>4017541</v>
      </c>
      <c r="E34" s="4">
        <v>2636264</v>
      </c>
      <c r="F34" s="4">
        <v>951077</v>
      </c>
      <c r="G34" s="4">
        <v>12886025</v>
      </c>
      <c r="H34" s="4">
        <v>3311835</v>
      </c>
      <c r="I34" s="4">
        <v>1209527</v>
      </c>
      <c r="J34" s="2">
        <f t="shared" si="2"/>
        <v>25012269</v>
      </c>
      <c r="K34" s="48">
        <f>-J34+24961011+51258</f>
        <v>0</v>
      </c>
    </row>
    <row r="35" spans="1:11" x14ac:dyDescent="0.2">
      <c r="A35" s="1"/>
      <c r="B35" s="6" t="s">
        <v>230</v>
      </c>
      <c r="C35" s="1" t="s">
        <v>22</v>
      </c>
      <c r="D35" s="4">
        <v>915711</v>
      </c>
      <c r="E35" s="4">
        <v>140249</v>
      </c>
      <c r="F35" s="4">
        <v>40917</v>
      </c>
      <c r="G35" s="4">
        <v>355663</v>
      </c>
      <c r="H35" s="4">
        <v>161302</v>
      </c>
      <c r="I35" s="4">
        <v>29158</v>
      </c>
      <c r="J35" s="2">
        <f t="shared" si="2"/>
        <v>1643000</v>
      </c>
      <c r="K35" s="48">
        <f>-J35+1643000</f>
        <v>0</v>
      </c>
    </row>
    <row r="36" spans="1:11" x14ac:dyDescent="0.2">
      <c r="A36" s="1"/>
      <c r="B36" s="6" t="s">
        <v>231</v>
      </c>
      <c r="C36" s="1" t="s">
        <v>23</v>
      </c>
      <c r="D36" s="4">
        <v>32261354</v>
      </c>
      <c r="E36" s="4">
        <v>4036711</v>
      </c>
      <c r="F36" s="4">
        <v>43834</v>
      </c>
      <c r="G36" s="4">
        <v>528479</v>
      </c>
      <c r="H36" s="4"/>
      <c r="I36" s="4">
        <v>1265106</v>
      </c>
      <c r="J36" s="2">
        <f t="shared" si="2"/>
        <v>38135484</v>
      </c>
      <c r="K36">
        <f>-J36+38135484</f>
        <v>0</v>
      </c>
    </row>
    <row r="37" spans="1:11" x14ac:dyDescent="0.2">
      <c r="A37" s="1"/>
      <c r="B37" s="6" t="s">
        <v>232</v>
      </c>
      <c r="C37" s="1" t="s">
        <v>24</v>
      </c>
      <c r="D37" s="4">
        <v>63758934</v>
      </c>
      <c r="E37" s="4">
        <v>1184732</v>
      </c>
      <c r="F37" s="4">
        <v>1228108</v>
      </c>
      <c r="G37" s="4">
        <v>43613731</v>
      </c>
      <c r="H37" s="4">
        <v>992932</v>
      </c>
      <c r="I37" s="4">
        <v>15123198</v>
      </c>
      <c r="J37" s="2">
        <f t="shared" si="2"/>
        <v>125901635</v>
      </c>
      <c r="K37" s="48">
        <f>-J37+125901635</f>
        <v>0</v>
      </c>
    </row>
    <row r="38" spans="1:11" x14ac:dyDescent="0.2">
      <c r="A38" s="1"/>
      <c r="B38" s="6" t="s">
        <v>233</v>
      </c>
      <c r="C38" s="1" t="s">
        <v>25</v>
      </c>
      <c r="D38" s="10">
        <v>141145</v>
      </c>
      <c r="E38" s="10"/>
      <c r="F38" s="10">
        <v>2367</v>
      </c>
      <c r="G38" s="4">
        <v>385353</v>
      </c>
      <c r="H38" s="4">
        <v>0</v>
      </c>
      <c r="I38" s="4">
        <v>9978</v>
      </c>
      <c r="J38" s="2">
        <f t="shared" si="2"/>
        <v>538843</v>
      </c>
      <c r="K38" s="48">
        <f>-J38+538843</f>
        <v>0</v>
      </c>
    </row>
    <row r="39" spans="1:11" ht="13.5" thickBot="1" x14ac:dyDescent="0.25">
      <c r="A39" s="1"/>
      <c r="B39" s="6"/>
      <c r="C39" s="6" t="s">
        <v>1</v>
      </c>
      <c r="D39" s="13">
        <f t="shared" ref="D39:I39" si="3">SUM(D29:D38)</f>
        <v>157152236</v>
      </c>
      <c r="E39" s="13">
        <f t="shared" si="3"/>
        <v>23071477</v>
      </c>
      <c r="F39" s="13">
        <f t="shared" si="3"/>
        <v>10988889</v>
      </c>
      <c r="G39" s="11">
        <f t="shared" si="3"/>
        <v>230016820</v>
      </c>
      <c r="H39" s="11">
        <f t="shared" si="3"/>
        <v>5081003</v>
      </c>
      <c r="I39" s="11">
        <f t="shared" si="3"/>
        <v>55214501</v>
      </c>
      <c r="J39" s="11">
        <f t="shared" si="2"/>
        <v>481524926</v>
      </c>
    </row>
    <row r="40" spans="1:11" ht="13.5" thickTop="1" x14ac:dyDescent="0.2">
      <c r="A40" s="1"/>
      <c r="B40" s="6"/>
      <c r="C40" s="1"/>
      <c r="D40" s="2"/>
      <c r="E40" s="2"/>
      <c r="F40" s="2"/>
      <c r="G40" s="2"/>
      <c r="H40" s="2"/>
      <c r="I40" s="2"/>
      <c r="J40" s="2">
        <f>-J39+481524926</f>
        <v>0</v>
      </c>
    </row>
    <row r="41" spans="1:11" x14ac:dyDescent="0.2">
      <c r="A41" s="1" t="s">
        <v>276</v>
      </c>
      <c r="B41" s="6"/>
      <c r="C41" s="1"/>
      <c r="D41" s="2"/>
      <c r="E41" s="2"/>
      <c r="F41" s="2"/>
      <c r="G41" s="2"/>
      <c r="H41" s="2"/>
      <c r="I41" s="2"/>
      <c r="J41" s="2"/>
    </row>
    <row r="42" spans="1:11" x14ac:dyDescent="0.2">
      <c r="A42" s="1"/>
      <c r="B42" s="98">
        <v>303000</v>
      </c>
      <c r="C42" s="1" t="s">
        <v>174</v>
      </c>
      <c r="D42" s="4">
        <v>10621934</v>
      </c>
      <c r="E42" s="4">
        <v>1802199</v>
      </c>
      <c r="F42" s="4">
        <v>426123</v>
      </c>
      <c r="G42" s="4">
        <v>8983907</v>
      </c>
      <c r="H42" s="4"/>
      <c r="I42" s="4">
        <v>194058</v>
      </c>
      <c r="J42" s="2">
        <f>SUM(D42:I42)</f>
        <v>22028221</v>
      </c>
      <c r="K42" s="48">
        <f>-J42+22028221</f>
        <v>0</v>
      </c>
    </row>
    <row r="43" spans="1:11" x14ac:dyDescent="0.2">
      <c r="A43" s="1"/>
      <c r="B43" s="98">
        <v>303100</v>
      </c>
      <c r="C43" s="1" t="s">
        <v>26</v>
      </c>
      <c r="D43" s="4">
        <v>7962273</v>
      </c>
      <c r="E43" s="4"/>
      <c r="F43" s="4">
        <v>0</v>
      </c>
      <c r="G43" s="4">
        <v>62941502</v>
      </c>
      <c r="H43" s="4">
        <v>1243567</v>
      </c>
      <c r="I43" s="4">
        <v>181605</v>
      </c>
      <c r="J43" s="2">
        <f>SUM(D43:I43)</f>
        <v>72328947</v>
      </c>
      <c r="K43" s="48">
        <f>-J43+72328947</f>
        <v>0</v>
      </c>
    </row>
    <row r="44" spans="1:11" x14ac:dyDescent="0.2">
      <c r="A44" s="1"/>
      <c r="B44" s="98">
        <v>303110</v>
      </c>
      <c r="C44" s="1" t="s">
        <v>27</v>
      </c>
      <c r="D44" s="4">
        <v>0</v>
      </c>
      <c r="E44" s="4"/>
      <c r="F44" s="4"/>
      <c r="G44" s="4">
        <v>6479511</v>
      </c>
      <c r="H44" s="4"/>
      <c r="I44" s="4"/>
      <c r="J44" s="2">
        <f>SUM(D44:I44)</f>
        <v>6479511</v>
      </c>
      <c r="K44" s="48">
        <f>-J44+6479511</f>
        <v>0</v>
      </c>
    </row>
    <row r="45" spans="1:11" x14ac:dyDescent="0.2">
      <c r="A45" s="1"/>
      <c r="B45" s="98">
        <v>303115</v>
      </c>
      <c r="C45" s="1" t="s">
        <v>27</v>
      </c>
      <c r="D45" s="4"/>
      <c r="E45" s="4"/>
      <c r="F45" s="4"/>
      <c r="G45" s="4">
        <v>100831204</v>
      </c>
      <c r="H45" s="4"/>
      <c r="I45" s="4"/>
      <c r="J45" s="14">
        <f>SUM(D45:I45)</f>
        <v>100831204</v>
      </c>
      <c r="K45" s="48">
        <f>-J45+100831204</f>
        <v>0</v>
      </c>
    </row>
    <row r="46" spans="1:11" ht="13.5" thickBot="1" x14ac:dyDescent="0.25">
      <c r="A46" s="1"/>
      <c r="B46" s="6"/>
      <c r="C46" s="6" t="s">
        <v>1</v>
      </c>
      <c r="D46" s="11">
        <f t="shared" ref="D46:I46" si="4">SUM(D42:D45)</f>
        <v>18584207</v>
      </c>
      <c r="E46" s="11">
        <f t="shared" si="4"/>
        <v>1802199</v>
      </c>
      <c r="F46" s="11">
        <f t="shared" si="4"/>
        <v>426123</v>
      </c>
      <c r="G46" s="11">
        <f t="shared" si="4"/>
        <v>179236124</v>
      </c>
      <c r="H46" s="11">
        <f t="shared" si="4"/>
        <v>1243567</v>
      </c>
      <c r="I46" s="11">
        <f t="shared" si="4"/>
        <v>375663</v>
      </c>
      <c r="J46" s="13">
        <f>SUM(D46:I46)</f>
        <v>201667883</v>
      </c>
    </row>
    <row r="47" spans="1:11" ht="13.5" thickTop="1" x14ac:dyDescent="0.2">
      <c r="A47" s="1"/>
      <c r="B47" s="6"/>
      <c r="C47" s="1"/>
      <c r="D47" s="2"/>
      <c r="E47" s="2"/>
      <c r="F47" s="2"/>
      <c r="G47" s="2"/>
      <c r="H47" s="2"/>
      <c r="I47" s="2"/>
      <c r="J47" s="2">
        <f>-J46+201667883</f>
        <v>0</v>
      </c>
    </row>
    <row r="48" spans="1:11" x14ac:dyDescent="0.2">
      <c r="D48" s="2"/>
      <c r="E48" s="2"/>
      <c r="F48" s="2"/>
      <c r="G48" s="2"/>
      <c r="H48" s="2"/>
      <c r="I48" s="2" t="s">
        <v>322</v>
      </c>
      <c r="J48" s="2"/>
    </row>
    <row r="49" spans="1:10" x14ac:dyDescent="0.2">
      <c r="A49" s="6" t="s">
        <v>28</v>
      </c>
      <c r="B49" s="36" t="s">
        <v>29</v>
      </c>
      <c r="C49" s="1"/>
      <c r="D49" s="2"/>
      <c r="E49" s="2"/>
      <c r="F49" s="2"/>
      <c r="G49" s="2"/>
      <c r="H49" s="2"/>
      <c r="I49" t="s">
        <v>1</v>
      </c>
      <c r="J49" s="2">
        <f>SUM(J14,J19,J21,J23,J25,J39,J46)</f>
        <v>5330488905</v>
      </c>
    </row>
    <row r="50" spans="1:10" x14ac:dyDescent="0.2">
      <c r="A50" s="6" t="s">
        <v>30</v>
      </c>
      <c r="B50" s="36" t="s">
        <v>31</v>
      </c>
      <c r="C50" s="1"/>
      <c r="D50" s="2"/>
      <c r="E50" s="2"/>
      <c r="F50" s="2"/>
      <c r="G50" s="2"/>
      <c r="H50" s="2"/>
      <c r="I50" s="2" t="s">
        <v>323</v>
      </c>
      <c r="J50" s="115">
        <v>4159778234</v>
      </c>
    </row>
    <row r="51" spans="1:10" x14ac:dyDescent="0.2">
      <c r="A51" s="6" t="s">
        <v>32</v>
      </c>
      <c r="B51" s="36" t="s">
        <v>33</v>
      </c>
      <c r="C51" s="1"/>
      <c r="D51" s="2"/>
      <c r="E51" s="2"/>
      <c r="F51" s="2"/>
      <c r="G51" s="2"/>
      <c r="H51" s="2"/>
      <c r="I51" s="2" t="s">
        <v>324</v>
      </c>
      <c r="J51" s="115">
        <v>775853840</v>
      </c>
    </row>
    <row r="52" spans="1:10" x14ac:dyDescent="0.2">
      <c r="A52" s="70"/>
      <c r="B52" s="6"/>
      <c r="I52" s="2" t="s">
        <v>325</v>
      </c>
      <c r="J52" s="100">
        <v>394856826</v>
      </c>
    </row>
    <row r="53" spans="1:10" x14ac:dyDescent="0.2">
      <c r="I53" t="s">
        <v>319</v>
      </c>
      <c r="J53" s="48">
        <f>J49-J50-J51-J52</f>
        <v>5</v>
      </c>
    </row>
  </sheetData>
  <pageMargins left="0.2" right="0.2" top="0.75" bottom="0.75" header="0.3" footer="0.3"/>
  <pageSetup scale="82" orientation="portrait" r:id="rId1"/>
  <headerFooter>
    <oddFooter>&amp;L&amp;F
&amp;A&amp;RPrepared By: Jeanne Pluth
Date: January 23, 2015</oddFooter>
  </headerFooter>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pageSetUpPr fitToPage="1"/>
  </sheetPr>
  <dimension ref="A1:K46"/>
  <sheetViews>
    <sheetView showZeros="0" showOutlineSymbols="0" zoomScaleNormal="100" workbookViewId="0">
      <pane xSplit="3" ySplit="8" topLeftCell="D21" activePane="bottomRight" state="frozen"/>
      <selection pane="topRight"/>
      <selection pane="bottomLeft"/>
      <selection pane="bottomRight" activeCell="I38" sqref="I38"/>
    </sheetView>
  </sheetViews>
  <sheetFormatPr defaultColWidth="9.7109375" defaultRowHeight="12.75" x14ac:dyDescent="0.2"/>
  <cols>
    <col min="1" max="1" width="1.7109375" customWidth="1"/>
    <col min="2" max="2" width="5.85546875" customWidth="1"/>
    <col min="3" max="3" width="32.7109375" customWidth="1"/>
    <col min="4" max="4" width="13.7109375" bestFit="1" customWidth="1"/>
    <col min="5" max="5" width="13.5703125" bestFit="1" customWidth="1"/>
    <col min="6" max="7" width="11.85546875" bestFit="1" customWidth="1"/>
    <col min="8" max="8" width="9.85546875" customWidth="1"/>
    <col min="9" max="9" width="11.7109375" bestFit="1" customWidth="1"/>
    <col min="10" max="10" width="15.5703125" bestFit="1" customWidth="1"/>
    <col min="11" max="11" width="11.7109375" customWidth="1"/>
  </cols>
  <sheetData>
    <row r="1" spans="1:11" x14ac:dyDescent="0.2">
      <c r="A1" s="1" t="str">
        <f>Notes!A1</f>
        <v>Avista Utilities</v>
      </c>
      <c r="B1" s="1"/>
      <c r="C1" s="1"/>
      <c r="D1" s="1"/>
      <c r="E1" s="1"/>
      <c r="F1" s="1"/>
      <c r="G1" s="1"/>
      <c r="H1" s="1"/>
      <c r="I1" s="1"/>
      <c r="J1" s="51"/>
    </row>
    <row r="2" spans="1:11" x14ac:dyDescent="0.2">
      <c r="A2" s="1" t="s">
        <v>4</v>
      </c>
      <c r="B2" s="1"/>
      <c r="C2" s="1"/>
      <c r="D2" s="1"/>
      <c r="E2" s="1"/>
      <c r="F2" s="1"/>
      <c r="G2" s="1"/>
      <c r="H2" s="1"/>
      <c r="I2" s="1"/>
      <c r="J2" s="1"/>
    </row>
    <row r="3" spans="1:11" x14ac:dyDescent="0.2">
      <c r="A3" s="1" t="s">
        <v>34</v>
      </c>
      <c r="B3" s="1"/>
      <c r="C3" s="1"/>
      <c r="D3" s="1"/>
      <c r="E3" s="1"/>
      <c r="F3" s="1"/>
      <c r="G3" s="1"/>
      <c r="H3" s="1"/>
      <c r="I3" s="1"/>
      <c r="J3" s="1"/>
    </row>
    <row r="4" spans="1:11" x14ac:dyDescent="0.2">
      <c r="A4" s="1" t="str">
        <f>Notes!A5</f>
        <v>Balances at December 31, 2016</v>
      </c>
      <c r="B4" s="1"/>
      <c r="C4" s="1"/>
      <c r="D4" s="1"/>
      <c r="E4" s="1"/>
      <c r="F4" s="1"/>
      <c r="G4" s="1"/>
      <c r="H4" s="1"/>
      <c r="I4" s="1"/>
      <c r="J4" s="1"/>
    </row>
    <row r="5" spans="1:11" x14ac:dyDescent="0.2">
      <c r="A5" s="1"/>
      <c r="B5" s="1"/>
      <c r="C5" s="1"/>
      <c r="D5" s="1"/>
      <c r="E5" s="1"/>
      <c r="F5" s="1"/>
      <c r="G5" s="1"/>
      <c r="H5" s="1"/>
      <c r="I5" s="1"/>
      <c r="J5" s="1"/>
    </row>
    <row r="7" spans="1:11" x14ac:dyDescent="0.2">
      <c r="A7" s="1"/>
      <c r="B7" s="1"/>
      <c r="C7" s="1"/>
      <c r="D7" s="7" t="s">
        <v>2</v>
      </c>
      <c r="E7" s="7" t="s">
        <v>200</v>
      </c>
      <c r="F7" s="7" t="s">
        <v>234</v>
      </c>
      <c r="G7" s="6" t="s">
        <v>205</v>
      </c>
      <c r="H7" s="6" t="s">
        <v>206</v>
      </c>
      <c r="I7" s="6" t="s">
        <v>207</v>
      </c>
      <c r="J7" s="6" t="s">
        <v>1</v>
      </c>
    </row>
    <row r="8" spans="1:11" x14ac:dyDescent="0.2">
      <c r="I8" s="6" t="s">
        <v>208</v>
      </c>
    </row>
    <row r="9" spans="1:11" x14ac:dyDescent="0.2">
      <c r="A9" s="1" t="s">
        <v>281</v>
      </c>
      <c r="B9" s="1"/>
      <c r="C9" s="1"/>
      <c r="D9" s="1"/>
      <c r="E9" s="1"/>
      <c r="F9" s="1"/>
      <c r="G9" s="1"/>
      <c r="H9" s="1"/>
      <c r="I9" s="1"/>
      <c r="J9" s="1"/>
    </row>
    <row r="10" spans="1:11" x14ac:dyDescent="0.2">
      <c r="A10" s="1"/>
      <c r="B10" s="6"/>
      <c r="C10" s="1" t="s">
        <v>277</v>
      </c>
      <c r="D10" s="15">
        <v>11514295</v>
      </c>
      <c r="E10" s="15"/>
      <c r="F10" s="15"/>
      <c r="G10" s="15"/>
      <c r="H10" s="15"/>
      <c r="I10" s="15"/>
      <c r="J10" s="2">
        <f t="shared" ref="J10:J14" si="0">SUM(D10:I10)</f>
        <v>11514295</v>
      </c>
      <c r="K10" s="48">
        <f>-J10+11514295</f>
        <v>0</v>
      </c>
    </row>
    <row r="11" spans="1:11" x14ac:dyDescent="0.2">
      <c r="A11" s="1"/>
      <c r="B11" s="6"/>
      <c r="C11" s="1" t="s">
        <v>285</v>
      </c>
      <c r="D11" s="15">
        <v>203800</v>
      </c>
      <c r="E11" s="15"/>
      <c r="F11" s="15"/>
      <c r="G11" s="15"/>
      <c r="H11" s="15"/>
      <c r="I11" s="15"/>
      <c r="J11" s="2">
        <f t="shared" si="0"/>
        <v>203800</v>
      </c>
      <c r="K11" s="48">
        <f>-J11+203800</f>
        <v>0</v>
      </c>
    </row>
    <row r="12" spans="1:11" x14ac:dyDescent="0.2">
      <c r="A12" s="1"/>
      <c r="B12" s="6"/>
      <c r="C12" s="1" t="s">
        <v>279</v>
      </c>
      <c r="D12" s="15"/>
      <c r="E12" s="15">
        <f>71447+166428</f>
        <v>237875</v>
      </c>
      <c r="F12" s="15">
        <v>80618</v>
      </c>
      <c r="G12" s="15">
        <v>1910247</v>
      </c>
      <c r="H12" s="15"/>
      <c r="I12" s="15">
        <v>87038</v>
      </c>
      <c r="J12" s="2">
        <f t="shared" si="0"/>
        <v>2315778</v>
      </c>
      <c r="K12" s="48">
        <f>-J12+2315778</f>
        <v>0</v>
      </c>
    </row>
    <row r="13" spans="1:11" x14ac:dyDescent="0.2">
      <c r="A13" s="1"/>
      <c r="B13" s="6"/>
      <c r="C13" s="1" t="s">
        <v>278</v>
      </c>
      <c r="D13" s="15">
        <f>1362550+22732+2695110</f>
        <v>4080392</v>
      </c>
      <c r="E13" s="15">
        <v>0</v>
      </c>
      <c r="F13" s="15">
        <v>0</v>
      </c>
      <c r="G13" s="15">
        <v>44453626</v>
      </c>
      <c r="H13" s="15">
        <v>832754</v>
      </c>
      <c r="I13" s="15">
        <f>34909+52960</f>
        <v>87869</v>
      </c>
      <c r="J13" s="2">
        <f t="shared" si="0"/>
        <v>49454641</v>
      </c>
      <c r="K13" s="48">
        <f>-J13+49454641</f>
        <v>0</v>
      </c>
    </row>
    <row r="14" spans="1:11" x14ac:dyDescent="0.2">
      <c r="A14" s="1"/>
      <c r="B14" s="6"/>
      <c r="C14" s="1" t="s">
        <v>38</v>
      </c>
      <c r="D14" s="15"/>
      <c r="E14" s="15">
        <v>240314</v>
      </c>
      <c r="F14" s="15"/>
      <c r="G14" s="15"/>
      <c r="H14" s="15"/>
      <c r="I14" s="15"/>
      <c r="J14" s="2">
        <f t="shared" si="0"/>
        <v>240314</v>
      </c>
      <c r="K14" s="48">
        <f>-J14+240314</f>
        <v>0</v>
      </c>
    </row>
    <row r="15" spans="1:11" x14ac:dyDescent="0.2">
      <c r="A15" s="1"/>
      <c r="B15" s="6"/>
      <c r="C15" s="1" t="s">
        <v>280</v>
      </c>
      <c r="D15" s="15">
        <f>114669</f>
        <v>114669</v>
      </c>
      <c r="E15" s="15">
        <v>0</v>
      </c>
      <c r="F15" s="15">
        <v>0</v>
      </c>
      <c r="G15" s="15">
        <v>130867</v>
      </c>
      <c r="H15" s="15"/>
      <c r="I15" s="15">
        <f>4537+6084</f>
        <v>10621</v>
      </c>
      <c r="J15" s="2">
        <f>SUM(D15:I15)</f>
        <v>256157</v>
      </c>
      <c r="K15" s="48">
        <f>-J15+256157</f>
        <v>0</v>
      </c>
    </row>
    <row r="16" spans="1:11" ht="13.5" thickBot="1" x14ac:dyDescent="0.25">
      <c r="A16" s="1"/>
      <c r="B16" s="6"/>
      <c r="C16" s="1"/>
      <c r="D16" s="16">
        <f t="shared" ref="D16:I16" si="1">SUM(D10:D15)</f>
        <v>15913156</v>
      </c>
      <c r="E16" s="16">
        <f t="shared" si="1"/>
        <v>478189</v>
      </c>
      <c r="F16" s="16">
        <f t="shared" si="1"/>
        <v>80618</v>
      </c>
      <c r="G16" s="16">
        <f t="shared" si="1"/>
        <v>46494740</v>
      </c>
      <c r="H16" s="16">
        <f t="shared" si="1"/>
        <v>832754</v>
      </c>
      <c r="I16" s="16">
        <f t="shared" si="1"/>
        <v>185528</v>
      </c>
      <c r="J16" s="132">
        <f>SUM(J10:J15)</f>
        <v>63984985</v>
      </c>
    </row>
    <row r="17" spans="1:11" ht="13.5" thickTop="1" x14ac:dyDescent="0.2">
      <c r="A17" s="1"/>
      <c r="B17" s="6"/>
      <c r="C17" s="1"/>
      <c r="D17" s="2"/>
      <c r="E17" s="2"/>
      <c r="F17" s="2"/>
      <c r="G17" s="2"/>
      <c r="H17" s="2"/>
      <c r="I17" s="2"/>
      <c r="J17" s="2">
        <f>-J16+63984985</f>
        <v>0</v>
      </c>
    </row>
    <row r="18" spans="1:11" x14ac:dyDescent="0.2">
      <c r="A18" s="1" t="s">
        <v>326</v>
      </c>
      <c r="B18" s="6"/>
      <c r="C18" s="1"/>
      <c r="D18" s="2"/>
      <c r="E18" s="2"/>
      <c r="F18" s="2"/>
      <c r="G18" s="2"/>
      <c r="H18" s="2"/>
      <c r="I18" s="2"/>
      <c r="J18" s="2"/>
    </row>
    <row r="19" spans="1:11" x14ac:dyDescent="0.2">
      <c r="A19" s="1"/>
      <c r="B19" s="6"/>
      <c r="C19" s="1" t="s">
        <v>271</v>
      </c>
      <c r="D19" s="4"/>
      <c r="E19" s="4"/>
      <c r="F19" s="4"/>
      <c r="G19" s="4"/>
      <c r="H19" s="4"/>
      <c r="I19" s="4"/>
      <c r="J19" s="2">
        <f>SUM(D19:I19)</f>
        <v>0</v>
      </c>
      <c r="K19" s="48"/>
    </row>
    <row r="20" spans="1:11" x14ac:dyDescent="0.2">
      <c r="A20" s="1"/>
      <c r="B20" s="6"/>
      <c r="C20" s="1" t="s">
        <v>35</v>
      </c>
      <c r="D20" s="10"/>
      <c r="E20" s="4"/>
      <c r="F20" s="4"/>
      <c r="G20" s="4"/>
      <c r="H20" s="4"/>
      <c r="I20" s="4"/>
      <c r="J20" s="2">
        <f>SUM(D20:I20)</f>
        <v>0</v>
      </c>
      <c r="K20" s="48"/>
    </row>
    <row r="21" spans="1:11" ht="13.5" thickBot="1" x14ac:dyDescent="0.25">
      <c r="A21" s="1"/>
      <c r="B21" s="6"/>
      <c r="C21" s="1"/>
      <c r="D21" s="11">
        <f t="shared" ref="D21:J21" si="2">SUM(D19:D20)</f>
        <v>0</v>
      </c>
      <c r="E21" s="11">
        <f t="shared" si="2"/>
        <v>0</v>
      </c>
      <c r="F21" s="11">
        <f t="shared" si="2"/>
        <v>0</v>
      </c>
      <c r="G21" s="11">
        <f t="shared" si="2"/>
        <v>0</v>
      </c>
      <c r="H21" s="11">
        <f t="shared" si="2"/>
        <v>0</v>
      </c>
      <c r="I21" s="11">
        <f t="shared" si="2"/>
        <v>0</v>
      </c>
      <c r="J21" s="11">
        <f t="shared" si="2"/>
        <v>0</v>
      </c>
    </row>
    <row r="22" spans="1:11" ht="13.5" thickTop="1" x14ac:dyDescent="0.2">
      <c r="A22" s="1"/>
      <c r="B22" s="6"/>
      <c r="C22" s="1"/>
      <c r="D22" s="2"/>
      <c r="E22" s="2"/>
      <c r="F22" s="2"/>
      <c r="G22" s="2"/>
      <c r="H22" s="2"/>
      <c r="I22" s="2"/>
      <c r="J22" s="2"/>
    </row>
    <row r="23" spans="1:11" x14ac:dyDescent="0.2">
      <c r="A23" s="1" t="s">
        <v>327</v>
      </c>
      <c r="B23" s="6"/>
      <c r="C23" s="1"/>
      <c r="D23" s="2"/>
      <c r="E23" s="2"/>
      <c r="F23" s="2"/>
      <c r="G23" s="2"/>
      <c r="H23" s="2"/>
      <c r="I23" s="2"/>
      <c r="J23" s="2"/>
    </row>
    <row r="24" spans="1:11" x14ac:dyDescent="0.2">
      <c r="A24" s="1"/>
      <c r="B24" s="6"/>
      <c r="C24" s="1" t="s">
        <v>318</v>
      </c>
      <c r="D24" s="4">
        <v>295455327</v>
      </c>
      <c r="E24" s="4"/>
      <c r="F24" s="4"/>
      <c r="G24" s="2"/>
      <c r="H24" s="2"/>
      <c r="I24" s="2"/>
      <c r="J24" s="2">
        <f>SUM(D24:I24)</f>
        <v>295455327</v>
      </c>
      <c r="K24" s="48">
        <f>-J24+295455327</f>
        <v>0</v>
      </c>
    </row>
    <row r="25" spans="1:11" x14ac:dyDescent="0.2">
      <c r="A25" s="1"/>
      <c r="B25" s="7"/>
      <c r="C25" s="1" t="s">
        <v>36</v>
      </c>
      <c r="D25" s="4">
        <v>122766710</v>
      </c>
      <c r="E25" s="4"/>
      <c r="F25" s="4"/>
      <c r="G25" s="2"/>
      <c r="H25" s="2"/>
      <c r="I25" s="2"/>
      <c r="J25" s="2">
        <f>SUM(D25:I25)</f>
        <v>122766710</v>
      </c>
      <c r="K25" s="48">
        <f>-J25+122766710</f>
        <v>0</v>
      </c>
    </row>
    <row r="26" spans="1:11" x14ac:dyDescent="0.2">
      <c r="A26" s="1"/>
      <c r="B26" s="6"/>
      <c r="C26" s="1" t="s">
        <v>37</v>
      </c>
      <c r="D26" s="15">
        <v>109752185</v>
      </c>
      <c r="E26" s="2"/>
      <c r="F26" s="2"/>
      <c r="G26" s="2"/>
      <c r="H26" s="2"/>
      <c r="I26" s="2"/>
      <c r="J26" s="2">
        <f>SUM(D26:I26)</f>
        <v>109752185</v>
      </c>
      <c r="K26" s="48">
        <f>-J26+109752185</f>
        <v>0</v>
      </c>
    </row>
    <row r="27" spans="1:11" x14ac:dyDescent="0.2">
      <c r="A27" s="1"/>
      <c r="B27" s="6"/>
      <c r="C27" s="1" t="s">
        <v>37</v>
      </c>
      <c r="D27" s="4"/>
      <c r="E27" s="4"/>
      <c r="F27" s="4">
        <v>0</v>
      </c>
      <c r="G27" s="2"/>
      <c r="H27" s="2"/>
      <c r="I27" s="2"/>
      <c r="J27" s="2">
        <f>SUM(D27:I27)</f>
        <v>0</v>
      </c>
    </row>
    <row r="28" spans="1:11" ht="13.5" thickBot="1" x14ac:dyDescent="0.25">
      <c r="A28" s="1"/>
      <c r="B28" s="1"/>
      <c r="C28" s="1"/>
      <c r="D28" s="11">
        <f t="shared" ref="D28:J28" si="3">SUM(D24:D27)</f>
        <v>527974222</v>
      </c>
      <c r="E28" s="11">
        <f t="shared" si="3"/>
        <v>0</v>
      </c>
      <c r="F28" s="11">
        <f t="shared" si="3"/>
        <v>0</v>
      </c>
      <c r="G28" s="11">
        <f t="shared" si="3"/>
        <v>0</v>
      </c>
      <c r="H28" s="17">
        <f t="shared" si="3"/>
        <v>0</v>
      </c>
      <c r="I28" s="11">
        <f t="shared" si="3"/>
        <v>0</v>
      </c>
      <c r="J28" s="11">
        <f t="shared" si="3"/>
        <v>527974222</v>
      </c>
    </row>
    <row r="29" spans="1:11" ht="13.5" thickTop="1" x14ac:dyDescent="0.2">
      <c r="A29" s="1"/>
      <c r="B29" s="1"/>
      <c r="C29" s="1"/>
      <c r="D29" s="2"/>
      <c r="E29" s="2"/>
      <c r="F29" s="2"/>
      <c r="G29" s="2"/>
      <c r="H29" s="2"/>
      <c r="I29" s="2"/>
      <c r="J29" s="2"/>
    </row>
    <row r="30" spans="1:11" ht="13.5" thickBot="1" x14ac:dyDescent="0.25">
      <c r="A30" s="1" t="s">
        <v>328</v>
      </c>
      <c r="B30" s="1"/>
      <c r="C30" s="1"/>
      <c r="D30" s="12">
        <v>207099715</v>
      </c>
      <c r="E30" s="12"/>
      <c r="F30" s="12"/>
      <c r="G30" s="12"/>
      <c r="H30" s="12"/>
      <c r="I30" s="12"/>
      <c r="J30" s="13">
        <f>SUM(D30:I30)</f>
        <v>207099715</v>
      </c>
      <c r="K30" s="48">
        <f>-J30+207099715</f>
        <v>0</v>
      </c>
    </row>
    <row r="31" spans="1:11" ht="13.5" thickTop="1" x14ac:dyDescent="0.2">
      <c r="A31" s="1"/>
      <c r="B31" s="1"/>
      <c r="C31" s="1"/>
      <c r="D31" s="2"/>
      <c r="E31" s="2"/>
      <c r="F31" s="2"/>
      <c r="G31" s="2"/>
      <c r="H31" s="2"/>
      <c r="I31" s="2"/>
      <c r="J31" s="2"/>
      <c r="K31" s="48"/>
    </row>
    <row r="32" spans="1:11" ht="13.5" thickBot="1" x14ac:dyDescent="0.25">
      <c r="A32" s="1" t="s">
        <v>329</v>
      </c>
      <c r="B32" s="1"/>
      <c r="C32" s="1"/>
      <c r="D32" s="12"/>
      <c r="E32" s="12">
        <v>14607405</v>
      </c>
      <c r="F32" s="12">
        <v>875787</v>
      </c>
      <c r="G32" s="12"/>
      <c r="H32" s="12"/>
      <c r="I32" s="12"/>
      <c r="J32" s="13">
        <f>SUM(D32:I32)</f>
        <v>15483192</v>
      </c>
      <c r="K32" s="48">
        <f>-J32+15483192</f>
        <v>0</v>
      </c>
    </row>
    <row r="33" spans="1:11" ht="13.5" thickTop="1" x14ac:dyDescent="0.2">
      <c r="A33" s="1"/>
      <c r="B33" s="1"/>
      <c r="C33" s="1"/>
      <c r="D33" s="4"/>
      <c r="E33" s="4"/>
      <c r="F33" s="4"/>
      <c r="G33" s="4"/>
      <c r="H33" s="4"/>
      <c r="I33" s="4"/>
      <c r="J33" s="2"/>
      <c r="K33" s="48"/>
    </row>
    <row r="34" spans="1:11" ht="13.5" thickBot="1" x14ac:dyDescent="0.25">
      <c r="A34" s="1" t="s">
        <v>330</v>
      </c>
      <c r="B34" s="1"/>
      <c r="C34" s="1"/>
      <c r="D34" s="12">
        <v>495424108</v>
      </c>
      <c r="E34" s="12">
        <f>1671855+68272855+131686420</f>
        <v>201631130</v>
      </c>
      <c r="F34" s="12">
        <v>102418442</v>
      </c>
      <c r="G34" s="12"/>
      <c r="H34" s="12"/>
      <c r="I34" s="12"/>
      <c r="J34" s="13">
        <f>SUM(D34:I34)</f>
        <v>799473680</v>
      </c>
      <c r="K34" s="48">
        <f>-J34+495424108+304049572</f>
        <v>0</v>
      </c>
    </row>
    <row r="35" spans="1:11" ht="13.5" thickTop="1" x14ac:dyDescent="0.2">
      <c r="A35" s="1"/>
      <c r="B35" s="1"/>
      <c r="C35" s="1"/>
      <c r="D35" s="2">
        <f>+D28+D30+D32+D34-1355473726+124975681</f>
        <v>0</v>
      </c>
      <c r="E35" s="2"/>
      <c r="F35" s="2"/>
      <c r="G35" s="2"/>
      <c r="H35" s="2"/>
      <c r="I35" s="2"/>
      <c r="J35" s="2"/>
      <c r="K35" s="48"/>
    </row>
    <row r="36" spans="1:11" x14ac:dyDescent="0.2">
      <c r="B36" s="1"/>
      <c r="C36" s="1"/>
      <c r="D36" s="2"/>
      <c r="E36" s="2"/>
      <c r="F36" s="2"/>
      <c r="G36" s="2"/>
      <c r="H36" s="2"/>
      <c r="I36" s="2"/>
      <c r="J36" s="2"/>
      <c r="K36" s="48"/>
    </row>
    <row r="37" spans="1:11" x14ac:dyDescent="0.2">
      <c r="A37" s="1" t="s">
        <v>331</v>
      </c>
      <c r="C37" s="1"/>
      <c r="D37" s="4">
        <f>44849487+8808859+19321097</f>
        <v>72979443</v>
      </c>
      <c r="E37" s="4">
        <f>2457320+1393880+5416737</f>
        <v>9267937</v>
      </c>
      <c r="F37" s="4">
        <v>4701295</v>
      </c>
      <c r="G37" s="4">
        <v>50184417</v>
      </c>
      <c r="H37" s="4">
        <v>2157338</v>
      </c>
      <c r="I37" s="4">
        <f>11404204+5582271+3657104</f>
        <v>20643579</v>
      </c>
      <c r="J37" s="2">
        <f>SUM(D37:I37)</f>
        <v>159934009</v>
      </c>
      <c r="K37" s="48">
        <f>-J37+159934009</f>
        <v>0</v>
      </c>
    </row>
    <row r="38" spans="1:11" x14ac:dyDescent="0.2">
      <c r="C38" s="1"/>
      <c r="D38" s="4"/>
      <c r="E38" s="4"/>
      <c r="F38" s="4"/>
      <c r="G38" s="4"/>
      <c r="H38" s="4"/>
      <c r="I38" s="4"/>
      <c r="J38" s="2">
        <f>SUM(D38:I38)</f>
        <v>0</v>
      </c>
      <c r="K38" s="48"/>
    </row>
    <row r="39" spans="1:11" ht="13.5" thickBot="1" x14ac:dyDescent="0.25">
      <c r="C39" s="1"/>
      <c r="D39" s="11">
        <f t="shared" ref="D39:J39" si="4">SUM(D37:D38)</f>
        <v>72979443</v>
      </c>
      <c r="E39" s="11">
        <f t="shared" si="4"/>
        <v>9267937</v>
      </c>
      <c r="F39" s="11">
        <f t="shared" si="4"/>
        <v>4701295</v>
      </c>
      <c r="G39" s="11">
        <f t="shared" si="4"/>
        <v>50184417</v>
      </c>
      <c r="H39" s="11">
        <f t="shared" si="4"/>
        <v>2157338</v>
      </c>
      <c r="I39" s="11">
        <f t="shared" si="4"/>
        <v>20643579</v>
      </c>
      <c r="J39" s="11">
        <f t="shared" si="4"/>
        <v>159934009</v>
      </c>
      <c r="K39" s="80"/>
    </row>
    <row r="40" spans="1:11" ht="13.5" thickTop="1" x14ac:dyDescent="0.2">
      <c r="C40" s="1"/>
      <c r="D40" s="1"/>
      <c r="E40" s="1"/>
      <c r="F40" s="1"/>
      <c r="G40" s="1"/>
      <c r="H40" s="1"/>
      <c r="I40" s="1"/>
      <c r="J40" s="1"/>
    </row>
    <row r="42" spans="1:11" x14ac:dyDescent="0.2">
      <c r="I42" t="s">
        <v>322</v>
      </c>
    </row>
    <row r="43" spans="1:11" x14ac:dyDescent="0.2">
      <c r="I43" t="s">
        <v>1</v>
      </c>
      <c r="J43" s="48">
        <f>SUM(J16,J28,J30,J32,J34,J39)</f>
        <v>1773949803</v>
      </c>
    </row>
    <row r="44" spans="1:11" x14ac:dyDescent="0.2">
      <c r="I44" t="s">
        <v>320</v>
      </c>
      <c r="J44" s="100">
        <v>1709964818</v>
      </c>
    </row>
    <row r="45" spans="1:11" x14ac:dyDescent="0.2">
      <c r="I45" t="s">
        <v>321</v>
      </c>
      <c r="J45" s="100">
        <v>63984985</v>
      </c>
    </row>
    <row r="46" spans="1:11" x14ac:dyDescent="0.2">
      <c r="I46" t="s">
        <v>319</v>
      </c>
      <c r="J46" s="48">
        <f>J43-J44-J45</f>
        <v>0</v>
      </c>
    </row>
  </sheetData>
  <pageMargins left="0.2" right="0.2" top="0.75" bottom="0.75" header="0.3" footer="0.3"/>
  <pageSetup scale="82" orientation="portrait" r:id="rId1"/>
  <headerFooter>
    <oddFooter>&amp;L&amp;F
&amp;A&amp;RPrepared By: Jeanne Pluth
Date: January 23, 2015</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pageSetUpPr fitToPage="1"/>
  </sheetPr>
  <dimension ref="A1:K42"/>
  <sheetViews>
    <sheetView showZeros="0" showOutlineSymbols="0" workbookViewId="0">
      <pane xSplit="3" ySplit="9" topLeftCell="D10" activePane="bottomRight" state="frozen"/>
      <selection pane="topRight"/>
      <selection pane="bottomLeft"/>
      <selection pane="bottomRight" activeCell="E38" sqref="E38"/>
    </sheetView>
  </sheetViews>
  <sheetFormatPr defaultColWidth="9.7109375" defaultRowHeight="12.75" x14ac:dyDescent="0.2"/>
  <cols>
    <col min="1" max="1" width="1.7109375" customWidth="1"/>
    <col min="2" max="2" width="15.7109375" customWidth="1"/>
    <col min="3" max="3" width="16.42578125" customWidth="1"/>
    <col min="4" max="10" width="13.7109375" customWidth="1"/>
  </cols>
  <sheetData>
    <row r="1" spans="1:10" x14ac:dyDescent="0.2">
      <c r="A1" s="1" t="str">
        <f>Notes!A1</f>
        <v>Avista Utilities</v>
      </c>
      <c r="B1" s="1"/>
      <c r="C1" s="1"/>
      <c r="D1" s="1"/>
      <c r="E1" s="71" t="str">
        <f>IF(A3="Balances at December 31, 2012"," ","Can't Print This Page Until Pages 7/8 are Complete")</f>
        <v>Can't Print This Page Until Pages 7/8 are Complete</v>
      </c>
      <c r="F1" s="1"/>
      <c r="G1" s="1"/>
      <c r="H1" s="1"/>
      <c r="I1" s="1"/>
      <c r="J1" s="51"/>
    </row>
    <row r="2" spans="1:10" x14ac:dyDescent="0.2">
      <c r="A2" s="2" t="s">
        <v>39</v>
      </c>
      <c r="B2" s="1"/>
      <c r="C2" s="1"/>
      <c r="D2" s="1"/>
      <c r="E2" s="1"/>
      <c r="F2" s="1"/>
      <c r="G2" s="1"/>
      <c r="H2" s="1"/>
      <c r="I2" s="1"/>
      <c r="J2" s="1"/>
    </row>
    <row r="3" spans="1:10" x14ac:dyDescent="0.2">
      <c r="A3" s="112" t="str">
        <f>Notes!A5</f>
        <v>Balances at December 31, 2016</v>
      </c>
      <c r="B3" s="1"/>
      <c r="C3" s="1"/>
      <c r="D3" s="1"/>
      <c r="E3" s="1"/>
      <c r="F3" s="1"/>
      <c r="G3" s="1"/>
      <c r="H3" s="1"/>
      <c r="I3" s="1"/>
      <c r="J3" s="1"/>
    </row>
    <row r="4" spans="1:10" x14ac:dyDescent="0.2">
      <c r="A4" s="1"/>
      <c r="B4" s="1"/>
      <c r="C4" s="1"/>
      <c r="D4" s="1"/>
      <c r="E4" s="1"/>
      <c r="F4" s="1"/>
      <c r="G4" s="1"/>
      <c r="H4" s="1"/>
      <c r="I4" s="1"/>
      <c r="J4" s="1"/>
    </row>
    <row r="6" spans="1:10" x14ac:dyDescent="0.2">
      <c r="A6" s="1"/>
      <c r="B6" s="1"/>
      <c r="C6" s="1"/>
      <c r="D6" s="1"/>
      <c r="E6" s="1"/>
      <c r="F6" s="1"/>
      <c r="G6" s="7" t="s">
        <v>40</v>
      </c>
      <c r="H6" s="7" t="s">
        <v>40</v>
      </c>
      <c r="I6" s="1"/>
      <c r="J6" s="1"/>
    </row>
    <row r="7" spans="1:10" x14ac:dyDescent="0.2">
      <c r="A7" s="1"/>
      <c r="B7" s="1"/>
      <c r="C7" s="1"/>
      <c r="D7" s="1"/>
      <c r="E7" s="1"/>
      <c r="F7" s="1"/>
      <c r="G7" s="7" t="s">
        <v>41</v>
      </c>
      <c r="H7" s="7" t="s">
        <v>210</v>
      </c>
      <c r="I7" s="7" t="s">
        <v>40</v>
      </c>
      <c r="J7" s="1"/>
    </row>
    <row r="8" spans="1:10" x14ac:dyDescent="0.2">
      <c r="A8" s="1"/>
      <c r="B8" s="1"/>
      <c r="C8" s="1"/>
      <c r="D8" s="7" t="s">
        <v>2</v>
      </c>
      <c r="E8" s="7" t="s">
        <v>200</v>
      </c>
      <c r="F8" s="7" t="s">
        <v>209</v>
      </c>
      <c r="G8" s="7" t="str">
        <f>+E8</f>
        <v>Gas North</v>
      </c>
      <c r="H8" s="7" t="str">
        <f>+F8</f>
        <v>Oregon Gas</v>
      </c>
      <c r="I8" s="7" t="s">
        <v>42</v>
      </c>
      <c r="J8" s="7" t="s">
        <v>1</v>
      </c>
    </row>
    <row r="9" spans="1:10" x14ac:dyDescent="0.2">
      <c r="A9" s="1"/>
      <c r="B9" s="1"/>
      <c r="C9" s="1"/>
      <c r="D9" s="1"/>
      <c r="E9" s="1"/>
      <c r="F9" s="1"/>
      <c r="G9" s="6" t="s">
        <v>211</v>
      </c>
      <c r="H9" s="6" t="s">
        <v>212</v>
      </c>
      <c r="I9" s="6" t="s">
        <v>213</v>
      </c>
      <c r="J9" s="1"/>
    </row>
    <row r="10" spans="1:10" x14ac:dyDescent="0.2">
      <c r="A10" s="2" t="s">
        <v>43</v>
      </c>
      <c r="B10" s="1"/>
      <c r="C10" s="1"/>
      <c r="D10" s="1"/>
      <c r="E10" s="1"/>
      <c r="F10" s="1"/>
      <c r="G10" s="1"/>
      <c r="H10" s="1"/>
      <c r="I10" s="1"/>
      <c r="J10" s="1"/>
    </row>
    <row r="11" spans="1:10" x14ac:dyDescent="0.2">
      <c r="A11" s="1"/>
      <c r="B11" s="2" t="s">
        <v>215</v>
      </c>
      <c r="C11" s="1"/>
      <c r="D11" s="2">
        <f>'UtilityPlt-2016'!D14</f>
        <v>89161909</v>
      </c>
      <c r="E11" s="2">
        <f>'UtilityPlt-2016'!E14</f>
        <v>0</v>
      </c>
      <c r="F11" s="2">
        <f>'UtilityPlt-2016'!$F14</f>
        <v>0</v>
      </c>
      <c r="G11" s="2">
        <f>'UtilityPlt-2016'!I14</f>
        <v>0</v>
      </c>
      <c r="H11" s="2">
        <f>'UtilityPlt-2016'!H14</f>
        <v>0</v>
      </c>
      <c r="I11" s="2">
        <f>'UtilityPlt-2016'!G14</f>
        <v>0</v>
      </c>
      <c r="J11" s="2">
        <f t="shared" ref="J11:J17" si="0">SUM(D11:I11)</f>
        <v>89161909</v>
      </c>
    </row>
    <row r="12" spans="1:10" x14ac:dyDescent="0.2">
      <c r="A12" s="1"/>
      <c r="B12" s="2" t="s">
        <v>214</v>
      </c>
      <c r="C12" s="1"/>
      <c r="D12" s="2">
        <f>'UtilityPlt-2016'!D46</f>
        <v>18584207</v>
      </c>
      <c r="E12" s="2">
        <f>'UtilityPlt-2016'!E46</f>
        <v>1802199</v>
      </c>
      <c r="F12" s="2">
        <f>'UtilityPlt-2016'!F46</f>
        <v>426123</v>
      </c>
      <c r="G12" s="2">
        <f>'UtilityPlt-2016'!I46</f>
        <v>375663</v>
      </c>
      <c r="H12" s="2">
        <f>'UtilityPlt-2016'!H46</f>
        <v>1243567</v>
      </c>
      <c r="I12" s="2">
        <f>'UtilityPlt-2016'!G46</f>
        <v>179236124</v>
      </c>
      <c r="J12" s="2">
        <f t="shared" si="0"/>
        <v>201667883</v>
      </c>
    </row>
    <row r="13" spans="1:10" x14ac:dyDescent="0.2">
      <c r="A13" s="1"/>
      <c r="B13" s="2" t="s">
        <v>44</v>
      </c>
      <c r="C13" s="1"/>
      <c r="D13" s="2">
        <f>'UtilityPlt-2016'!D19</f>
        <v>1329798714</v>
      </c>
      <c r="E13" s="2">
        <f>'UtilityPlt-2016'!E19</f>
        <v>0</v>
      </c>
      <c r="F13" s="2">
        <f>'UtilityPlt-2016'!F19</f>
        <v>7628</v>
      </c>
      <c r="G13" s="2">
        <f>'UtilityPlt-2016'!I19</f>
        <v>0</v>
      </c>
      <c r="H13" s="2">
        <f>'UtilityPlt-2016'!H19</f>
        <v>0</v>
      </c>
      <c r="I13" s="2">
        <f>'UtilityPlt-2016'!G19</f>
        <v>0</v>
      </c>
      <c r="J13" s="2">
        <f t="shared" si="0"/>
        <v>1329806342</v>
      </c>
    </row>
    <row r="14" spans="1:10" x14ac:dyDescent="0.2">
      <c r="A14" s="1"/>
      <c r="B14" s="2" t="s">
        <v>45</v>
      </c>
      <c r="C14" s="1"/>
      <c r="D14" s="2">
        <f>'UtilityPlt-2016'!D21</f>
        <v>678742802</v>
      </c>
      <c r="E14" s="2">
        <f>'UtilityPlt-2016'!E21</f>
        <v>0</v>
      </c>
      <c r="F14" s="2">
        <f>'UtilityPlt-2016'!F21</f>
        <v>0</v>
      </c>
      <c r="G14" s="2">
        <f>'UtilityPlt-2016'!I21</f>
        <v>0</v>
      </c>
      <c r="H14" s="2">
        <f>'UtilityPlt-2016'!H21</f>
        <v>0</v>
      </c>
      <c r="I14" s="2">
        <f>'UtilityPlt-2016'!G21</f>
        <v>0</v>
      </c>
      <c r="J14" s="2">
        <f t="shared" si="0"/>
        <v>678742802</v>
      </c>
    </row>
    <row r="15" spans="1:10" x14ac:dyDescent="0.2">
      <c r="A15" s="1"/>
      <c r="B15" s="2" t="s">
        <v>38</v>
      </c>
      <c r="C15" s="1"/>
      <c r="D15" s="2">
        <f>'UtilityPlt-2016'!D23</f>
        <v>0</v>
      </c>
      <c r="E15" s="2">
        <f>'UtilityPlt-2016'!E23</f>
        <v>38486576</v>
      </c>
      <c r="F15" s="2">
        <f>'UtilityPlt-2016'!F23</f>
        <v>6190186</v>
      </c>
      <c r="G15" s="2">
        <f>'UtilityPlt-2016'!I23</f>
        <v>0</v>
      </c>
      <c r="H15" s="2">
        <f>'UtilityPlt-2016'!H23</f>
        <v>0</v>
      </c>
      <c r="I15" s="2"/>
      <c r="J15" s="2">
        <f t="shared" si="0"/>
        <v>44676762</v>
      </c>
    </row>
    <row r="16" spans="1:10" x14ac:dyDescent="0.2">
      <c r="A16" s="1"/>
      <c r="B16" s="2" t="s">
        <v>46</v>
      </c>
      <c r="C16" s="1"/>
      <c r="D16" s="2">
        <f>'UtilityPlt-2016'!D25</f>
        <v>1550805789</v>
      </c>
      <c r="E16" s="2">
        <f>'UtilityPlt-2016'!E25</f>
        <v>614449498</v>
      </c>
      <c r="F16" s="2">
        <f>'UtilityPlt-2016'!F25</f>
        <v>339652994</v>
      </c>
      <c r="G16" s="2">
        <f>'UtilityPlt-2016'!I25</f>
        <v>0</v>
      </c>
      <c r="H16" s="2">
        <f>'UtilityPlt-2016'!H25</f>
        <v>0</v>
      </c>
      <c r="I16" s="2">
        <f>'UtilityPlt-2016'!G25</f>
        <v>0</v>
      </c>
      <c r="J16" s="2">
        <f t="shared" si="0"/>
        <v>2504908281</v>
      </c>
    </row>
    <row r="17" spans="1:11" x14ac:dyDescent="0.2">
      <c r="A17" s="1"/>
      <c r="B17" s="2" t="s">
        <v>47</v>
      </c>
      <c r="C17" s="1"/>
      <c r="D17" s="14">
        <f>'UtilityPlt-2016'!D39</f>
        <v>157152236</v>
      </c>
      <c r="E17" s="14">
        <f>'UtilityPlt-2016'!E39</f>
        <v>23071477</v>
      </c>
      <c r="F17" s="14">
        <f>'UtilityPlt-2016'!F39</f>
        <v>10988889</v>
      </c>
      <c r="G17" s="14">
        <f>'UtilityPlt-2016'!I39</f>
        <v>55214501</v>
      </c>
      <c r="H17" s="2">
        <f>'UtilityPlt-2016'!H39</f>
        <v>5081003</v>
      </c>
      <c r="I17" s="2">
        <f>'UtilityPlt-2016'!G39</f>
        <v>230016820</v>
      </c>
      <c r="J17" s="2">
        <f t="shared" si="0"/>
        <v>481524926</v>
      </c>
      <c r="K17" s="1"/>
    </row>
    <row r="18" spans="1:11" x14ac:dyDescent="0.2">
      <c r="A18" s="1"/>
      <c r="B18" s="2" t="s">
        <v>48</v>
      </c>
      <c r="C18" s="1"/>
      <c r="D18" s="18">
        <f t="shared" ref="D18:J18" si="1">SUM(D11:D17)</f>
        <v>3824245657</v>
      </c>
      <c r="E18" s="18">
        <f t="shared" si="1"/>
        <v>677809750</v>
      </c>
      <c r="F18" s="18">
        <f t="shared" si="1"/>
        <v>357265820</v>
      </c>
      <c r="G18" s="18">
        <f t="shared" si="1"/>
        <v>55590164</v>
      </c>
      <c r="H18" s="18">
        <f t="shared" si="1"/>
        <v>6324570</v>
      </c>
      <c r="I18" s="18">
        <f t="shared" si="1"/>
        <v>409252944</v>
      </c>
      <c r="J18" s="18">
        <f t="shared" si="1"/>
        <v>5330488905</v>
      </c>
      <c r="K18" s="1"/>
    </row>
    <row r="19" spans="1:11" x14ac:dyDescent="0.2">
      <c r="D19" s="2">
        <f>+D18-'UtilityPlt-2016'!D14-'UtilityPlt-2016'!D19-'UtilityPlt-2016'!D21-'UtilityPlt-2016'!D23-'UtilityPlt-2016'!D25-'UtilityPlt-2016'!D39-'UtilityPlt-2016'!D46</f>
        <v>0</v>
      </c>
      <c r="E19" s="2">
        <f>+E18-'UtilityPlt-2016'!E14-'UtilityPlt-2016'!E19-'UtilityPlt-2016'!E21-'UtilityPlt-2016'!E23-'UtilityPlt-2016'!E25-'UtilityPlt-2016'!E39-'UtilityPlt-2016'!E46</f>
        <v>0</v>
      </c>
      <c r="F19" s="2">
        <f>+F18-'UtilityPlt-2016'!F14-'UtilityPlt-2016'!F19-'UtilityPlt-2016'!F21-'UtilityPlt-2016'!F23-'UtilityPlt-2016'!F25-'UtilityPlt-2016'!F39-'UtilityPlt-2016'!F46</f>
        <v>0</v>
      </c>
      <c r="G19" s="2">
        <f>+G18-'UtilityPlt-2016'!I14-'UtilityPlt-2016'!I19-'UtilityPlt-2016'!I21-'UtilityPlt-2016'!I23-'UtilityPlt-2016'!I25-'UtilityPlt-2016'!I39-'UtilityPlt-2016'!I46</f>
        <v>0</v>
      </c>
      <c r="H19" s="2">
        <f>+H18-'UtilityPlt-2016'!H14-'UtilityPlt-2016'!H19-'UtilityPlt-2016'!H21-'UtilityPlt-2016'!H23-'UtilityPlt-2016'!H25-'UtilityPlt-2016'!H39-'UtilityPlt-2016'!H46</f>
        <v>0</v>
      </c>
      <c r="I19" s="2">
        <f>+I18-'UtilityPlt-2016'!G14-'UtilityPlt-2016'!G19-'UtilityPlt-2016'!G21-'UtilityPlt-2016'!G23-'UtilityPlt-2016'!G25-'UtilityPlt-2016'!G39-'UtilityPlt-2016'!G46</f>
        <v>0</v>
      </c>
      <c r="J19" s="2">
        <f>+J18-'UtilityPlt-2016'!J14-'UtilityPlt-2016'!J19-'UtilityPlt-2016'!J21-'UtilityPlt-2016'!J23-'UtilityPlt-2016'!J25-'UtilityPlt-2016'!J39-'UtilityPlt-2016'!J46</f>
        <v>0</v>
      </c>
    </row>
    <row r="20" spans="1:11" x14ac:dyDescent="0.2">
      <c r="A20" s="2" t="s">
        <v>49</v>
      </c>
      <c r="B20" s="1"/>
      <c r="C20" s="1"/>
      <c r="D20" s="2"/>
      <c r="E20" s="2"/>
      <c r="F20" s="2"/>
      <c r="G20" s="2"/>
      <c r="H20" s="2"/>
      <c r="I20" s="2"/>
      <c r="J20" s="2"/>
      <c r="K20" s="1"/>
    </row>
    <row r="21" spans="1:11" x14ac:dyDescent="0.2">
      <c r="A21" s="1"/>
      <c r="B21" s="2" t="s">
        <v>215</v>
      </c>
      <c r="C21" s="1"/>
      <c r="D21" s="2">
        <f>'UtilityAccDep-2016'!D16</f>
        <v>15913156</v>
      </c>
      <c r="E21" s="2">
        <f>'UtilityAccDep-2016'!E16</f>
        <v>478189</v>
      </c>
      <c r="F21" s="2">
        <f>'UtilityAccDep-2016'!F16</f>
        <v>80618</v>
      </c>
      <c r="G21" s="2">
        <f>'UtilityAccDep-2016'!I16</f>
        <v>185528</v>
      </c>
      <c r="H21" s="2">
        <f>'UtilityAccDep-2016'!H16</f>
        <v>832754</v>
      </c>
      <c r="I21" s="2">
        <f>'UtilityAccDep-2016'!G16</f>
        <v>46494740</v>
      </c>
      <c r="J21" s="2">
        <f t="shared" ref="J21:J28" si="2">SUM(D21:I21)</f>
        <v>63984985</v>
      </c>
      <c r="K21" s="1"/>
    </row>
    <row r="22" spans="1:11" x14ac:dyDescent="0.2">
      <c r="A22" s="1"/>
      <c r="B22" s="2" t="s">
        <v>214</v>
      </c>
      <c r="C22" s="1"/>
      <c r="D22" s="2">
        <f>SUM('UtilityAccDep-2016'!D19)</f>
        <v>0</v>
      </c>
      <c r="E22" s="2">
        <f>SUM('UtilityAccDep-2016'!E19)</f>
        <v>0</v>
      </c>
      <c r="F22" s="2">
        <f>SUM('UtilityAccDep-2016'!F19)</f>
        <v>0</v>
      </c>
      <c r="G22" s="2">
        <f>SUM('UtilityAccDep-2016'!I19)</f>
        <v>0</v>
      </c>
      <c r="H22" s="2">
        <f>SUM('UtilityAccDep-2016'!H19)</f>
        <v>0</v>
      </c>
      <c r="I22" s="2">
        <f>SUM('UtilityAccDep-2016'!G19)</f>
        <v>0</v>
      </c>
      <c r="J22" s="2">
        <f t="shared" si="2"/>
        <v>0</v>
      </c>
      <c r="K22" s="1"/>
    </row>
    <row r="23" spans="1:11" x14ac:dyDescent="0.2">
      <c r="A23" s="1"/>
      <c r="B23" s="2" t="s">
        <v>35</v>
      </c>
      <c r="C23" s="1"/>
      <c r="D23" s="2">
        <f>'UtilityAccDep-2016'!D20</f>
        <v>0</v>
      </c>
      <c r="E23" s="2">
        <f>'UtilityAccDep-2016'!E20</f>
        <v>0</v>
      </c>
      <c r="F23" s="2">
        <f>'UtilityAccDep-2016'!F20</f>
        <v>0</v>
      </c>
      <c r="G23" s="2">
        <f>'UtilityAccDep-2016'!I20</f>
        <v>0</v>
      </c>
      <c r="H23" s="2">
        <f>'UtilityAccDep-2016'!H20</f>
        <v>0</v>
      </c>
      <c r="I23" s="2">
        <f>'UtilityAccDep-2016'!G20</f>
        <v>0</v>
      </c>
      <c r="J23" s="2">
        <f t="shared" si="2"/>
        <v>0</v>
      </c>
      <c r="K23" s="2"/>
    </row>
    <row r="24" spans="1:11" x14ac:dyDescent="0.2">
      <c r="A24" s="1"/>
      <c r="B24" s="2" t="s">
        <v>44</v>
      </c>
      <c r="C24" s="1"/>
      <c r="D24" s="2">
        <f>'UtilityAccDep-2016'!D28</f>
        <v>527974222</v>
      </c>
      <c r="E24" s="2">
        <f>'UtilityAccDep-2016'!E28</f>
        <v>0</v>
      </c>
      <c r="F24" s="2">
        <f>'UtilityAccDep-2016'!F28</f>
        <v>0</v>
      </c>
      <c r="G24" s="2">
        <f>'UtilityAccDep-2016'!I28</f>
        <v>0</v>
      </c>
      <c r="H24" s="2">
        <f>'UtilityAccDep-2016'!H28</f>
        <v>0</v>
      </c>
      <c r="I24" s="2">
        <f>'UtilityAccDep-2016'!G28</f>
        <v>0</v>
      </c>
      <c r="J24" s="2">
        <f t="shared" si="2"/>
        <v>527974222</v>
      </c>
      <c r="K24" s="1"/>
    </row>
    <row r="25" spans="1:11" x14ac:dyDescent="0.2">
      <c r="A25" s="1"/>
      <c r="B25" s="2" t="s">
        <v>45</v>
      </c>
      <c r="C25" s="1"/>
      <c r="D25" s="2">
        <f>'UtilityAccDep-2016'!D30</f>
        <v>207099715</v>
      </c>
      <c r="E25" s="2">
        <f>'UtilityAccDep-2016'!E30</f>
        <v>0</v>
      </c>
      <c r="F25" s="2">
        <f>'UtilityAccDep-2016'!F30</f>
        <v>0</v>
      </c>
      <c r="G25" s="2">
        <f>'UtilityAccDep-2016'!I30</f>
        <v>0</v>
      </c>
      <c r="H25" s="2">
        <f>'UtilityAccDep-2016'!H30</f>
        <v>0</v>
      </c>
      <c r="I25" s="2">
        <f>'UtilityAccDep-2016'!G30</f>
        <v>0</v>
      </c>
      <c r="J25" s="2">
        <f t="shared" si="2"/>
        <v>207099715</v>
      </c>
      <c r="K25" s="1"/>
    </row>
    <row r="26" spans="1:11" x14ac:dyDescent="0.2">
      <c r="A26" s="1"/>
      <c r="B26" s="2" t="s">
        <v>38</v>
      </c>
      <c r="C26" s="1"/>
      <c r="D26" s="2">
        <f>'UtilityAccDep-2016'!D32</f>
        <v>0</v>
      </c>
      <c r="E26" s="2">
        <f>'UtilityAccDep-2016'!E32</f>
        <v>14607405</v>
      </c>
      <c r="F26" s="2">
        <f>'UtilityAccDep-2016'!F32</f>
        <v>875787</v>
      </c>
      <c r="G26" s="2">
        <f>'UtilityAccDep-2016'!I32</f>
        <v>0</v>
      </c>
      <c r="H26" s="2">
        <f>'UtilityAccDep-2016'!H32</f>
        <v>0</v>
      </c>
      <c r="I26" s="2">
        <f>'UtilityAccDep-2016'!G32</f>
        <v>0</v>
      </c>
      <c r="J26" s="2">
        <f t="shared" si="2"/>
        <v>15483192</v>
      </c>
      <c r="K26" s="1"/>
    </row>
    <row r="27" spans="1:11" x14ac:dyDescent="0.2">
      <c r="A27" s="1"/>
      <c r="B27" s="2" t="s">
        <v>46</v>
      </c>
      <c r="C27" s="1"/>
      <c r="D27" s="2">
        <f>'UtilityAccDep-2016'!D34</f>
        <v>495424108</v>
      </c>
      <c r="E27" s="2">
        <f>'UtilityAccDep-2016'!E34</f>
        <v>201631130</v>
      </c>
      <c r="F27" s="2">
        <f>'UtilityAccDep-2016'!F34</f>
        <v>102418442</v>
      </c>
      <c r="G27" s="2">
        <f>'UtilityAccDep-2016'!I34</f>
        <v>0</v>
      </c>
      <c r="H27" s="2">
        <f>'UtilityAccDep-2016'!H34</f>
        <v>0</v>
      </c>
      <c r="I27" s="2">
        <f>'UtilityAccDep-2016'!G34</f>
        <v>0</v>
      </c>
      <c r="J27" s="2">
        <f t="shared" si="2"/>
        <v>799473680</v>
      </c>
      <c r="K27" s="1"/>
    </row>
    <row r="28" spans="1:11" x14ac:dyDescent="0.2">
      <c r="A28" s="1"/>
      <c r="B28" s="2" t="s">
        <v>50</v>
      </c>
      <c r="C28" s="1"/>
      <c r="D28" s="14">
        <f>'UtilityAccDep-2016'!D39</f>
        <v>72979443</v>
      </c>
      <c r="E28" s="14">
        <f>'UtilityAccDep-2016'!E39</f>
        <v>9267937</v>
      </c>
      <c r="F28" s="14">
        <f>'UtilityAccDep-2016'!F39</f>
        <v>4701295</v>
      </c>
      <c r="G28" s="14">
        <f>'UtilityAccDep-2016'!I39</f>
        <v>20643579</v>
      </c>
      <c r="H28" s="14">
        <f>'UtilityAccDep-2016'!H39</f>
        <v>2157338</v>
      </c>
      <c r="I28" s="14">
        <f>'UtilityAccDep-2016'!G39</f>
        <v>50184417</v>
      </c>
      <c r="J28" s="14">
        <f t="shared" si="2"/>
        <v>159934009</v>
      </c>
      <c r="K28" s="1"/>
    </row>
    <row r="29" spans="1:11" x14ac:dyDescent="0.2">
      <c r="A29" s="1"/>
      <c r="B29" s="2" t="s">
        <v>48</v>
      </c>
      <c r="C29" s="1"/>
      <c r="D29" s="2">
        <f t="shared" ref="D29:J29" si="3">SUM(D21:D28)</f>
        <v>1319390644</v>
      </c>
      <c r="E29" s="2">
        <f t="shared" si="3"/>
        <v>225984661</v>
      </c>
      <c r="F29" s="2">
        <f t="shared" si="3"/>
        <v>108076142</v>
      </c>
      <c r="G29" s="2">
        <f t="shared" si="3"/>
        <v>20829107</v>
      </c>
      <c r="H29" s="2">
        <f t="shared" si="3"/>
        <v>2990092</v>
      </c>
      <c r="I29" s="2">
        <f t="shared" si="3"/>
        <v>96679157</v>
      </c>
      <c r="J29" s="2">
        <f t="shared" si="3"/>
        <v>1773949803</v>
      </c>
      <c r="K29" s="1"/>
    </row>
    <row r="30" spans="1:11" x14ac:dyDescent="0.2">
      <c r="A30" s="1"/>
      <c r="B30" s="1"/>
      <c r="C30" s="1"/>
      <c r="D30" s="2">
        <f>+D29-'UtilityAccDep-2016'!D16-'UtilityAccDep-2016'!D21-'UtilityAccDep-2016'!D28-'UtilityAccDep-2016'!D30-'UtilityAccDep-2016'!D32-'UtilityAccDep-2016'!D34-'UtilityAccDep-2016'!D39</f>
        <v>0</v>
      </c>
      <c r="E30" s="2">
        <f>+E29-'UtilityAccDep-2016'!E16-'UtilityAccDep-2016'!E21-'UtilityAccDep-2016'!E28-'UtilityAccDep-2016'!E30-'UtilityAccDep-2016'!E32-'UtilityAccDep-2016'!E34-'UtilityAccDep-2016'!E39</f>
        <v>0</v>
      </c>
      <c r="F30" s="2">
        <f>+F29-'UtilityAccDep-2016'!F16-'UtilityAccDep-2016'!F21-'UtilityAccDep-2016'!F28-'UtilityAccDep-2016'!F30-'UtilityAccDep-2016'!F32-'UtilityAccDep-2016'!F34-'UtilityAccDep-2016'!F39</f>
        <v>0</v>
      </c>
      <c r="G30" s="2">
        <f>+G29-'UtilityAccDep-2016'!I16-'UtilityAccDep-2016'!I21-'UtilityAccDep-2016'!I28-'UtilityAccDep-2016'!I30-'UtilityAccDep-2016'!I32-'UtilityAccDep-2016'!I34-'UtilityAccDep-2016'!I39</f>
        <v>0</v>
      </c>
      <c r="H30" s="2">
        <f>+H29-'UtilityAccDep-2016'!H16-'UtilityAccDep-2016'!H21-'UtilityAccDep-2016'!H28-'UtilityAccDep-2016'!H30-'UtilityAccDep-2016'!H32-'UtilityAccDep-2016'!H34-'UtilityAccDep-2016'!H39</f>
        <v>0</v>
      </c>
      <c r="I30" s="2">
        <f>+I29-'UtilityAccDep-2016'!G16-'UtilityAccDep-2016'!G21-'UtilityAccDep-2016'!G28-'UtilityAccDep-2016'!G30-'UtilityAccDep-2016'!G32-'UtilityAccDep-2016'!G34-'UtilityAccDep-2016'!G39</f>
        <v>0</v>
      </c>
      <c r="J30" s="2">
        <f>+J29-'UtilityAccDep-2016'!J16-'UtilityAccDep-2016'!J21-'UtilityAccDep-2016'!J28-'UtilityAccDep-2016'!J30-'UtilityAccDep-2016'!J32-'UtilityAccDep-2016'!J34-'UtilityAccDep-2016'!J39</f>
        <v>0</v>
      </c>
      <c r="K30" s="1"/>
    </row>
    <row r="31" spans="1:11" x14ac:dyDescent="0.2">
      <c r="A31" s="2" t="s">
        <v>75</v>
      </c>
      <c r="B31" s="1"/>
      <c r="C31" s="1"/>
      <c r="D31" s="2">
        <f t="shared" ref="D31:J31" si="4">D18-D29</f>
        <v>2504855013</v>
      </c>
      <c r="E31" s="2">
        <f t="shared" si="4"/>
        <v>451825089</v>
      </c>
      <c r="F31" s="2">
        <f t="shared" si="4"/>
        <v>249189678</v>
      </c>
      <c r="G31" s="2">
        <f t="shared" si="4"/>
        <v>34761057</v>
      </c>
      <c r="H31" s="2">
        <f t="shared" si="4"/>
        <v>3334478</v>
      </c>
      <c r="I31" s="2">
        <f t="shared" si="4"/>
        <v>312573787</v>
      </c>
      <c r="J31" s="2">
        <f t="shared" si="4"/>
        <v>3556539102</v>
      </c>
      <c r="K31" s="1"/>
    </row>
    <row r="32" spans="1:11" x14ac:dyDescent="0.2">
      <c r="E32" s="2"/>
      <c r="F32" s="2"/>
      <c r="G32" s="2"/>
      <c r="H32" s="2"/>
      <c r="I32" s="2"/>
      <c r="J32" s="2"/>
    </row>
    <row r="33" spans="1:10" x14ac:dyDescent="0.2">
      <c r="A33" s="2" t="s">
        <v>51</v>
      </c>
      <c r="B33" s="1"/>
      <c r="C33" s="1"/>
      <c r="D33" s="2"/>
      <c r="E33" s="2"/>
      <c r="F33" s="2"/>
      <c r="G33" s="2"/>
      <c r="H33" s="2"/>
      <c r="I33" s="2"/>
      <c r="J33" s="2"/>
    </row>
    <row r="34" spans="1:10" x14ac:dyDescent="0.2">
      <c r="A34" s="1"/>
      <c r="B34" s="2" t="s">
        <v>216</v>
      </c>
      <c r="C34" s="1"/>
      <c r="D34" s="37">
        <f>'9-2016'!D40</f>
        <v>0.77807999999999999</v>
      </c>
      <c r="E34" s="37">
        <f>'9-2016'!E40</f>
        <v>0.22192000000000001</v>
      </c>
      <c r="F34" s="2"/>
      <c r="G34" s="2"/>
      <c r="H34" s="2"/>
      <c r="I34" s="2"/>
      <c r="J34" s="2"/>
    </row>
    <row r="35" spans="1:10" x14ac:dyDescent="0.2">
      <c r="A35" s="1"/>
      <c r="B35" s="2" t="s">
        <v>52</v>
      </c>
      <c r="C35" s="1"/>
      <c r="D35" s="2">
        <f>ROUND(+D34*G31,0)</f>
        <v>27046883</v>
      </c>
      <c r="E35" s="2">
        <f>ROUND(+E34*G31,0)</f>
        <v>7714174</v>
      </c>
      <c r="F35" s="2"/>
      <c r="G35" s="2">
        <f>-D35-E35</f>
        <v>-34761057</v>
      </c>
      <c r="H35" s="2"/>
      <c r="I35" s="2"/>
      <c r="J35" s="2">
        <f>SUM(D35:I35)</f>
        <v>0</v>
      </c>
    </row>
    <row r="36" spans="1:10" x14ac:dyDescent="0.2">
      <c r="D36" s="2"/>
      <c r="E36" s="2"/>
      <c r="F36" s="2"/>
      <c r="G36" s="2"/>
      <c r="H36" s="2"/>
      <c r="I36" s="2"/>
      <c r="J36" s="2"/>
    </row>
    <row r="37" spans="1:10" x14ac:dyDescent="0.2">
      <c r="A37" s="2" t="s">
        <v>217</v>
      </c>
      <c r="B37" s="1"/>
      <c r="C37" s="1"/>
      <c r="D37" s="2"/>
      <c r="E37" s="2"/>
      <c r="F37" s="2"/>
      <c r="G37" s="2"/>
      <c r="H37" s="2"/>
      <c r="I37" s="2"/>
      <c r="J37" s="2"/>
    </row>
    <row r="38" spans="1:10" x14ac:dyDescent="0.2">
      <c r="A38" s="1"/>
      <c r="B38" s="2" t="s">
        <v>340</v>
      </c>
      <c r="C38" s="1"/>
      <c r="D38" s="2"/>
      <c r="E38" s="37">
        <f>'8-2016'!E38</f>
        <v>0.68557999999999997</v>
      </c>
      <c r="F38" s="37">
        <f>'8-2016'!F38</f>
        <v>0.31441999999999998</v>
      </c>
      <c r="G38" s="2"/>
      <c r="H38" s="2"/>
      <c r="I38" s="2"/>
      <c r="J38" s="2"/>
    </row>
    <row r="39" spans="1:10" x14ac:dyDescent="0.2">
      <c r="A39" s="1"/>
      <c r="B39" s="2" t="s">
        <v>52</v>
      </c>
      <c r="C39" s="1"/>
      <c r="D39" s="2"/>
      <c r="E39" s="47">
        <f>ROUND(+E38*H31,0)</f>
        <v>2286051</v>
      </c>
      <c r="F39" s="2">
        <f>ROUND(+F38*H31,0)</f>
        <v>1048427</v>
      </c>
      <c r="G39" s="2"/>
      <c r="H39" s="2">
        <f>-E39-F39</f>
        <v>-3334478</v>
      </c>
      <c r="I39" s="2"/>
      <c r="J39" s="2">
        <f>SUM(D39:I39)</f>
        <v>0</v>
      </c>
    </row>
    <row r="40" spans="1:10" x14ac:dyDescent="0.2">
      <c r="D40" s="2"/>
      <c r="E40" s="2"/>
      <c r="F40" s="2"/>
      <c r="G40" s="2"/>
      <c r="H40" s="2"/>
      <c r="I40" s="2"/>
      <c r="J40" s="2"/>
    </row>
    <row r="41" spans="1:10" ht="13.5" thickBot="1" x14ac:dyDescent="0.25">
      <c r="A41" s="2" t="s">
        <v>218</v>
      </c>
      <c r="B41" s="1"/>
      <c r="C41" s="1"/>
      <c r="D41" s="11">
        <f t="shared" ref="D41:J41" si="5">D31+D35+D39</f>
        <v>2531901896</v>
      </c>
      <c r="E41" s="11">
        <f t="shared" si="5"/>
        <v>461825314</v>
      </c>
      <c r="F41" s="11">
        <f t="shared" si="5"/>
        <v>250238105</v>
      </c>
      <c r="G41" s="11">
        <f t="shared" si="5"/>
        <v>0</v>
      </c>
      <c r="H41" s="11">
        <f t="shared" si="5"/>
        <v>0</v>
      </c>
      <c r="I41" s="11">
        <f t="shared" si="5"/>
        <v>312573787</v>
      </c>
      <c r="J41" s="11">
        <f t="shared" si="5"/>
        <v>3556539102</v>
      </c>
    </row>
    <row r="42" spans="1:10" ht="13.5" thickTop="1" x14ac:dyDescent="0.2">
      <c r="A42" s="1"/>
      <c r="B42" s="1"/>
      <c r="C42" s="1"/>
      <c r="D42" s="1"/>
      <c r="E42" s="1"/>
      <c r="F42" s="1"/>
      <c r="G42" s="1"/>
      <c r="H42" s="1"/>
      <c r="I42" s="1"/>
      <c r="J42" s="1">
        <f>'UtilityPlt-2016'!J49-'UtilityAccDep-2016'!J43-J41</f>
        <v>0</v>
      </c>
    </row>
  </sheetData>
  <pageMargins left="0.2" right="0.2" top="0.75" bottom="0.75" header="0.3" footer="0.3"/>
  <pageSetup scale="81" orientation="portrait" r:id="rId1"/>
  <headerFooter>
    <oddFooter>&amp;L&amp;F
&amp;A&amp;RPrepared By: Jeanne Pluth
Date: January 23, 2015</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G43"/>
  <sheetViews>
    <sheetView showOutlineSymbols="0" zoomScaleNormal="100" workbookViewId="0">
      <pane xSplit="1" ySplit="7" topLeftCell="B17" activePane="bottomRight" state="frozen"/>
      <selection activeCell="M34" sqref="M34"/>
      <selection pane="topRight" activeCell="M34" sqref="M34"/>
      <selection pane="bottomLeft" activeCell="M34" sqref="M34"/>
      <selection pane="bottomRight" activeCell="M34" sqref="M34"/>
    </sheetView>
  </sheetViews>
  <sheetFormatPr defaultColWidth="9.7109375" defaultRowHeight="12.75" x14ac:dyDescent="0.2"/>
  <cols>
    <col min="1" max="1" width="31.7109375" customWidth="1"/>
    <col min="2" max="2" width="6.7109375" hidden="1" customWidth="1"/>
    <col min="3" max="3" width="13.7109375" customWidth="1"/>
    <col min="4" max="4" width="7.85546875" bestFit="1" customWidth="1"/>
    <col min="5" max="5" width="13.7109375" customWidth="1"/>
    <col min="6" max="6" width="14" bestFit="1" customWidth="1"/>
    <col min="7" max="7" width="6.28515625" bestFit="1" customWidth="1"/>
  </cols>
  <sheetData>
    <row r="1" spans="1:7" x14ac:dyDescent="0.2">
      <c r="A1" s="1" t="str">
        <f>Notes!A1</f>
        <v>Avista Utilities</v>
      </c>
      <c r="B1" s="1"/>
      <c r="C1" s="1"/>
      <c r="D1" s="1"/>
      <c r="E1" s="1"/>
      <c r="F1" s="51"/>
      <c r="G1" s="1"/>
    </row>
    <row r="2" spans="1:7" x14ac:dyDescent="0.2">
      <c r="A2" s="1" t="s">
        <v>202</v>
      </c>
      <c r="B2" s="1"/>
      <c r="C2" s="1"/>
      <c r="D2" s="1"/>
      <c r="E2" s="1"/>
      <c r="F2" s="1"/>
      <c r="G2" s="1"/>
    </row>
    <row r="3" spans="1:7" x14ac:dyDescent="0.2">
      <c r="A3" s="1" t="s">
        <v>67</v>
      </c>
      <c r="B3" s="1"/>
      <c r="C3" s="1"/>
      <c r="D3" s="1"/>
      <c r="E3" s="1"/>
      <c r="F3" s="1"/>
      <c r="G3" s="1"/>
    </row>
    <row r="4" spans="1:7" x14ac:dyDescent="0.2">
      <c r="A4" s="1" t="str">
        <f>Notes!A4</f>
        <v>For the Twelve Months Ended December 31, 2016</v>
      </c>
      <c r="B4" s="1"/>
      <c r="C4" s="1"/>
      <c r="D4" s="1"/>
      <c r="E4" s="1"/>
      <c r="F4" s="1"/>
      <c r="G4" s="1"/>
    </row>
    <row r="5" spans="1:7" x14ac:dyDescent="0.2">
      <c r="A5" s="1"/>
      <c r="B5" s="1"/>
      <c r="C5" s="1"/>
      <c r="D5" s="1"/>
      <c r="E5" s="1"/>
      <c r="F5" s="1"/>
      <c r="G5" s="1"/>
    </row>
    <row r="7" spans="1:7" x14ac:dyDescent="0.2">
      <c r="A7" s="1"/>
      <c r="B7" s="19" t="s">
        <v>54</v>
      </c>
      <c r="C7" s="20" t="s">
        <v>1</v>
      </c>
      <c r="D7" s="20" t="s">
        <v>2</v>
      </c>
      <c r="E7" s="20" t="s">
        <v>200</v>
      </c>
      <c r="F7" s="20" t="s">
        <v>173</v>
      </c>
      <c r="G7" s="21" t="s">
        <v>55</v>
      </c>
    </row>
    <row r="9" spans="1:7" x14ac:dyDescent="0.2">
      <c r="A9" s="1" t="s">
        <v>309</v>
      </c>
      <c r="B9" s="1"/>
      <c r="C9" s="1"/>
      <c r="D9" s="1"/>
      <c r="E9" s="1"/>
      <c r="F9" s="1"/>
      <c r="G9" s="1"/>
    </row>
    <row r="10" spans="1:7" x14ac:dyDescent="0.2">
      <c r="A10" s="1" t="s">
        <v>310</v>
      </c>
      <c r="B10" s="6" t="s">
        <v>178</v>
      </c>
      <c r="C10" s="5">
        <f>SUM(D10:F10)</f>
        <v>11097236</v>
      </c>
      <c r="D10" s="5"/>
      <c r="E10" s="5">
        <f>'Expenses-2016'!M12+'Expenses-2016'!O12+'Expenses-2016'!Q12</f>
        <v>6996391</v>
      </c>
      <c r="F10" s="5">
        <f>'Expenses-2016'!P18</f>
        <v>4100845</v>
      </c>
      <c r="G10" s="6" t="s">
        <v>333</v>
      </c>
    </row>
    <row r="11" spans="1:7" x14ac:dyDescent="0.2">
      <c r="A11" s="1" t="s">
        <v>367</v>
      </c>
      <c r="B11" s="6" t="s">
        <v>178</v>
      </c>
      <c r="C11" s="2">
        <f>SUM(D11:F11)</f>
        <v>13037852</v>
      </c>
      <c r="D11" s="2"/>
      <c r="E11" s="2">
        <f>'Expenses-2016'!M11+'Expenses-2016'!O11+'Expenses-2016'!Q11</f>
        <v>8731019</v>
      </c>
      <c r="F11" s="2">
        <f>'Expenses-2016'!N17+'Expenses-2016'!P17</f>
        <v>4306833</v>
      </c>
      <c r="G11" s="7">
        <v>-2</v>
      </c>
    </row>
    <row r="12" spans="1:7" x14ac:dyDescent="0.2">
      <c r="A12" s="1" t="s">
        <v>311</v>
      </c>
      <c r="B12" s="6" t="s">
        <v>56</v>
      </c>
      <c r="C12" s="2">
        <f>SUM(D12:F12)</f>
        <v>1426076</v>
      </c>
      <c r="D12" s="2"/>
      <c r="E12" s="2">
        <f>'Expenses-2016'!E11+'Expenses-2016'!F11+'Expenses-2016'!G11</f>
        <v>1426076</v>
      </c>
      <c r="F12" s="111">
        <v>0</v>
      </c>
      <c r="G12" s="7">
        <v>-2</v>
      </c>
    </row>
    <row r="13" spans="1:7" x14ac:dyDescent="0.2">
      <c r="A13" s="1" t="s">
        <v>57</v>
      </c>
      <c r="B13" s="1"/>
      <c r="C13" s="22">
        <f>SUM(C10:C12)</f>
        <v>25561164</v>
      </c>
      <c r="D13" s="22">
        <f>SUM(D10:D12)</f>
        <v>0</v>
      </c>
      <c r="E13" s="22">
        <f>SUM(E10:E12)</f>
        <v>17153486</v>
      </c>
      <c r="F13" s="22">
        <f>SUM(F10:F12)</f>
        <v>8407678</v>
      </c>
      <c r="G13" s="1"/>
    </row>
    <row r="15" spans="1:7" x14ac:dyDescent="0.2">
      <c r="A15" s="1" t="s">
        <v>58</v>
      </c>
      <c r="B15" s="1"/>
      <c r="C15" s="23">
        <f>SUM(D15:F15)</f>
        <v>1</v>
      </c>
      <c r="D15" s="3">
        <f>ROUND(+D13/C13,5)</f>
        <v>0</v>
      </c>
      <c r="E15" s="3">
        <f>ROUND(+E13/C13,5)</f>
        <v>0.67108000000000001</v>
      </c>
      <c r="F15" s="3">
        <f>ROUND(F13/C13,5)</f>
        <v>0.32891999999999999</v>
      </c>
      <c r="G15" s="71" t="str">
        <f>IF(C15=1," ","Check rounding")</f>
        <v xml:space="preserve"> </v>
      </c>
    </row>
    <row r="17" spans="1:7" x14ac:dyDescent="0.2">
      <c r="A17" s="1" t="s">
        <v>59</v>
      </c>
      <c r="B17" s="1"/>
      <c r="C17" s="1"/>
      <c r="D17" s="1"/>
      <c r="E17" s="1"/>
      <c r="F17" s="1"/>
      <c r="G17" s="1"/>
    </row>
    <row r="18" spans="1:7" x14ac:dyDescent="0.2">
      <c r="A18" s="1" t="s">
        <v>310</v>
      </c>
      <c r="B18" s="6" t="s">
        <v>178</v>
      </c>
      <c r="C18" s="5">
        <f>SUM(D18:F18)</f>
        <v>14019483</v>
      </c>
      <c r="D18" s="5"/>
      <c r="E18" s="5">
        <f>'Expenses-2016'!M15+'Expenses-2016'!O15+'Expenses-2016'!Q15</f>
        <v>10089186</v>
      </c>
      <c r="F18" s="5">
        <f>'Expenses-2016'!P21</f>
        <v>3930297</v>
      </c>
      <c r="G18" s="6"/>
    </row>
    <row r="19" spans="1:7" x14ac:dyDescent="0.2">
      <c r="A19" s="1" t="s">
        <v>367</v>
      </c>
      <c r="B19" s="6" t="s">
        <v>178</v>
      </c>
      <c r="C19" s="2">
        <f>SUM(D19:F19)</f>
        <v>1733128</v>
      </c>
      <c r="D19" s="2"/>
      <c r="E19" s="2">
        <f>'Expenses-2016'!O14+'Expenses-2016'!Q14</f>
        <v>225934</v>
      </c>
      <c r="F19" s="2">
        <f>'Expenses-2016'!N20+'Expenses-2016'!P20</f>
        <v>1507194</v>
      </c>
      <c r="G19" s="7"/>
    </row>
    <row r="20" spans="1:7" x14ac:dyDescent="0.2">
      <c r="A20" s="1" t="s">
        <v>311</v>
      </c>
      <c r="B20" s="6" t="s">
        <v>56</v>
      </c>
      <c r="C20" s="2">
        <f>SUM(D20:F20)</f>
        <v>3804730</v>
      </c>
      <c r="D20" s="2"/>
      <c r="E20" s="2">
        <f>'Expenses-2016'!E14+'Expenses-2016'!F14+'Expenses-2016'!G14</f>
        <v>3804730</v>
      </c>
      <c r="F20" s="111">
        <v>0</v>
      </c>
      <c r="G20" s="7"/>
    </row>
    <row r="21" spans="1:7" x14ac:dyDescent="0.2">
      <c r="A21" s="1" t="s">
        <v>57</v>
      </c>
      <c r="B21" s="1"/>
      <c r="C21" s="22">
        <f>SUM(C18:C20)</f>
        <v>19557341</v>
      </c>
      <c r="D21" s="22">
        <f>SUM(D18:D20)</f>
        <v>0</v>
      </c>
      <c r="E21" s="22">
        <f>SUM(E18:E20)</f>
        <v>14119850</v>
      </c>
      <c r="F21" s="22">
        <f>SUM(F18:F20)</f>
        <v>5437491</v>
      </c>
      <c r="G21" s="1"/>
    </row>
    <row r="23" spans="1:7" x14ac:dyDescent="0.2">
      <c r="A23" s="1" t="s">
        <v>58</v>
      </c>
      <c r="B23" s="1"/>
      <c r="C23" s="23">
        <f>SUM(D23:F23)</f>
        <v>1</v>
      </c>
      <c r="D23" s="3">
        <f>ROUND(+D21/C21,5)</f>
        <v>0</v>
      </c>
      <c r="E23" s="3">
        <f>ROUND(+E21/C21,5)</f>
        <v>0.72197</v>
      </c>
      <c r="F23" s="3">
        <f>ROUND(F21/C21,5)</f>
        <v>0.27803</v>
      </c>
      <c r="G23" s="71" t="str">
        <f>IF(C23=1," ","Check rounding")</f>
        <v xml:space="preserve"> </v>
      </c>
    </row>
    <row r="25" spans="1:7" x14ac:dyDescent="0.2">
      <c r="A25" s="1" t="str">
        <f>'Factor 7 for 2017'!A28</f>
        <v>Year End Customers at 12/31/16</v>
      </c>
      <c r="B25" s="1"/>
      <c r="C25" s="1"/>
      <c r="D25" s="1"/>
      <c r="E25" s="1"/>
      <c r="F25" s="1"/>
      <c r="G25" s="1"/>
    </row>
    <row r="26" spans="1:7" x14ac:dyDescent="0.2">
      <c r="A26" s="1" t="e">
        <f>#REF!</f>
        <v>#REF!</v>
      </c>
      <c r="B26" s="1"/>
      <c r="C26" s="2">
        <f>SUM(D26:F26)</f>
        <v>340294</v>
      </c>
      <c r="D26" s="2"/>
      <c r="E26" s="2">
        <f>'Factor 7 for 2017'!E32</f>
        <v>239822</v>
      </c>
      <c r="F26" s="2">
        <f>'Factor 7 for 2017'!F32</f>
        <v>100472</v>
      </c>
      <c r="G26" s="2"/>
    </row>
    <row r="28" spans="1:7" x14ac:dyDescent="0.2">
      <c r="A28" s="1" t="s">
        <v>58</v>
      </c>
      <c r="B28" s="1"/>
      <c r="C28" s="23">
        <f>SUM(D28:F28)</f>
        <v>1</v>
      </c>
      <c r="D28" s="3">
        <f>ROUND(+D26/C26,5)</f>
        <v>0</v>
      </c>
      <c r="E28" s="3">
        <f>ROUND(+E26/C26,5)</f>
        <v>0.70474999999999999</v>
      </c>
      <c r="F28" s="3">
        <f>ROUND(F26/C26,5)</f>
        <v>0.29525000000000001</v>
      </c>
      <c r="G28" s="71" t="str">
        <f>IF(C28=1," ","Check rounding")</f>
        <v xml:space="preserve"> </v>
      </c>
    </row>
    <row r="30" spans="1:7" x14ac:dyDescent="0.2">
      <c r="A30" s="1" t="str">
        <f>'Factor 7 for 2017'!A36</f>
        <v>Net Direct Plant (Ending Balance at 12/31/16)</v>
      </c>
      <c r="B30" s="1"/>
      <c r="C30" s="1"/>
      <c r="D30" s="1"/>
      <c r="E30" s="1"/>
      <c r="F30" s="1"/>
      <c r="G30" s="1"/>
    </row>
    <row r="31" spans="1:7" x14ac:dyDescent="0.2">
      <c r="A31" s="1" t="s">
        <v>63</v>
      </c>
      <c r="B31" s="1"/>
      <c r="C31" s="5">
        <f>SUM(D31:F31)</f>
        <v>701014767</v>
      </c>
      <c r="D31" s="5"/>
      <c r="E31" s="5">
        <f>'UtilityNetPlt-2016'!E31</f>
        <v>451825089</v>
      </c>
      <c r="F31" s="5">
        <f>'UtilityNetPlt-2016'!F31</f>
        <v>249189678</v>
      </c>
      <c r="G31" s="7"/>
    </row>
    <row r="33" spans="1:7" x14ac:dyDescent="0.2">
      <c r="A33" s="1" t="s">
        <v>58</v>
      </c>
      <c r="B33" s="1"/>
      <c r="C33" s="23">
        <f>SUM(D33:F33)</f>
        <v>1</v>
      </c>
      <c r="D33" s="3">
        <f>ROUND(+D31/C31,5)</f>
        <v>0</v>
      </c>
      <c r="E33" s="3">
        <f>ROUND(+E31/C31,5)</f>
        <v>0.64453000000000005</v>
      </c>
      <c r="F33" s="3">
        <f>ROUND(F31/C31,5)</f>
        <v>0.35547000000000001</v>
      </c>
      <c r="G33" s="71" t="str">
        <f>IF(C33=1," ","Check rounding")</f>
        <v xml:space="preserve"> </v>
      </c>
    </row>
    <row r="35" spans="1:7" x14ac:dyDescent="0.2">
      <c r="A35" s="1" t="s">
        <v>64</v>
      </c>
      <c r="B35" s="1"/>
      <c r="C35" s="1"/>
      <c r="D35" s="1"/>
      <c r="E35" s="1"/>
      <c r="F35" s="1"/>
      <c r="G35" s="1"/>
    </row>
    <row r="36" spans="1:7" x14ac:dyDescent="0.2">
      <c r="A36" s="1" t="s">
        <v>65</v>
      </c>
      <c r="B36" s="1"/>
      <c r="C36" s="24">
        <f>SUM(D36:F36)</f>
        <v>4</v>
      </c>
      <c r="D36" s="24">
        <f>D15+D23+D28+D33</f>
        <v>0</v>
      </c>
      <c r="E36" s="24">
        <f>E15+E23+E28+E33</f>
        <v>2.7423300000000004</v>
      </c>
      <c r="F36" s="24">
        <f>F15+F23+F28+F33</f>
        <v>1.2576700000000001</v>
      </c>
      <c r="G36" s="1"/>
    </row>
    <row r="38" spans="1:7" ht="13.5" thickBot="1" x14ac:dyDescent="0.25">
      <c r="A38" s="1" t="s">
        <v>66</v>
      </c>
      <c r="B38" s="1"/>
      <c r="C38" s="86">
        <f>SUM(D38:F38)</f>
        <v>1</v>
      </c>
      <c r="D38" s="25">
        <f>ROUND(+D36/C36,5)</f>
        <v>0</v>
      </c>
      <c r="E38" s="26">
        <f>ROUND(+E36/C36,5)-0</f>
        <v>0.68557999999999997</v>
      </c>
      <c r="F38" s="25">
        <f>ROUND(F36/C36,5)</f>
        <v>0.31441999999999998</v>
      </c>
      <c r="G38" s="71" t="str">
        <f>IF(C38=1," ","Check rounding")</f>
        <v xml:space="preserve"> </v>
      </c>
    </row>
    <row r="39" spans="1:7" ht="13.5" thickTop="1" x14ac:dyDescent="0.2">
      <c r="A39" s="1"/>
      <c r="B39" s="1"/>
      <c r="C39" s="1"/>
      <c r="D39" s="1"/>
      <c r="E39" s="1"/>
      <c r="F39" s="1"/>
      <c r="G39" s="1"/>
    </row>
    <row r="41" spans="1:7" x14ac:dyDescent="0.2">
      <c r="A41" s="1" t="s">
        <v>332</v>
      </c>
      <c r="B41" s="1"/>
      <c r="C41" s="1"/>
      <c r="D41" s="1"/>
      <c r="E41" s="1"/>
      <c r="F41" s="1"/>
      <c r="G41" s="1"/>
    </row>
    <row r="42" spans="1:7" x14ac:dyDescent="0.2">
      <c r="A42" s="1" t="s">
        <v>136</v>
      </c>
      <c r="B42" s="1"/>
      <c r="C42" s="1"/>
      <c r="D42" s="1"/>
      <c r="E42" s="1"/>
      <c r="F42" s="1"/>
      <c r="G42" s="1"/>
    </row>
    <row r="43" spans="1:7" x14ac:dyDescent="0.2">
      <c r="C43" s="1"/>
      <c r="D43" s="1"/>
      <c r="E43" s="1"/>
    </row>
  </sheetData>
  <pageMargins left="0.7" right="0.7" top="0.75" bottom="0.75" header="0.3" footer="0.3"/>
  <pageSetup scale="97" orientation="portrait" r:id="rId1"/>
  <headerFooter>
    <oddFooter>&amp;L&amp;F
&amp;A&amp;RPrepared By: Jeanne Pluth
Date: January 23, 2015</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F715EC678A7F1A4EA78256160E68E386" ma:contentTypeVersion="104" ma:contentTypeDescription="" ma:contentTypeScope="" ma:versionID="f41f2f197e4233624e1b41212c2d757f">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a73172a68e7f9fac6748cf5da6db34b2"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haredContentType xmlns="Microsoft.SharePoint.Taxonomy.ContentTypeSync" SourceId="1af0c028-e016-4365-948e-cc2e26d65303" ContentTypeId="0x0101006E56B4D1795A2E4DB2F0B01679ED314A" PreviousValue="true"/>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Prefix>
    <DocumentSetType xmlns="dc463f71-b30c-4ab2-9473-d307f9d35888">Testimony</DocumentSetType>
    <Visibility xmlns="dc463f71-b30c-4ab2-9473-d307f9d35888" xsi:nil="true"/>
    <IsConfidential xmlns="dc463f71-b30c-4ab2-9473-d307f9d35888">false</IsConfidential>
    <AgendaOrder xmlns="dc463f71-b30c-4ab2-9473-d307f9d35888">false</AgendaOrder>
    <CaseType xmlns="dc463f71-b30c-4ab2-9473-d307f9d35888">Transfer of Property</CaseType>
    <IndustryCode xmlns="dc463f71-b30c-4ab2-9473-d307f9d35888">501</IndustryCode>
    <CaseStatus xmlns="dc463f71-b30c-4ab2-9473-d307f9d35888">Closed</CaseStatus>
    <OpenedDate xmlns="dc463f71-b30c-4ab2-9473-d307f9d35888">2017-09-14T07:00:00+00:00</OpenedDate>
    <Date1 xmlns="dc463f71-b30c-4ab2-9473-d307f9d35888">2017-09-14T07:00:00+00:00</Date1>
    <IsDocumentOrder xmlns="dc463f71-b30c-4ab2-9473-d307f9d35888" xsi:nil="true"/>
    <IsHighlyConfidential xmlns="dc463f71-b30c-4ab2-9473-d307f9d35888">false</IsHighlyConfidential>
    <CaseCompanyNames xmlns="dc463f71-b30c-4ab2-9473-d307f9d35888">Avista Corporation</CaseCompanyNames>
    <Nickname xmlns="http://schemas.microsoft.com/sharepoint/v3" xsi:nil="true"/>
    <DocketNumber xmlns="dc463f71-b30c-4ab2-9473-d307f9d35888">170970</DocketNumber>
    <DelegatedOrder xmlns="dc463f71-b30c-4ab2-9473-d307f9d35888">false</DelegatedOrder>
    <SignificantOrder xmlns="dc463f71-b30c-4ab2-9473-d307f9d35888">false</SignificantOrder>
  </documentManagement>
</p:properties>
</file>

<file path=customXml/itemProps1.xml><?xml version="1.0" encoding="utf-8"?>
<ds:datastoreItem xmlns:ds="http://schemas.openxmlformats.org/officeDocument/2006/customXml" ds:itemID="{29D97B80-FC2C-447B-B4E9-CC7C70ACB80D}"/>
</file>

<file path=customXml/itemProps2.xml><?xml version="1.0" encoding="utf-8"?>
<ds:datastoreItem xmlns:ds="http://schemas.openxmlformats.org/officeDocument/2006/customXml" ds:itemID="{25988285-533E-4FD9-89FA-5EA45DCF903B}"/>
</file>

<file path=customXml/itemProps3.xml><?xml version="1.0" encoding="utf-8"?>
<ds:datastoreItem xmlns:ds="http://schemas.openxmlformats.org/officeDocument/2006/customXml" ds:itemID="{87CA88AD-E142-4B11-A9C1-291451B79FD8}"/>
</file>

<file path=customXml/itemProps4.xml><?xml version="1.0" encoding="utf-8"?>
<ds:datastoreItem xmlns:ds="http://schemas.openxmlformats.org/officeDocument/2006/customXml" ds:itemID="{1CEF0D75-FE1F-49D8-A02B-0B6C3C858F9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23</vt:i4>
      </vt:variant>
    </vt:vector>
  </HeadingPairs>
  <TitlesOfParts>
    <vt:vector size="39" baseType="lpstr">
      <vt:lpstr>Factor 7 for 2017</vt:lpstr>
      <vt:lpstr>Electric Factor 4</vt:lpstr>
      <vt:lpstr>Gas Factor 4</vt:lpstr>
      <vt:lpstr>Notes</vt:lpstr>
      <vt:lpstr>Expenses-2016</vt:lpstr>
      <vt:lpstr>UtilityPlt-2016</vt:lpstr>
      <vt:lpstr>UtilityAccDep-2016</vt:lpstr>
      <vt:lpstr>UtilityNetPlt-2016</vt:lpstr>
      <vt:lpstr>8-2016</vt:lpstr>
      <vt:lpstr>9-2016</vt:lpstr>
      <vt:lpstr>NewMemo</vt:lpstr>
      <vt:lpstr>GasPlt-2016</vt:lpstr>
      <vt:lpstr>GasNetPlt-2016</vt:lpstr>
      <vt:lpstr>ElecPlt-2016</vt:lpstr>
      <vt:lpstr>ElecNetPlt-2016</vt:lpstr>
      <vt:lpstr>Historic%</vt:lpstr>
      <vt:lpstr>'UtilityAccDep-2016'!DEPREC</vt:lpstr>
      <vt:lpstr>'ElecPlt-2016'!ELEC_GENERAL</vt:lpstr>
      <vt:lpstr>'Electric Factor 4'!ELECTRIC</vt:lpstr>
      <vt:lpstr>'GasNetPlt-2016'!GAS_PLANT</vt:lpstr>
      <vt:lpstr>'GasPlt-2016'!GENERAL_PLANT</vt:lpstr>
      <vt:lpstr>'UtilityPlt-2016'!INTANGIBLE_PLT</vt:lpstr>
      <vt:lpstr>'ElecNetPlt-2016'!NET_ELEC_PLANT</vt:lpstr>
      <vt:lpstr>'UtilityNetPlt-2016'!NET_PLANT</vt:lpstr>
      <vt:lpstr>'ElecNetPlt-2016'!Print_Area</vt:lpstr>
      <vt:lpstr>'ElecPlt-2016'!Print_Area</vt:lpstr>
      <vt:lpstr>'Electric Factor 4'!Print_Area</vt:lpstr>
      <vt:lpstr>'Expenses-2016'!Print_Area</vt:lpstr>
      <vt:lpstr>'Factor 7 for 2017'!Print_Area</vt:lpstr>
      <vt:lpstr>'Gas Factor 4'!Print_Area</vt:lpstr>
      <vt:lpstr>'GasNetPlt-2016'!Print_Area</vt:lpstr>
      <vt:lpstr>'GasPlt-2016'!Print_Area</vt:lpstr>
      <vt:lpstr>NewMemo!Print_Area</vt:lpstr>
      <vt:lpstr>'UtilityAccDep-2016'!Print_Area</vt:lpstr>
      <vt:lpstr>'UtilityPlt-2016'!Print_Area</vt:lpstr>
      <vt:lpstr>'Factor 7 for 2017'!UTILITY_7</vt:lpstr>
      <vt:lpstr>'8-2016'!UTILITY_8</vt:lpstr>
      <vt:lpstr>'9-2016'!UTILITY_9</vt:lpstr>
      <vt:lpstr>'Gas Factor 4'!WWP_GAS</vt:lpstr>
    </vt:vector>
  </TitlesOfParts>
  <Company>Avista Corp</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Avista Corp Employee</dc:creator>
  <cp:lastModifiedBy>Pat Ehrbar</cp:lastModifiedBy>
  <cp:lastPrinted>2017-08-29T20:15:30Z</cp:lastPrinted>
  <dcterms:created xsi:type="dcterms:W3CDTF">2000-01-21T22:20:02Z</dcterms:created>
  <dcterms:modified xsi:type="dcterms:W3CDTF">2017-08-29T20:15:45Z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0x0101006E56B4D1795A2E4DB2F0B01679ED314A00F715EC678A7F1A4EA78256160E68E386</vt:lpwstr>
  </property>
  <property fmtid="{D5CDD505-2E9C-101B-9397-08002B2CF9AE}" pid="3" name="_docset_NoMedatataSyncRequired">
    <vt:lpwstr>False</vt:lpwstr>
  </property>
  <property fmtid="{D5CDD505-2E9C-101B-9397-08002B2CF9AE}" pid="4" name="IsEFSEC">
    <vt:bool>false</vt:bool>
  </property>
</Properties>
</file>