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C:\Users\christopher.mickelso\Desktop\"/>
    </mc:Choice>
  </mc:AlternateContent>
  <xr:revisionPtr revIDLastSave="0" documentId="13_ncr:1_{8D08BD05-EB8D-4C4F-B7EA-6773A54D8A5E}" xr6:coauthVersionLast="44" xr6:coauthVersionMax="45" xr10:uidLastSave="{00000000-0000-0000-0000-000000000000}"/>
  <bookViews>
    <workbookView xWindow="-108" yWindow="-108" windowWidth="23256" windowHeight="12576" tabRatio="842" activeTab="1" xr2:uid="{00000000-000D-0000-FFFF-FFFF00000000}"/>
  </bookViews>
  <sheets>
    <sheet name="Cover Page MCP-8" sheetId="51" r:id="rId1"/>
    <sheet name="Exh MCP-8 - ROO Summary Sheet" sheetId="1" r:id="rId2"/>
    <sheet name="Cover Page MCP-9" sheetId="53" r:id="rId3"/>
    <sheet name="Exh MCP-9 - Rev Req Calc" sheetId="26" r:id="rId4"/>
    <sheet name="Cover Page MCP-4" sheetId="54" r:id="rId5"/>
    <sheet name="Exh MCP-4 - Conversion Factor" sheetId="2" r:id="rId6"/>
    <sheet name="Cover Page MCP-10" sheetId="55" r:id="rId7"/>
    <sheet name="Exh MCP-10 - Summary of Adj" sheetId="4" r:id="rId8"/>
    <sheet name="Cover Page MCP-6" sheetId="56" r:id="rId9"/>
    <sheet name="MCP-6 - 2020 Plant Additions" sheetId="49" r:id="rId10"/>
    <sheet name="MC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Capital Structure Calculation" sheetId="3" r:id="rId18"/>
    <sheet name="State Allocation Formulas" sheetId="60" r:id="rId19"/>
    <sheet name="Adjustment Workpapers---&gt;" sheetId="30" r:id="rId20"/>
    <sheet name="Annualize CRM Adjustment" sheetId="73" r:id="rId21"/>
    <sheet name="Advertising Adj" sheetId="18" r:id="rId22"/>
    <sheet name="Restate Revenues Adjustment" sheetId="70" r:id="rId23"/>
    <sheet name="EOP Revenue Adjustment" sheetId="74" r:id="rId24"/>
    <sheet name="EOP Depreciation Expense Adj" sheetId="67" r:id="rId25"/>
    <sheet name="Restate &amp; Pro Forma Wage Adjust" sheetId="6" r:id="rId26"/>
    <sheet name="Executive Incentives" sheetId="64" r:id="rId27"/>
    <sheet name="Interest Coord. Adj." sheetId="24" r:id="rId28"/>
    <sheet name="Pro Forma Plant Additions" sheetId="13" r:id="rId29"/>
    <sheet name="MAOP UG-160787 Deferral" sheetId="38" r:id="rId30"/>
    <sheet name=" Working Capital (AMA)" sheetId="62" r:id="rId31"/>
  </sheets>
  <externalReferences>
    <externalReference r:id="rId32"/>
    <externalReference r:id="rId33"/>
  </externalReferences>
  <definedNames>
    <definedName name="_xlnm._FilterDatabase" localSheetId="9" hidden="1">'MCP-6 - 2020 Plant Additions'!$A$7:$K$195</definedName>
    <definedName name="first_day">'[1]Historic Data'!$K$3</definedName>
    <definedName name="_xlnm.Print_Area" localSheetId="20">'Annualize CRM Adjustment'!$A$1:$I$11</definedName>
    <definedName name="_xlnm.Print_Area" localSheetId="17">'Capital Structure Calculation'!$A$1:$J$17</definedName>
    <definedName name="_xlnm.Print_Area" localSheetId="23">'EOP Revenue Adjustment'!$A$1:$F$14</definedName>
    <definedName name="_xlnm.Print_Area" localSheetId="7">'Exh MCP-10 - Summary of Adj'!$A$1:$S$45</definedName>
    <definedName name="_xlnm.Print_Area" localSheetId="1">'Exh MCP-8 - ROO Summary Sheet'!$B$1:$Q$42</definedName>
    <definedName name="_xlnm.Print_Area" localSheetId="12">Index!$A$1:$F$37</definedName>
    <definedName name="_xlnm.Print_Area" localSheetId="10">'MCP-6 - Supporting Explanations'!$A$1:$C$63</definedName>
    <definedName name="_xlnm.Print_Area" localSheetId="13">'Operating Report'!$A$1:$H$187,'Operating Report'!$I$1:$V$158</definedName>
    <definedName name="_xlnm.Print_Area" localSheetId="28">'Pro Forma Plant Additions'!$A$1:$F$32</definedName>
    <definedName name="_xlnm.Print_Area" localSheetId="25">'Restate &amp; Pro Forma Wage Adjust'!$A$1:$Q$118</definedName>
    <definedName name="_xlnm.Print_Area" localSheetId="22">'Restate Revenues Adjustment'!$A$1:$H$27</definedName>
    <definedName name="_xlnm.Print_Area" localSheetId="18">'State Allocation Formulas'!$A$1:$T$80</definedName>
    <definedName name="_xlnm.Print_Area" localSheetId="11">'Workpaper - Support Documents &gt;'!$A$1:$I$31</definedName>
    <definedName name="_xlnm.Print_Titles" localSheetId="30">' Working Capital (AMA)'!$1:$10</definedName>
    <definedName name="_xlnm.Print_Titles" localSheetId="16">'Adv for Const. &amp; Def Tax'!$A:$A,'Adv for Const. &amp; Def Tax'!$1:$8</definedName>
    <definedName name="_xlnm.Print_Titles" localSheetId="21">'Advertising Adj'!$1:$5</definedName>
    <definedName name="_xlnm.Print_Titles" localSheetId="9">'MCP-6 - 2020 Plant Additions'!$A:$A,'MCP-6 - 2020 Plant Additions'!$1:$7</definedName>
    <definedName name="_xlnm.Print_Titles" localSheetId="10">'MCP-6 - Supporting Explanations'!$A:$C,'MCP-6 -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5">'Restate &amp; Pro Forma Wage Adjust'!$1:$7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3" i="67" l="1"/>
  <c r="Q14" i="67"/>
  <c r="Q15" i="67"/>
  <c r="Q16" i="67"/>
  <c r="Q17" i="67"/>
  <c r="Q18" i="67"/>
  <c r="Q19" i="67"/>
  <c r="Q20" i="67"/>
  <c r="Q21" i="67"/>
  <c r="Q22" i="67"/>
  <c r="Q23" i="67"/>
  <c r="Q24" i="67"/>
  <c r="Q25" i="67"/>
  <c r="Q26" i="67"/>
  <c r="Q27" i="67"/>
  <c r="Q28" i="67"/>
  <c r="Q29" i="67"/>
  <c r="Q30" i="67"/>
  <c r="Q31" i="67"/>
  <c r="Q32" i="67"/>
  <c r="Q33" i="67"/>
  <c r="Q34" i="67"/>
  <c r="Q35" i="67"/>
  <c r="Q36" i="67"/>
  <c r="Q37" i="67"/>
  <c r="Q38" i="67"/>
  <c r="Q39" i="67"/>
  <c r="Q40" i="67"/>
  <c r="Q41" i="67"/>
  <c r="Q42" i="67"/>
  <c r="Q43" i="67"/>
  <c r="Q44" i="67"/>
  <c r="Q45" i="67"/>
  <c r="Q46" i="67"/>
  <c r="Q47" i="67"/>
  <c r="Q48" i="67"/>
  <c r="Q49" i="67"/>
  <c r="Q50" i="67"/>
  <c r="Q51" i="67"/>
  <c r="Q52" i="67"/>
  <c r="Q53" i="67"/>
  <c r="Q12" i="67"/>
  <c r="I221" i="49" l="1"/>
  <c r="I220" i="49"/>
  <c r="I219" i="49"/>
  <c r="I218" i="49"/>
  <c r="I217" i="49"/>
  <c r="I216" i="49"/>
  <c r="I215" i="49"/>
  <c r="I214" i="49"/>
  <c r="I213" i="49"/>
  <c r="I212" i="49"/>
  <c r="I211" i="49"/>
  <c r="I210" i="49"/>
  <c r="I209" i="49"/>
  <c r="I208" i="49"/>
  <c r="I207" i="49"/>
  <c r="J206" i="49" l="1"/>
  <c r="P13" i="67" l="1"/>
  <c r="P14" i="67"/>
  <c r="P15" i="67"/>
  <c r="P16" i="67"/>
  <c r="P17" i="67"/>
  <c r="P18" i="67"/>
  <c r="P19" i="67"/>
  <c r="P20" i="67"/>
  <c r="P21" i="67"/>
  <c r="P22" i="67"/>
  <c r="P23" i="67"/>
  <c r="P24" i="67"/>
  <c r="P25" i="67"/>
  <c r="P26" i="67"/>
  <c r="P27" i="67"/>
  <c r="P28" i="67"/>
  <c r="P29" i="67"/>
  <c r="P30" i="67"/>
  <c r="P31" i="67"/>
  <c r="P32" i="67"/>
  <c r="P33" i="67"/>
  <c r="P34" i="67"/>
  <c r="P35" i="67"/>
  <c r="P36" i="67"/>
  <c r="P37" i="67"/>
  <c r="P38" i="67"/>
  <c r="P39" i="67"/>
  <c r="P40" i="67"/>
  <c r="P41" i="67"/>
  <c r="P42" i="67"/>
  <c r="P43" i="67"/>
  <c r="P44" i="67"/>
  <c r="P45" i="67"/>
  <c r="P46" i="67"/>
  <c r="P47" i="67"/>
  <c r="P48" i="67"/>
  <c r="P49" i="67"/>
  <c r="P50" i="67"/>
  <c r="P51" i="67"/>
  <c r="P52" i="67"/>
  <c r="P53" i="67"/>
  <c r="P12" i="67"/>
  <c r="N28" i="4"/>
  <c r="U107" i="31"/>
  <c r="R143" i="31" l="1"/>
  <c r="E151" i="31" l="1"/>
  <c r="F151" i="31"/>
  <c r="G151" i="31"/>
  <c r="E150" i="31"/>
  <c r="F150" i="31"/>
  <c r="G150" i="31"/>
  <c r="R149" i="31"/>
  <c r="R150" i="31" s="1"/>
  <c r="R151" i="31" s="1"/>
  <c r="P143" i="31"/>
  <c r="P149" i="31" s="1"/>
  <c r="P150" i="31" s="1"/>
  <c r="P151" i="31" s="1"/>
  <c r="N143" i="31"/>
  <c r="N149" i="31" s="1"/>
  <c r="N150" i="31" s="1"/>
  <c r="N151" i="31" s="1"/>
  <c r="M143" i="31"/>
  <c r="M149" i="31" s="1"/>
  <c r="M150" i="31" s="1"/>
  <c r="M151" i="31" s="1"/>
  <c r="K143" i="31"/>
  <c r="K149" i="31" s="1"/>
  <c r="K150" i="31" s="1"/>
  <c r="K151" i="31" s="1"/>
  <c r="J143" i="31"/>
  <c r="J149" i="31" s="1"/>
  <c r="J150" i="31" s="1"/>
  <c r="J151" i="31" s="1"/>
  <c r="I143" i="31"/>
  <c r="I149" i="31" s="1"/>
  <c r="I150" i="31" s="1"/>
  <c r="I151" i="31" s="1"/>
  <c r="I125" i="31"/>
  <c r="I135" i="31"/>
  <c r="V125" i="31"/>
  <c r="U125" i="31"/>
  <c r="T125" i="31"/>
  <c r="S125" i="31"/>
  <c r="R125" i="31"/>
  <c r="Q125" i="31"/>
  <c r="P125" i="31"/>
  <c r="O125" i="31"/>
  <c r="N125" i="31"/>
  <c r="M125" i="31"/>
  <c r="L125" i="31"/>
  <c r="K125" i="31"/>
  <c r="J125" i="31"/>
  <c r="E125" i="31"/>
  <c r="Q123" i="31"/>
  <c r="Q121" i="31"/>
  <c r="Q107" i="31"/>
  <c r="Q100" i="31"/>
  <c r="Q93" i="31"/>
  <c r="Q85" i="31"/>
  <c r="Q84" i="31"/>
  <c r="Q72" i="31"/>
  <c r="Q54" i="31"/>
  <c r="F11" i="74" l="1"/>
  <c r="H97" i="49" l="1"/>
  <c r="G76" i="49" l="1"/>
  <c r="G77" i="49"/>
  <c r="H77" i="49" s="1"/>
  <c r="G78" i="49"/>
  <c r="G79" i="49"/>
  <c r="G80" i="49"/>
  <c r="G81" i="49"/>
  <c r="G82" i="49"/>
  <c r="G83" i="49"/>
  <c r="G84" i="49"/>
  <c r="G85" i="49"/>
  <c r="G86" i="49"/>
  <c r="G87" i="49"/>
  <c r="G88" i="49"/>
  <c r="G89" i="49"/>
  <c r="G90" i="49"/>
  <c r="G91" i="49"/>
  <c r="G92" i="49"/>
  <c r="G93" i="49"/>
  <c r="G94" i="49"/>
  <c r="G96" i="49"/>
  <c r="G97" i="49"/>
  <c r="G98"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2" i="49"/>
  <c r="G193" i="49"/>
  <c r="G194" i="49"/>
  <c r="Q15" i="31" l="1"/>
  <c r="H114" i="49" l="1"/>
  <c r="H112" i="49"/>
  <c r="H109" i="49"/>
  <c r="H107" i="49"/>
  <c r="H105" i="49"/>
  <c r="H103" i="49"/>
  <c r="H101" i="49"/>
  <c r="H93" i="49"/>
  <c r="H91" i="49"/>
  <c r="H89" i="49"/>
  <c r="H87" i="49"/>
  <c r="H85" i="49"/>
  <c r="H83" i="49"/>
  <c r="H81" i="49"/>
  <c r="H79" i="49"/>
  <c r="E99" i="49" l="1"/>
  <c r="E95" i="49"/>
  <c r="E50" i="49"/>
  <c r="G46" i="49"/>
  <c r="G45" i="49"/>
  <c r="C46" i="49"/>
  <c r="C45" i="49"/>
  <c r="E37" i="49"/>
  <c r="G99" i="49" l="1"/>
  <c r="H99" i="49"/>
  <c r="G95" i="49"/>
  <c r="H95" i="49"/>
  <c r="G36" i="49"/>
  <c r="H36" i="49" s="1"/>
  <c r="H16" i="70" l="1"/>
  <c r="M5" i="58" l="1"/>
  <c r="Y5" i="58" s="1"/>
  <c r="M3" i="58"/>
  <c r="Y3" i="58" s="1"/>
  <c r="M2" i="58"/>
  <c r="Y2" i="58" s="1"/>
  <c r="AD92" i="58" l="1"/>
  <c r="AD167" i="58" s="1"/>
  <c r="F53" i="67" l="1"/>
  <c r="G53" i="67" s="1"/>
  <c r="H53" i="67" s="1"/>
  <c r="F52" i="67"/>
  <c r="G52" i="67" s="1"/>
  <c r="H52" i="67" s="1"/>
  <c r="F51" i="67"/>
  <c r="L51" i="67" s="1"/>
  <c r="F50" i="67"/>
  <c r="L50" i="67" s="1"/>
  <c r="F49" i="67"/>
  <c r="L49" i="67" s="1"/>
  <c r="F39" i="67"/>
  <c r="L39" i="67" s="1"/>
  <c r="F40" i="67"/>
  <c r="F41" i="67"/>
  <c r="L41" i="67" s="1"/>
  <c r="F42" i="67"/>
  <c r="L42" i="67" s="1"/>
  <c r="F43" i="67"/>
  <c r="L43" i="67" s="1"/>
  <c r="F44" i="67"/>
  <c r="F45" i="67"/>
  <c r="L45" i="67" s="1"/>
  <c r="F46" i="67"/>
  <c r="L46" i="67" s="1"/>
  <c r="F47" i="67"/>
  <c r="F48" i="67"/>
  <c r="F38" i="67"/>
  <c r="L38" i="67" s="1"/>
  <c r="F37" i="67"/>
  <c r="L37" i="67" s="1"/>
  <c r="B54" i="67"/>
  <c r="F36" i="67"/>
  <c r="L35" i="67"/>
  <c r="L34" i="67"/>
  <c r="F33" i="67"/>
  <c r="F32" i="67"/>
  <c r="F31" i="67"/>
  <c r="L31" i="67" s="1"/>
  <c r="F30" i="67"/>
  <c r="F29" i="67"/>
  <c r="L29" i="67" s="1"/>
  <c r="F28" i="67"/>
  <c r="G28" i="67" s="1"/>
  <c r="H28" i="67" s="1"/>
  <c r="F27" i="67"/>
  <c r="L27" i="67" s="1"/>
  <c r="F26" i="67"/>
  <c r="L26" i="67" s="1"/>
  <c r="F25" i="67"/>
  <c r="L25" i="67" s="1"/>
  <c r="F24" i="67"/>
  <c r="F23" i="67"/>
  <c r="L23" i="67" s="1"/>
  <c r="F22" i="67"/>
  <c r="F21" i="67"/>
  <c r="L21" i="67" s="1"/>
  <c r="F20" i="67"/>
  <c r="L19" i="67"/>
  <c r="F18" i="67"/>
  <c r="F17" i="67"/>
  <c r="L17" i="67" s="1"/>
  <c r="F16" i="67"/>
  <c r="L16" i="67" s="1"/>
  <c r="F15" i="67"/>
  <c r="L15" i="67" s="1"/>
  <c r="F14" i="67"/>
  <c r="L14" i="67" s="1"/>
  <c r="F13" i="67"/>
  <c r="L13" i="67" s="1"/>
  <c r="F12" i="67"/>
  <c r="L53" i="67" l="1"/>
  <c r="G51" i="67"/>
  <c r="H51" i="67" s="1"/>
  <c r="L52" i="67"/>
  <c r="G37" i="67"/>
  <c r="H37" i="67" s="1"/>
  <c r="G41" i="67"/>
  <c r="H41" i="67" s="1"/>
  <c r="G45" i="67"/>
  <c r="H45" i="67" s="1"/>
  <c r="G20" i="67"/>
  <c r="H20" i="67" s="1"/>
  <c r="G44" i="67"/>
  <c r="H44" i="67" s="1"/>
  <c r="D54" i="67"/>
  <c r="G22" i="67"/>
  <c r="H22" i="67" s="1"/>
  <c r="G30" i="67"/>
  <c r="H30" i="67" s="1"/>
  <c r="L22" i="67"/>
  <c r="G24" i="67"/>
  <c r="H24" i="67" s="1"/>
  <c r="L30" i="67"/>
  <c r="G32" i="67"/>
  <c r="H32" i="67" s="1"/>
  <c r="G47" i="67"/>
  <c r="H47" i="67" s="1"/>
  <c r="G18" i="67"/>
  <c r="H18" i="67" s="1"/>
  <c r="G26" i="67"/>
  <c r="H26" i="67" s="1"/>
  <c r="G36" i="67"/>
  <c r="H36" i="67" s="1"/>
  <c r="G40" i="67"/>
  <c r="H40" i="67" s="1"/>
  <c r="L20" i="67"/>
  <c r="L24" i="67"/>
  <c r="L28" i="67"/>
  <c r="L32" i="67"/>
  <c r="G48" i="67"/>
  <c r="H48" i="67" s="1"/>
  <c r="G49" i="67"/>
  <c r="H49" i="67" s="1"/>
  <c r="L48" i="67"/>
  <c r="F54" i="67"/>
  <c r="L54" i="67" s="1"/>
  <c r="G17" i="67"/>
  <c r="H17" i="67" s="1"/>
  <c r="L18" i="67"/>
  <c r="G21" i="67"/>
  <c r="H21" i="67" s="1"/>
  <c r="G25" i="67"/>
  <c r="H25" i="67" s="1"/>
  <c r="G29" i="67"/>
  <c r="H29" i="67" s="1"/>
  <c r="G35" i="67"/>
  <c r="H35" i="67" s="1"/>
  <c r="L36" i="67"/>
  <c r="G39" i="67"/>
  <c r="H39" i="67" s="1"/>
  <c r="L40" i="67"/>
  <c r="G43" i="67"/>
  <c r="H43" i="67" s="1"/>
  <c r="L44" i="67"/>
  <c r="L47" i="67"/>
  <c r="G33" i="67"/>
  <c r="H33" i="67" s="1"/>
  <c r="L33" i="67"/>
  <c r="G19" i="67"/>
  <c r="H19" i="67" s="1"/>
  <c r="G23" i="67"/>
  <c r="H23" i="67" s="1"/>
  <c r="G34" i="67"/>
  <c r="H34" i="67" s="1"/>
  <c r="G38" i="67"/>
  <c r="H38" i="67" s="1"/>
  <c r="G15" i="67"/>
  <c r="G16" i="67"/>
  <c r="H16" i="67" s="1"/>
  <c r="G27" i="67"/>
  <c r="H27" i="67" s="1"/>
  <c r="G31" i="67"/>
  <c r="H31" i="67" s="1"/>
  <c r="G42" i="67"/>
  <c r="H42" i="67" s="1"/>
  <c r="G46" i="67"/>
  <c r="H46" i="67" s="1"/>
  <c r="G50" i="67"/>
  <c r="H50" i="67" s="1"/>
  <c r="L12" i="67"/>
  <c r="G14" i="67"/>
  <c r="H54" i="67" l="1"/>
  <c r="G54" i="67"/>
  <c r="E55" i="67" s="1"/>
  <c r="E56" i="67" l="1"/>
  <c r="H213" i="49"/>
  <c r="J213" i="49" s="1"/>
  <c r="H214" i="49"/>
  <c r="J214" i="49" s="1"/>
  <c r="H217" i="49"/>
  <c r="J217" i="49" s="1"/>
  <c r="H218" i="49"/>
  <c r="J218" i="49" s="1"/>
  <c r="H219" i="49"/>
  <c r="J219" i="49" s="1"/>
  <c r="H220" i="49"/>
  <c r="J220" i="49" s="1"/>
  <c r="H221" i="49"/>
  <c r="J221" i="49" s="1"/>
  <c r="H131" i="49"/>
  <c r="H130" i="49"/>
  <c r="H129" i="49"/>
  <c r="H127" i="49"/>
  <c r="H208" i="49"/>
  <c r="J208" i="49" s="1"/>
  <c r="H126" i="49"/>
  <c r="H125" i="49"/>
  <c r="H124" i="49"/>
  <c r="H123" i="49"/>
  <c r="H122" i="49"/>
  <c r="H121" i="49"/>
  <c r="H120" i="49"/>
  <c r="E73" i="49"/>
  <c r="G73" i="49" s="1"/>
  <c r="G66" i="49" l="1"/>
  <c r="G65" i="49"/>
  <c r="G63" i="49"/>
  <c r="E61" i="49"/>
  <c r="G60" i="49"/>
  <c r="G59" i="49"/>
  <c r="G58" i="49"/>
  <c r="G56" i="49"/>
  <c r="G55" i="49"/>
  <c r="E191" i="49"/>
  <c r="G191" i="49" s="1"/>
  <c r="E8" i="49" l="1"/>
  <c r="G8" i="49" l="1"/>
  <c r="E26" i="49"/>
  <c r="E20" i="49"/>
  <c r="E13" i="49"/>
  <c r="E11" i="49"/>
  <c r="H161" i="49"/>
  <c r="E30" i="49" l="1"/>
  <c r="H216" i="49"/>
  <c r="J216" i="49" s="1"/>
  <c r="AF132" i="58" l="1"/>
  <c r="AF133" i="58"/>
  <c r="AF134" i="58"/>
  <c r="AF135" i="58"/>
  <c r="AF136" i="58"/>
  <c r="AF137" i="58"/>
  <c r="AE132" i="58"/>
  <c r="AE133" i="58"/>
  <c r="AE134" i="58"/>
  <c r="AE135" i="58"/>
  <c r="AE136" i="58"/>
  <c r="AE137" i="58"/>
  <c r="P95" i="6" l="1"/>
  <c r="P96" i="6"/>
  <c r="P97" i="6"/>
  <c r="P98" i="6"/>
  <c r="P99" i="6"/>
  <c r="P100" i="6"/>
  <c r="P101" i="6"/>
  <c r="P102" i="6"/>
  <c r="P103" i="6"/>
  <c r="P104" i="6"/>
  <c r="P105" i="6"/>
  <c r="P106" i="6"/>
  <c r="P107" i="6"/>
  <c r="P108" i="6"/>
  <c r="P109" i="6"/>
  <c r="P110" i="6"/>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N110" i="6" s="1"/>
  <c r="Q110" i="6" s="1"/>
  <c r="N106" i="6" l="1"/>
  <c r="Q106" i="6" s="1"/>
  <c r="O106" i="6"/>
  <c r="N98" i="6"/>
  <c r="Q98" i="6" s="1"/>
  <c r="O98" i="6"/>
  <c r="N109" i="6"/>
  <c r="Q109" i="6" s="1"/>
  <c r="O109" i="6"/>
  <c r="N105" i="6"/>
  <c r="Q105" i="6" s="1"/>
  <c r="O105" i="6"/>
  <c r="N97" i="6"/>
  <c r="Q97" i="6" s="1"/>
  <c r="O97" i="6"/>
  <c r="N108" i="6"/>
  <c r="Q108" i="6" s="1"/>
  <c r="O108" i="6"/>
  <c r="N104" i="6"/>
  <c r="Q104" i="6" s="1"/>
  <c r="N100" i="6"/>
  <c r="Q100" i="6" s="1"/>
  <c r="O100" i="6"/>
  <c r="N96" i="6"/>
  <c r="Q96" i="6" s="1"/>
  <c r="N102" i="6"/>
  <c r="Q102" i="6" s="1"/>
  <c r="N101" i="6"/>
  <c r="Q101" i="6" s="1"/>
  <c r="O101" i="6"/>
  <c r="N107" i="6"/>
  <c r="Q107" i="6" s="1"/>
  <c r="N103" i="6"/>
  <c r="Q103" i="6" s="1"/>
  <c r="N99" i="6"/>
  <c r="Q99" i="6" s="1"/>
  <c r="N95" i="6"/>
  <c r="Q95" i="6" s="1"/>
  <c r="H61" i="6"/>
  <c r="O99" i="6" l="1"/>
  <c r="O107" i="6"/>
  <c r="O102" i="6"/>
  <c r="O95" i="6"/>
  <c r="O103" i="6"/>
  <c r="O96" i="6"/>
  <c r="O104" i="6"/>
  <c r="H63" i="6"/>
  <c r="I63" i="6" s="1"/>
  <c r="P63" i="6" l="1"/>
  <c r="K63" i="6"/>
  <c r="L63" i="6" s="1"/>
  <c r="N63" i="6" l="1"/>
  <c r="Q63" i="6" s="1"/>
  <c r="H64" i="6"/>
  <c r="H65" i="6"/>
  <c r="K23" i="6"/>
  <c r="H21" i="6"/>
  <c r="H22" i="6"/>
  <c r="H23" i="6"/>
  <c r="I23" i="6" s="1"/>
  <c r="H24" i="6"/>
  <c r="P24" i="6" s="1"/>
  <c r="H25" i="6"/>
  <c r="H26" i="6"/>
  <c r="H27" i="6"/>
  <c r="I27" i="6" s="1"/>
  <c r="K27" i="6" s="1"/>
  <c r="L27" i="6" s="1"/>
  <c r="N27" i="6" s="1"/>
  <c r="H28" i="6"/>
  <c r="P28" i="6" s="1"/>
  <c r="H29" i="6"/>
  <c r="H30" i="6"/>
  <c r="H31" i="6"/>
  <c r="I31" i="6" s="1"/>
  <c r="K31" i="6" s="1"/>
  <c r="L31" i="6" s="1"/>
  <c r="N31" i="6" s="1"/>
  <c r="H32" i="6"/>
  <c r="I32" i="6" s="1"/>
  <c r="K32" i="6" s="1"/>
  <c r="L32" i="6" s="1"/>
  <c r="N32" i="6" s="1"/>
  <c r="H33" i="6"/>
  <c r="H34" i="6"/>
  <c r="H35" i="6"/>
  <c r="I35" i="6" s="1"/>
  <c r="H36" i="6"/>
  <c r="I36" i="6" s="1"/>
  <c r="K36" i="6" s="1"/>
  <c r="L36" i="6" s="1"/>
  <c r="N36" i="6" s="1"/>
  <c r="H37" i="6"/>
  <c r="H38" i="6"/>
  <c r="H39" i="6"/>
  <c r="P39" i="6" s="1"/>
  <c r="H40" i="6"/>
  <c r="I40" i="6" s="1"/>
  <c r="K40" i="6" s="1"/>
  <c r="L40" i="6" s="1"/>
  <c r="N40" i="6" s="1"/>
  <c r="H41" i="6"/>
  <c r="P41" i="6" s="1"/>
  <c r="I28" i="6" l="1"/>
  <c r="L23" i="6"/>
  <c r="N23" i="6" s="1"/>
  <c r="Q23" i="6" s="1"/>
  <c r="O63" i="6"/>
  <c r="P35" i="6"/>
  <c r="I24" i="6"/>
  <c r="P31" i="6"/>
  <c r="P27" i="6"/>
  <c r="I39" i="6"/>
  <c r="K39" i="6" s="1"/>
  <c r="L39" i="6" s="1"/>
  <c r="N39" i="6" s="1"/>
  <c r="O39" i="6" s="1"/>
  <c r="P23" i="6"/>
  <c r="O36" i="6"/>
  <c r="Q36" i="6"/>
  <c r="O32" i="6"/>
  <c r="Q32" i="6"/>
  <c r="O27" i="6"/>
  <c r="Q27" i="6"/>
  <c r="O40" i="6"/>
  <c r="Q40" i="6"/>
  <c r="P111" i="31" s="1"/>
  <c r="O31" i="6"/>
  <c r="Q31" i="6"/>
  <c r="I38" i="6"/>
  <c r="P38" i="6"/>
  <c r="I22" i="6"/>
  <c r="P22" i="6"/>
  <c r="I37" i="6"/>
  <c r="P37" i="6"/>
  <c r="I25" i="6"/>
  <c r="P25" i="6"/>
  <c r="K28" i="6"/>
  <c r="L28" i="6" s="1"/>
  <c r="N28" i="6" s="1"/>
  <c r="I34" i="6"/>
  <c r="P34" i="6"/>
  <c r="I30" i="6"/>
  <c r="P30" i="6"/>
  <c r="I26" i="6"/>
  <c r="P26" i="6"/>
  <c r="O23" i="6"/>
  <c r="I33" i="6"/>
  <c r="P33" i="6"/>
  <c r="I29" i="6"/>
  <c r="P29" i="6"/>
  <c r="I21" i="6"/>
  <c r="P21" i="6"/>
  <c r="K35" i="6"/>
  <c r="L35" i="6" s="1"/>
  <c r="N35" i="6" s="1"/>
  <c r="P40" i="6"/>
  <c r="P36" i="6"/>
  <c r="P32" i="6"/>
  <c r="Q39" i="6" l="1"/>
  <c r="K24" i="6"/>
  <c r="L24" i="6" s="1"/>
  <c r="N24" i="6" s="1"/>
  <c r="O35" i="6"/>
  <c r="Q35" i="6"/>
  <c r="K33" i="6"/>
  <c r="L33" i="6" s="1"/>
  <c r="N33" i="6" s="1"/>
  <c r="K34" i="6"/>
  <c r="L34" i="6" s="1"/>
  <c r="N34" i="6" s="1"/>
  <c r="O28" i="6"/>
  <c r="Q28" i="6"/>
  <c r="K37" i="6"/>
  <c r="L37" i="6" s="1"/>
  <c r="N37" i="6" s="1"/>
  <c r="K38" i="6"/>
  <c r="L38" i="6" s="1"/>
  <c r="N38" i="6" s="1"/>
  <c r="K29" i="6"/>
  <c r="L29" i="6" s="1"/>
  <c r="N29" i="6" s="1"/>
  <c r="K30" i="6"/>
  <c r="L30" i="6" s="1"/>
  <c r="N30" i="6" s="1"/>
  <c r="K21" i="6"/>
  <c r="L21" i="6" s="1"/>
  <c r="N21" i="6" s="1"/>
  <c r="K26" i="6"/>
  <c r="L26" i="6" s="1"/>
  <c r="N26" i="6" s="1"/>
  <c r="K25" i="6"/>
  <c r="L25" i="6" s="1"/>
  <c r="N25" i="6" s="1"/>
  <c r="K22" i="6"/>
  <c r="L22" i="6" s="1"/>
  <c r="N22" i="6" s="1"/>
  <c r="O24" i="6" l="1"/>
  <c r="Q24" i="6"/>
  <c r="Q38" i="6"/>
  <c r="P104" i="31" s="1"/>
  <c r="O38" i="6"/>
  <c r="Q21" i="6"/>
  <c r="O21" i="6"/>
  <c r="Q37" i="6"/>
  <c r="O37" i="6"/>
  <c r="Q33" i="6"/>
  <c r="O33" i="6"/>
  <c r="Q34" i="6"/>
  <c r="O34" i="6"/>
  <c r="Q22" i="6"/>
  <c r="O22" i="6"/>
  <c r="Q30" i="6"/>
  <c r="O30" i="6"/>
  <c r="Q26" i="6"/>
  <c r="O26" i="6"/>
  <c r="Q25" i="6"/>
  <c r="O25" i="6"/>
  <c r="Q29" i="6"/>
  <c r="O29" i="6"/>
  <c r="D15" i="6" l="1"/>
  <c r="F38" i="18" l="1"/>
  <c r="F39" i="18"/>
  <c r="F18" i="18"/>
  <c r="F12" i="18"/>
  <c r="F11" i="18"/>
  <c r="F10" i="18"/>
  <c r="G62" i="49" l="1"/>
  <c r="G35" i="49"/>
  <c r="E146" i="49"/>
  <c r="G146" i="49" s="1"/>
  <c r="G75" i="49"/>
  <c r="D205" i="49" s="1"/>
  <c r="G50" i="49"/>
  <c r="G34" i="49"/>
  <c r="G47" i="49"/>
  <c r="G25" i="49"/>
  <c r="H25" i="49" s="1"/>
  <c r="G29" i="49"/>
  <c r="H29" i="49" s="1"/>
  <c r="G12" i="49"/>
  <c r="H12" i="49" s="1"/>
  <c r="G26" i="49"/>
  <c r="G23" i="49"/>
  <c r="H23" i="49" s="1"/>
  <c r="G10" i="49"/>
  <c r="H10" i="49" s="1"/>
  <c r="G19" i="49"/>
  <c r="G17" i="49"/>
  <c r="H30" i="49" l="1"/>
  <c r="B27" i="64" l="1"/>
  <c r="C14" i="64"/>
  <c r="C13" i="64"/>
  <c r="C12" i="64"/>
  <c r="C11" i="64"/>
  <c r="C10" i="64"/>
  <c r="AT73" i="59" l="1"/>
  <c r="AE73" i="59"/>
  <c r="AB73" i="59"/>
  <c r="Y73" i="59"/>
  <c r="V73" i="59"/>
  <c r="S73" i="59"/>
  <c r="P73" i="59"/>
  <c r="M73" i="59"/>
  <c r="Q615" i="62" l="1"/>
  <c r="R615" i="62"/>
  <c r="G615" i="62"/>
  <c r="H615" i="62"/>
  <c r="I615" i="62"/>
  <c r="J615" i="62"/>
  <c r="K615" i="62"/>
  <c r="L615" i="62"/>
  <c r="M615" i="62"/>
  <c r="N615" i="62"/>
  <c r="O615" i="62"/>
  <c r="P615" i="62"/>
  <c r="F615" i="62"/>
  <c r="G546" i="62"/>
  <c r="H546" i="62"/>
  <c r="I546" i="62"/>
  <c r="J546" i="62"/>
  <c r="K546" i="62"/>
  <c r="L546" i="62"/>
  <c r="M546" i="62"/>
  <c r="N546" i="62"/>
  <c r="O546" i="62"/>
  <c r="P546" i="62"/>
  <c r="Q546" i="62"/>
  <c r="R546" i="62"/>
  <c r="G588" i="62"/>
  <c r="H588" i="62"/>
  <c r="I588" i="62"/>
  <c r="J588" i="62"/>
  <c r="K588" i="62"/>
  <c r="L588" i="62"/>
  <c r="M588" i="62"/>
  <c r="N588" i="62"/>
  <c r="O588" i="62"/>
  <c r="P588" i="62"/>
  <c r="Q588" i="62"/>
  <c r="R588" i="62"/>
  <c r="G685" i="62"/>
  <c r="H685" i="62"/>
  <c r="I685" i="62"/>
  <c r="J685" i="62"/>
  <c r="K685" i="62"/>
  <c r="L685" i="62"/>
  <c r="M685" i="62"/>
  <c r="N685" i="62"/>
  <c r="O685" i="62"/>
  <c r="P685" i="62"/>
  <c r="Q685" i="62"/>
  <c r="R685" i="62"/>
  <c r="G698" i="62"/>
  <c r="H698" i="62"/>
  <c r="I698" i="62"/>
  <c r="J698" i="62"/>
  <c r="K698" i="62"/>
  <c r="L698" i="62"/>
  <c r="M698" i="62"/>
  <c r="N698" i="62"/>
  <c r="O698" i="62"/>
  <c r="P698" i="62"/>
  <c r="Q698" i="62"/>
  <c r="R698" i="62"/>
  <c r="F698" i="62" l="1"/>
  <c r="S687" i="62"/>
  <c r="S683" i="62"/>
  <c r="S669" i="62"/>
  <c r="S670" i="62"/>
  <c r="S662" i="62"/>
  <c r="S663" i="62"/>
  <c r="S650" i="62"/>
  <c r="S651" i="62"/>
  <c r="S611" i="62"/>
  <c r="X611" i="62" s="1"/>
  <c r="Z611" i="62" s="1"/>
  <c r="S612" i="62"/>
  <c r="X612" i="62" s="1"/>
  <c r="Z612" i="62" s="1"/>
  <c r="S613" i="62"/>
  <c r="X613" i="62" s="1"/>
  <c r="Y613" i="62" s="1"/>
  <c r="S614" i="62"/>
  <c r="X614" i="62" s="1"/>
  <c r="Y614" i="62" s="1"/>
  <c r="S555" i="62"/>
  <c r="S581" i="62"/>
  <c r="S582" i="62"/>
  <c r="S583" i="62"/>
  <c r="S584" i="62"/>
  <c r="S585" i="62"/>
  <c r="S586" i="62"/>
  <c r="S587" i="62"/>
  <c r="F588" i="62"/>
  <c r="S556" i="62"/>
  <c r="F546" i="62"/>
  <c r="S541" i="62"/>
  <c r="X541" i="62" s="1"/>
  <c r="AB541" i="62" s="1"/>
  <c r="S542" i="62"/>
  <c r="X542" i="62" s="1"/>
  <c r="AB542" i="62" s="1"/>
  <c r="S524" i="62"/>
  <c r="V524" i="62" s="1"/>
  <c r="S525" i="62"/>
  <c r="V525" i="62" s="1"/>
  <c r="AD525" i="62" s="1"/>
  <c r="S508" i="62"/>
  <c r="V508" i="62" s="1"/>
  <c r="S509" i="62"/>
  <c r="V509" i="62" s="1"/>
  <c r="AD509" i="62" s="1"/>
  <c r="S510" i="62"/>
  <c r="V510" i="62" s="1"/>
  <c r="AD510" i="62" s="1"/>
  <c r="S499" i="62"/>
  <c r="V499" i="62" s="1"/>
  <c r="S500" i="62"/>
  <c r="V500" i="62" s="1"/>
  <c r="S501" i="62"/>
  <c r="V501" i="62" s="1"/>
  <c r="S502" i="62"/>
  <c r="S473" i="62"/>
  <c r="V473" i="62" s="1"/>
  <c r="AD473" i="62" s="1"/>
  <c r="AF473" i="62" s="1"/>
  <c r="S462" i="62"/>
  <c r="S475" i="62"/>
  <c r="V475" i="62" s="1"/>
  <c r="S463" i="62"/>
  <c r="V463" i="62" s="1"/>
  <c r="S450" i="62"/>
  <c r="S439" i="62"/>
  <c r="V439" i="62" s="1"/>
  <c r="S420" i="62"/>
  <c r="S421" i="62"/>
  <c r="V421" i="62" s="1"/>
  <c r="AD421" i="62" s="1"/>
  <c r="S422" i="62"/>
  <c r="S412" i="62"/>
  <c r="S413" i="62"/>
  <c r="S414" i="62"/>
  <c r="S415" i="62"/>
  <c r="S416" i="62"/>
  <c r="U416" i="62" s="1"/>
  <c r="S417" i="62"/>
  <c r="W417" i="62" s="1"/>
  <c r="AC417" i="62" s="1"/>
  <c r="S206" i="62"/>
  <c r="S335" i="62"/>
  <c r="W335" i="62" s="1"/>
  <c r="AC335" i="62" s="1"/>
  <c r="S336" i="62"/>
  <c r="W336" i="62" s="1"/>
  <c r="AC336" i="62" s="1"/>
  <c r="S337" i="62"/>
  <c r="S338" i="62"/>
  <c r="S339" i="62"/>
  <c r="S309" i="62"/>
  <c r="G325" i="62"/>
  <c r="H325" i="62"/>
  <c r="I325" i="62"/>
  <c r="J325" i="62"/>
  <c r="K325" i="62"/>
  <c r="L325" i="62"/>
  <c r="M325" i="62"/>
  <c r="N325" i="62"/>
  <c r="O325" i="62"/>
  <c r="P325" i="62"/>
  <c r="Q325" i="62"/>
  <c r="R325" i="62"/>
  <c r="F325" i="62"/>
  <c r="S265" i="62"/>
  <c r="S266" i="62"/>
  <c r="S267" i="62"/>
  <c r="S241" i="62"/>
  <c r="S242" i="62"/>
  <c r="S297" i="62"/>
  <c r="G298" i="62"/>
  <c r="H298" i="62"/>
  <c r="I298" i="62"/>
  <c r="J298" i="62"/>
  <c r="K298" i="62"/>
  <c r="L298" i="62"/>
  <c r="M298" i="62"/>
  <c r="N298" i="62"/>
  <c r="O298" i="62"/>
  <c r="P298" i="62"/>
  <c r="Q298" i="62"/>
  <c r="R298" i="62"/>
  <c r="F298" i="62"/>
  <c r="S278" i="62"/>
  <c r="S279" i="62"/>
  <c r="S280" i="62"/>
  <c r="S281" i="62"/>
  <c r="S282" i="62"/>
  <c r="S283" i="62"/>
  <c r="S284" i="62"/>
  <c r="S285" i="62"/>
  <c r="S286" i="62"/>
  <c r="S287" i="62"/>
  <c r="S288" i="62"/>
  <c r="S289" i="62"/>
  <c r="S290" i="62"/>
  <c r="S291" i="62"/>
  <c r="S292" i="62"/>
  <c r="S293" i="62"/>
  <c r="X293" i="62" s="1"/>
  <c r="S294" i="62"/>
  <c r="X294" i="62" s="1"/>
  <c r="S295" i="62"/>
  <c r="S296" i="62"/>
  <c r="AB296" i="62" l="1"/>
  <c r="X296" i="62"/>
  <c r="AD288" i="62"/>
  <c r="V288" i="62"/>
  <c r="AD280" i="62"/>
  <c r="V280" i="62"/>
  <c r="AD297" i="62"/>
  <c r="V297" i="62"/>
  <c r="AD499" i="62"/>
  <c r="AF499" i="62"/>
  <c r="AD582" i="62"/>
  <c r="V582" i="62"/>
  <c r="AC650" i="62"/>
  <c r="W650" i="62"/>
  <c r="AD279" i="62"/>
  <c r="U279" i="62"/>
  <c r="AD265" i="62"/>
  <c r="U265" i="62"/>
  <c r="AC414" i="62"/>
  <c r="W414" i="62"/>
  <c r="AD502" i="62"/>
  <c r="V502" i="62"/>
  <c r="AD524" i="62"/>
  <c r="AF524" i="62" s="1"/>
  <c r="AB585" i="62"/>
  <c r="X585" i="62"/>
  <c r="AC683" i="62"/>
  <c r="W683" i="62"/>
  <c r="AB278" i="62"/>
  <c r="X278" i="62"/>
  <c r="AD241" i="62"/>
  <c r="U241" i="62"/>
  <c r="AC413" i="62"/>
  <c r="W413" i="62"/>
  <c r="AD501" i="62"/>
  <c r="AF501" i="62" s="1"/>
  <c r="AB584" i="62"/>
  <c r="X584" i="62"/>
  <c r="AD555" i="62"/>
  <c r="V555" i="62"/>
  <c r="AC662" i="62"/>
  <c r="W662" i="62"/>
  <c r="AC687" i="62"/>
  <c r="W687" i="62"/>
  <c r="AD292" i="62"/>
  <c r="V292" i="62"/>
  <c r="AC339" i="62"/>
  <c r="W339" i="62"/>
  <c r="AD415" i="62"/>
  <c r="U415" i="62"/>
  <c r="AD586" i="62"/>
  <c r="V586" i="62"/>
  <c r="AC669" i="62"/>
  <c r="W669" i="62"/>
  <c r="AB295" i="62"/>
  <c r="X295" i="62"/>
  <c r="AD242" i="62"/>
  <c r="U242" i="62"/>
  <c r="AC338" i="62"/>
  <c r="W338" i="62"/>
  <c r="AD581" i="62"/>
  <c r="V581" i="62"/>
  <c r="AC663" i="62"/>
  <c r="W663" i="62"/>
  <c r="AD281" i="62"/>
  <c r="V281" i="62"/>
  <c r="AD267" i="62"/>
  <c r="U267" i="62"/>
  <c r="AC412" i="62"/>
  <c r="W412" i="62"/>
  <c r="AD439" i="62"/>
  <c r="AF439" i="62" s="1"/>
  <c r="AD462" i="62"/>
  <c r="V462" i="62"/>
  <c r="AD500" i="62"/>
  <c r="AF500" i="62" s="1"/>
  <c r="AD508" i="62"/>
  <c r="AF508" i="62"/>
  <c r="AD587" i="62"/>
  <c r="V587" i="62"/>
  <c r="AD583" i="62"/>
  <c r="V583" i="62"/>
  <c r="AC651" i="62"/>
  <c r="W651" i="62"/>
  <c r="AC670" i="62"/>
  <c r="W670" i="62"/>
  <c r="AD475" i="62"/>
  <c r="AF475" i="62" s="1"/>
  <c r="AD463" i="62"/>
  <c r="AF463" i="62" s="1"/>
  <c r="S230" i="62"/>
  <c r="S231" i="62"/>
  <c r="S219" i="62"/>
  <c r="S220" i="62"/>
  <c r="S221" i="62"/>
  <c r="S222" i="62"/>
  <c r="S203" i="62"/>
  <c r="S204" i="62"/>
  <c r="S205" i="62"/>
  <c r="S196" i="62"/>
  <c r="X196" i="62" s="1"/>
  <c r="Z196" i="62" s="1"/>
  <c r="S197" i="62"/>
  <c r="X197" i="62" s="1"/>
  <c r="Z197" i="62" s="1"/>
  <c r="F169" i="62"/>
  <c r="G169" i="62"/>
  <c r="H169" i="62"/>
  <c r="I169" i="62"/>
  <c r="J169" i="62"/>
  <c r="K169" i="62"/>
  <c r="L169" i="62"/>
  <c r="M169" i="62"/>
  <c r="N169" i="62"/>
  <c r="O169" i="62"/>
  <c r="P169" i="62"/>
  <c r="Q169" i="62"/>
  <c r="R169" i="62"/>
  <c r="S165" i="62"/>
  <c r="S166" i="62"/>
  <c r="S167" i="62"/>
  <c r="U167" i="62" s="1"/>
  <c r="S168" i="62"/>
  <c r="U168" i="62" s="1"/>
  <c r="S125" i="62"/>
  <c r="S126" i="62"/>
  <c r="S127" i="62"/>
  <c r="S128" i="62"/>
  <c r="S129" i="62"/>
  <c r="S130" i="62"/>
  <c r="S131" i="62"/>
  <c r="S132" i="62"/>
  <c r="S133" i="62"/>
  <c r="S134" i="62"/>
  <c r="S135" i="62"/>
  <c r="S136" i="62"/>
  <c r="S137" i="62"/>
  <c r="S138" i="62"/>
  <c r="S139" i="62"/>
  <c r="S140" i="62"/>
  <c r="S141" i="62"/>
  <c r="S142" i="62"/>
  <c r="U142" i="62" s="1"/>
  <c r="AD222" i="62" l="1"/>
  <c r="V222" i="62"/>
  <c r="AD230" i="62"/>
  <c r="U230" i="62"/>
  <c r="AD168" i="62"/>
  <c r="AF168" i="62"/>
  <c r="AD204" i="62"/>
  <c r="U204" i="62"/>
  <c r="AC220" i="62"/>
  <c r="W220" i="62"/>
  <c r="AF502" i="62"/>
  <c r="AF265" i="62"/>
  <c r="AD142" i="62"/>
  <c r="AF142" i="62" s="1"/>
  <c r="AD231" i="62"/>
  <c r="U231" i="62"/>
  <c r="AD205" i="62"/>
  <c r="U205" i="62"/>
  <c r="AC221" i="62"/>
  <c r="W221" i="62"/>
  <c r="AD167" i="62"/>
  <c r="AF167" i="62"/>
  <c r="AD203" i="62"/>
  <c r="U203" i="62"/>
  <c r="AC219" i="62"/>
  <c r="W219" i="62"/>
  <c r="F81" i="62"/>
  <c r="G81" i="62"/>
  <c r="H81" i="62"/>
  <c r="I81" i="62"/>
  <c r="J81" i="62"/>
  <c r="K81" i="62"/>
  <c r="L81" i="62"/>
  <c r="M81" i="62"/>
  <c r="N81" i="62"/>
  <c r="O81" i="62"/>
  <c r="P81" i="62"/>
  <c r="Q81" i="62"/>
  <c r="R81" i="62"/>
  <c r="S79" i="62"/>
  <c r="U79" i="62" s="1"/>
  <c r="AD79" i="62" s="1"/>
  <c r="S80" i="62"/>
  <c r="U80" i="62" s="1"/>
  <c r="AD80" i="62" s="1"/>
  <c r="S76" i="62"/>
  <c r="U76" i="62" s="1"/>
  <c r="AD76" i="62" s="1"/>
  <c r="S77" i="62"/>
  <c r="U77" i="62" s="1"/>
  <c r="AD77" i="62" s="1"/>
  <c r="S78" i="62"/>
  <c r="U78" i="62" s="1"/>
  <c r="AD78" i="62" s="1"/>
  <c r="S62" i="62"/>
  <c r="S49" i="62"/>
  <c r="S50" i="62"/>
  <c r="S51" i="62"/>
  <c r="S52" i="62"/>
  <c r="S53" i="62"/>
  <c r="S54" i="62"/>
  <c r="U54" i="62" s="1"/>
  <c r="S55" i="62"/>
  <c r="S56" i="62"/>
  <c r="S57" i="62"/>
  <c r="S58" i="62"/>
  <c r="F59" i="62"/>
  <c r="G59" i="62"/>
  <c r="H59" i="62"/>
  <c r="I59" i="62"/>
  <c r="J59" i="62"/>
  <c r="K59" i="62"/>
  <c r="L59" i="62"/>
  <c r="M59" i="62"/>
  <c r="N59" i="62"/>
  <c r="O59" i="62"/>
  <c r="P59" i="62"/>
  <c r="Q59" i="62"/>
  <c r="R59" i="62"/>
  <c r="S45" i="62"/>
  <c r="S42" i="62"/>
  <c r="S43" i="62"/>
  <c r="S44" i="62"/>
  <c r="S41" i="62"/>
  <c r="S23" i="62"/>
  <c r="S24" i="62"/>
  <c r="S25" i="62"/>
  <c r="S26" i="62"/>
  <c r="S27" i="62"/>
  <c r="S16" i="62"/>
  <c r="S17" i="62"/>
  <c r="X17" i="62" s="1"/>
  <c r="AD54" i="62" l="1"/>
  <c r="AF54" i="62"/>
  <c r="AY37" i="59"/>
  <c r="AY38" i="59"/>
  <c r="AY39" i="59"/>
  <c r="AY40" i="59"/>
  <c r="AY41" i="59"/>
  <c r="AY42" i="59"/>
  <c r="AX37" i="59"/>
  <c r="AX38" i="59"/>
  <c r="AX39" i="59"/>
  <c r="AX40" i="59"/>
  <c r="AX41" i="59"/>
  <c r="AX42" i="59"/>
  <c r="AT38" i="59"/>
  <c r="AT39" i="59"/>
  <c r="AT40" i="59"/>
  <c r="AT41" i="59"/>
  <c r="AT42" i="59"/>
  <c r="AT37" i="59"/>
  <c r="AT36" i="59"/>
  <c r="AT28" i="59"/>
  <c r="AT29" i="59"/>
  <c r="AT30" i="59"/>
  <c r="AT31" i="59"/>
  <c r="AT32" i="59"/>
  <c r="AT33" i="59"/>
  <c r="AT34" i="59"/>
  <c r="AT27" i="59"/>
  <c r="AQ38" i="59"/>
  <c r="AQ39" i="59"/>
  <c r="AQ40" i="59"/>
  <c r="AQ41" i="59"/>
  <c r="AQ42" i="59"/>
  <c r="AQ37" i="59"/>
  <c r="AQ36" i="59"/>
  <c r="AQ28" i="59"/>
  <c r="AQ29" i="59"/>
  <c r="AQ79" i="59" s="1"/>
  <c r="AQ30" i="59"/>
  <c r="AQ31" i="59"/>
  <c r="AQ32" i="59"/>
  <c r="AQ33" i="59"/>
  <c r="AQ34" i="59"/>
  <c r="AQ27" i="59"/>
  <c r="AN38" i="59"/>
  <c r="AN39" i="59"/>
  <c r="AN40" i="59"/>
  <c r="AN41" i="59"/>
  <c r="AN42" i="59"/>
  <c r="AN37" i="59"/>
  <c r="AN36" i="59"/>
  <c r="AN28" i="59"/>
  <c r="AN29" i="59"/>
  <c r="AN30" i="59"/>
  <c r="AN31" i="59"/>
  <c r="AN32" i="59"/>
  <c r="AN33" i="59"/>
  <c r="AN34" i="59"/>
  <c r="AN27" i="59"/>
  <c r="AK38" i="59"/>
  <c r="AK39" i="59"/>
  <c r="AK40" i="59"/>
  <c r="AK41" i="59"/>
  <c r="AK42" i="59"/>
  <c r="AK37" i="59"/>
  <c r="AK36" i="59"/>
  <c r="AK28" i="59"/>
  <c r="AK29" i="59"/>
  <c r="AK30" i="59"/>
  <c r="AK31" i="59"/>
  <c r="AK32" i="59"/>
  <c r="AK33" i="59"/>
  <c r="AK34" i="59"/>
  <c r="AK27" i="59"/>
  <c r="AH38" i="59"/>
  <c r="AH39" i="59"/>
  <c r="AH40" i="59"/>
  <c r="AH41" i="59"/>
  <c r="AH42" i="59"/>
  <c r="AH37" i="59"/>
  <c r="AH36" i="59"/>
  <c r="AH28" i="59"/>
  <c r="AH29" i="59"/>
  <c r="AH30" i="59"/>
  <c r="AH31" i="59"/>
  <c r="AH32" i="59"/>
  <c r="AH33" i="59"/>
  <c r="AH34" i="59"/>
  <c r="AH27" i="59"/>
  <c r="AE38" i="59"/>
  <c r="AE39" i="59"/>
  <c r="AE40" i="59"/>
  <c r="AE41" i="59"/>
  <c r="AE42" i="59"/>
  <c r="AE37" i="59"/>
  <c r="AE36" i="59"/>
  <c r="AE28" i="59"/>
  <c r="AE29" i="59"/>
  <c r="AE79" i="59" s="1"/>
  <c r="AE30" i="59"/>
  <c r="AE31" i="59"/>
  <c r="AE32" i="59"/>
  <c r="AE33" i="59"/>
  <c r="AE34" i="59"/>
  <c r="AE27" i="59"/>
  <c r="AB38" i="59"/>
  <c r="AB39" i="59"/>
  <c r="AB40" i="59"/>
  <c r="AB41" i="59"/>
  <c r="AB42" i="59"/>
  <c r="AB37" i="59"/>
  <c r="AB36" i="59"/>
  <c r="AB28" i="59"/>
  <c r="AB29" i="59"/>
  <c r="AB30" i="59"/>
  <c r="AB31" i="59"/>
  <c r="AB32" i="59"/>
  <c r="AB33" i="59"/>
  <c r="AB34" i="59"/>
  <c r="AB27" i="59"/>
  <c r="Y38" i="59"/>
  <c r="Y39" i="59"/>
  <c r="Y40" i="59"/>
  <c r="Y41" i="59"/>
  <c r="Y42" i="59"/>
  <c r="Y37" i="59"/>
  <c r="Y36" i="59"/>
  <c r="Y28" i="59"/>
  <c r="Y29" i="59"/>
  <c r="Y30" i="59"/>
  <c r="Y31" i="59"/>
  <c r="Y32" i="59"/>
  <c r="Y33" i="59"/>
  <c r="Y34" i="59"/>
  <c r="Y27" i="59"/>
  <c r="V38" i="59"/>
  <c r="V39" i="59"/>
  <c r="V40" i="59"/>
  <c r="V41" i="59"/>
  <c r="V42" i="59"/>
  <c r="V37" i="59"/>
  <c r="V36" i="59"/>
  <c r="V27" i="59"/>
  <c r="V28" i="59"/>
  <c r="V29" i="59"/>
  <c r="V30" i="59"/>
  <c r="V31" i="59"/>
  <c r="V32" i="59"/>
  <c r="V33" i="59"/>
  <c r="V34" i="59"/>
  <c r="V26" i="59"/>
  <c r="V43" i="59" s="1"/>
  <c r="S38" i="59"/>
  <c r="S39" i="59"/>
  <c r="S40" i="59"/>
  <c r="S41" i="59"/>
  <c r="S42" i="59"/>
  <c r="S37" i="59"/>
  <c r="S36" i="59"/>
  <c r="S27" i="59"/>
  <c r="S28" i="59"/>
  <c r="S29" i="59"/>
  <c r="S30" i="59"/>
  <c r="S31" i="59"/>
  <c r="S32" i="59"/>
  <c r="S33" i="59"/>
  <c r="S34" i="59"/>
  <c r="S26" i="59"/>
  <c r="P38" i="59"/>
  <c r="P39" i="59"/>
  <c r="P40" i="59"/>
  <c r="P41" i="59"/>
  <c r="P42" i="59"/>
  <c r="P37" i="59"/>
  <c r="P36" i="59"/>
  <c r="P27" i="59"/>
  <c r="P28" i="59"/>
  <c r="P29" i="59"/>
  <c r="P30" i="59"/>
  <c r="P31" i="59"/>
  <c r="P32" i="59"/>
  <c r="P33" i="59"/>
  <c r="P34" i="59"/>
  <c r="P26" i="59"/>
  <c r="M38" i="59"/>
  <c r="M39" i="59"/>
  <c r="M40" i="59"/>
  <c r="M41" i="59"/>
  <c r="M42" i="59"/>
  <c r="M37" i="59"/>
  <c r="M36" i="59"/>
  <c r="M27" i="59"/>
  <c r="M28" i="59"/>
  <c r="M29" i="59"/>
  <c r="M30" i="59"/>
  <c r="M31" i="59"/>
  <c r="M32" i="59"/>
  <c r="M33" i="59"/>
  <c r="M34" i="59"/>
  <c r="M26" i="59"/>
  <c r="J38" i="59"/>
  <c r="J39" i="59"/>
  <c r="J40" i="59"/>
  <c r="J41" i="59"/>
  <c r="J42" i="59"/>
  <c r="J37" i="59"/>
  <c r="J36" i="59"/>
  <c r="J27" i="59"/>
  <c r="J28" i="59"/>
  <c r="J29" i="59"/>
  <c r="J30" i="59"/>
  <c r="J31" i="59"/>
  <c r="J32" i="59"/>
  <c r="J33" i="59"/>
  <c r="J34" i="59"/>
  <c r="J26" i="59"/>
  <c r="N43" i="59"/>
  <c r="O43" i="59"/>
  <c r="Q43" i="59"/>
  <c r="R43" i="59"/>
  <c r="T43" i="59"/>
  <c r="U43" i="59"/>
  <c r="W43" i="59"/>
  <c r="X43" i="59"/>
  <c r="Z43" i="59"/>
  <c r="AA43" i="59"/>
  <c r="AC43" i="59"/>
  <c r="AD43" i="59"/>
  <c r="AF43" i="59"/>
  <c r="AG43" i="59"/>
  <c r="AI43" i="59"/>
  <c r="AJ43" i="59"/>
  <c r="AL43" i="59"/>
  <c r="AM43" i="59"/>
  <c r="AO43" i="59"/>
  <c r="AP43" i="59"/>
  <c r="AR43" i="59"/>
  <c r="AS43" i="59"/>
  <c r="AU43" i="59"/>
  <c r="AV43" i="59"/>
  <c r="K43" i="59"/>
  <c r="L43" i="59"/>
  <c r="AT19" i="59"/>
  <c r="AT20" i="59"/>
  <c r="AT21" i="59"/>
  <c r="AT22" i="59"/>
  <c r="AT18" i="59"/>
  <c r="AQ19" i="59"/>
  <c r="AQ20" i="59"/>
  <c r="AQ21" i="59"/>
  <c r="AQ22" i="59"/>
  <c r="AQ18" i="59"/>
  <c r="AN19" i="59"/>
  <c r="AN20" i="59"/>
  <c r="AN21" i="59"/>
  <c r="AN22" i="59"/>
  <c r="AN18" i="59"/>
  <c r="AK19" i="59"/>
  <c r="AK20" i="59"/>
  <c r="AK21" i="59"/>
  <c r="AK22" i="59"/>
  <c r="AK18" i="59"/>
  <c r="AH19" i="59"/>
  <c r="AH20" i="59"/>
  <c r="AH21" i="59"/>
  <c r="AH22" i="59"/>
  <c r="AH18" i="59"/>
  <c r="AE21" i="59"/>
  <c r="AE19" i="59"/>
  <c r="AE18" i="59"/>
  <c r="AB21" i="59"/>
  <c r="AB19" i="59"/>
  <c r="AB18" i="59"/>
  <c r="Y21" i="59"/>
  <c r="Y19" i="59"/>
  <c r="Y18" i="59"/>
  <c r="V21" i="59"/>
  <c r="V19" i="59"/>
  <c r="V18" i="59"/>
  <c r="S21" i="59"/>
  <c r="S19" i="59"/>
  <c r="S18" i="59"/>
  <c r="P21" i="59"/>
  <c r="P18" i="59"/>
  <c r="M21" i="59"/>
  <c r="M22" i="59"/>
  <c r="M20" i="59"/>
  <c r="M19" i="59"/>
  <c r="M18" i="59"/>
  <c r="J19" i="59"/>
  <c r="J20" i="59"/>
  <c r="J21" i="59"/>
  <c r="J22" i="59"/>
  <c r="J18" i="59"/>
  <c r="AN79" i="59" l="1"/>
  <c r="AB79" i="59"/>
  <c r="M79" i="59"/>
  <c r="P79" i="59"/>
  <c r="S79" i="59"/>
  <c r="V79" i="59"/>
  <c r="Y79" i="59"/>
  <c r="AK79" i="59"/>
  <c r="AH79" i="59"/>
  <c r="AT79" i="59"/>
  <c r="AW37" i="59"/>
  <c r="AW41" i="59"/>
  <c r="AQ43" i="59"/>
  <c r="AW40" i="59"/>
  <c r="AW39" i="59"/>
  <c r="AW42" i="59"/>
  <c r="AW38" i="59"/>
  <c r="AB43" i="59"/>
  <c r="AN43" i="59"/>
  <c r="S43" i="59"/>
  <c r="AT43" i="59"/>
  <c r="AK43" i="59"/>
  <c r="AH43" i="59"/>
  <c r="AE43" i="59"/>
  <c r="Y43" i="59"/>
  <c r="P43" i="59"/>
  <c r="M43" i="59"/>
  <c r="J43" i="59"/>
  <c r="D11" i="73" l="1"/>
  <c r="U98" i="31" l="1"/>
  <c r="L15" i="31" l="1"/>
  <c r="J16" i="4" s="1"/>
  <c r="I15" i="31"/>
  <c r="G16" i="4" s="1"/>
  <c r="J19" i="4" l="1"/>
  <c r="H21" i="70"/>
  <c r="H27" i="70" s="1"/>
  <c r="S15" i="62"/>
  <c r="S18" i="62"/>
  <c r="S19" i="62"/>
  <c r="S22" i="62"/>
  <c r="S30" i="62"/>
  <c r="S31" i="62"/>
  <c r="S38" i="62"/>
  <c r="S46" i="62"/>
  <c r="S48" i="62"/>
  <c r="S61" i="62"/>
  <c r="S63" i="62" s="1"/>
  <c r="S65" i="62"/>
  <c r="S66" i="62"/>
  <c r="S67" i="62"/>
  <c r="S68" i="62"/>
  <c r="S69" i="62"/>
  <c r="S70" i="62"/>
  <c r="S71" i="62"/>
  <c r="S72" i="62"/>
  <c r="S73" i="62"/>
  <c r="S74" i="62"/>
  <c r="S75" i="62"/>
  <c r="S83" i="62"/>
  <c r="S84" i="62"/>
  <c r="S86" i="62"/>
  <c r="S87" i="62"/>
  <c r="S88" i="62"/>
  <c r="S89" i="62"/>
  <c r="S90" i="62"/>
  <c r="S91" i="62"/>
  <c r="S92" i="62"/>
  <c r="S93" i="62"/>
  <c r="S94" i="62"/>
  <c r="S97" i="62"/>
  <c r="S100" i="62"/>
  <c r="S101" i="62"/>
  <c r="S102" i="62"/>
  <c r="S103" i="62"/>
  <c r="S104" i="62"/>
  <c r="S105" i="62"/>
  <c r="S106" i="62"/>
  <c r="S107" i="62"/>
  <c r="S108" i="62"/>
  <c r="S109" i="62"/>
  <c r="S110" i="62"/>
  <c r="S111" i="62"/>
  <c r="S112" i="62"/>
  <c r="S113" i="62"/>
  <c r="S114" i="62"/>
  <c r="S115" i="62"/>
  <c r="S116" i="62"/>
  <c r="S117" i="62"/>
  <c r="S118" i="62"/>
  <c r="S119" i="62"/>
  <c r="S124" i="62"/>
  <c r="S143" i="62"/>
  <c r="S144" i="62"/>
  <c r="S145" i="62"/>
  <c r="S146" i="62"/>
  <c r="S147" i="62"/>
  <c r="S148" i="62"/>
  <c r="S151" i="62"/>
  <c r="S152" i="62"/>
  <c r="S153" i="62"/>
  <c r="S154" i="62"/>
  <c r="S155" i="62"/>
  <c r="S156" i="62"/>
  <c r="S157" i="62"/>
  <c r="S158" i="62"/>
  <c r="S159" i="62"/>
  <c r="S160" i="62"/>
  <c r="S161" i="62"/>
  <c r="S162" i="62"/>
  <c r="S163" i="62"/>
  <c r="S164" i="62"/>
  <c r="S171" i="62"/>
  <c r="S172" i="62"/>
  <c r="S173" i="62"/>
  <c r="S174" i="62"/>
  <c r="S175" i="62"/>
  <c r="S176" i="62"/>
  <c r="S177" i="62"/>
  <c r="S178" i="62"/>
  <c r="S179" i="62"/>
  <c r="S180" i="62"/>
  <c r="S183" i="62"/>
  <c r="S184" i="62"/>
  <c r="S185" i="62"/>
  <c r="S186" i="62"/>
  <c r="S187" i="62"/>
  <c r="S188" i="62"/>
  <c r="S189" i="62"/>
  <c r="S190" i="62"/>
  <c r="S191" i="62"/>
  <c r="S192" i="62"/>
  <c r="S193" i="62"/>
  <c r="S194" i="62"/>
  <c r="S195" i="62"/>
  <c r="S198" i="62"/>
  <c r="S199" i="62"/>
  <c r="S201" i="62"/>
  <c r="S202" i="62"/>
  <c r="X202" i="62" s="1"/>
  <c r="S207" i="62"/>
  <c r="S208" i="62"/>
  <c r="S209" i="62"/>
  <c r="S210" i="62"/>
  <c r="S211" i="62"/>
  <c r="S212" i="62"/>
  <c r="S213" i="62"/>
  <c r="S214" i="62"/>
  <c r="S215" i="62"/>
  <c r="S216" i="62"/>
  <c r="S217" i="62"/>
  <c r="S218" i="62"/>
  <c r="S223" i="62"/>
  <c r="AD223" i="62" s="1"/>
  <c r="S226" i="62"/>
  <c r="S227" i="62" s="1"/>
  <c r="S229" i="62"/>
  <c r="S232" i="62"/>
  <c r="S233" i="62"/>
  <c r="S234" i="62"/>
  <c r="S235" i="62"/>
  <c r="S236" i="62"/>
  <c r="X236" i="62" s="1"/>
  <c r="AB236" i="62" s="1"/>
  <c r="S237" i="62"/>
  <c r="X237" i="62" s="1"/>
  <c r="AB237" i="62" s="1"/>
  <c r="S238" i="62"/>
  <c r="X238" i="62" s="1"/>
  <c r="AB238" i="62" s="1"/>
  <c r="S239" i="62"/>
  <c r="X239" i="62" s="1"/>
  <c r="AB239" i="62" s="1"/>
  <c r="S240" i="62"/>
  <c r="X240" i="62" s="1"/>
  <c r="AB240" i="62" s="1"/>
  <c r="S243" i="62"/>
  <c r="S244" i="62"/>
  <c r="S245" i="62"/>
  <c r="S246" i="62"/>
  <c r="S247" i="62"/>
  <c r="S248" i="62"/>
  <c r="S249" i="62"/>
  <c r="S250" i="62"/>
  <c r="S251" i="62"/>
  <c r="S252" i="62"/>
  <c r="S253" i="62"/>
  <c r="S254" i="62"/>
  <c r="S255" i="62"/>
  <c r="S256" i="62"/>
  <c r="S257" i="62"/>
  <c r="S258" i="62"/>
  <c r="S259" i="62"/>
  <c r="S260" i="62"/>
  <c r="S261" i="62"/>
  <c r="S262" i="62"/>
  <c r="S263" i="62"/>
  <c r="S264" i="62"/>
  <c r="S268" i="62"/>
  <c r="S269" i="62"/>
  <c r="S270" i="62"/>
  <c r="S271" i="62"/>
  <c r="S272" i="62"/>
  <c r="S273" i="62"/>
  <c r="S274" i="62"/>
  <c r="S275" i="62"/>
  <c r="S276" i="62"/>
  <c r="S277" i="62"/>
  <c r="S300" i="62"/>
  <c r="S301" i="62"/>
  <c r="S302" i="62"/>
  <c r="S303" i="62"/>
  <c r="S306" i="62"/>
  <c r="S307" i="62"/>
  <c r="S310" i="62"/>
  <c r="S311" i="62"/>
  <c r="S312" i="62"/>
  <c r="S313" i="62"/>
  <c r="S314" i="62"/>
  <c r="S315" i="62"/>
  <c r="S316" i="62"/>
  <c r="S317" i="62"/>
  <c r="S318" i="62"/>
  <c r="S319" i="62"/>
  <c r="S320" i="62"/>
  <c r="S321" i="62"/>
  <c r="S322" i="62"/>
  <c r="S323" i="62"/>
  <c r="S324" i="62"/>
  <c r="S327" i="62"/>
  <c r="S328" i="62"/>
  <c r="S329" i="62"/>
  <c r="S332" i="62"/>
  <c r="S333" i="62"/>
  <c r="S334" i="62"/>
  <c r="S340" i="62"/>
  <c r="S341" i="62"/>
  <c r="S342" i="62"/>
  <c r="S343" i="62"/>
  <c r="S344" i="62"/>
  <c r="S345" i="62"/>
  <c r="S346" i="62"/>
  <c r="S347" i="62"/>
  <c r="S350" i="62"/>
  <c r="S351" i="62"/>
  <c r="S352" i="62"/>
  <c r="S353" i="62"/>
  <c r="S354" i="62"/>
  <c r="S355" i="62"/>
  <c r="S356" i="62"/>
  <c r="S357" i="62"/>
  <c r="S358" i="62"/>
  <c r="S359" i="62"/>
  <c r="S360" i="62"/>
  <c r="S361" i="62"/>
  <c r="S362" i="62"/>
  <c r="S363" i="62"/>
  <c r="S364" i="62"/>
  <c r="S365" i="62"/>
  <c r="S366" i="62"/>
  <c r="S367" i="62"/>
  <c r="S368" i="62"/>
  <c r="S369" i="62"/>
  <c r="S370" i="62"/>
  <c r="S374" i="62"/>
  <c r="S375" i="62"/>
  <c r="S376" i="62"/>
  <c r="S377" i="62"/>
  <c r="S378" i="62"/>
  <c r="S379" i="62"/>
  <c r="S380" i="62"/>
  <c r="S381" i="62"/>
  <c r="S382" i="62"/>
  <c r="S383" i="62"/>
  <c r="S386" i="62"/>
  <c r="S387" i="62" s="1"/>
  <c r="S392" i="62"/>
  <c r="S393" i="62"/>
  <c r="S394" i="62"/>
  <c r="S395" i="62"/>
  <c r="S396" i="62"/>
  <c r="S397" i="62"/>
  <c r="S398" i="62"/>
  <c r="S401" i="62"/>
  <c r="S402" i="62"/>
  <c r="S403" i="62"/>
  <c r="S404" i="62"/>
  <c r="S405" i="62"/>
  <c r="S406" i="62"/>
  <c r="S407" i="62"/>
  <c r="S408" i="62"/>
  <c r="S409" i="62"/>
  <c r="S410" i="62"/>
  <c r="S411" i="62"/>
  <c r="S418" i="62"/>
  <c r="S424" i="62"/>
  <c r="S425" i="62"/>
  <c r="S427" i="62"/>
  <c r="S428" i="62"/>
  <c r="S429" i="62"/>
  <c r="S430" i="62"/>
  <c r="S431" i="62"/>
  <c r="S432" i="62"/>
  <c r="S433" i="62"/>
  <c r="S434" i="62"/>
  <c r="S435" i="62"/>
  <c r="S436" i="62"/>
  <c r="S437" i="62"/>
  <c r="S438" i="62"/>
  <c r="S440" i="62"/>
  <c r="S442" i="62"/>
  <c r="S443" i="62"/>
  <c r="S444" i="62"/>
  <c r="S445" i="62"/>
  <c r="S446" i="62"/>
  <c r="S447" i="62"/>
  <c r="S449" i="62"/>
  <c r="S453" i="62"/>
  <c r="S454" i="62"/>
  <c r="S455" i="62"/>
  <c r="S456" i="62"/>
  <c r="S464" i="62"/>
  <c r="S465" i="62"/>
  <c r="S466" i="62"/>
  <c r="S467" i="62"/>
  <c r="S468" i="62"/>
  <c r="S469" i="62"/>
  <c r="S470" i="62"/>
  <c r="S471" i="62"/>
  <c r="S472" i="62"/>
  <c r="S474" i="62"/>
  <c r="S476" i="62"/>
  <c r="S477" i="62"/>
  <c r="S478" i="62"/>
  <c r="S479" i="62"/>
  <c r="S480" i="62"/>
  <c r="S481" i="62"/>
  <c r="S482" i="62"/>
  <c r="S483" i="62"/>
  <c r="S484" i="62"/>
  <c r="S485" i="62"/>
  <c r="S486" i="62"/>
  <c r="S487" i="62"/>
  <c r="S488" i="62"/>
  <c r="S489" i="62"/>
  <c r="S490" i="62"/>
  <c r="S491" i="62"/>
  <c r="S492" i="62"/>
  <c r="S493" i="62"/>
  <c r="S494" i="62"/>
  <c r="S495" i="62"/>
  <c r="S496" i="62"/>
  <c r="S497" i="62"/>
  <c r="S498" i="62"/>
  <c r="S503" i="62"/>
  <c r="S504" i="62"/>
  <c r="S505" i="62"/>
  <c r="S506" i="62"/>
  <c r="S507" i="62"/>
  <c r="S511" i="62"/>
  <c r="S512" i="62"/>
  <c r="S513" i="62"/>
  <c r="S514" i="62"/>
  <c r="S515" i="62"/>
  <c r="S516" i="62"/>
  <c r="S517" i="62"/>
  <c r="S518" i="62"/>
  <c r="S519" i="62"/>
  <c r="S520" i="62"/>
  <c r="S521" i="62"/>
  <c r="S522" i="62"/>
  <c r="S523" i="62"/>
  <c r="S526" i="62"/>
  <c r="S527" i="62"/>
  <c r="S528" i="62"/>
  <c r="S529" i="62"/>
  <c r="S530" i="62"/>
  <c r="S531" i="62"/>
  <c r="S532" i="62"/>
  <c r="S533" i="62"/>
  <c r="S534" i="62"/>
  <c r="S535" i="62"/>
  <c r="S536" i="62"/>
  <c r="S537" i="62"/>
  <c r="S538" i="62"/>
  <c r="S539" i="62"/>
  <c r="S540" i="62"/>
  <c r="S543" i="62"/>
  <c r="S544" i="62"/>
  <c r="V544" i="62" s="1"/>
  <c r="S545" i="62"/>
  <c r="V545" i="62" s="1"/>
  <c r="S548" i="62"/>
  <c r="S549" i="62"/>
  <c r="S550" i="62"/>
  <c r="S551" i="62"/>
  <c r="S552" i="62"/>
  <c r="S553" i="62"/>
  <c r="S554" i="62"/>
  <c r="S557" i="62"/>
  <c r="S558" i="62"/>
  <c r="S559" i="62"/>
  <c r="S560" i="62"/>
  <c r="S561" i="62"/>
  <c r="S562" i="62"/>
  <c r="S563" i="62"/>
  <c r="S564" i="62"/>
  <c r="S565" i="62"/>
  <c r="S566" i="62"/>
  <c r="S567" i="62"/>
  <c r="S568" i="62"/>
  <c r="S569" i="62"/>
  <c r="V569" i="62" s="1"/>
  <c r="S570" i="62"/>
  <c r="V570" i="62" s="1"/>
  <c r="S571" i="62"/>
  <c r="S572" i="62"/>
  <c r="S573" i="62"/>
  <c r="S574" i="62"/>
  <c r="S575" i="62"/>
  <c r="S576" i="62"/>
  <c r="S577" i="62"/>
  <c r="S578" i="62"/>
  <c r="S579" i="62"/>
  <c r="S580" i="62"/>
  <c r="S590" i="62"/>
  <c r="S591" i="62"/>
  <c r="S592" i="62"/>
  <c r="S593" i="62"/>
  <c r="S594" i="62"/>
  <c r="AB594" i="62" s="1"/>
  <c r="S595" i="62"/>
  <c r="S596" i="62"/>
  <c r="AB596" i="62" s="1"/>
  <c r="S597" i="62"/>
  <c r="AB597" i="62" s="1"/>
  <c r="S598" i="62"/>
  <c r="S599" i="62"/>
  <c r="AB599" i="62" s="1"/>
  <c r="S600" i="62"/>
  <c r="S601" i="62"/>
  <c r="S602" i="62"/>
  <c r="S603" i="62"/>
  <c r="S604" i="62"/>
  <c r="AB604" i="62" s="1"/>
  <c r="S605" i="62"/>
  <c r="S606" i="62"/>
  <c r="AB606" i="62" s="1"/>
  <c r="S607" i="62"/>
  <c r="AB607" i="62" s="1"/>
  <c r="S608" i="62"/>
  <c r="S609" i="62"/>
  <c r="AB609" i="62" s="1"/>
  <c r="S610" i="62"/>
  <c r="AD610" i="62" s="1"/>
  <c r="S617" i="62"/>
  <c r="S618" i="62"/>
  <c r="S619" i="62"/>
  <c r="S620" i="62"/>
  <c r="S621" i="62"/>
  <c r="S622" i="62"/>
  <c r="S623" i="62"/>
  <c r="S624" i="62"/>
  <c r="S625" i="62"/>
  <c r="S626" i="62"/>
  <c r="S627" i="62"/>
  <c r="S628" i="62"/>
  <c r="S629" i="62"/>
  <c r="S630" i="62"/>
  <c r="S631" i="62"/>
  <c r="S632" i="62"/>
  <c r="S633" i="62"/>
  <c r="S634" i="62"/>
  <c r="S635" i="62"/>
  <c r="S636" i="62"/>
  <c r="S637" i="62"/>
  <c r="S638" i="62"/>
  <c r="S639" i="62"/>
  <c r="S640" i="62"/>
  <c r="S641" i="62"/>
  <c r="S642" i="62"/>
  <c r="S643" i="62"/>
  <c r="S644" i="62"/>
  <c r="S645" i="62"/>
  <c r="S646" i="62"/>
  <c r="S647" i="62"/>
  <c r="S648" i="62"/>
  <c r="S649" i="62"/>
  <c r="S652" i="62"/>
  <c r="S653" i="62"/>
  <c r="S654" i="62"/>
  <c r="S655" i="62"/>
  <c r="S656" i="62"/>
  <c r="S657" i="62"/>
  <c r="S658" i="62"/>
  <c r="S659" i="62"/>
  <c r="S660" i="62"/>
  <c r="S661" i="62"/>
  <c r="S664" i="62"/>
  <c r="S665" i="62"/>
  <c r="S666" i="62"/>
  <c r="S667" i="62"/>
  <c r="S668" i="62"/>
  <c r="S671" i="62"/>
  <c r="S672" i="62"/>
  <c r="S673" i="62"/>
  <c r="S674" i="62"/>
  <c r="S675" i="62"/>
  <c r="S676" i="62"/>
  <c r="S677" i="62"/>
  <c r="S678" i="62"/>
  <c r="S679" i="62"/>
  <c r="S680" i="62"/>
  <c r="S681" i="62"/>
  <c r="S682" i="62"/>
  <c r="S684" i="62"/>
  <c r="S688" i="62"/>
  <c r="S689" i="62"/>
  <c r="S690" i="62"/>
  <c r="S691" i="62"/>
  <c r="S692" i="62"/>
  <c r="S693" i="62"/>
  <c r="S694" i="62"/>
  <c r="S695" i="62"/>
  <c r="S696" i="62"/>
  <c r="S697" i="62"/>
  <c r="S698" i="62" l="1"/>
  <c r="K15" i="31"/>
  <c r="I16" i="4" s="1"/>
  <c r="S615" i="62"/>
  <c r="S588" i="62"/>
  <c r="S546" i="62"/>
  <c r="S419" i="62"/>
  <c r="S224" i="62"/>
  <c r="S325" i="62"/>
  <c r="S298" i="62"/>
  <c r="S169" i="62"/>
  <c r="S81" i="62"/>
  <c r="S28" i="62"/>
  <c r="S20" i="62"/>
  <c r="S330" i="62"/>
  <c r="S399" i="62"/>
  <c r="S32" i="62"/>
  <c r="AB271" i="62"/>
  <c r="X271" i="62"/>
  <c r="S371" i="62"/>
  <c r="AB186" i="62"/>
  <c r="X186" i="62"/>
  <c r="S120" i="62"/>
  <c r="S59" i="62"/>
  <c r="S384" i="62"/>
  <c r="S348" i="62"/>
  <c r="X199" i="62"/>
  <c r="Y199" i="62" s="1"/>
  <c r="X193" i="62"/>
  <c r="AB193" i="62"/>
  <c r="X189" i="62"/>
  <c r="AB189" i="62"/>
  <c r="X185" i="62"/>
  <c r="S149" i="62"/>
  <c r="X190" i="62"/>
  <c r="AB190" i="62"/>
  <c r="S685" i="62"/>
  <c r="S451" i="62"/>
  <c r="S304" i="62"/>
  <c r="X198" i="62"/>
  <c r="Y198" i="62" s="1"/>
  <c r="X192" i="62"/>
  <c r="Z192" i="62" s="1"/>
  <c r="AB184" i="62"/>
  <c r="X184" i="62"/>
  <c r="S181" i="62"/>
  <c r="S95" i="62"/>
  <c r="S457" i="62"/>
  <c r="X191" i="62"/>
  <c r="Z191" i="62" s="1"/>
  <c r="AB183" i="62"/>
  <c r="X183" i="62"/>
  <c r="AC697" i="62"/>
  <c r="AC696" i="62"/>
  <c r="AC695" i="62"/>
  <c r="AC694" i="62"/>
  <c r="AC693" i="62"/>
  <c r="AC692" i="62"/>
  <c r="AC691" i="62"/>
  <c r="AC690" i="62"/>
  <c r="AC689" i="62"/>
  <c r="AC688" i="62"/>
  <c r="AC684" i="62"/>
  <c r="AC682" i="62"/>
  <c r="AC681" i="62"/>
  <c r="AC680" i="62"/>
  <c r="AC679" i="62"/>
  <c r="AC678" i="62"/>
  <c r="AC677" i="62"/>
  <c r="AC676" i="62"/>
  <c r="AC675" i="62"/>
  <c r="AC674" i="62"/>
  <c r="AC673" i="62"/>
  <c r="AC672" i="62"/>
  <c r="AC671" i="62"/>
  <c r="AC668" i="62"/>
  <c r="AC667" i="62"/>
  <c r="AC666" i="62"/>
  <c r="AC665" i="62"/>
  <c r="AC664" i="62"/>
  <c r="AC661" i="62"/>
  <c r="AC660" i="62"/>
  <c r="AC659" i="62"/>
  <c r="AC658" i="62"/>
  <c r="AC657" i="62"/>
  <c r="AC656" i="62"/>
  <c r="AC655" i="62"/>
  <c r="AC654" i="62"/>
  <c r="AC653" i="62"/>
  <c r="AC652" i="62"/>
  <c r="AC649" i="62"/>
  <c r="AC648" i="62"/>
  <c r="AC647" i="62"/>
  <c r="AC646" i="62"/>
  <c r="AC645" i="62"/>
  <c r="AC644" i="62"/>
  <c r="AC643" i="62"/>
  <c r="AC642" i="62"/>
  <c r="AC641" i="62"/>
  <c r="AC640" i="62"/>
  <c r="AC639" i="62"/>
  <c r="AC638" i="62"/>
  <c r="AC637" i="62"/>
  <c r="AC636" i="62"/>
  <c r="AC635" i="62"/>
  <c r="AC634" i="62"/>
  <c r="AC633" i="62"/>
  <c r="AC632" i="62"/>
  <c r="AC631" i="62"/>
  <c r="AC630" i="62"/>
  <c r="AC629" i="62"/>
  <c r="AC628" i="62"/>
  <c r="AC627" i="62"/>
  <c r="AC626" i="62"/>
  <c r="AC625" i="62"/>
  <c r="AC624" i="62"/>
  <c r="AC623" i="62"/>
  <c r="AC622" i="62"/>
  <c r="AC621" i="62"/>
  <c r="AC620" i="62"/>
  <c r="AC619" i="62"/>
  <c r="AC618" i="62"/>
  <c r="AC617" i="62"/>
  <c r="AB602" i="62"/>
  <c r="AB601" i="62"/>
  <c r="X602" i="62"/>
  <c r="X601" i="62"/>
  <c r="AF697" i="62"/>
  <c r="AF696" i="62"/>
  <c r="AF695" i="62"/>
  <c r="AF694" i="62"/>
  <c r="AF693" i="62"/>
  <c r="AF692" i="62"/>
  <c r="AF691" i="62"/>
  <c r="AF690" i="62"/>
  <c r="AF689" i="62"/>
  <c r="AF688" i="62"/>
  <c r="AF686" i="62"/>
  <c r="AF685" i="62"/>
  <c r="AF684" i="62"/>
  <c r="AF682" i="62"/>
  <c r="AF681" i="62"/>
  <c r="AF680" i="62"/>
  <c r="AF679" i="62"/>
  <c r="AF678" i="62"/>
  <c r="AF677" i="62"/>
  <c r="AF676" i="62"/>
  <c r="AF675" i="62"/>
  <c r="AF674" i="62"/>
  <c r="AF673" i="62"/>
  <c r="AF672" i="62"/>
  <c r="AF671" i="62"/>
  <c r="AF668" i="62"/>
  <c r="AF667" i="62"/>
  <c r="AF666" i="62"/>
  <c r="AF665" i="62"/>
  <c r="AF664" i="62"/>
  <c r="AF661" i="62"/>
  <c r="AF660" i="62"/>
  <c r="AF659" i="62"/>
  <c r="AF658" i="62"/>
  <c r="AF657" i="62"/>
  <c r="AF656" i="62"/>
  <c r="AF655" i="62"/>
  <c r="AF654" i="62"/>
  <c r="AF653" i="62"/>
  <c r="AF652" i="62"/>
  <c r="AF649" i="62"/>
  <c r="AF648" i="62"/>
  <c r="AF647" i="62"/>
  <c r="AF646" i="62"/>
  <c r="AF645" i="62"/>
  <c r="AF644" i="62"/>
  <c r="AF643" i="62"/>
  <c r="AF642" i="62"/>
  <c r="AF641" i="62"/>
  <c r="AF640" i="62"/>
  <c r="AF639" i="62"/>
  <c r="AF638" i="62"/>
  <c r="AF637" i="62"/>
  <c r="AF636" i="62"/>
  <c r="AF635" i="62"/>
  <c r="AF634" i="62"/>
  <c r="AF633" i="62"/>
  <c r="AF632" i="62"/>
  <c r="AF631" i="62"/>
  <c r="AF630" i="62"/>
  <c r="AF629" i="62"/>
  <c r="AF628" i="62"/>
  <c r="AF627" i="62"/>
  <c r="AF626" i="62"/>
  <c r="AF625" i="62"/>
  <c r="AF624" i="62"/>
  <c r="AF623" i="62"/>
  <c r="AF622" i="62"/>
  <c r="AF621" i="62"/>
  <c r="AF620" i="62"/>
  <c r="AF619" i="62"/>
  <c r="AF618" i="62"/>
  <c r="AF617" i="62"/>
  <c r="AF616" i="62"/>
  <c r="AF615" i="62"/>
  <c r="AF603" i="62"/>
  <c r="AF602" i="62"/>
  <c r="AF601" i="62"/>
  <c r="AF600" i="62"/>
  <c r="AF599" i="62"/>
  <c r="AF598" i="62"/>
  <c r="AF597" i="62"/>
  <c r="AF596" i="62"/>
  <c r="AF595" i="62"/>
  <c r="AF594" i="62"/>
  <c r="AF593" i="62"/>
  <c r="AF592" i="62"/>
  <c r="AF591" i="62"/>
  <c r="AF590" i="62"/>
  <c r="AF589" i="62"/>
  <c r="AF588" i="62"/>
  <c r="AF580" i="62"/>
  <c r="AF577" i="62"/>
  <c r="AF576" i="62"/>
  <c r="AF575" i="62"/>
  <c r="AF574" i="62"/>
  <c r="AF573" i="62"/>
  <c r="AF572" i="62"/>
  <c r="AF571" i="62"/>
  <c r="AF561" i="62"/>
  <c r="AF560" i="62"/>
  <c r="AF559" i="62"/>
  <c r="AF558" i="62"/>
  <c r="AF557" i="62"/>
  <c r="AF556" i="62"/>
  <c r="AF554" i="62"/>
  <c r="AF547" i="62"/>
  <c r="AF546" i="62"/>
  <c r="AF532" i="62"/>
  <c r="AF487" i="62"/>
  <c r="AF486" i="62"/>
  <c r="AF485" i="62"/>
  <c r="AF460" i="62"/>
  <c r="AF459" i="62"/>
  <c r="AF458" i="62"/>
  <c r="AF457" i="62"/>
  <c r="AF452" i="62"/>
  <c r="AF451" i="62"/>
  <c r="AF449" i="62"/>
  <c r="AF448" i="62"/>
  <c r="AF447" i="62"/>
  <c r="AF446" i="62"/>
  <c r="AF445" i="62"/>
  <c r="AF444" i="62"/>
  <c r="AF443" i="62"/>
  <c r="AF442" i="62"/>
  <c r="AF426" i="62"/>
  <c r="AF425" i="62"/>
  <c r="AF424" i="62"/>
  <c r="AF420" i="62"/>
  <c r="AF419" i="62"/>
  <c r="AF418" i="62"/>
  <c r="AF416" i="62"/>
  <c r="AF411" i="62"/>
  <c r="AF410" i="62"/>
  <c r="AF409" i="62"/>
  <c r="AF408" i="62"/>
  <c r="AF407" i="62"/>
  <c r="AF406" i="62"/>
  <c r="AF405" i="62"/>
  <c r="AF404" i="62"/>
  <c r="AF403" i="62"/>
  <c r="AF402" i="62"/>
  <c r="AF401" i="62"/>
  <c r="AF400" i="62"/>
  <c r="AF399" i="62"/>
  <c r="AF398" i="62"/>
  <c r="AF397" i="62"/>
  <c r="AF396" i="62"/>
  <c r="AF395" i="62"/>
  <c r="AF394" i="62"/>
  <c r="AF393" i="62"/>
  <c r="AF392" i="62"/>
  <c r="AF391" i="62"/>
  <c r="AF390" i="62"/>
  <c r="AF389" i="62"/>
  <c r="AF388" i="62"/>
  <c r="AF387" i="62"/>
  <c r="AF386"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7"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7" i="62"/>
  <c r="AF306" i="62"/>
  <c r="AF305" i="62"/>
  <c r="AF304" i="62"/>
  <c r="AF303" i="62"/>
  <c r="AF302" i="62"/>
  <c r="AF301" i="62"/>
  <c r="AF300" i="62"/>
  <c r="AF299" i="62"/>
  <c r="AF298" i="62"/>
  <c r="AF294" i="62"/>
  <c r="AF293" i="62"/>
  <c r="AF292" i="62"/>
  <c r="AF291" i="62"/>
  <c r="AF290" i="62"/>
  <c r="AF289" i="62"/>
  <c r="AF288" i="62"/>
  <c r="AF287" i="62"/>
  <c r="AF286" i="62"/>
  <c r="AF285" i="62"/>
  <c r="AF284" i="62"/>
  <c r="AF283" i="62"/>
  <c r="AF282" i="62"/>
  <c r="AF277" i="62"/>
  <c r="AF274" i="62"/>
  <c r="AF270" i="62"/>
  <c r="AF269" i="62"/>
  <c r="AF268" i="62"/>
  <c r="AF228" i="62"/>
  <c r="AF227" i="62"/>
  <c r="AF226" i="62"/>
  <c r="AF225" i="62"/>
  <c r="AF224" i="62"/>
  <c r="AF223" i="62"/>
  <c r="AF218" i="62"/>
  <c r="AF217" i="62"/>
  <c r="AF216" i="62"/>
  <c r="AF215" i="62"/>
  <c r="AF214" i="62"/>
  <c r="AF213" i="62"/>
  <c r="AF212" i="62"/>
  <c r="AF211" i="62"/>
  <c r="AF210" i="62"/>
  <c r="AF209" i="62"/>
  <c r="AF208" i="62"/>
  <c r="AF207" i="62"/>
  <c r="AF206" i="62"/>
  <c r="AF202" i="62"/>
  <c r="AF201" i="62"/>
  <c r="AF182" i="62"/>
  <c r="AF181" i="62"/>
  <c r="AF170" i="62"/>
  <c r="AF169" i="62"/>
  <c r="AF150" i="62"/>
  <c r="AF149" i="62"/>
  <c r="AF123" i="62"/>
  <c r="AF122" i="62"/>
  <c r="AF121" i="62"/>
  <c r="AF120" i="62"/>
  <c r="AF100" i="62"/>
  <c r="AF99" i="62"/>
  <c r="AF98" i="62"/>
  <c r="AF97" i="62"/>
  <c r="AF96" i="62"/>
  <c r="AF95" i="62"/>
  <c r="AF94" i="62"/>
  <c r="AF93" i="62"/>
  <c r="AF92" i="62"/>
  <c r="AF91" i="62"/>
  <c r="AF90" i="62"/>
  <c r="AF89" i="62"/>
  <c r="AF88" i="62"/>
  <c r="AF87" i="62"/>
  <c r="AF86" i="62"/>
  <c r="AF85" i="62"/>
  <c r="AF82" i="62"/>
  <c r="AF81" i="62"/>
  <c r="AF64" i="62"/>
  <c r="AF63" i="62"/>
  <c r="AF60" i="62"/>
  <c r="AF59" i="62"/>
  <c r="AF47" i="62"/>
  <c r="AF46" i="62"/>
  <c r="AF44" i="62"/>
  <c r="AF43" i="62"/>
  <c r="AF42" i="62"/>
  <c r="AF41" i="62"/>
  <c r="AF40" i="62"/>
  <c r="AF39" i="62"/>
  <c r="AF37" i="62"/>
  <c r="AF36" i="62"/>
  <c r="AF35" i="62"/>
  <c r="AF34" i="62"/>
  <c r="AF33" i="62"/>
  <c r="AF32" i="62"/>
  <c r="AF31" i="62"/>
  <c r="AF30" i="62"/>
  <c r="AF29" i="62"/>
  <c r="AF28" i="62"/>
  <c r="AF27" i="62"/>
  <c r="AF26" i="62"/>
  <c r="AF23" i="62"/>
  <c r="AF22" i="62"/>
  <c r="AF21" i="62"/>
  <c r="AF20" i="62"/>
  <c r="AF19" i="62"/>
  <c r="AF18" i="62"/>
  <c r="AF15" i="62"/>
  <c r="AD48" i="62"/>
  <c r="AB591" i="62"/>
  <c r="AB592" i="62"/>
  <c r="AB577" i="62"/>
  <c r="AB576" i="62"/>
  <c r="AB575" i="62"/>
  <c r="AB574" i="62"/>
  <c r="AB573" i="62"/>
  <c r="AB572" i="62"/>
  <c r="AB571" i="62"/>
  <c r="AB568" i="62"/>
  <c r="AB567" i="62"/>
  <c r="X577" i="62"/>
  <c r="X576" i="62"/>
  <c r="X575" i="62"/>
  <c r="X574" i="62"/>
  <c r="X573" i="62"/>
  <c r="X572" i="62"/>
  <c r="X571" i="62"/>
  <c r="X568" i="62"/>
  <c r="X567" i="62"/>
  <c r="AC386" i="62"/>
  <c r="AC383" i="62"/>
  <c r="AC382" i="62"/>
  <c r="AC381" i="62"/>
  <c r="AC380" i="62"/>
  <c r="AC379" i="62"/>
  <c r="AC378" i="62"/>
  <c r="AC377" i="62"/>
  <c r="AC376" i="62"/>
  <c r="AC375" i="62"/>
  <c r="AC374" i="62"/>
  <c r="AC370" i="62"/>
  <c r="AC369" i="62"/>
  <c r="AC368" i="62"/>
  <c r="AC367" i="62"/>
  <c r="AC366" i="62"/>
  <c r="AC365" i="62"/>
  <c r="AC364" i="62"/>
  <c r="AC363" i="62"/>
  <c r="AC362" i="62"/>
  <c r="AC361" i="62"/>
  <c r="AC360" i="62"/>
  <c r="AC359" i="62"/>
  <c r="AC358" i="62"/>
  <c r="AC357" i="62"/>
  <c r="AC356" i="62"/>
  <c r="AC355" i="62"/>
  <c r="AC354" i="62"/>
  <c r="AC353" i="62"/>
  <c r="AC352" i="62"/>
  <c r="AC351" i="62"/>
  <c r="AC350" i="62"/>
  <c r="AC347" i="62"/>
  <c r="AC346" i="62"/>
  <c r="AC345" i="62"/>
  <c r="AC344" i="62"/>
  <c r="AC343" i="62"/>
  <c r="AC342" i="62"/>
  <c r="AC341" i="62"/>
  <c r="AC340" i="62"/>
  <c r="AC337" i="62"/>
  <c r="AC334" i="62"/>
  <c r="AC333" i="62"/>
  <c r="AC329" i="62"/>
  <c r="AC328" i="62"/>
  <c r="AC327" i="62"/>
  <c r="AC324" i="62"/>
  <c r="AC323" i="62"/>
  <c r="AC322" i="62"/>
  <c r="AC321" i="62"/>
  <c r="AC320" i="62"/>
  <c r="AC319" i="62"/>
  <c r="AC318" i="62"/>
  <c r="AC317" i="62"/>
  <c r="AC316" i="62"/>
  <c r="AC315" i="62"/>
  <c r="AC314" i="62"/>
  <c r="AC313" i="62"/>
  <c r="AC312" i="62"/>
  <c r="AC311" i="62"/>
  <c r="AC310" i="62"/>
  <c r="AC309" i="62"/>
  <c r="AC307" i="62"/>
  <c r="AC306" i="62"/>
  <c r="AC303" i="62"/>
  <c r="AC302" i="62"/>
  <c r="AC301" i="62"/>
  <c r="AC300" i="62"/>
  <c r="AD276" i="62"/>
  <c r="AD275" i="62"/>
  <c r="U276" i="62"/>
  <c r="U275" i="62"/>
  <c r="U273" i="62"/>
  <c r="U272" i="62"/>
  <c r="S459" i="62" l="1"/>
  <c r="S700" i="62" s="1"/>
  <c r="S34" i="62"/>
  <c r="S36" i="62" s="1"/>
  <c r="S99" i="62"/>
  <c r="S122" i="62" s="1"/>
  <c r="AF275" i="62"/>
  <c r="AF276" i="62"/>
  <c r="AC92" i="58"/>
  <c r="W680" i="62" l="1"/>
  <c r="W681" i="62"/>
  <c r="X85" i="62" l="1"/>
  <c r="W689" i="62" l="1"/>
  <c r="W666" i="62"/>
  <c r="W667" i="62"/>
  <c r="W668" i="62"/>
  <c r="X599" i="62"/>
  <c r="V549" i="62"/>
  <c r="V550" i="62"/>
  <c r="X551" i="62"/>
  <c r="X552" i="62"/>
  <c r="X553" i="62"/>
  <c r="X557" i="62"/>
  <c r="X558" i="62"/>
  <c r="X559" i="62"/>
  <c r="X560" i="62"/>
  <c r="X561" i="62"/>
  <c r="AB553" i="62" l="1"/>
  <c r="AF553" i="62" s="1"/>
  <c r="AD549" i="62"/>
  <c r="AF549" i="62" s="1"/>
  <c r="AB552" i="62"/>
  <c r="AF552" i="62" s="1"/>
  <c r="AB551" i="62"/>
  <c r="AF551" i="62" s="1"/>
  <c r="AD550" i="62"/>
  <c r="AF550" i="62" s="1"/>
  <c r="X554" i="62"/>
  <c r="X597" i="62"/>
  <c r="X593" i="62"/>
  <c r="X594" i="62"/>
  <c r="X596" i="62"/>
  <c r="X592" i="62"/>
  <c r="X598" i="62"/>
  <c r="Z598" i="62" s="1"/>
  <c r="X595" i="62"/>
  <c r="X591" i="62"/>
  <c r="V518" i="62"/>
  <c r="V519" i="62"/>
  <c r="V520" i="62"/>
  <c r="V521" i="62"/>
  <c r="V522" i="62"/>
  <c r="V523" i="62"/>
  <c r="V526" i="62"/>
  <c r="V527" i="62"/>
  <c r="V454" i="62"/>
  <c r="AD518" i="62" l="1"/>
  <c r="AF518" i="62" s="1"/>
  <c r="AD523" i="62"/>
  <c r="AF523" i="62" s="1"/>
  <c r="AD454" i="62"/>
  <c r="AF454" i="62" s="1"/>
  <c r="AD521" i="62"/>
  <c r="AF521" i="62" s="1"/>
  <c r="AD519" i="62"/>
  <c r="AF519" i="62" s="1"/>
  <c r="AD522" i="62"/>
  <c r="AF522" i="62" s="1"/>
  <c r="AD527" i="62"/>
  <c r="AF527" i="62" s="1"/>
  <c r="AD526" i="62"/>
  <c r="AF526" i="62" s="1"/>
  <c r="AD520" i="62"/>
  <c r="AF520" i="62" s="1"/>
  <c r="W377" i="62"/>
  <c r="W360" i="62"/>
  <c r="W361" i="62"/>
  <c r="W362" i="62"/>
  <c r="W363" i="62"/>
  <c r="W364" i="62"/>
  <c r="W365" i="62"/>
  <c r="W366" i="62"/>
  <c r="W367" i="62"/>
  <c r="W368" i="62"/>
  <c r="W369" i="62"/>
  <c r="W345" i="62"/>
  <c r="U264" i="62"/>
  <c r="AB276" i="62"/>
  <c r="X277" i="62"/>
  <c r="AB277" i="62" s="1"/>
  <c r="X282" i="62"/>
  <c r="AB282" i="62" s="1"/>
  <c r="X283" i="62"/>
  <c r="AB283" i="62" s="1"/>
  <c r="X284" i="62"/>
  <c r="AB284" i="62" s="1"/>
  <c r="X285" i="62"/>
  <c r="AB285" i="62" s="1"/>
  <c r="X286" i="62"/>
  <c r="AB286" i="62" s="1"/>
  <c r="X287" i="62"/>
  <c r="AB287" i="62" s="1"/>
  <c r="AB288" i="62"/>
  <c r="X289" i="62"/>
  <c r="AB289" i="62" s="1"/>
  <c r="X290" i="62"/>
  <c r="AB290" i="62" s="1"/>
  <c r="X291" i="62"/>
  <c r="AB291" i="62" s="1"/>
  <c r="X269" i="62" l="1"/>
  <c r="AB269" i="62"/>
  <c r="AB270" i="62"/>
  <c r="X270" i="62"/>
  <c r="U187" i="62" l="1"/>
  <c r="U188" i="62"/>
  <c r="U194" i="62"/>
  <c r="U195" i="62"/>
  <c r="U156" i="62"/>
  <c r="U157" i="62"/>
  <c r="U158" i="62"/>
  <c r="U139" i="62"/>
  <c r="U140" i="62"/>
  <c r="U48" i="62"/>
  <c r="AF48" i="62" s="1"/>
  <c r="AD198" i="62" l="1"/>
  <c r="AF198" i="62" s="1"/>
  <c r="AD188" i="62"/>
  <c r="AF188" i="62" s="1"/>
  <c r="AD189" i="62"/>
  <c r="AF189" i="62" s="1"/>
  <c r="AD139" i="62"/>
  <c r="AF139" i="62" s="1"/>
  <c r="AD199" i="62"/>
  <c r="AF199" i="62" s="1"/>
  <c r="AD193" i="62"/>
  <c r="AF193" i="62" s="1"/>
  <c r="AD158" i="62"/>
  <c r="AF158" i="62" s="1"/>
  <c r="AD192" i="62"/>
  <c r="AF192" i="62" s="1"/>
  <c r="AD157" i="62"/>
  <c r="AF157" i="62" s="1"/>
  <c r="AD195" i="62"/>
  <c r="AF195" i="62" s="1"/>
  <c r="AD191" i="62"/>
  <c r="AF191" i="62" s="1"/>
  <c r="AD187" i="62"/>
  <c r="AF187" i="62" s="1"/>
  <c r="AD140" i="62"/>
  <c r="AF140" i="62" s="1"/>
  <c r="AD156" i="62"/>
  <c r="AF156" i="62" s="1"/>
  <c r="AD194" i="62"/>
  <c r="AF194" i="62" s="1"/>
  <c r="AD190" i="62"/>
  <c r="AF190" i="62" s="1"/>
  <c r="AD186" i="62"/>
  <c r="AF186" i="62" s="1"/>
  <c r="X201" i="62"/>
  <c r="AB201" i="62"/>
  <c r="AX31" i="59" l="1"/>
  <c r="AX32" i="59"/>
  <c r="AX33" i="59"/>
  <c r="AX34" i="59"/>
  <c r="AX35" i="59"/>
  <c r="AX36" i="59"/>
  <c r="AX19" i="59"/>
  <c r="AX20" i="59"/>
  <c r="AX21" i="59"/>
  <c r="AW72" i="59" l="1"/>
  <c r="J73" i="59"/>
  <c r="J79" i="59" s="1"/>
  <c r="J63" i="59"/>
  <c r="J78" i="59" s="1"/>
  <c r="M63" i="59"/>
  <c r="M78" i="59" s="1"/>
  <c r="P63" i="59"/>
  <c r="P78" i="59" s="1"/>
  <c r="S63" i="59"/>
  <c r="S78" i="59" s="1"/>
  <c r="V63" i="59"/>
  <c r="V78" i="59" s="1"/>
  <c r="Y63" i="59"/>
  <c r="Y78" i="59" s="1"/>
  <c r="AB63" i="59"/>
  <c r="AB78" i="59" s="1"/>
  <c r="AE63" i="59"/>
  <c r="AE78" i="59" s="1"/>
  <c r="AH63" i="59"/>
  <c r="AH78" i="59" s="1"/>
  <c r="AK63" i="59"/>
  <c r="AK78" i="59" s="1"/>
  <c r="AN63" i="59"/>
  <c r="AN78" i="59" s="1"/>
  <c r="AQ63" i="59"/>
  <c r="AQ78" i="59" s="1"/>
  <c r="AT63" i="59"/>
  <c r="AT78" i="59" s="1"/>
  <c r="AW55" i="59"/>
  <c r="AW56" i="59"/>
  <c r="AW57" i="59"/>
  <c r="AW58" i="59"/>
  <c r="AW59" i="59"/>
  <c r="AW60" i="59"/>
  <c r="AW61" i="59"/>
  <c r="AW62" i="59"/>
  <c r="AW65" i="59"/>
  <c r="AW66" i="59"/>
  <c r="AW67" i="59"/>
  <c r="AW68" i="59"/>
  <c r="AW69" i="59"/>
  <c r="AW70" i="59"/>
  <c r="AW46" i="59"/>
  <c r="AW47" i="59"/>
  <c r="AW48" i="59"/>
  <c r="AW49" i="59"/>
  <c r="AW50" i="59"/>
  <c r="AW51" i="59"/>
  <c r="AW52" i="59"/>
  <c r="P53" i="59"/>
  <c r="P77" i="59" s="1"/>
  <c r="S53" i="59"/>
  <c r="S77" i="59" s="1"/>
  <c r="V53" i="59"/>
  <c r="V77" i="59" s="1"/>
  <c r="Y53" i="59"/>
  <c r="Y77" i="59" s="1"/>
  <c r="AB53" i="59"/>
  <c r="AB77" i="59" s="1"/>
  <c r="AE53" i="59"/>
  <c r="AE77" i="59" s="1"/>
  <c r="AH53" i="59"/>
  <c r="AH77" i="59" s="1"/>
  <c r="AK53" i="59"/>
  <c r="AK77" i="59" s="1"/>
  <c r="AN53" i="59"/>
  <c r="AN77" i="59" s="1"/>
  <c r="AQ53" i="59"/>
  <c r="AQ77" i="59" s="1"/>
  <c r="AT53" i="59"/>
  <c r="AT77" i="59" s="1"/>
  <c r="J53" i="59"/>
  <c r="J77" i="59" s="1"/>
  <c r="M53" i="59"/>
  <c r="M77" i="59" s="1"/>
  <c r="AQ80" i="59" l="1"/>
  <c r="AN80" i="59"/>
  <c r="AB80" i="59"/>
  <c r="AE80" i="59"/>
  <c r="S80" i="59"/>
  <c r="P80" i="59"/>
  <c r="J80" i="59"/>
  <c r="AT80" i="59"/>
  <c r="AH80" i="59"/>
  <c r="V80" i="59"/>
  <c r="M80" i="59"/>
  <c r="AK80" i="59"/>
  <c r="Y80" i="59"/>
  <c r="AW63" i="59"/>
  <c r="AW53" i="59"/>
  <c r="B30" i="64" l="1"/>
  <c r="N115" i="31" s="1"/>
  <c r="B25" i="64"/>
  <c r="C15" i="64"/>
  <c r="H44" i="6" l="1"/>
  <c r="I44" i="6" s="1"/>
  <c r="K44" i="6" s="1"/>
  <c r="L44" i="6" s="1"/>
  <c r="P44" i="6" l="1"/>
  <c r="M61" i="31" s="1"/>
  <c r="N44" i="6"/>
  <c r="Q44" i="6" s="1"/>
  <c r="O44" i="6" l="1"/>
  <c r="P88" i="6" l="1"/>
  <c r="P89" i="6"/>
  <c r="P90" i="6"/>
  <c r="P91" i="6"/>
  <c r="P92" i="6"/>
  <c r="P93" i="6"/>
  <c r="P94" i="6"/>
  <c r="F169" i="58" l="1"/>
  <c r="F168" i="58"/>
  <c r="F163" i="58"/>
  <c r="F162" i="58"/>
  <c r="AF138" i="58"/>
  <c r="AF139" i="58"/>
  <c r="AF140" i="58"/>
  <c r="AF141" i="58"/>
  <c r="AF142" i="58"/>
  <c r="AF143" i="58"/>
  <c r="AF144" i="58"/>
  <c r="AF145" i="58"/>
  <c r="AF146" i="58"/>
  <c r="AF147" i="58"/>
  <c r="AE138" i="58"/>
  <c r="AE139" i="58"/>
  <c r="AE140" i="58"/>
  <c r="AE141" i="58"/>
  <c r="AE142" i="58"/>
  <c r="AE143" i="58"/>
  <c r="AE144" i="58"/>
  <c r="AE145" i="58"/>
  <c r="AE146" i="58"/>
  <c r="AE147"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AY30" i="59" l="1"/>
  <c r="AY31" i="59"/>
  <c r="AY32" i="59"/>
  <c r="AY33" i="59"/>
  <c r="AY34" i="59"/>
  <c r="AY35" i="59"/>
  <c r="AY36" i="59"/>
  <c r="AX30" i="59"/>
  <c r="AW30" i="59"/>
  <c r="AW31" i="59"/>
  <c r="AW32" i="59"/>
  <c r="AW33" i="59"/>
  <c r="AW34" i="59"/>
  <c r="AW35" i="59"/>
  <c r="AW36" i="59"/>
  <c r="AW77" i="59" l="1"/>
  <c r="R5" i="59"/>
  <c r="AB5" i="59" s="1"/>
  <c r="AP5" i="59" s="1"/>
  <c r="R3" i="59"/>
  <c r="AB3" i="59" s="1"/>
  <c r="AP3" i="59" s="1"/>
  <c r="R2" i="59"/>
  <c r="AB2" i="59" s="1"/>
  <c r="AP2" i="59" s="1"/>
  <c r="B64" i="6" l="1"/>
  <c r="B62" i="6" l="1"/>
  <c r="B61" i="6"/>
  <c r="B60" i="6"/>
  <c r="B59" i="6"/>
  <c r="B57" i="6"/>
  <c r="B55" i="6"/>
  <c r="B53" i="6"/>
  <c r="B47" i="6"/>
  <c r="H46" i="6" l="1"/>
  <c r="H45" i="6"/>
  <c r="K81" i="6" l="1"/>
  <c r="L81" i="6" s="1"/>
  <c r="N81" i="6" s="1"/>
  <c r="H48" i="6"/>
  <c r="K82" i="6" l="1"/>
  <c r="L82" i="6" s="1"/>
  <c r="N82" i="6" s="1"/>
  <c r="H49" i="6"/>
  <c r="K83" i="6" l="1"/>
  <c r="L83" i="6" s="1"/>
  <c r="N83" i="6" s="1"/>
  <c r="K84" i="6" l="1"/>
  <c r="L84" i="6" s="1"/>
  <c r="N84" i="6" s="1"/>
  <c r="K85" i="6" l="1"/>
  <c r="L85" i="6" s="1"/>
  <c r="N85" i="6" s="1"/>
  <c r="P99" i="31" l="1"/>
  <c r="U99" i="31" s="1"/>
  <c r="P88" i="31"/>
  <c r="P97" i="31"/>
  <c r="P100" i="31" s="1"/>
  <c r="K86" i="6"/>
  <c r="L86" i="6" s="1"/>
  <c r="N86" i="6" s="1"/>
  <c r="F35" i="18"/>
  <c r="F36" i="18"/>
  <c r="F37" i="18"/>
  <c r="F29" i="18"/>
  <c r="F30" i="18"/>
  <c r="F31" i="18"/>
  <c r="F32" i="18"/>
  <c r="F33" i="18"/>
  <c r="F34" i="18"/>
  <c r="F28" i="18"/>
  <c r="K87" i="6" l="1"/>
  <c r="L87" i="6" s="1"/>
  <c r="N87" i="6" s="1"/>
  <c r="K88" i="6" l="1"/>
  <c r="L88" i="6" s="1"/>
  <c r="N88" i="6" s="1"/>
  <c r="Q88" i="6" l="1"/>
  <c r="E195" i="49"/>
  <c r="G74" i="49"/>
  <c r="H74" i="49" s="1"/>
  <c r="G71" i="49"/>
  <c r="G72" i="49"/>
  <c r="O88" i="6" l="1"/>
  <c r="K89" i="6"/>
  <c r="L89" i="6" s="1"/>
  <c r="N89" i="6" s="1"/>
  <c r="G67" i="49"/>
  <c r="H67" i="49" s="1"/>
  <c r="G68" i="49"/>
  <c r="H68" i="49" s="1"/>
  <c r="G70" i="49"/>
  <c r="H70" i="49" s="1"/>
  <c r="G64" i="49"/>
  <c r="H64" i="49" s="1"/>
  <c r="G49" i="49"/>
  <c r="G57" i="49"/>
  <c r="G69" i="49"/>
  <c r="H69" i="49" s="1"/>
  <c r="G52" i="49"/>
  <c r="H52" i="49" s="1"/>
  <c r="H210" i="49" l="1"/>
  <c r="J210" i="49" s="1"/>
  <c r="H49" i="49"/>
  <c r="Q89" i="6"/>
  <c r="K90" i="6"/>
  <c r="L90" i="6" s="1"/>
  <c r="N90" i="6" s="1"/>
  <c r="Q90" i="6" l="1"/>
  <c r="K91" i="6"/>
  <c r="L91" i="6" s="1"/>
  <c r="N91" i="6" s="1"/>
  <c r="O89" i="6"/>
  <c r="G21" i="49"/>
  <c r="H206" i="49" s="1"/>
  <c r="O90" i="6" l="1"/>
  <c r="Q91" i="6"/>
  <c r="K92" i="6"/>
  <c r="L92" i="6" s="1"/>
  <c r="N92" i="6" s="1"/>
  <c r="O91" i="6" l="1"/>
  <c r="Q92" i="6"/>
  <c r="K93" i="6"/>
  <c r="L93" i="6" s="1"/>
  <c r="N93" i="6" s="1"/>
  <c r="G145" i="31"/>
  <c r="G146" i="31"/>
  <c r="G147" i="31"/>
  <c r="G148" i="31"/>
  <c r="G143" i="31"/>
  <c r="O92" i="6" l="1"/>
  <c r="Q93" i="6"/>
  <c r="K94" i="6"/>
  <c r="L94" i="6" s="1"/>
  <c r="N94" i="6" s="1"/>
  <c r="F27" i="31"/>
  <c r="G26" i="31"/>
  <c r="E27" i="31"/>
  <c r="Q94" i="6" l="1"/>
  <c r="O93" i="6"/>
  <c r="O94" i="6" l="1"/>
  <c r="P87" i="6"/>
  <c r="P86" i="6"/>
  <c r="P85" i="6"/>
  <c r="P84" i="6"/>
  <c r="P83" i="6"/>
  <c r="P82" i="6"/>
  <c r="P81" i="6"/>
  <c r="P80" i="6"/>
  <c r="P79" i="6"/>
  <c r="P78" i="6"/>
  <c r="P77" i="6"/>
  <c r="P76" i="6"/>
  <c r="P75" i="6"/>
  <c r="N135" i="31"/>
  <c r="M135" i="31"/>
  <c r="N121" i="31"/>
  <c r="N123" i="31" s="1"/>
  <c r="N107" i="31"/>
  <c r="M107" i="31"/>
  <c r="N100" i="31"/>
  <c r="M100" i="31"/>
  <c r="N93" i="31"/>
  <c r="N84" i="31"/>
  <c r="N72" i="31"/>
  <c r="N51" i="31"/>
  <c r="M51" i="31"/>
  <c r="N37" i="31"/>
  <c r="M37" i="31"/>
  <c r="N27" i="31"/>
  <c r="M27" i="31"/>
  <c r="N17" i="31"/>
  <c r="M17" i="31"/>
  <c r="W697" i="62"/>
  <c r="W696" i="62"/>
  <c r="W695" i="62"/>
  <c r="W694" i="62"/>
  <c r="W693" i="62"/>
  <c r="W692" i="62"/>
  <c r="W691" i="62"/>
  <c r="W690" i="62"/>
  <c r="F685" i="62"/>
  <c r="W684" i="62"/>
  <c r="W682" i="62"/>
  <c r="W679" i="62"/>
  <c r="W678" i="62"/>
  <c r="W677" i="62"/>
  <c r="W676" i="62"/>
  <c r="W675" i="62"/>
  <c r="W674" i="62"/>
  <c r="W673" i="62"/>
  <c r="W672" i="62"/>
  <c r="W671" i="62"/>
  <c r="W665" i="62"/>
  <c r="W664" i="62"/>
  <c r="W661" i="62"/>
  <c r="W660" i="62"/>
  <c r="W659" i="62"/>
  <c r="W658" i="62"/>
  <c r="W657" i="62"/>
  <c r="W656" i="62"/>
  <c r="W655" i="62"/>
  <c r="W654" i="62"/>
  <c r="W653" i="62"/>
  <c r="W652" i="62"/>
  <c r="W649" i="62"/>
  <c r="W648" i="62"/>
  <c r="W647" i="62"/>
  <c r="W646" i="62"/>
  <c r="W645" i="62"/>
  <c r="W644" i="62"/>
  <c r="W643" i="62"/>
  <c r="W642" i="62"/>
  <c r="W641" i="62"/>
  <c r="W640" i="62"/>
  <c r="W639" i="62"/>
  <c r="W638" i="62"/>
  <c r="W637" i="62"/>
  <c r="W636" i="62"/>
  <c r="W635" i="62"/>
  <c r="W634" i="62"/>
  <c r="W633" i="62"/>
  <c r="W632" i="62"/>
  <c r="W631" i="62"/>
  <c r="W630" i="62"/>
  <c r="W629" i="62"/>
  <c r="W628" i="62"/>
  <c r="W627" i="62"/>
  <c r="W626" i="62"/>
  <c r="W625" i="62"/>
  <c r="W624" i="62"/>
  <c r="W623" i="62"/>
  <c r="W622" i="62"/>
  <c r="W621" i="62"/>
  <c r="W620" i="62"/>
  <c r="W619" i="62"/>
  <c r="W618" i="62"/>
  <c r="W617" i="62"/>
  <c r="V610" i="62"/>
  <c r="X609" i="62"/>
  <c r="X608" i="62"/>
  <c r="Z608" i="62" s="1"/>
  <c r="X607" i="62"/>
  <c r="V605" i="62"/>
  <c r="V579" i="62"/>
  <c r="V578" i="62"/>
  <c r="AD570" i="62"/>
  <c r="AF570" i="62" s="1"/>
  <c r="AD569" i="62"/>
  <c r="AF569" i="62" s="1"/>
  <c r="AD568" i="62"/>
  <c r="AF568" i="62" s="1"/>
  <c r="AD567" i="62"/>
  <c r="AF567" i="62" s="1"/>
  <c r="V566" i="62"/>
  <c r="V565" i="62"/>
  <c r="V564" i="62"/>
  <c r="V563" i="62"/>
  <c r="V562" i="62"/>
  <c r="AD545" i="62"/>
  <c r="AF545" i="62" s="1"/>
  <c r="AD544" i="62"/>
  <c r="AF544" i="62" s="1"/>
  <c r="AD543" i="62"/>
  <c r="AF543" i="62" s="1"/>
  <c r="X543" i="62"/>
  <c r="AB543" i="62" s="1"/>
  <c r="AD540" i="62"/>
  <c r="AF540" i="62" s="1"/>
  <c r="X540" i="62"/>
  <c r="AB540" i="62" s="1"/>
  <c r="AD539" i="62"/>
  <c r="AF539" i="62" s="1"/>
  <c r="X539" i="62"/>
  <c r="AB539" i="62" s="1"/>
  <c r="AD538" i="62"/>
  <c r="AF538" i="62" s="1"/>
  <c r="X538" i="62"/>
  <c r="AB538" i="62" s="1"/>
  <c r="AD537" i="62"/>
  <c r="AF537" i="62" s="1"/>
  <c r="X537" i="62"/>
  <c r="AB537" i="62" s="1"/>
  <c r="AD536" i="62"/>
  <c r="AF536" i="62" s="1"/>
  <c r="X536" i="62"/>
  <c r="AB536" i="62" s="1"/>
  <c r="AD535" i="62"/>
  <c r="AF535" i="62" s="1"/>
  <c r="X535" i="62"/>
  <c r="AB535" i="62" s="1"/>
  <c r="AD534" i="62"/>
  <c r="AF534" i="62" s="1"/>
  <c r="X534" i="62"/>
  <c r="AB534" i="62" s="1"/>
  <c r="AD533" i="62"/>
  <c r="AF533" i="62" s="1"/>
  <c r="X533" i="62"/>
  <c r="AB533" i="62" s="1"/>
  <c r="X532" i="62"/>
  <c r="AB532" i="62" s="1"/>
  <c r="V531" i="62"/>
  <c r="V530" i="62"/>
  <c r="V529" i="62"/>
  <c r="V528" i="62"/>
  <c r="V517" i="62"/>
  <c r="V516" i="62"/>
  <c r="V515" i="62"/>
  <c r="V514" i="62"/>
  <c r="V513" i="62"/>
  <c r="V512" i="62"/>
  <c r="V511" i="62"/>
  <c r="V507" i="62"/>
  <c r="V506" i="62"/>
  <c r="V505" i="62"/>
  <c r="V504" i="62"/>
  <c r="V503" i="62"/>
  <c r="V498" i="62"/>
  <c r="V497" i="62"/>
  <c r="V496" i="62"/>
  <c r="V495" i="62"/>
  <c r="V494" i="62"/>
  <c r="V493" i="62"/>
  <c r="V492" i="62"/>
  <c r="V491" i="62"/>
  <c r="V490" i="62"/>
  <c r="V489" i="62"/>
  <c r="V488" i="62"/>
  <c r="X487" i="62"/>
  <c r="AB487" i="62" s="1"/>
  <c r="X486" i="62"/>
  <c r="AB486" i="62" s="1"/>
  <c r="W485" i="62"/>
  <c r="AC485" i="62" s="1"/>
  <c r="V484" i="62"/>
  <c r="AD483" i="62"/>
  <c r="AD482" i="62"/>
  <c r="V481" i="62"/>
  <c r="V480" i="62"/>
  <c r="V479" i="62"/>
  <c r="V478" i="62"/>
  <c r="V477" i="62"/>
  <c r="V476" i="62"/>
  <c r="V474" i="62"/>
  <c r="V472" i="62"/>
  <c r="V471" i="62"/>
  <c r="V470" i="62"/>
  <c r="V469" i="62"/>
  <c r="V468" i="62"/>
  <c r="V467" i="62"/>
  <c r="V466" i="62"/>
  <c r="V465" i="62"/>
  <c r="R457" i="62"/>
  <c r="Q457" i="62"/>
  <c r="P457" i="62"/>
  <c r="O457" i="62"/>
  <c r="N457" i="62"/>
  <c r="M457" i="62"/>
  <c r="L457" i="62"/>
  <c r="K457" i="62"/>
  <c r="J457" i="62"/>
  <c r="I457" i="62"/>
  <c r="H457" i="62"/>
  <c r="G457" i="62"/>
  <c r="F457" i="62"/>
  <c r="V456" i="62"/>
  <c r="V455" i="62"/>
  <c r="V453" i="62"/>
  <c r="R451" i="62"/>
  <c r="R459" i="62" s="1"/>
  <c r="Q451" i="62"/>
  <c r="Q459" i="62" s="1"/>
  <c r="P451" i="62"/>
  <c r="P459" i="62" s="1"/>
  <c r="O451" i="62"/>
  <c r="O459" i="62" s="1"/>
  <c r="N451" i="62"/>
  <c r="N459" i="62" s="1"/>
  <c r="M451" i="62"/>
  <c r="M459" i="62" s="1"/>
  <c r="L451" i="62"/>
  <c r="L459" i="62" s="1"/>
  <c r="K451" i="62"/>
  <c r="K459" i="62" s="1"/>
  <c r="J451" i="62"/>
  <c r="J459" i="62" s="1"/>
  <c r="I451" i="62"/>
  <c r="I459" i="62" s="1"/>
  <c r="H451" i="62"/>
  <c r="H459" i="62" s="1"/>
  <c r="G451" i="62"/>
  <c r="G459" i="62" s="1"/>
  <c r="F451" i="62"/>
  <c r="F459" i="62" s="1"/>
  <c r="AB449" i="62"/>
  <c r="X446" i="62"/>
  <c r="AB445" i="62"/>
  <c r="AB444" i="62"/>
  <c r="X442" i="62"/>
  <c r="AD441" i="62"/>
  <c r="AF441" i="62" s="1"/>
  <c r="V440" i="62"/>
  <c r="V438" i="62"/>
  <c r="V437" i="62"/>
  <c r="V436" i="62"/>
  <c r="V435" i="62"/>
  <c r="V434" i="62"/>
  <c r="V433" i="62"/>
  <c r="V432" i="62"/>
  <c r="V431" i="62"/>
  <c r="V430" i="62"/>
  <c r="V429" i="62"/>
  <c r="V428" i="62"/>
  <c r="V427" i="62"/>
  <c r="AC425" i="62"/>
  <c r="AC424" i="62"/>
  <c r="R419" i="62"/>
  <c r="Q419" i="62"/>
  <c r="P419" i="62"/>
  <c r="O419" i="62"/>
  <c r="N419" i="62"/>
  <c r="M419" i="62"/>
  <c r="L419" i="62"/>
  <c r="K419" i="62"/>
  <c r="J419" i="62"/>
  <c r="I419" i="62"/>
  <c r="H419" i="62"/>
  <c r="G419" i="62"/>
  <c r="F419" i="62"/>
  <c r="AD416" i="62"/>
  <c r="AC410" i="62"/>
  <c r="AC409" i="62"/>
  <c r="AC408" i="62"/>
  <c r="AC406" i="62"/>
  <c r="AC405" i="62"/>
  <c r="AC404" i="62"/>
  <c r="AC402" i="62"/>
  <c r="AC401" i="62"/>
  <c r="R399" i="62"/>
  <c r="Q399" i="62"/>
  <c r="P399" i="62"/>
  <c r="O399" i="62"/>
  <c r="N399" i="62"/>
  <c r="M399" i="62"/>
  <c r="L399" i="62"/>
  <c r="K399" i="62"/>
  <c r="J399" i="62"/>
  <c r="I399" i="62"/>
  <c r="H399" i="62"/>
  <c r="G399" i="62"/>
  <c r="F399" i="62"/>
  <c r="AC397" i="62"/>
  <c r="AC396" i="62"/>
  <c r="AC394" i="62"/>
  <c r="AC392" i="62"/>
  <c r="R387" i="62"/>
  <c r="Q387" i="62"/>
  <c r="P387" i="62"/>
  <c r="O387" i="62"/>
  <c r="N387" i="62"/>
  <c r="M387" i="62"/>
  <c r="L387" i="62"/>
  <c r="K387" i="62"/>
  <c r="J387" i="62"/>
  <c r="I387" i="62"/>
  <c r="H387" i="62"/>
  <c r="G387" i="62"/>
  <c r="F387" i="62"/>
  <c r="R384" i="62"/>
  <c r="Q384" i="62"/>
  <c r="P384" i="62"/>
  <c r="O384" i="62"/>
  <c r="N384" i="62"/>
  <c r="M384" i="62"/>
  <c r="L384" i="62"/>
  <c r="K384" i="62"/>
  <c r="J384" i="62"/>
  <c r="I384" i="62"/>
  <c r="H384" i="62"/>
  <c r="G384" i="62"/>
  <c r="F384" i="62"/>
  <c r="W383" i="62"/>
  <c r="W382" i="62"/>
  <c r="W381" i="62"/>
  <c r="W380" i="62"/>
  <c r="W379" i="62"/>
  <c r="W378" i="62"/>
  <c r="W376" i="62"/>
  <c r="W374" i="62"/>
  <c r="R371" i="62"/>
  <c r="Q371" i="62"/>
  <c r="P371" i="62"/>
  <c r="O371" i="62"/>
  <c r="N371" i="62"/>
  <c r="M371" i="62"/>
  <c r="L371" i="62"/>
  <c r="K371" i="62"/>
  <c r="J371" i="62"/>
  <c r="I371" i="62"/>
  <c r="H371" i="62"/>
  <c r="G371" i="62"/>
  <c r="F371" i="62"/>
  <c r="W370" i="62"/>
  <c r="W359" i="62"/>
  <c r="W358" i="62"/>
  <c r="W357" i="62"/>
  <c r="W356" i="62"/>
  <c r="W355" i="62"/>
  <c r="W354" i="62"/>
  <c r="W353" i="62"/>
  <c r="W352" i="62"/>
  <c r="W351" i="62"/>
  <c r="W350" i="62"/>
  <c r="R348" i="62"/>
  <c r="Q348" i="62"/>
  <c r="P348" i="62"/>
  <c r="O348" i="62"/>
  <c r="N348" i="62"/>
  <c r="M348" i="62"/>
  <c r="L348" i="62"/>
  <c r="K348" i="62"/>
  <c r="J348" i="62"/>
  <c r="I348" i="62"/>
  <c r="H348" i="62"/>
  <c r="G348" i="62"/>
  <c r="F348" i="62"/>
  <c r="W347" i="62"/>
  <c r="W346" i="62"/>
  <c r="W344" i="62"/>
  <c r="W343" i="62"/>
  <c r="W342" i="62"/>
  <c r="W341" i="62"/>
  <c r="W340" i="62"/>
  <c r="W337" i="62"/>
  <c r="W334" i="62"/>
  <c r="R330" i="62"/>
  <c r="Q330" i="62"/>
  <c r="P330" i="62"/>
  <c r="O330" i="62"/>
  <c r="N330" i="62"/>
  <c r="M330" i="62"/>
  <c r="L330" i="62"/>
  <c r="K330" i="62"/>
  <c r="J330" i="62"/>
  <c r="I330" i="62"/>
  <c r="H330" i="62"/>
  <c r="G330" i="62"/>
  <c r="F330" i="62"/>
  <c r="W329" i="62"/>
  <c r="W328" i="62"/>
  <c r="W327" i="62"/>
  <c r="W324" i="62"/>
  <c r="W323" i="62"/>
  <c r="W322" i="62"/>
  <c r="W321" i="62"/>
  <c r="W320" i="62"/>
  <c r="W319" i="62"/>
  <c r="W318" i="62"/>
  <c r="W317" i="62"/>
  <c r="W316" i="62"/>
  <c r="W315" i="62"/>
  <c r="W314" i="62"/>
  <c r="W313" i="62"/>
  <c r="W312" i="62"/>
  <c r="W311" i="62"/>
  <c r="W309" i="62"/>
  <c r="W307" i="62"/>
  <c r="W306" i="62"/>
  <c r="R304" i="62"/>
  <c r="Q304" i="62"/>
  <c r="P304" i="62"/>
  <c r="O304" i="62"/>
  <c r="N304" i="62"/>
  <c r="M304" i="62"/>
  <c r="L304" i="62"/>
  <c r="K304" i="62"/>
  <c r="J304" i="62"/>
  <c r="I304" i="62"/>
  <c r="H304" i="62"/>
  <c r="G304" i="62"/>
  <c r="F304" i="62"/>
  <c r="W303" i="62"/>
  <c r="W302" i="62"/>
  <c r="W301" i="62"/>
  <c r="W300" i="62"/>
  <c r="AB294" i="62"/>
  <c r="AB293" i="62"/>
  <c r="AB274" i="62"/>
  <c r="AD272" i="62"/>
  <c r="AF272" i="62" s="1"/>
  <c r="AF271" i="62"/>
  <c r="X268" i="62"/>
  <c r="U266" i="62"/>
  <c r="AD264" i="62"/>
  <c r="AF264" i="62" s="1"/>
  <c r="U263" i="62"/>
  <c r="U262" i="62"/>
  <c r="U261" i="62"/>
  <c r="U260" i="62"/>
  <c r="U259" i="62"/>
  <c r="U258" i="62"/>
  <c r="U257" i="62"/>
  <c r="U256" i="62"/>
  <c r="U255" i="62"/>
  <c r="U254" i="62"/>
  <c r="U253" i="62"/>
  <c r="U252" i="62"/>
  <c r="U251" i="62"/>
  <c r="U250" i="62"/>
  <c r="U249" i="62"/>
  <c r="U248" i="62"/>
  <c r="U247" i="62"/>
  <c r="U246" i="62"/>
  <c r="U245" i="62"/>
  <c r="U244" i="62"/>
  <c r="U243" i="62"/>
  <c r="U235" i="62"/>
  <c r="U234" i="62"/>
  <c r="U233" i="62"/>
  <c r="U232" i="62"/>
  <c r="U229" i="62"/>
  <c r="R227" i="62"/>
  <c r="Q227" i="62"/>
  <c r="P227" i="62"/>
  <c r="O227" i="62"/>
  <c r="N227" i="62"/>
  <c r="M227" i="62"/>
  <c r="L227" i="62"/>
  <c r="K227" i="62"/>
  <c r="J227" i="62"/>
  <c r="I227" i="62"/>
  <c r="H227" i="62"/>
  <c r="G227" i="62"/>
  <c r="F227" i="62"/>
  <c r="AC226" i="62"/>
  <c r="R224" i="62"/>
  <c r="Q224" i="62"/>
  <c r="P224" i="62"/>
  <c r="O224" i="62"/>
  <c r="N224" i="62"/>
  <c r="M224" i="62"/>
  <c r="L224" i="62"/>
  <c r="K224" i="62"/>
  <c r="J224" i="62"/>
  <c r="I224" i="62"/>
  <c r="H224" i="62"/>
  <c r="G224" i="62"/>
  <c r="F224" i="62"/>
  <c r="AC218" i="62"/>
  <c r="AC216" i="62"/>
  <c r="AC215" i="62"/>
  <c r="AC214" i="62"/>
  <c r="AC212" i="62"/>
  <c r="AC211" i="62"/>
  <c r="AC210" i="62"/>
  <c r="AC208" i="62"/>
  <c r="AC207" i="62"/>
  <c r="U200" i="62"/>
  <c r="AF200" i="62" s="1"/>
  <c r="R181" i="62"/>
  <c r="Q181" i="62"/>
  <c r="P181" i="62"/>
  <c r="O181" i="62"/>
  <c r="N181" i="62"/>
  <c r="M181" i="62"/>
  <c r="L181" i="62"/>
  <c r="K181" i="62"/>
  <c r="J181" i="62"/>
  <c r="I181" i="62"/>
  <c r="H181" i="62"/>
  <c r="G181" i="62"/>
  <c r="F181" i="62"/>
  <c r="U180" i="62"/>
  <c r="U179" i="62"/>
  <c r="U178" i="62"/>
  <c r="U177" i="62"/>
  <c r="U176" i="62"/>
  <c r="U175" i="62"/>
  <c r="U174" i="62"/>
  <c r="U173" i="62"/>
  <c r="U171" i="62"/>
  <c r="U166" i="62"/>
  <c r="U165" i="62"/>
  <c r="U164" i="62"/>
  <c r="U163" i="62"/>
  <c r="U162" i="62"/>
  <c r="U161" i="62"/>
  <c r="U160" i="62"/>
  <c r="U159" i="62"/>
  <c r="U155" i="62"/>
  <c r="U154" i="62"/>
  <c r="U153" i="62"/>
  <c r="U152" i="62"/>
  <c r="R149" i="62"/>
  <c r="Q149" i="62"/>
  <c r="P149" i="62"/>
  <c r="O149" i="62"/>
  <c r="N149" i="62"/>
  <c r="M149" i="62"/>
  <c r="L149" i="62"/>
  <c r="K149" i="62"/>
  <c r="J149" i="62"/>
  <c r="I149" i="62"/>
  <c r="H149" i="62"/>
  <c r="G149" i="62"/>
  <c r="F149" i="62"/>
  <c r="U148" i="62"/>
  <c r="U147" i="62"/>
  <c r="U146" i="62"/>
  <c r="U145" i="62"/>
  <c r="U144" i="62"/>
  <c r="U143" i="62"/>
  <c r="U141" i="62"/>
  <c r="U138" i="62"/>
  <c r="U137" i="62"/>
  <c r="U136" i="62"/>
  <c r="U135" i="62"/>
  <c r="U134" i="62"/>
  <c r="U133" i="62"/>
  <c r="U132" i="62"/>
  <c r="U131" i="62"/>
  <c r="U130" i="62"/>
  <c r="U129" i="62"/>
  <c r="U128" i="62"/>
  <c r="U127" i="62"/>
  <c r="U126" i="62"/>
  <c r="U125" i="62"/>
  <c r="R120" i="62"/>
  <c r="Q120" i="62"/>
  <c r="P120" i="62"/>
  <c r="O120" i="62"/>
  <c r="N120" i="62"/>
  <c r="M120" i="62"/>
  <c r="L120" i="62"/>
  <c r="K120" i="62"/>
  <c r="J120" i="62"/>
  <c r="I120" i="62"/>
  <c r="H120" i="62"/>
  <c r="G120" i="62"/>
  <c r="F120" i="62"/>
  <c r="U119" i="62"/>
  <c r="U118" i="62"/>
  <c r="U117" i="62"/>
  <c r="U116" i="62"/>
  <c r="U115" i="62"/>
  <c r="U114" i="62"/>
  <c r="U111" i="62"/>
  <c r="U110" i="62"/>
  <c r="U109" i="62"/>
  <c r="U108" i="62"/>
  <c r="U107" i="62"/>
  <c r="U106" i="62"/>
  <c r="U105" i="62"/>
  <c r="U104" i="62"/>
  <c r="U103" i="62"/>
  <c r="U102" i="62"/>
  <c r="R95" i="62"/>
  <c r="Q95" i="62"/>
  <c r="P95" i="62"/>
  <c r="O95" i="62"/>
  <c r="N95" i="62"/>
  <c r="M95" i="62"/>
  <c r="L95" i="62"/>
  <c r="K95" i="62"/>
  <c r="J95" i="62"/>
  <c r="I95" i="62"/>
  <c r="H95" i="62"/>
  <c r="G95" i="62"/>
  <c r="F95" i="62"/>
  <c r="X94" i="62"/>
  <c r="X93" i="62"/>
  <c r="X92" i="62"/>
  <c r="X91" i="62"/>
  <c r="X90" i="62"/>
  <c r="X89" i="62"/>
  <c r="X88" i="62"/>
  <c r="U84" i="62"/>
  <c r="AF84" i="62" s="1"/>
  <c r="U75" i="62"/>
  <c r="U74" i="62"/>
  <c r="U73" i="62"/>
  <c r="U72" i="62"/>
  <c r="U71" i="62"/>
  <c r="U70" i="62"/>
  <c r="U69" i="62"/>
  <c r="U68" i="62"/>
  <c r="U67" i="62"/>
  <c r="U66" i="62"/>
  <c r="U65" i="62"/>
  <c r="R63" i="62"/>
  <c r="Q63" i="62"/>
  <c r="P63" i="62"/>
  <c r="O63" i="62"/>
  <c r="N63" i="62"/>
  <c r="M63" i="62"/>
  <c r="L63" i="62"/>
  <c r="K63" i="62"/>
  <c r="J63" i="62"/>
  <c r="I63" i="62"/>
  <c r="H63" i="62"/>
  <c r="G63" i="62"/>
  <c r="F63" i="62"/>
  <c r="U58" i="62"/>
  <c r="U57" i="62"/>
  <c r="U56" i="62"/>
  <c r="U53" i="62"/>
  <c r="U52" i="62"/>
  <c r="U51" i="62"/>
  <c r="U50" i="62"/>
  <c r="U49" i="62"/>
  <c r="R46" i="62"/>
  <c r="Q46" i="62"/>
  <c r="P46" i="62"/>
  <c r="O46" i="62"/>
  <c r="N46" i="62"/>
  <c r="M46" i="62"/>
  <c r="L46" i="62"/>
  <c r="K46" i="62"/>
  <c r="J46" i="62"/>
  <c r="I46" i="62"/>
  <c r="H46" i="62"/>
  <c r="G46" i="62"/>
  <c r="F46" i="62"/>
  <c r="AB45" i="62"/>
  <c r="U45" i="62"/>
  <c r="AF45" i="62" s="1"/>
  <c r="AB44" i="62"/>
  <c r="X44" i="62"/>
  <c r="AB43" i="62"/>
  <c r="X43" i="62"/>
  <c r="AB42" i="62"/>
  <c r="X42" i="62"/>
  <c r="AB41" i="62"/>
  <c r="F39" i="62"/>
  <c r="S39" i="62" s="1"/>
  <c r="S389" i="62" s="1"/>
  <c r="U38" i="62"/>
  <c r="AF38" i="62" s="1"/>
  <c r="R32" i="62"/>
  <c r="Q32" i="62"/>
  <c r="P32" i="62"/>
  <c r="O32" i="62"/>
  <c r="N32" i="62"/>
  <c r="M32" i="62"/>
  <c r="L32" i="62"/>
  <c r="K32" i="62"/>
  <c r="J32" i="62"/>
  <c r="I32" i="62"/>
  <c r="H32" i="62"/>
  <c r="G32" i="62"/>
  <c r="F32" i="62"/>
  <c r="R28" i="62"/>
  <c r="Q28" i="62"/>
  <c r="P28" i="62"/>
  <c r="O28" i="62"/>
  <c r="N28" i="62"/>
  <c r="M28" i="62"/>
  <c r="L28" i="62"/>
  <c r="K28" i="62"/>
  <c r="J28" i="62"/>
  <c r="I28" i="62"/>
  <c r="H28" i="62"/>
  <c r="G28" i="62"/>
  <c r="F28" i="62"/>
  <c r="X22" i="62"/>
  <c r="R20" i="62"/>
  <c r="Q20" i="62"/>
  <c r="P20" i="62"/>
  <c r="O20" i="62"/>
  <c r="N20" i="62"/>
  <c r="M20" i="62"/>
  <c r="L20" i="62"/>
  <c r="K20" i="62"/>
  <c r="J20" i="62"/>
  <c r="I20" i="62"/>
  <c r="H20" i="62"/>
  <c r="G20" i="62"/>
  <c r="F20" i="62"/>
  <c r="X19" i="62"/>
  <c r="X18" i="62"/>
  <c r="X15" i="62"/>
  <c r="K700" i="62" l="1"/>
  <c r="H700" i="62"/>
  <c r="F700" i="62"/>
  <c r="O110" i="6"/>
  <c r="M28" i="31"/>
  <c r="M53" i="31" s="1"/>
  <c r="AD51" i="62"/>
  <c r="AF51" i="62" s="1"/>
  <c r="AD75" i="62"/>
  <c r="AF75" i="62" s="1"/>
  <c r="AD115" i="62"/>
  <c r="AF115" i="62" s="1"/>
  <c r="AD135" i="62"/>
  <c r="AF135" i="62" s="1"/>
  <c r="AD163" i="62"/>
  <c r="AF163" i="62" s="1"/>
  <c r="AD234" i="62"/>
  <c r="AF234" i="62" s="1"/>
  <c r="AD251" i="62"/>
  <c r="AF251" i="62" s="1"/>
  <c r="AD263" i="62"/>
  <c r="AF263" i="62" s="1"/>
  <c r="AD440" i="62"/>
  <c r="AF440" i="62" s="1"/>
  <c r="AD496" i="62"/>
  <c r="AF496" i="62" s="1"/>
  <c r="AD511" i="62"/>
  <c r="AF511" i="62" s="1"/>
  <c r="AD514" i="62"/>
  <c r="AF514" i="62" s="1"/>
  <c r="AD110" i="62"/>
  <c r="AF110" i="62" s="1"/>
  <c r="AD132" i="62"/>
  <c r="AF132" i="62" s="1"/>
  <c r="AD143" i="62"/>
  <c r="AF143" i="62" s="1"/>
  <c r="AD147" i="62"/>
  <c r="AF147" i="62" s="1"/>
  <c r="AD153" i="62"/>
  <c r="AF153" i="62" s="1"/>
  <c r="AD164" i="62"/>
  <c r="AF164" i="62" s="1"/>
  <c r="AD171" i="62"/>
  <c r="AF171" i="62" s="1"/>
  <c r="AD176" i="62"/>
  <c r="AF176" i="62" s="1"/>
  <c r="AD180" i="62"/>
  <c r="AF180" i="62" s="1"/>
  <c r="AD185" i="62"/>
  <c r="AF185" i="62" s="1"/>
  <c r="AD229" i="62"/>
  <c r="AF229" i="62" s="1"/>
  <c r="AD235" i="62"/>
  <c r="AF235" i="62" s="1"/>
  <c r="AD239" i="62"/>
  <c r="AF239" i="62" s="1"/>
  <c r="AD244" i="62"/>
  <c r="AF244" i="62" s="1"/>
  <c r="AD248" i="62"/>
  <c r="AF248" i="62" s="1"/>
  <c r="AD252" i="62"/>
  <c r="AF252" i="62" s="1"/>
  <c r="AD256" i="62"/>
  <c r="AF256" i="62" s="1"/>
  <c r="AD260" i="62"/>
  <c r="AF260" i="62" s="1"/>
  <c r="AD428" i="62"/>
  <c r="AF428" i="62" s="1"/>
  <c r="AD432" i="62"/>
  <c r="AF432" i="62" s="1"/>
  <c r="AD436" i="62"/>
  <c r="AF436" i="62" s="1"/>
  <c r="AD455" i="62"/>
  <c r="AF455" i="62" s="1"/>
  <c r="AD468" i="62"/>
  <c r="AF468" i="62" s="1"/>
  <c r="AD472" i="62"/>
  <c r="AF472" i="62" s="1"/>
  <c r="AD477" i="62"/>
  <c r="AF477" i="62" s="1"/>
  <c r="AD489" i="62"/>
  <c r="AF489" i="62" s="1"/>
  <c r="AD493" i="62"/>
  <c r="AF493" i="62" s="1"/>
  <c r="AD497" i="62"/>
  <c r="AF497" i="62" s="1"/>
  <c r="AD505" i="62"/>
  <c r="AF505" i="62" s="1"/>
  <c r="AD512" i="62"/>
  <c r="AF512" i="62" s="1"/>
  <c r="AD515" i="62"/>
  <c r="AF515" i="62" s="1"/>
  <c r="AD529" i="62"/>
  <c r="AF529" i="62" s="1"/>
  <c r="AD562" i="62"/>
  <c r="AF562" i="62" s="1"/>
  <c r="AD566" i="62"/>
  <c r="AF566" i="62" s="1"/>
  <c r="AD67" i="62"/>
  <c r="AF67" i="62" s="1"/>
  <c r="AD109" i="62"/>
  <c r="AF109" i="62" s="1"/>
  <c r="AD131" i="62"/>
  <c r="AF131" i="62" s="1"/>
  <c r="AD146" i="62"/>
  <c r="AF146" i="62" s="1"/>
  <c r="AD159" i="62"/>
  <c r="AF159" i="62" s="1"/>
  <c r="AD175" i="62"/>
  <c r="AF175" i="62" s="1"/>
  <c r="AD184" i="62"/>
  <c r="AF184" i="62" s="1"/>
  <c r="AD238" i="62"/>
  <c r="AF238" i="62" s="1"/>
  <c r="AD243" i="62"/>
  <c r="AF243" i="62" s="1"/>
  <c r="AD255" i="62"/>
  <c r="AF255" i="62" s="1"/>
  <c r="AD259" i="62"/>
  <c r="AF259" i="62" s="1"/>
  <c r="AD435" i="62"/>
  <c r="AF435" i="62" s="1"/>
  <c r="AD453" i="62"/>
  <c r="AF453" i="62" s="1"/>
  <c r="AD471" i="62"/>
  <c r="AF471" i="62" s="1"/>
  <c r="AD480" i="62"/>
  <c r="AF480" i="62" s="1"/>
  <c r="AD492" i="62"/>
  <c r="AF492" i="62" s="1"/>
  <c r="AD52" i="62"/>
  <c r="AF52" i="62" s="1"/>
  <c r="AD106" i="62"/>
  <c r="AF106" i="62" s="1"/>
  <c r="AD116" i="62"/>
  <c r="AF116" i="62" s="1"/>
  <c r="AD136" i="62"/>
  <c r="AF136" i="62" s="1"/>
  <c r="AD160" i="62"/>
  <c r="AF160" i="62" s="1"/>
  <c r="AD49" i="62"/>
  <c r="AF49" i="62" s="1"/>
  <c r="AD53" i="62"/>
  <c r="AF53" i="62" s="1"/>
  <c r="AD58" i="62"/>
  <c r="AF58" i="62" s="1"/>
  <c r="AD65" i="62"/>
  <c r="AF65" i="62" s="1"/>
  <c r="AD69" i="62"/>
  <c r="AF69" i="62" s="1"/>
  <c r="AD73" i="62"/>
  <c r="AF73" i="62" s="1"/>
  <c r="AD103" i="62"/>
  <c r="AF103" i="62" s="1"/>
  <c r="AD107" i="62"/>
  <c r="AF107" i="62" s="1"/>
  <c r="AD111" i="62"/>
  <c r="AF111" i="62" s="1"/>
  <c r="AD117" i="62"/>
  <c r="AF117" i="62" s="1"/>
  <c r="AD125" i="62"/>
  <c r="AF125" i="62" s="1"/>
  <c r="AD129" i="62"/>
  <c r="AF129" i="62" s="1"/>
  <c r="AD133" i="62"/>
  <c r="AF133" i="62" s="1"/>
  <c r="AD137" i="62"/>
  <c r="AF137" i="62" s="1"/>
  <c r="AD144" i="62"/>
  <c r="AF144" i="62" s="1"/>
  <c r="AD148" i="62"/>
  <c r="AF148" i="62" s="1"/>
  <c r="AD154" i="62"/>
  <c r="AF154" i="62" s="1"/>
  <c r="AD161" i="62"/>
  <c r="AF161" i="62" s="1"/>
  <c r="AD165" i="62"/>
  <c r="AF165" i="62" s="1"/>
  <c r="AD173" i="62"/>
  <c r="AF173" i="62" s="1"/>
  <c r="AD177" i="62"/>
  <c r="AF177" i="62" s="1"/>
  <c r="AD232" i="62"/>
  <c r="AF232" i="62" s="1"/>
  <c r="AD236" i="62"/>
  <c r="AF236" i="62" s="1"/>
  <c r="AD240" i="62"/>
  <c r="AF240" i="62" s="1"/>
  <c r="AD245" i="62"/>
  <c r="AF245" i="62" s="1"/>
  <c r="AD249" i="62"/>
  <c r="AF249" i="62" s="1"/>
  <c r="AD253" i="62"/>
  <c r="AF253" i="62" s="1"/>
  <c r="AD257" i="62"/>
  <c r="AF257" i="62" s="1"/>
  <c r="AD261" i="62"/>
  <c r="AF261" i="62" s="1"/>
  <c r="AD266" i="62"/>
  <c r="AF266" i="62" s="1"/>
  <c r="AD429" i="62"/>
  <c r="AF429" i="62" s="1"/>
  <c r="AD433" i="62"/>
  <c r="AF433" i="62" s="1"/>
  <c r="AD437" i="62"/>
  <c r="AF437" i="62" s="1"/>
  <c r="AD456" i="62"/>
  <c r="AF456" i="62" s="1"/>
  <c r="AD465" i="62"/>
  <c r="AF465" i="62" s="1"/>
  <c r="AD469" i="62"/>
  <c r="AF469" i="62" s="1"/>
  <c r="AD474" i="62"/>
  <c r="AF474" i="62" s="1"/>
  <c r="AD478" i="62"/>
  <c r="AF478" i="62" s="1"/>
  <c r="AD490" i="62"/>
  <c r="AF490" i="62" s="1"/>
  <c r="AD494" i="62"/>
  <c r="AF494" i="62" s="1"/>
  <c r="AD498" i="62"/>
  <c r="AF498" i="62" s="1"/>
  <c r="AD506" i="62"/>
  <c r="AF506" i="62" s="1"/>
  <c r="AD516" i="62"/>
  <c r="AF516" i="62" s="1"/>
  <c r="AD530" i="62"/>
  <c r="AF530" i="62" s="1"/>
  <c r="AD563" i="62"/>
  <c r="AF563" i="62" s="1"/>
  <c r="AD578" i="62"/>
  <c r="AF578" i="62" s="1"/>
  <c r="AD605" i="62"/>
  <c r="AF605" i="62" s="1"/>
  <c r="AF609" i="62"/>
  <c r="AD71" i="62"/>
  <c r="AF71" i="62" s="1"/>
  <c r="AD105" i="62"/>
  <c r="AF105" i="62" s="1"/>
  <c r="AD119" i="62"/>
  <c r="AF119" i="62" s="1"/>
  <c r="AD127" i="62"/>
  <c r="AF127" i="62" s="1"/>
  <c r="AD141" i="62"/>
  <c r="AF141" i="62" s="1"/>
  <c r="AD152" i="62"/>
  <c r="AF152" i="62" s="1"/>
  <c r="AD179" i="62"/>
  <c r="AF179" i="62" s="1"/>
  <c r="AD247" i="62"/>
  <c r="AF247" i="62" s="1"/>
  <c r="AD431" i="62"/>
  <c r="AF431" i="62" s="1"/>
  <c r="AD467" i="62"/>
  <c r="AF467" i="62" s="1"/>
  <c r="AD476" i="62"/>
  <c r="AF476" i="62" s="1"/>
  <c r="AD488" i="62"/>
  <c r="AF488" i="62" s="1"/>
  <c r="AD504" i="62"/>
  <c r="AF504" i="62" s="1"/>
  <c r="AD528" i="62"/>
  <c r="AF528" i="62" s="1"/>
  <c r="AD565" i="62"/>
  <c r="AF565" i="62" s="1"/>
  <c r="AF608" i="62"/>
  <c r="AD57" i="62"/>
  <c r="AF57" i="62" s="1"/>
  <c r="AD68" i="62"/>
  <c r="AF68" i="62" s="1"/>
  <c r="AD72" i="62"/>
  <c r="AF72" i="62" s="1"/>
  <c r="AD102" i="62"/>
  <c r="AF102" i="62" s="1"/>
  <c r="AD128" i="62"/>
  <c r="AF128" i="62" s="1"/>
  <c r="AD50" i="62"/>
  <c r="AF50" i="62" s="1"/>
  <c r="AD56" i="62"/>
  <c r="AF56" i="62" s="1"/>
  <c r="AD66" i="62"/>
  <c r="AF66" i="62" s="1"/>
  <c r="AD70" i="62"/>
  <c r="AF70" i="62" s="1"/>
  <c r="AD74" i="62"/>
  <c r="AF74" i="62" s="1"/>
  <c r="AD104" i="62"/>
  <c r="AF104" i="62" s="1"/>
  <c r="AD108" i="62"/>
  <c r="AF108" i="62" s="1"/>
  <c r="AD114" i="62"/>
  <c r="AF114" i="62" s="1"/>
  <c r="AD118" i="62"/>
  <c r="AF118" i="62" s="1"/>
  <c r="AD126" i="62"/>
  <c r="AF126" i="62" s="1"/>
  <c r="AD130" i="62"/>
  <c r="AF130" i="62" s="1"/>
  <c r="AD134" i="62"/>
  <c r="AF134" i="62" s="1"/>
  <c r="AD138" i="62"/>
  <c r="AF138" i="62" s="1"/>
  <c r="AD145" i="62"/>
  <c r="AF145" i="62" s="1"/>
  <c r="AD155" i="62"/>
  <c r="AF155" i="62" s="1"/>
  <c r="AD162" i="62"/>
  <c r="AF162" i="62" s="1"/>
  <c r="AD166" i="62"/>
  <c r="AF166" i="62" s="1"/>
  <c r="AD174" i="62"/>
  <c r="AF174" i="62" s="1"/>
  <c r="AD178" i="62"/>
  <c r="AF178" i="62" s="1"/>
  <c r="AD183" i="62"/>
  <c r="AF183" i="62" s="1"/>
  <c r="AD233" i="62"/>
  <c r="AF233" i="62" s="1"/>
  <c r="AD237" i="62"/>
  <c r="AF237" i="62" s="1"/>
  <c r="AD246" i="62"/>
  <c r="AF246" i="62" s="1"/>
  <c r="AD250" i="62"/>
  <c r="AF250" i="62" s="1"/>
  <c r="AD254" i="62"/>
  <c r="AF254" i="62" s="1"/>
  <c r="AD258" i="62"/>
  <c r="AF258" i="62" s="1"/>
  <c r="AD262" i="62"/>
  <c r="AF262" i="62" s="1"/>
  <c r="AD430" i="62"/>
  <c r="AF430" i="62" s="1"/>
  <c r="AD434" i="62"/>
  <c r="AF434" i="62" s="1"/>
  <c r="AD438" i="62"/>
  <c r="AF438" i="62" s="1"/>
  <c r="AD466" i="62"/>
  <c r="AF466" i="62" s="1"/>
  <c r="AD470" i="62"/>
  <c r="AF470" i="62" s="1"/>
  <c r="AD479" i="62"/>
  <c r="AF479" i="62" s="1"/>
  <c r="AD491" i="62"/>
  <c r="AF491" i="62" s="1"/>
  <c r="AD495" i="62"/>
  <c r="AF495" i="62" s="1"/>
  <c r="AD503" i="62"/>
  <c r="AF503" i="62" s="1"/>
  <c r="AD507" i="62"/>
  <c r="AF507" i="62" s="1"/>
  <c r="AD513" i="62"/>
  <c r="AF513" i="62" s="1"/>
  <c r="AD517" i="62"/>
  <c r="AF517" i="62" s="1"/>
  <c r="AD531" i="62"/>
  <c r="AF531" i="62" s="1"/>
  <c r="AD564" i="62"/>
  <c r="AF564" i="62" s="1"/>
  <c r="AD579" i="62"/>
  <c r="AF579" i="62" s="1"/>
  <c r="AF607" i="62"/>
  <c r="AF610" i="62"/>
  <c r="V464" i="62"/>
  <c r="G700" i="62"/>
  <c r="O700" i="62"/>
  <c r="I99" i="62"/>
  <c r="I122" i="62" s="1"/>
  <c r="I389" i="62" s="1"/>
  <c r="M99" i="62"/>
  <c r="M122" i="62" s="1"/>
  <c r="M389" i="62" s="1"/>
  <c r="Q99" i="62"/>
  <c r="Q122" i="62" s="1"/>
  <c r="Q389" i="62" s="1"/>
  <c r="X580" i="62"/>
  <c r="X600" i="62"/>
  <c r="X604" i="62"/>
  <c r="X86" i="62"/>
  <c r="AB86" i="62"/>
  <c r="U112" i="62"/>
  <c r="V482" i="62"/>
  <c r="AF482" i="62" s="1"/>
  <c r="X87" i="62"/>
  <c r="AB87" i="62"/>
  <c r="U113" i="62"/>
  <c r="V483" i="62"/>
  <c r="AF483" i="62" s="1"/>
  <c r="X606" i="62"/>
  <c r="X603" i="62"/>
  <c r="H99" i="62"/>
  <c r="H122" i="62" s="1"/>
  <c r="H389" i="62" s="1"/>
  <c r="P99" i="62"/>
  <c r="P122" i="62" s="1"/>
  <c r="P389" i="62" s="1"/>
  <c r="L99" i="62"/>
  <c r="L122" i="62" s="1"/>
  <c r="L389" i="62" s="1"/>
  <c r="G99" i="62"/>
  <c r="G122" i="62" s="1"/>
  <c r="G389" i="62" s="1"/>
  <c r="K99" i="62"/>
  <c r="K122" i="62" s="1"/>
  <c r="K389" i="62" s="1"/>
  <c r="O99" i="62"/>
  <c r="O122" i="62" s="1"/>
  <c r="O389" i="62" s="1"/>
  <c r="I700" i="62"/>
  <c r="M700" i="62"/>
  <c r="Q700" i="62"/>
  <c r="L700" i="62"/>
  <c r="X444" i="62"/>
  <c r="X449" i="62"/>
  <c r="W405" i="62"/>
  <c r="X445" i="62"/>
  <c r="W424" i="62"/>
  <c r="N700" i="62"/>
  <c r="R700" i="62"/>
  <c r="X590" i="62"/>
  <c r="AB590" i="62" s="1"/>
  <c r="W396" i="62"/>
  <c r="W394" i="62"/>
  <c r="W409" i="62"/>
  <c r="AB442" i="62"/>
  <c r="AB446" i="62"/>
  <c r="J700" i="62"/>
  <c r="W386" i="62"/>
  <c r="W401" i="62"/>
  <c r="P700" i="62"/>
  <c r="AB268" i="62"/>
  <c r="X274" i="62"/>
  <c r="W210" i="62"/>
  <c r="W214" i="62"/>
  <c r="W218" i="62"/>
  <c r="AB202" i="62"/>
  <c r="U172" i="62"/>
  <c r="U55" i="62"/>
  <c r="AB88" i="62"/>
  <c r="AB90" i="62"/>
  <c r="AB93" i="62"/>
  <c r="F99" i="62"/>
  <c r="F122" i="62" s="1"/>
  <c r="F389" i="62" s="1"/>
  <c r="J99" i="62"/>
  <c r="J122" i="62" s="1"/>
  <c r="J389" i="62" s="1"/>
  <c r="N99" i="62"/>
  <c r="N122" i="62" s="1"/>
  <c r="N389" i="62" s="1"/>
  <c r="R99" i="62"/>
  <c r="R122" i="62" s="1"/>
  <c r="R389" i="62" s="1"/>
  <c r="AB89" i="62"/>
  <c r="AB91" i="62"/>
  <c r="AB92" i="62"/>
  <c r="AB94" i="62"/>
  <c r="U61" i="62"/>
  <c r="X52" i="62"/>
  <c r="AB52" i="62" s="1"/>
  <c r="M34" i="62"/>
  <c r="M36" i="62" s="1"/>
  <c r="G34" i="62"/>
  <c r="G36" i="62" s="1"/>
  <c r="K34" i="62"/>
  <c r="K36" i="62" s="1"/>
  <c r="O34" i="62"/>
  <c r="O36" i="62" s="1"/>
  <c r="H34" i="62"/>
  <c r="H36" i="62" s="1"/>
  <c r="L34" i="62"/>
  <c r="L36" i="62" s="1"/>
  <c r="P34" i="62"/>
  <c r="P36" i="62" s="1"/>
  <c r="I34" i="62"/>
  <c r="I36" i="62" s="1"/>
  <c r="Q34" i="62"/>
  <c r="Q36" i="62" s="1"/>
  <c r="F34" i="62"/>
  <c r="F36" i="62" s="1"/>
  <c r="J34" i="62"/>
  <c r="J36" i="62" s="1"/>
  <c r="N34" i="62"/>
  <c r="N36" i="62" s="1"/>
  <c r="R34" i="62"/>
  <c r="R36" i="62" s="1"/>
  <c r="AB19" i="62"/>
  <c r="P111" i="6"/>
  <c r="N85" i="31"/>
  <c r="N28" i="31"/>
  <c r="N53" i="31" s="1"/>
  <c r="L29" i="4"/>
  <c r="AC411" i="62"/>
  <c r="W411" i="62"/>
  <c r="AC403" i="62"/>
  <c r="W403" i="62"/>
  <c r="AC418" i="62"/>
  <c r="W418" i="62"/>
  <c r="AC395" i="62"/>
  <c r="W395" i="62"/>
  <c r="AC213" i="62"/>
  <c r="W213" i="62"/>
  <c r="AC398" i="62"/>
  <c r="W398" i="62"/>
  <c r="AC209" i="62"/>
  <c r="W209" i="62"/>
  <c r="AC217" i="62"/>
  <c r="W217" i="62"/>
  <c r="W393" i="62"/>
  <c r="AC393" i="62" s="1"/>
  <c r="AC407" i="62"/>
  <c r="W407" i="62"/>
  <c r="W688" i="62"/>
  <c r="U83" i="62"/>
  <c r="AF83" i="62" s="1"/>
  <c r="W208" i="62"/>
  <c r="W212" i="62"/>
  <c r="W216" i="62"/>
  <c r="W226" i="62"/>
  <c r="AD273" i="62"/>
  <c r="AF273" i="62" s="1"/>
  <c r="W404" i="62"/>
  <c r="W408" i="62"/>
  <c r="X41" i="62"/>
  <c r="U101" i="62"/>
  <c r="U124" i="62"/>
  <c r="U151" i="62"/>
  <c r="W207" i="62"/>
  <c r="W211" i="62"/>
  <c r="W215" i="62"/>
  <c r="V223" i="62"/>
  <c r="W333" i="62"/>
  <c r="W375" i="62"/>
  <c r="AB443" i="62"/>
  <c r="X443" i="62"/>
  <c r="AB447" i="62"/>
  <c r="X447" i="62"/>
  <c r="W310" i="62"/>
  <c r="W392" i="62"/>
  <c r="W397" i="62"/>
  <c r="W402" i="62"/>
  <c r="W406" i="62"/>
  <c r="W410" i="62"/>
  <c r="W425" i="62"/>
  <c r="AD427" i="62"/>
  <c r="AF427" i="62" s="1"/>
  <c r="V548" i="62"/>
  <c r="AD484" i="62"/>
  <c r="AF484" i="62" s="1"/>
  <c r="AD481" i="62"/>
  <c r="AF481" i="62" s="1"/>
  <c r="M54" i="31" l="1"/>
  <c r="N54" i="31"/>
  <c r="AD101" i="62"/>
  <c r="AF101" i="62" s="1"/>
  <c r="AF604" i="62"/>
  <c r="AF606" i="62"/>
  <c r="AD464" i="62"/>
  <c r="AF464" i="62" s="1"/>
  <c r="AD151" i="62"/>
  <c r="AF151" i="62" s="1"/>
  <c r="AD55" i="62"/>
  <c r="AF55" i="62" s="1"/>
  <c r="AD113" i="62"/>
  <c r="AF113" i="62" s="1"/>
  <c r="AD112" i="62"/>
  <c r="AF112" i="62" s="1"/>
  <c r="AD61" i="62"/>
  <c r="AF61" i="62" s="1"/>
  <c r="AD548" i="62"/>
  <c r="AF548" i="62" s="1"/>
  <c r="AD124" i="62"/>
  <c r="AF124" i="62" s="1"/>
  <c r="AD172" i="62"/>
  <c r="AF172" i="62" s="1"/>
  <c r="U703" i="62"/>
  <c r="V703" i="62"/>
  <c r="X34" i="62"/>
  <c r="AC703" i="62"/>
  <c r="W703" i="62"/>
  <c r="AB703" i="62"/>
  <c r="AA703" i="62"/>
  <c r="X703" i="62" l="1"/>
  <c r="X704" i="62" s="1"/>
  <c r="AD703" i="62"/>
  <c r="V704" i="62"/>
  <c r="X705" i="62" l="1"/>
  <c r="L43" i="4" l="1"/>
  <c r="L19" i="4"/>
  <c r="K43" i="4" l="1"/>
  <c r="K19" i="4"/>
  <c r="G37" i="49"/>
  <c r="E32" i="13" l="1"/>
  <c r="C11" i="13" s="1"/>
  <c r="F11" i="60" l="1"/>
  <c r="K11" i="60"/>
  <c r="O11" i="60"/>
  <c r="R11" i="60"/>
  <c r="S17"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63" i="58" l="1"/>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C21" i="60"/>
  <c r="H169" i="58"/>
  <c r="I163" i="58"/>
  <c r="H163" i="58"/>
  <c r="D16" i="60"/>
  <c r="F48" i="49" l="1"/>
  <c r="G48" i="49" s="1"/>
  <c r="F33" i="49"/>
  <c r="G33" i="49" s="1"/>
  <c r="F152" i="49"/>
  <c r="F151" i="49"/>
  <c r="F42" i="49"/>
  <c r="G42" i="49" s="1"/>
  <c r="F157" i="49"/>
  <c r="F43" i="49"/>
  <c r="G43" i="49" s="1"/>
  <c r="F32" i="49"/>
  <c r="G32" i="49" s="1"/>
  <c r="F158" i="49"/>
  <c r="F41" i="49"/>
  <c r="G41" i="49" s="1"/>
  <c r="H41" i="49" s="1"/>
  <c r="H212" i="49" s="1"/>
  <c r="J212" i="49" s="1"/>
  <c r="F51" i="49"/>
  <c r="G51" i="49" s="1"/>
  <c r="F176" i="49"/>
  <c r="F153" i="49"/>
  <c r="F150" i="49"/>
  <c r="F162" i="49"/>
  <c r="F175" i="49"/>
  <c r="F173" i="49"/>
  <c r="F178" i="49"/>
  <c r="F22" i="49"/>
  <c r="G22" i="49" s="1"/>
  <c r="F177" i="49"/>
  <c r="F18" i="49"/>
  <c r="G18" i="49" s="1"/>
  <c r="F27" i="49"/>
  <c r="G27" i="49" s="1"/>
  <c r="F15" i="49"/>
  <c r="G15" i="49" s="1"/>
  <c r="F28" i="49"/>
  <c r="G28" i="49" s="1"/>
  <c r="F9" i="49"/>
  <c r="G9" i="49" s="1"/>
  <c r="E52" i="18"/>
  <c r="E56" i="18"/>
  <c r="E60" i="18"/>
  <c r="E64" i="18"/>
  <c r="E68" i="18"/>
  <c r="E72" i="18"/>
  <c r="E76" i="18"/>
  <c r="E80" i="18"/>
  <c r="E84" i="18"/>
  <c r="E88" i="18"/>
  <c r="E92" i="18"/>
  <c r="E96" i="18"/>
  <c r="E100" i="18"/>
  <c r="E104" i="18"/>
  <c r="E108" i="18"/>
  <c r="E112" i="18"/>
  <c r="E116" i="18"/>
  <c r="E120" i="18"/>
  <c r="E124" i="18"/>
  <c r="E128" i="18"/>
  <c r="E132" i="18"/>
  <c r="E136" i="18"/>
  <c r="E140" i="18"/>
  <c r="E144" i="18"/>
  <c r="E148" i="18"/>
  <c r="E152" i="18"/>
  <c r="E156" i="18"/>
  <c r="E53" i="18"/>
  <c r="E57" i="18"/>
  <c r="E61" i="18"/>
  <c r="E65" i="18"/>
  <c r="E69" i="18"/>
  <c r="E73" i="18"/>
  <c r="E77" i="18"/>
  <c r="E81" i="18"/>
  <c r="E85" i="18"/>
  <c r="E89" i="18"/>
  <c r="E93" i="18"/>
  <c r="E97" i="18"/>
  <c r="E101" i="18"/>
  <c r="E105" i="18"/>
  <c r="E109" i="18"/>
  <c r="E113" i="18"/>
  <c r="E117" i="18"/>
  <c r="E121" i="18"/>
  <c r="E125" i="18"/>
  <c r="E129" i="18"/>
  <c r="E133" i="18"/>
  <c r="E137" i="18"/>
  <c r="E141" i="18"/>
  <c r="E145" i="18"/>
  <c r="E149" i="18"/>
  <c r="E153" i="18"/>
  <c r="E54" i="18"/>
  <c r="E58" i="18"/>
  <c r="E66" i="18"/>
  <c r="E70" i="18"/>
  <c r="E74" i="18"/>
  <c r="E78" i="18"/>
  <c r="E82" i="18"/>
  <c r="E86" i="18"/>
  <c r="E90" i="18"/>
  <c r="E98" i="18"/>
  <c r="E102" i="18"/>
  <c r="E106" i="18"/>
  <c r="E114" i="18"/>
  <c r="E126" i="18"/>
  <c r="E134" i="18"/>
  <c r="E138" i="18"/>
  <c r="E146" i="18"/>
  <c r="E154" i="18"/>
  <c r="E59" i="18"/>
  <c r="E67" i="18"/>
  <c r="E75" i="18"/>
  <c r="E83" i="18"/>
  <c r="E91" i="18"/>
  <c r="E103" i="18"/>
  <c r="E111" i="18"/>
  <c r="E123" i="18"/>
  <c r="E135" i="18"/>
  <c r="E143" i="18"/>
  <c r="E151" i="18"/>
  <c r="E62" i="18"/>
  <c r="E94" i="18"/>
  <c r="E110" i="18"/>
  <c r="E118" i="18"/>
  <c r="E122" i="18"/>
  <c r="E130" i="18"/>
  <c r="E142" i="18"/>
  <c r="E150" i="18"/>
  <c r="E55" i="18"/>
  <c r="E63" i="18"/>
  <c r="E71" i="18"/>
  <c r="E79" i="18"/>
  <c r="E87" i="18"/>
  <c r="E95" i="18"/>
  <c r="E99" i="18"/>
  <c r="E107" i="18"/>
  <c r="E115" i="18"/>
  <c r="E119" i="18"/>
  <c r="E127" i="18"/>
  <c r="E131" i="18"/>
  <c r="E139" i="18"/>
  <c r="E147" i="18"/>
  <c r="E155" i="18"/>
  <c r="E157" i="18"/>
  <c r="E20" i="18"/>
  <c r="E17" i="18"/>
  <c r="E19" i="18"/>
  <c r="F24" i="49"/>
  <c r="G24" i="49" s="1"/>
  <c r="F9" i="31"/>
  <c r="Z7" i="62"/>
  <c r="G162" i="58"/>
  <c r="F193" i="49"/>
  <c r="F20" i="49"/>
  <c r="F13" i="49"/>
  <c r="G13" i="49" s="1"/>
  <c r="F16" i="49"/>
  <c r="F14" i="49"/>
  <c r="G14" i="49" s="1"/>
  <c r="F11" i="49"/>
  <c r="J169" i="58"/>
  <c r="J163" i="58"/>
  <c r="K163" i="58"/>
  <c r="D21" i="60"/>
  <c r="G10" i="31"/>
  <c r="Y17" i="62" l="1"/>
  <c r="Y185" i="62"/>
  <c r="Y559" i="62"/>
  <c r="Y560" i="62"/>
  <c r="Y558" i="62"/>
  <c r="Y557" i="62"/>
  <c r="Y561" i="62"/>
  <c r="Y593" i="62"/>
  <c r="Y15" i="62"/>
  <c r="Y22" i="62"/>
  <c r="Y603" i="62"/>
  <c r="Y580" i="62"/>
  <c r="Y34" i="62"/>
  <c r="E159" i="18"/>
  <c r="F10" i="31"/>
  <c r="Z8" i="62"/>
  <c r="H162" i="58"/>
  <c r="H168" i="58"/>
  <c r="I162" i="58"/>
  <c r="L169" i="58"/>
  <c r="M163" i="58"/>
  <c r="L163" i="58"/>
  <c r="Y554" i="62"/>
  <c r="Y18" i="62"/>
  <c r="AW45" i="59"/>
  <c r="Z17" i="62" l="1"/>
  <c r="Z185" i="62"/>
  <c r="Z558" i="62"/>
  <c r="Z557" i="62"/>
  <c r="Z561" i="62"/>
  <c r="Z559" i="62"/>
  <c r="Z560" i="62"/>
  <c r="Z593" i="62"/>
  <c r="Z22" i="62"/>
  <c r="Z15" i="62"/>
  <c r="Z603" i="62"/>
  <c r="Z580" i="62"/>
  <c r="Z34" i="62"/>
  <c r="N169" i="58"/>
  <c r="N163" i="58"/>
  <c r="O163" i="58"/>
  <c r="Z554" i="62"/>
  <c r="Z18" i="62"/>
  <c r="J162" i="58"/>
  <c r="K162" i="58"/>
  <c r="J168" i="58"/>
  <c r="P169" i="58" l="1"/>
  <c r="Q163" i="58"/>
  <c r="P163" i="58"/>
  <c r="L168" i="58"/>
  <c r="M162" i="58"/>
  <c r="L162" i="58"/>
  <c r="R169" i="58" l="1"/>
  <c r="R163" i="58"/>
  <c r="S163" i="58"/>
  <c r="O162" i="58"/>
  <c r="N168" i="58"/>
  <c r="N162" i="58"/>
  <c r="AW71" i="59"/>
  <c r="AW73" i="59" s="1"/>
  <c r="T169" i="58" l="1"/>
  <c r="U163" i="58"/>
  <c r="T163" i="58"/>
  <c r="P168" i="58"/>
  <c r="Q162" i="58"/>
  <c r="P162" i="58"/>
  <c r="AY29" i="59"/>
  <c r="AX29" i="59"/>
  <c r="AW29" i="59"/>
  <c r="AW79" i="59" s="1"/>
  <c r="AY28" i="59"/>
  <c r="AX28" i="59"/>
  <c r="AY27" i="59"/>
  <c r="AX27" i="59"/>
  <c r="AY26" i="59"/>
  <c r="AX26" i="59"/>
  <c r="AW28" i="59"/>
  <c r="AW27" i="59"/>
  <c r="AW26" i="59"/>
  <c r="AW78" i="59" s="1"/>
  <c r="M75" i="59"/>
  <c r="P75" i="59"/>
  <c r="S75" i="59"/>
  <c r="V75" i="59"/>
  <c r="Y75" i="59"/>
  <c r="AB75" i="59"/>
  <c r="AE75" i="59"/>
  <c r="AH75" i="59"/>
  <c r="AK75" i="59"/>
  <c r="AN75" i="59"/>
  <c r="AQ75" i="59"/>
  <c r="AT75" i="59"/>
  <c r="H17" i="32"/>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53" i="58"/>
  <c r="AC153" i="58"/>
  <c r="AB153" i="58"/>
  <c r="AA153" i="58"/>
  <c r="Z153" i="58"/>
  <c r="Y153" i="58"/>
  <c r="X153" i="58"/>
  <c r="W153" i="58"/>
  <c r="V153" i="58"/>
  <c r="U153" i="58"/>
  <c r="T153" i="58"/>
  <c r="S153" i="58"/>
  <c r="R153" i="58"/>
  <c r="Q153" i="58"/>
  <c r="P153" i="58"/>
  <c r="O153" i="58"/>
  <c r="N153" i="58"/>
  <c r="M153" i="58"/>
  <c r="L153" i="58"/>
  <c r="K153" i="58"/>
  <c r="J153" i="58"/>
  <c r="I153" i="58"/>
  <c r="H153" i="58"/>
  <c r="G153" i="58"/>
  <c r="F153" i="58"/>
  <c r="E153" i="58"/>
  <c r="AF152" i="58"/>
  <c r="AE152" i="58"/>
  <c r="AF151" i="58"/>
  <c r="AE151" i="58"/>
  <c r="AF150" i="58"/>
  <c r="AE150" i="58"/>
  <c r="AD148" i="58"/>
  <c r="AC148" i="58"/>
  <c r="AB148" i="58"/>
  <c r="AA148" i="58"/>
  <c r="Z148" i="58"/>
  <c r="Y148" i="58"/>
  <c r="X148" i="58"/>
  <c r="W148" i="58"/>
  <c r="V148" i="58"/>
  <c r="U148" i="58"/>
  <c r="T148" i="58"/>
  <c r="S148" i="58"/>
  <c r="R148" i="58"/>
  <c r="Q148" i="58"/>
  <c r="P148" i="58"/>
  <c r="O148" i="58"/>
  <c r="N148" i="58"/>
  <c r="M148" i="58"/>
  <c r="L148" i="58"/>
  <c r="K148" i="58"/>
  <c r="J148" i="58"/>
  <c r="I148" i="58"/>
  <c r="H148" i="58"/>
  <c r="G148" i="58"/>
  <c r="F148" i="58"/>
  <c r="E148"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161" i="58"/>
  <c r="AB92" i="58"/>
  <c r="AB167" i="58" s="1"/>
  <c r="AA92" i="58"/>
  <c r="AB161" i="58" s="1"/>
  <c r="Z92" i="58"/>
  <c r="Z167" i="58" s="1"/>
  <c r="Y92" i="58"/>
  <c r="Z161" i="58" s="1"/>
  <c r="X92" i="58"/>
  <c r="X167" i="58" s="1"/>
  <c r="W92" i="58"/>
  <c r="X161" i="58" s="1"/>
  <c r="V92" i="58"/>
  <c r="V167" i="58" s="1"/>
  <c r="U92" i="58"/>
  <c r="V161" i="58" s="1"/>
  <c r="T92" i="58"/>
  <c r="T167" i="58" s="1"/>
  <c r="S92" i="58"/>
  <c r="T161" i="58" s="1"/>
  <c r="R92" i="58"/>
  <c r="R167" i="58" s="1"/>
  <c r="Q92" i="58"/>
  <c r="R161" i="58" s="1"/>
  <c r="P92" i="58"/>
  <c r="P167" i="58" s="1"/>
  <c r="O92" i="58"/>
  <c r="P161" i="58" s="1"/>
  <c r="N92" i="58"/>
  <c r="N167" i="58" s="1"/>
  <c r="M92" i="58"/>
  <c r="N161" i="58" s="1"/>
  <c r="L92" i="58"/>
  <c r="L167" i="58" s="1"/>
  <c r="K92" i="58"/>
  <c r="L161" i="58" s="1"/>
  <c r="J92" i="58"/>
  <c r="J167" i="58" s="1"/>
  <c r="I92" i="58"/>
  <c r="J161" i="58" s="1"/>
  <c r="H92" i="58"/>
  <c r="H167" i="58" s="1"/>
  <c r="G92" i="58"/>
  <c r="H161" i="58" s="1"/>
  <c r="F92" i="58"/>
  <c r="F167" i="58" s="1"/>
  <c r="E92" i="58"/>
  <c r="F161"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AX43" i="59" l="1"/>
  <c r="AW43" i="59"/>
  <c r="AW75" i="59" s="1"/>
  <c r="AY43" i="59"/>
  <c r="V169" i="58"/>
  <c r="V163" i="58"/>
  <c r="W163" i="58"/>
  <c r="P171" i="58"/>
  <c r="AW80" i="59"/>
  <c r="S162" i="58"/>
  <c r="R168" i="58"/>
  <c r="R171" i="58" s="1"/>
  <c r="R162" i="58"/>
  <c r="R165" i="58" s="1"/>
  <c r="D17" i="32"/>
  <c r="E38" i="1" s="1"/>
  <c r="H171" i="58"/>
  <c r="F171" i="58"/>
  <c r="N171" i="58"/>
  <c r="AF47" i="58"/>
  <c r="H165" i="58"/>
  <c r="P165" i="58"/>
  <c r="L171" i="58"/>
  <c r="AE47" i="58"/>
  <c r="J165" i="58"/>
  <c r="F165" i="58"/>
  <c r="N165" i="58"/>
  <c r="J171" i="58"/>
  <c r="L165" i="58"/>
  <c r="AF92" i="58"/>
  <c r="AE148" i="58"/>
  <c r="AE153" i="58"/>
  <c r="K155" i="58"/>
  <c r="S155" i="58"/>
  <c r="AA155" i="58"/>
  <c r="AF148" i="58"/>
  <c r="AF153" i="58"/>
  <c r="H155" i="58"/>
  <c r="L155" i="58"/>
  <c r="P155" i="58"/>
  <c r="T155" i="58"/>
  <c r="X155" i="58"/>
  <c r="AB155" i="58"/>
  <c r="G155" i="58"/>
  <c r="O155" i="58"/>
  <c r="W155" i="58"/>
  <c r="AE92" i="58"/>
  <c r="E155" i="58"/>
  <c r="I155" i="58"/>
  <c r="M155" i="58"/>
  <c r="Q155" i="58"/>
  <c r="U155" i="58"/>
  <c r="Y155" i="58"/>
  <c r="AC155" i="58"/>
  <c r="F155" i="58"/>
  <c r="J155" i="58"/>
  <c r="N155" i="58"/>
  <c r="R155" i="58"/>
  <c r="V155" i="58"/>
  <c r="Z155" i="58"/>
  <c r="AD155" i="58"/>
  <c r="AW23" i="59"/>
  <c r="AX23" i="59"/>
  <c r="D16" i="32" s="1"/>
  <c r="E37" i="1" s="1"/>
  <c r="AY23" i="59"/>
  <c r="J40" i="4" l="1"/>
  <c r="J41" i="4"/>
  <c r="X169" i="58"/>
  <c r="Y163" i="58"/>
  <c r="X163" i="58"/>
  <c r="T168" i="58"/>
  <c r="T171" i="58" s="1"/>
  <c r="U162" i="58"/>
  <c r="T162" i="58"/>
  <c r="T165" i="58" s="1"/>
  <c r="AE155" i="58"/>
  <c r="AF155" i="58"/>
  <c r="Z169" i="58" l="1"/>
  <c r="Z163" i="58"/>
  <c r="AA163" i="58"/>
  <c r="W162" i="58"/>
  <c r="V168" i="58"/>
  <c r="V171" i="58" s="1"/>
  <c r="V162" i="58"/>
  <c r="V165" i="58" s="1"/>
  <c r="X168" i="58" l="1"/>
  <c r="X171" i="58" s="1"/>
  <c r="Y162" i="58"/>
  <c r="X162" i="58"/>
  <c r="X165" i="58" s="1"/>
  <c r="AB169" i="58"/>
  <c r="AC163" i="58"/>
  <c r="AD169" i="58" s="1"/>
  <c r="AB163" i="58"/>
  <c r="G61" i="49"/>
  <c r="G54" i="49"/>
  <c r="G53" i="49"/>
  <c r="H207" i="49" s="1"/>
  <c r="J207" i="49" s="1"/>
  <c r="G44" i="49"/>
  <c r="G40" i="49"/>
  <c r="G39" i="49"/>
  <c r="H215" i="49" s="1"/>
  <c r="J215" i="49" s="1"/>
  <c r="G38" i="49"/>
  <c r="G16" i="49"/>
  <c r="G20" i="49"/>
  <c r="G11" i="49"/>
  <c r="H209" i="49" l="1"/>
  <c r="J209" i="49" s="1"/>
  <c r="G30" i="49"/>
  <c r="AA162" i="58"/>
  <c r="Z168" i="58"/>
  <c r="Z171" i="58" s="1"/>
  <c r="Z162" i="58"/>
  <c r="Z165" i="58" s="1"/>
  <c r="AD163" i="58"/>
  <c r="H195" i="49"/>
  <c r="E199" i="49"/>
  <c r="G195" i="49"/>
  <c r="H146" i="49" l="1"/>
  <c r="H199" i="49" s="1"/>
  <c r="H211" i="49"/>
  <c r="AB168" i="58"/>
  <c r="AB171" i="58" s="1"/>
  <c r="AC162" i="58"/>
  <c r="AB162" i="58"/>
  <c r="AB165" i="58" s="1"/>
  <c r="G199" i="49"/>
  <c r="J211" i="49" l="1"/>
  <c r="J222" i="49" s="1"/>
  <c r="E18" i="13" s="1"/>
  <c r="AD168" i="58"/>
  <c r="AD162" i="58"/>
  <c r="AD165" i="58" s="1"/>
  <c r="H222" i="49"/>
  <c r="H224" i="49" s="1"/>
  <c r="AD171" i="58"/>
  <c r="E9" i="13"/>
  <c r="Q21" i="31"/>
  <c r="K222" i="49" l="1"/>
  <c r="AF165" i="58"/>
  <c r="D13" i="32" s="1"/>
  <c r="E35" i="1" s="1"/>
  <c r="H13" i="32"/>
  <c r="J38" i="4" s="1"/>
  <c r="AF171" i="58"/>
  <c r="H14" i="32"/>
  <c r="D14" i="32" l="1"/>
  <c r="E36" i="1" s="1"/>
  <c r="H15" i="32"/>
  <c r="J39" i="4" l="1"/>
  <c r="Y703" i="62"/>
  <c r="Z703" i="62"/>
  <c r="X706" i="62" l="1"/>
  <c r="AE703" i="62"/>
  <c r="AE704" i="62" s="1"/>
  <c r="AA705" i="62"/>
  <c r="AC704" i="62"/>
  <c r="AB706" i="62" l="1"/>
  <c r="AB708" i="62" s="1"/>
  <c r="Z706" i="62"/>
  <c r="Z708" i="62" s="1"/>
  <c r="Y706" i="62"/>
  <c r="Y708" i="62" s="1"/>
  <c r="D18" i="32" l="1"/>
  <c r="H18" i="32" s="1"/>
  <c r="E39" i="1"/>
  <c r="D11" i="38"/>
  <c r="D13" i="38" s="1"/>
  <c r="D15" i="38" s="1"/>
  <c r="R61" i="31" s="1"/>
  <c r="P25" i="4" s="1"/>
  <c r="K75" i="6"/>
  <c r="L75" i="6" s="1"/>
  <c r="F66" i="6"/>
  <c r="F13" i="6" s="1"/>
  <c r="D66" i="6"/>
  <c r="H62" i="6"/>
  <c r="P62" i="6" s="1"/>
  <c r="H60" i="6"/>
  <c r="H59" i="6"/>
  <c r="H58" i="6"/>
  <c r="H57" i="6"/>
  <c r="H56" i="6"/>
  <c r="H55" i="6"/>
  <c r="H54" i="6"/>
  <c r="H53" i="6"/>
  <c r="H52" i="6"/>
  <c r="H51" i="6"/>
  <c r="H50" i="6"/>
  <c r="H47" i="6"/>
  <c r="F42" i="6"/>
  <c r="H20" i="6"/>
  <c r="H11" i="6"/>
  <c r="F159" i="18"/>
  <c r="F22" i="18"/>
  <c r="E22" i="18"/>
  <c r="U16" i="31"/>
  <c r="F14" i="3"/>
  <c r="J13" i="3"/>
  <c r="J12" i="3"/>
  <c r="J11" i="3"/>
  <c r="D15" i="32"/>
  <c r="D151" i="31"/>
  <c r="D187" i="31" s="1"/>
  <c r="T149" i="31"/>
  <c r="S149" i="31"/>
  <c r="U148" i="31"/>
  <c r="U147" i="31"/>
  <c r="U146" i="31"/>
  <c r="U145" i="31"/>
  <c r="V145" i="31" s="1"/>
  <c r="U144" i="31"/>
  <c r="T135" i="31"/>
  <c r="S135" i="31"/>
  <c r="R135" i="31"/>
  <c r="P135" i="31"/>
  <c r="O135" i="31"/>
  <c r="K135" i="31"/>
  <c r="J135" i="31"/>
  <c r="U134" i="31"/>
  <c r="U133" i="31"/>
  <c r="U132" i="31"/>
  <c r="U131" i="31"/>
  <c r="U130" i="31"/>
  <c r="U129" i="31"/>
  <c r="D125" i="31"/>
  <c r="U122" i="31"/>
  <c r="T121" i="31"/>
  <c r="T123" i="31" s="1"/>
  <c r="S121" i="31"/>
  <c r="S123" i="31" s="1"/>
  <c r="O121" i="31"/>
  <c r="O123" i="31" s="1"/>
  <c r="L121" i="31"/>
  <c r="L123" i="31" s="1"/>
  <c r="K121" i="31"/>
  <c r="K123" i="31" s="1"/>
  <c r="I121" i="31"/>
  <c r="I123" i="31" s="1"/>
  <c r="U119" i="31"/>
  <c r="U118" i="31"/>
  <c r="U116" i="31"/>
  <c r="U114" i="31"/>
  <c r="U113" i="31"/>
  <c r="R107" i="31"/>
  <c r="P107" i="31"/>
  <c r="O107" i="31"/>
  <c r="L107" i="31"/>
  <c r="K107" i="31"/>
  <c r="I107" i="31"/>
  <c r="U106" i="31"/>
  <c r="U104" i="31"/>
  <c r="U103" i="31"/>
  <c r="T100" i="31"/>
  <c r="S100" i="31"/>
  <c r="R100" i="31"/>
  <c r="N27" i="4"/>
  <c r="O100" i="31"/>
  <c r="K100" i="31"/>
  <c r="J100" i="31"/>
  <c r="I100" i="31"/>
  <c r="U96" i="31"/>
  <c r="T93" i="31"/>
  <c r="S93" i="31"/>
  <c r="R93" i="31"/>
  <c r="O93" i="31"/>
  <c r="J93" i="31"/>
  <c r="U92" i="31"/>
  <c r="U88" i="31"/>
  <c r="T84" i="31"/>
  <c r="S84" i="31"/>
  <c r="R84" i="31"/>
  <c r="O84" i="31"/>
  <c r="L84" i="31"/>
  <c r="K84" i="31"/>
  <c r="J84" i="31"/>
  <c r="I84" i="31"/>
  <c r="T72" i="31"/>
  <c r="S72" i="31"/>
  <c r="O72" i="31"/>
  <c r="L72" i="31"/>
  <c r="K72" i="31"/>
  <c r="J72" i="31"/>
  <c r="I72" i="31"/>
  <c r="U71" i="31"/>
  <c r="U70" i="31"/>
  <c r="R51" i="31"/>
  <c r="Q51" i="31"/>
  <c r="P51" i="31"/>
  <c r="O51" i="31"/>
  <c r="L51" i="31"/>
  <c r="K51" i="31"/>
  <c r="J51" i="31"/>
  <c r="I51" i="31"/>
  <c r="G51" i="31"/>
  <c r="F51" i="31"/>
  <c r="E51" i="31"/>
  <c r="U50" i="31"/>
  <c r="V50" i="31" s="1"/>
  <c r="U49" i="31"/>
  <c r="V49" i="31" s="1"/>
  <c r="U48" i="31"/>
  <c r="V48" i="31" s="1"/>
  <c r="U47" i="31"/>
  <c r="V47" i="31" s="1"/>
  <c r="U46" i="31"/>
  <c r="V46" i="31" s="1"/>
  <c r="U45" i="31"/>
  <c r="V45" i="31" s="1"/>
  <c r="U44" i="31"/>
  <c r="V44" i="31" s="1"/>
  <c r="U43" i="31"/>
  <c r="V43" i="31" s="1"/>
  <c r="U42" i="31"/>
  <c r="V42" i="31" s="1"/>
  <c r="U41" i="31"/>
  <c r="V41" i="31" s="1"/>
  <c r="U40" i="31"/>
  <c r="T37" i="31"/>
  <c r="S37" i="31"/>
  <c r="R37" i="31"/>
  <c r="Q37" i="31"/>
  <c r="P37" i="31"/>
  <c r="O37" i="31"/>
  <c r="L37" i="31"/>
  <c r="J37" i="31"/>
  <c r="U36" i="31"/>
  <c r="U35" i="31"/>
  <c r="U34" i="31"/>
  <c r="U33" i="31"/>
  <c r="U32" i="31"/>
  <c r="T27" i="31"/>
  <c r="S27" i="31"/>
  <c r="R27" i="31"/>
  <c r="Q27" i="31"/>
  <c r="P27" i="31"/>
  <c r="O27" i="31"/>
  <c r="L27" i="31"/>
  <c r="K27" i="31"/>
  <c r="J27" i="31"/>
  <c r="I27" i="31"/>
  <c r="U25" i="31"/>
  <c r="U23" i="31"/>
  <c r="U22" i="31"/>
  <c r="U21" i="31"/>
  <c r="U20" i="31"/>
  <c r="T17" i="31"/>
  <c r="S17" i="31"/>
  <c r="R17" i="31"/>
  <c r="Q17" i="31"/>
  <c r="O16" i="4" s="1"/>
  <c r="R16" i="4" s="1"/>
  <c r="P17" i="31"/>
  <c r="O17" i="31"/>
  <c r="L17" i="31"/>
  <c r="J17" i="31"/>
  <c r="N43" i="4"/>
  <c r="M43" i="4"/>
  <c r="I43" i="4"/>
  <c r="H43" i="4"/>
  <c r="G43" i="4"/>
  <c r="R40" i="4"/>
  <c r="H37" i="1" s="1"/>
  <c r="R31" i="4"/>
  <c r="H28" i="1" s="1"/>
  <c r="K28" i="1" s="1"/>
  <c r="Q28" i="1" s="1"/>
  <c r="N19" i="4"/>
  <c r="M19" i="4"/>
  <c r="H19" i="4"/>
  <c r="O17" i="4"/>
  <c r="C33" i="2"/>
  <c r="N40" i="1"/>
  <c r="J42" i="4" l="1"/>
  <c r="H19" i="32"/>
  <c r="O19" i="4"/>
  <c r="P11" i="6"/>
  <c r="I11" i="6"/>
  <c r="H13" i="6"/>
  <c r="F15" i="6"/>
  <c r="I20" i="6"/>
  <c r="P20" i="6"/>
  <c r="I46" i="6"/>
  <c r="K46" i="6" s="1"/>
  <c r="L46" i="6" s="1"/>
  <c r="N46" i="6" s="1"/>
  <c r="P46" i="6"/>
  <c r="M63" i="31" s="1"/>
  <c r="I50" i="6"/>
  <c r="K50" i="6" s="1"/>
  <c r="L50" i="6" s="1"/>
  <c r="P50" i="6"/>
  <c r="M67" i="31" s="1"/>
  <c r="I53" i="6"/>
  <c r="K53" i="6" s="1"/>
  <c r="L53" i="6" s="1"/>
  <c r="P53" i="6"/>
  <c r="M77" i="31" s="1"/>
  <c r="I57" i="6"/>
  <c r="K57" i="6" s="1"/>
  <c r="L57" i="6" s="1"/>
  <c r="N57" i="6" s="1"/>
  <c r="Q57" i="6" s="1"/>
  <c r="P57" i="6"/>
  <c r="I61" i="6"/>
  <c r="K61" i="6" s="1"/>
  <c r="L61" i="6" s="1"/>
  <c r="P61" i="6"/>
  <c r="M90" i="31" s="1"/>
  <c r="I65" i="6"/>
  <c r="K65" i="6" s="1"/>
  <c r="L65" i="6" s="1"/>
  <c r="P65" i="6"/>
  <c r="M120" i="31" s="1"/>
  <c r="I41" i="6"/>
  <c r="I47" i="6"/>
  <c r="K47" i="6" s="1"/>
  <c r="L47" i="6" s="1"/>
  <c r="N47" i="6" s="1"/>
  <c r="Q47" i="6" s="1"/>
  <c r="P47" i="6"/>
  <c r="M64" i="31" s="1"/>
  <c r="I51" i="6"/>
  <c r="K51" i="6" s="1"/>
  <c r="L51" i="6" s="1"/>
  <c r="P51" i="6"/>
  <c r="M68" i="31" s="1"/>
  <c r="I54" i="6"/>
  <c r="K54" i="6" s="1"/>
  <c r="L54" i="6" s="1"/>
  <c r="N54" i="6" s="1"/>
  <c r="P54" i="6"/>
  <c r="M78" i="31" s="1"/>
  <c r="I58" i="6"/>
  <c r="K58" i="6" s="1"/>
  <c r="L58" i="6" s="1"/>
  <c r="P58" i="6"/>
  <c r="M82" i="31" s="1"/>
  <c r="I62" i="6"/>
  <c r="K62" i="6" s="1"/>
  <c r="L62" i="6" s="1"/>
  <c r="N62" i="6" s="1"/>
  <c r="Q62" i="6" s="1"/>
  <c r="M110" i="31"/>
  <c r="I48" i="6"/>
  <c r="K48" i="6" s="1"/>
  <c r="L48" i="6" s="1"/>
  <c r="N48" i="6" s="1"/>
  <c r="P48" i="6"/>
  <c r="M65" i="31" s="1"/>
  <c r="I52" i="6"/>
  <c r="K52" i="6" s="1"/>
  <c r="L52" i="6" s="1"/>
  <c r="P52" i="6"/>
  <c r="M69" i="31" s="1"/>
  <c r="I55" i="6"/>
  <c r="K55" i="6" s="1"/>
  <c r="P55" i="6"/>
  <c r="M79" i="31" s="1"/>
  <c r="I59" i="6"/>
  <c r="K59" i="6" s="1"/>
  <c r="L59" i="6" s="1"/>
  <c r="P59" i="6"/>
  <c r="M83" i="31" s="1"/>
  <c r="I45" i="6"/>
  <c r="K45" i="6" s="1"/>
  <c r="L45" i="6" s="1"/>
  <c r="P45" i="6"/>
  <c r="I49" i="6"/>
  <c r="K49" i="6" s="1"/>
  <c r="L49" i="6" s="1"/>
  <c r="P49" i="6"/>
  <c r="M66" i="31" s="1"/>
  <c r="I56" i="6"/>
  <c r="K56" i="6" s="1"/>
  <c r="L56" i="6" s="1"/>
  <c r="P56" i="6"/>
  <c r="M80" i="31" s="1"/>
  <c r="I60" i="6"/>
  <c r="K60" i="6" s="1"/>
  <c r="P60" i="6"/>
  <c r="M89" i="31" s="1"/>
  <c r="I64" i="6"/>
  <c r="K64" i="6" s="1"/>
  <c r="L64" i="6" s="1"/>
  <c r="P64" i="6"/>
  <c r="M115" i="31" s="1"/>
  <c r="G24" i="31"/>
  <c r="G159" i="31"/>
  <c r="F17" i="31"/>
  <c r="G116" i="31"/>
  <c r="V116" i="31" s="1"/>
  <c r="G34" i="31"/>
  <c r="V34" i="31" s="1"/>
  <c r="G90" i="31"/>
  <c r="G97" i="31"/>
  <c r="G99" i="31"/>
  <c r="V99" i="31" s="1"/>
  <c r="G144" i="31"/>
  <c r="V144" i="31" s="1"/>
  <c r="G154" i="31"/>
  <c r="O85" i="31"/>
  <c r="I85" i="31"/>
  <c r="G167" i="31"/>
  <c r="G16" i="31"/>
  <c r="V16" i="31" s="1"/>
  <c r="J28" i="31"/>
  <c r="P28" i="31"/>
  <c r="P53" i="31" s="1"/>
  <c r="G36" i="31"/>
  <c r="V36" i="31" s="1"/>
  <c r="G53" i="31"/>
  <c r="E20" i="1" s="1"/>
  <c r="G69" i="31"/>
  <c r="G70" i="31"/>
  <c r="V70" i="31" s="1"/>
  <c r="G176" i="31"/>
  <c r="G32" i="31"/>
  <c r="V32" i="31" s="1"/>
  <c r="F23" i="18"/>
  <c r="J105" i="31" s="1"/>
  <c r="G130" i="31"/>
  <c r="G165" i="31"/>
  <c r="R27" i="4"/>
  <c r="H24" i="1" s="1"/>
  <c r="J85" i="31"/>
  <c r="G157" i="31"/>
  <c r="G76" i="31"/>
  <c r="G81" i="31"/>
  <c r="G88" i="31"/>
  <c r="V88" i="31" s="1"/>
  <c r="G115" i="31"/>
  <c r="G117" i="31"/>
  <c r="G122" i="31"/>
  <c r="V122" i="31" s="1"/>
  <c r="G131" i="31"/>
  <c r="V131" i="31" s="1"/>
  <c r="G155" i="31"/>
  <c r="S85" i="31"/>
  <c r="G133" i="31"/>
  <c r="V133" i="31" s="1"/>
  <c r="G134" i="31"/>
  <c r="G21" i="31"/>
  <c r="E14" i="1" s="1"/>
  <c r="F37" i="31"/>
  <c r="G64" i="31"/>
  <c r="G104" i="31"/>
  <c r="V104" i="31" s="1"/>
  <c r="G113" i="31"/>
  <c r="V113" i="31" s="1"/>
  <c r="G132" i="31"/>
  <c r="V132" i="31" s="1"/>
  <c r="F173" i="31"/>
  <c r="G166" i="31"/>
  <c r="G168" i="31"/>
  <c r="G177" i="31"/>
  <c r="G178" i="31"/>
  <c r="G180" i="31"/>
  <c r="G184" i="31"/>
  <c r="G15" i="31"/>
  <c r="L28" i="31"/>
  <c r="T28" i="31"/>
  <c r="T54" i="31" s="1"/>
  <c r="G35" i="31"/>
  <c r="V35" i="31" s="1"/>
  <c r="G68" i="31"/>
  <c r="G105" i="31"/>
  <c r="G169" i="31"/>
  <c r="G181" i="31"/>
  <c r="G182" i="31"/>
  <c r="K37" i="1"/>
  <c r="Q37" i="1" s="1"/>
  <c r="Q28" i="31"/>
  <c r="S28" i="31"/>
  <c r="S54" i="31" s="1"/>
  <c r="G31" i="31"/>
  <c r="E149" i="31"/>
  <c r="I17" i="31"/>
  <c r="I28" i="31" s="1"/>
  <c r="E17" i="31"/>
  <c r="G33" i="31"/>
  <c r="V33" i="31" s="1"/>
  <c r="G67" i="31"/>
  <c r="L85" i="31"/>
  <c r="G89" i="31"/>
  <c r="G114" i="31"/>
  <c r="G185" i="31"/>
  <c r="G23" i="31"/>
  <c r="V23" i="31" s="1"/>
  <c r="G25" i="31"/>
  <c r="V25" i="31" s="1"/>
  <c r="G78" i="31"/>
  <c r="G79" i="31"/>
  <c r="G118" i="31"/>
  <c r="V118" i="31" s="1"/>
  <c r="J14" i="3"/>
  <c r="D12" i="26" s="1"/>
  <c r="H42" i="6"/>
  <c r="R17" i="4"/>
  <c r="H14" i="1" s="1"/>
  <c r="U51" i="31"/>
  <c r="G61" i="31"/>
  <c r="G71" i="31"/>
  <c r="G91" i="31"/>
  <c r="E107" i="31"/>
  <c r="C16" i="24"/>
  <c r="G112" i="31"/>
  <c r="G171" i="31"/>
  <c r="G179" i="31"/>
  <c r="G129" i="31"/>
  <c r="V129" i="31" s="1"/>
  <c r="D42" i="6"/>
  <c r="G57" i="31"/>
  <c r="E84" i="31"/>
  <c r="G77" i="31"/>
  <c r="E160" i="31"/>
  <c r="G158" i="31"/>
  <c r="G20" i="31"/>
  <c r="V20" i="31" s="1"/>
  <c r="F135" i="31"/>
  <c r="G128" i="31"/>
  <c r="G16" i="24"/>
  <c r="G80" i="31"/>
  <c r="F93" i="31"/>
  <c r="E37" i="31"/>
  <c r="V40" i="31"/>
  <c r="V51" i="31" s="1"/>
  <c r="F72" i="31"/>
  <c r="G63" i="31"/>
  <c r="G66" i="31"/>
  <c r="G98" i="31"/>
  <c r="F121" i="31"/>
  <c r="F123" i="31" s="1"/>
  <c r="E72" i="31"/>
  <c r="G92" i="31"/>
  <c r="G96" i="31"/>
  <c r="F100" i="31"/>
  <c r="G137" i="31"/>
  <c r="O28" i="31"/>
  <c r="R28" i="31"/>
  <c r="K85" i="31"/>
  <c r="E93" i="31"/>
  <c r="G119" i="31"/>
  <c r="G22" i="31"/>
  <c r="G62" i="31"/>
  <c r="G65" i="31"/>
  <c r="T85" i="31"/>
  <c r="F84" i="31"/>
  <c r="G75" i="31"/>
  <c r="G82" i="31"/>
  <c r="G83" i="31"/>
  <c r="F107" i="31"/>
  <c r="G103" i="31"/>
  <c r="G106" i="31"/>
  <c r="G111" i="31"/>
  <c r="E100" i="31"/>
  <c r="E121" i="31"/>
  <c r="E123" i="31" s="1"/>
  <c r="G120" i="31"/>
  <c r="E135" i="31"/>
  <c r="G140" i="31"/>
  <c r="G164" i="31"/>
  <c r="G172" i="31"/>
  <c r="G110" i="31"/>
  <c r="E186" i="31"/>
  <c r="F149" i="31"/>
  <c r="F160" i="31"/>
  <c r="E173" i="31"/>
  <c r="G163" i="31"/>
  <c r="F186" i="31"/>
  <c r="G183" i="31"/>
  <c r="N75" i="6"/>
  <c r="G156" i="31"/>
  <c r="G170" i="31"/>
  <c r="H66" i="6"/>
  <c r="F160" i="18"/>
  <c r="H15" i="6"/>
  <c r="K77" i="6"/>
  <c r="L77" i="6" s="1"/>
  <c r="N77" i="6" s="1"/>
  <c r="K79" i="6"/>
  <c r="L79" i="6" s="1"/>
  <c r="N79" i="6" s="1"/>
  <c r="K80" i="6"/>
  <c r="L80" i="6" s="1"/>
  <c r="N80" i="6" s="1"/>
  <c r="F111" i="6"/>
  <c r="K76" i="6"/>
  <c r="K78" i="6"/>
  <c r="L78" i="6" s="1"/>
  <c r="N78" i="6" s="1"/>
  <c r="O53" i="31" l="1"/>
  <c r="O54" i="31" s="1"/>
  <c r="J43" i="4"/>
  <c r="R42" i="4"/>
  <c r="H39" i="1" s="1"/>
  <c r="Q53" i="31"/>
  <c r="O23" i="4" s="1"/>
  <c r="L53" i="31"/>
  <c r="J23" i="4" s="1"/>
  <c r="P13" i="6"/>
  <c r="P15" i="6" s="1"/>
  <c r="P17" i="6" s="1"/>
  <c r="M140" i="31" s="1"/>
  <c r="K32" i="4" s="1"/>
  <c r="I13" i="6"/>
  <c r="K13" i="6" s="1"/>
  <c r="K41" i="6"/>
  <c r="L41" i="6" s="1"/>
  <c r="N41" i="6" s="1"/>
  <c r="K20" i="6"/>
  <c r="L20" i="6" s="1"/>
  <c r="N20" i="6" s="1"/>
  <c r="Q20" i="6" s="1"/>
  <c r="P57" i="31" s="1"/>
  <c r="I42" i="6"/>
  <c r="L33" i="4"/>
  <c r="R54" i="31"/>
  <c r="V21" i="31"/>
  <c r="P54" i="31"/>
  <c r="J53" i="31"/>
  <c r="J54" i="31" s="1"/>
  <c r="I53" i="31"/>
  <c r="G23" i="4" s="1"/>
  <c r="J107" i="31"/>
  <c r="H28" i="4"/>
  <c r="M121" i="31"/>
  <c r="M123" i="31" s="1"/>
  <c r="K29" i="4" s="1"/>
  <c r="L55" i="6"/>
  <c r="N55" i="6" s="1"/>
  <c r="Q55" i="6" s="1"/>
  <c r="M62" i="31"/>
  <c r="M93" i="31"/>
  <c r="K26" i="4" s="1"/>
  <c r="Q54" i="6"/>
  <c r="K24" i="4"/>
  <c r="P42" i="6"/>
  <c r="L60" i="6"/>
  <c r="N60" i="6" s="1"/>
  <c r="Q48" i="6"/>
  <c r="P65" i="31" s="1"/>
  <c r="M81" i="31"/>
  <c r="I66" i="6"/>
  <c r="Q46" i="6"/>
  <c r="P66" i="6"/>
  <c r="G27" i="31"/>
  <c r="E15" i="1" s="1"/>
  <c r="R72" i="31"/>
  <c r="R85" i="31" s="1"/>
  <c r="O75" i="6"/>
  <c r="Q75" i="6"/>
  <c r="T151" i="31"/>
  <c r="F28" i="31"/>
  <c r="F54" i="31" s="1"/>
  <c r="G17" i="31"/>
  <c r="E13" i="1" s="1"/>
  <c r="K14" i="1"/>
  <c r="Q14" i="1" s="1"/>
  <c r="V146" i="31"/>
  <c r="V114" i="31"/>
  <c r="G186" i="31"/>
  <c r="U105" i="31"/>
  <c r="S151" i="31"/>
  <c r="V148" i="31"/>
  <c r="V134" i="31"/>
  <c r="L13" i="6"/>
  <c r="N13" i="6" s="1"/>
  <c r="Q13" i="6" s="1"/>
  <c r="V130" i="31"/>
  <c r="V71" i="31"/>
  <c r="E28" i="31"/>
  <c r="E54" i="31" s="1"/>
  <c r="U97" i="31"/>
  <c r="L100" i="31"/>
  <c r="G149" i="31"/>
  <c r="E30" i="1" s="1"/>
  <c r="N50" i="6"/>
  <c r="Q50" i="6" s="1"/>
  <c r="N61" i="6"/>
  <c r="Q61" i="6" s="1"/>
  <c r="V106" i="31"/>
  <c r="E85" i="31"/>
  <c r="I37" i="31"/>
  <c r="G37" i="31"/>
  <c r="E19" i="1" s="1"/>
  <c r="N49" i="6"/>
  <c r="N58" i="6"/>
  <c r="Q58" i="6" s="1"/>
  <c r="P82" i="31" s="1"/>
  <c r="N64" i="6"/>
  <c r="Q64" i="6" s="1"/>
  <c r="N51" i="6"/>
  <c r="N56" i="6"/>
  <c r="N65" i="6"/>
  <c r="V92" i="31"/>
  <c r="G93" i="31"/>
  <c r="E23" i="1" s="1"/>
  <c r="G107" i="31"/>
  <c r="E25" i="1" s="1"/>
  <c r="O62" i="6"/>
  <c r="N52" i="6"/>
  <c r="Q52" i="6" s="1"/>
  <c r="E29" i="1"/>
  <c r="V147" i="31"/>
  <c r="F85" i="31"/>
  <c r="N45" i="6"/>
  <c r="Q45" i="6" s="1"/>
  <c r="G121" i="31"/>
  <c r="G123" i="31" s="1"/>
  <c r="E26" i="1" s="1"/>
  <c r="V119" i="31"/>
  <c r="G100" i="31"/>
  <c r="E24" i="1" s="1"/>
  <c r="K24" i="1" s="1"/>
  <c r="Q24" i="1" s="1"/>
  <c r="V96" i="31"/>
  <c r="E16" i="13"/>
  <c r="O38" i="4" s="1"/>
  <c r="E12" i="13"/>
  <c r="Q140" i="31" s="1"/>
  <c r="N59" i="6"/>
  <c r="N53" i="6"/>
  <c r="Q53" i="6" s="1"/>
  <c r="P77" i="31" s="1"/>
  <c r="K66" i="6"/>
  <c r="G173" i="31"/>
  <c r="O54" i="6"/>
  <c r="G160" i="31"/>
  <c r="E16" i="24" s="1"/>
  <c r="G72" i="31"/>
  <c r="V98" i="31"/>
  <c r="G135" i="31"/>
  <c r="E27" i="1" s="1"/>
  <c r="E57" i="67" s="1"/>
  <c r="E58" i="67" s="1"/>
  <c r="L128" i="31" s="1"/>
  <c r="J117" i="31"/>
  <c r="H29" i="4" s="1"/>
  <c r="O57" i="6"/>
  <c r="O46" i="6"/>
  <c r="O48" i="6"/>
  <c r="V103" i="31"/>
  <c r="O47" i="6"/>
  <c r="G84" i="31"/>
  <c r="V22" i="31"/>
  <c r="E21" i="1"/>
  <c r="L76" i="6"/>
  <c r="N76" i="6" s="1"/>
  <c r="I15" i="6" l="1"/>
  <c r="Q41" i="6"/>
  <c r="O41" i="6"/>
  <c r="P33" i="4"/>
  <c r="P34" i="4" s="1"/>
  <c r="P35" i="4" s="1"/>
  <c r="L54" i="31"/>
  <c r="H33" i="4"/>
  <c r="H34" i="4" s="1"/>
  <c r="H35" i="4" s="1"/>
  <c r="M84" i="31"/>
  <c r="L135" i="31"/>
  <c r="L143" i="31" s="1"/>
  <c r="P79" i="31"/>
  <c r="U79" i="31" s="1"/>
  <c r="V79" i="31" s="1"/>
  <c r="P78" i="31"/>
  <c r="U78" i="31" s="1"/>
  <c r="V78" i="31" s="1"/>
  <c r="U82" i="31"/>
  <c r="V82" i="31" s="1"/>
  <c r="P67" i="31"/>
  <c r="U67" i="31" s="1"/>
  <c r="V67" i="31" s="1"/>
  <c r="P81" i="31"/>
  <c r="U81" i="31" s="1"/>
  <c r="V81" i="31" s="1"/>
  <c r="P115" i="31"/>
  <c r="U77" i="31"/>
  <c r="V77" i="31" s="1"/>
  <c r="P63" i="31"/>
  <c r="U63" i="31" s="1"/>
  <c r="V63" i="31" s="1"/>
  <c r="U65" i="31"/>
  <c r="V65" i="31" s="1"/>
  <c r="P69" i="31"/>
  <c r="U69" i="31" s="1"/>
  <c r="V69" i="31" s="1"/>
  <c r="P90" i="31"/>
  <c r="U90" i="31" s="1"/>
  <c r="V90" i="31" s="1"/>
  <c r="M72" i="31"/>
  <c r="O55" i="6"/>
  <c r="K42" i="6"/>
  <c r="J11" i="6" s="1"/>
  <c r="K11" i="6" s="1"/>
  <c r="K15" i="6" s="1"/>
  <c r="P62" i="31"/>
  <c r="L66" i="6"/>
  <c r="U76" i="31"/>
  <c r="V76" i="31" s="1"/>
  <c r="U111" i="31"/>
  <c r="V111" i="31" s="1"/>
  <c r="Q59" i="6"/>
  <c r="Q56" i="6"/>
  <c r="P80" i="31" s="1"/>
  <c r="Q60" i="6"/>
  <c r="Q65" i="6"/>
  <c r="Q51" i="6"/>
  <c r="Q49" i="6"/>
  <c r="O81" i="6"/>
  <c r="Q81" i="6"/>
  <c r="O87" i="6"/>
  <c r="Q87" i="6"/>
  <c r="O85" i="6"/>
  <c r="Q85" i="6"/>
  <c r="O79" i="6"/>
  <c r="Q79" i="6"/>
  <c r="O77" i="6"/>
  <c r="Q77" i="6"/>
  <c r="O86" i="6"/>
  <c r="Q86" i="6"/>
  <c r="O78" i="6"/>
  <c r="Q78" i="6"/>
  <c r="O83" i="6"/>
  <c r="Q83" i="6"/>
  <c r="O82" i="6"/>
  <c r="Q82" i="6"/>
  <c r="O84" i="6"/>
  <c r="Q84" i="6"/>
  <c r="O80" i="6"/>
  <c r="Q80" i="6"/>
  <c r="P61" i="31"/>
  <c r="R28" i="4"/>
  <c r="H25" i="1" s="1"/>
  <c r="K25" i="1" s="1"/>
  <c r="Q25" i="1" s="1"/>
  <c r="O50" i="6"/>
  <c r="V105" i="31"/>
  <c r="V107" i="31" s="1"/>
  <c r="O64" i="6"/>
  <c r="U100" i="31"/>
  <c r="V97" i="31"/>
  <c r="V100" i="31" s="1"/>
  <c r="O61" i="6"/>
  <c r="O52" i="6"/>
  <c r="O49" i="6"/>
  <c r="L42" i="6"/>
  <c r="E187" i="31"/>
  <c r="O13" i="6"/>
  <c r="O65" i="6"/>
  <c r="O56" i="6"/>
  <c r="D19" i="32"/>
  <c r="O32" i="4"/>
  <c r="N66" i="6"/>
  <c r="O20" i="6"/>
  <c r="N42" i="6"/>
  <c r="U117" i="31"/>
  <c r="V117" i="31" s="1"/>
  <c r="J121" i="31"/>
  <c r="J123" i="31" s="1"/>
  <c r="O59" i="6"/>
  <c r="O45" i="6"/>
  <c r="G28" i="31"/>
  <c r="G85" i="31"/>
  <c r="O53" i="6"/>
  <c r="O58" i="6"/>
  <c r="U112" i="31"/>
  <c r="V112" i="31" s="1"/>
  <c r="G19" i="4"/>
  <c r="E20" i="13"/>
  <c r="E21" i="13" s="1"/>
  <c r="F187" i="31"/>
  <c r="F125" i="31"/>
  <c r="O60" i="6"/>
  <c r="O51" i="6"/>
  <c r="L149" i="31" l="1"/>
  <c r="L150" i="31" s="1"/>
  <c r="L151" i="31" s="1"/>
  <c r="Q66" i="6"/>
  <c r="J30" i="4"/>
  <c r="M85" i="31"/>
  <c r="I54" i="31"/>
  <c r="P66" i="31"/>
  <c r="U66" i="31" s="1"/>
  <c r="V66" i="31" s="1"/>
  <c r="U80" i="31"/>
  <c r="V80" i="31" s="1"/>
  <c r="P64" i="31"/>
  <c r="U64" i="31" s="1"/>
  <c r="V64" i="31" s="1"/>
  <c r="P68" i="31"/>
  <c r="U68" i="31" s="1"/>
  <c r="V68" i="31" s="1"/>
  <c r="P83" i="31"/>
  <c r="U83" i="31" s="1"/>
  <c r="V83" i="31" s="1"/>
  <c r="Q42" i="6"/>
  <c r="P89" i="31"/>
  <c r="P75" i="31"/>
  <c r="U75" i="31" s="1"/>
  <c r="V75" i="31" s="1"/>
  <c r="P120" i="31"/>
  <c r="U120" i="31" s="1"/>
  <c r="V120" i="31" s="1"/>
  <c r="I19" i="4"/>
  <c r="K17" i="31"/>
  <c r="K28" i="31" s="1"/>
  <c r="N111" i="6"/>
  <c r="Q76" i="6"/>
  <c r="Q111" i="6" s="1"/>
  <c r="M11" i="6"/>
  <c r="O42" i="6"/>
  <c r="L11" i="6"/>
  <c r="E22" i="13"/>
  <c r="O41" i="4" s="1"/>
  <c r="R41" i="4" s="1"/>
  <c r="H38" i="1" s="1"/>
  <c r="K38" i="1" s="1"/>
  <c r="Q38" i="1" s="1"/>
  <c r="U61" i="31"/>
  <c r="V61" i="31" s="1"/>
  <c r="O66" i="6"/>
  <c r="E16" i="1"/>
  <c r="U24" i="31"/>
  <c r="G125" i="31"/>
  <c r="E22" i="1"/>
  <c r="E31" i="1" s="1"/>
  <c r="G54" i="31"/>
  <c r="C8" i="2"/>
  <c r="F18" i="13"/>
  <c r="F23" i="13" s="1"/>
  <c r="E19" i="13"/>
  <c r="O39" i="4" s="1"/>
  <c r="R39" i="4" s="1"/>
  <c r="H36" i="1" s="1"/>
  <c r="K36" i="1" s="1"/>
  <c r="Q36" i="1" s="1"/>
  <c r="Q128" i="31"/>
  <c r="O30" i="4" s="1"/>
  <c r="R18" i="4"/>
  <c r="R19" i="4" s="1"/>
  <c r="R38" i="4"/>
  <c r="H13" i="1"/>
  <c r="K13" i="1" s="1"/>
  <c r="K39" i="1"/>
  <c r="Q39" i="1" s="1"/>
  <c r="E40" i="1"/>
  <c r="O76" i="6"/>
  <c r="Q91" i="31" l="1"/>
  <c r="O26" i="4" s="1"/>
  <c r="L91" i="31"/>
  <c r="L15" i="6"/>
  <c r="P93" i="31"/>
  <c r="N26" i="4" s="1"/>
  <c r="P84" i="31"/>
  <c r="J26" i="4"/>
  <c r="L93" i="31"/>
  <c r="K25" i="4"/>
  <c r="I91" i="31"/>
  <c r="I93" i="31" s="1"/>
  <c r="K91" i="31"/>
  <c r="I26" i="4" s="1"/>
  <c r="K53" i="31"/>
  <c r="I23" i="4" s="1"/>
  <c r="U15" i="31"/>
  <c r="V15" i="31" s="1"/>
  <c r="V17" i="31" s="1"/>
  <c r="V84" i="31"/>
  <c r="U84" i="31"/>
  <c r="U89" i="31"/>
  <c r="V89" i="31" s="1"/>
  <c r="O43" i="4"/>
  <c r="N11" i="6"/>
  <c r="N15" i="6" s="1"/>
  <c r="E32" i="1"/>
  <c r="E41" i="1" s="1"/>
  <c r="G187" i="31"/>
  <c r="U115" i="31"/>
  <c r="V115" i="31" s="1"/>
  <c r="H15" i="1"/>
  <c r="N24" i="4"/>
  <c r="U57" i="31"/>
  <c r="V57" i="31" s="1"/>
  <c r="U128" i="31"/>
  <c r="Q135" i="31"/>
  <c r="U62" i="31"/>
  <c r="P72" i="31"/>
  <c r="R30" i="4"/>
  <c r="H27" i="1" s="1"/>
  <c r="K27" i="1" s="1"/>
  <c r="Q27" i="1" s="1"/>
  <c r="C12" i="2"/>
  <c r="C16" i="2" s="1"/>
  <c r="D10" i="2"/>
  <c r="V24" i="31"/>
  <c r="V27" i="31" s="1"/>
  <c r="U27" i="31"/>
  <c r="H35" i="1"/>
  <c r="R43" i="4"/>
  <c r="E25" i="13"/>
  <c r="O111" i="6"/>
  <c r="P110" i="31"/>
  <c r="Q143" i="31" l="1"/>
  <c r="Q149" i="31" s="1"/>
  <c r="Q150" i="31" s="1"/>
  <c r="J33" i="4"/>
  <c r="J34" i="4" s="1"/>
  <c r="J35" i="4" s="1"/>
  <c r="O11" i="6"/>
  <c r="P85" i="31"/>
  <c r="N25" i="4" s="1"/>
  <c r="R25" i="4" s="1"/>
  <c r="H22" i="1" s="1"/>
  <c r="K22" i="1" s="1"/>
  <c r="Q22" i="1" s="1"/>
  <c r="K33" i="4"/>
  <c r="K34" i="4" s="1"/>
  <c r="K35" i="4" s="1"/>
  <c r="G26" i="4"/>
  <c r="R26" i="4" s="1"/>
  <c r="H23" i="1" s="1"/>
  <c r="G33" i="4"/>
  <c r="U17" i="31"/>
  <c r="U28" i="31" s="1"/>
  <c r="Q11" i="6"/>
  <c r="Q15" i="6" s="1"/>
  <c r="Q17" i="6" s="1"/>
  <c r="P140" i="31" s="1"/>
  <c r="N32" i="4" s="1"/>
  <c r="C18" i="2"/>
  <c r="C20" i="2" s="1"/>
  <c r="C22" i="2" s="1"/>
  <c r="C25" i="2" s="1"/>
  <c r="V28" i="31"/>
  <c r="R24" i="4"/>
  <c r="H21" i="1" s="1"/>
  <c r="K21" i="1" s="1"/>
  <c r="Q21" i="1" s="1"/>
  <c r="U135" i="31"/>
  <c r="V128" i="31"/>
  <c r="V135" i="31" s="1"/>
  <c r="H40" i="1"/>
  <c r="K35" i="1"/>
  <c r="R23" i="4"/>
  <c r="H20" i="1" s="1"/>
  <c r="K20" i="1" s="1"/>
  <c r="V62" i="31"/>
  <c r="V72" i="31" s="1"/>
  <c r="V85" i="31" s="1"/>
  <c r="U72" i="31"/>
  <c r="U85" i="31" s="1"/>
  <c r="K15" i="1"/>
  <c r="H16" i="1"/>
  <c r="P121" i="31"/>
  <c r="P123" i="31" s="1"/>
  <c r="U110" i="31"/>
  <c r="Q151" i="31" l="1"/>
  <c r="O33" i="4"/>
  <c r="O34" i="4" s="1"/>
  <c r="O35" i="4" s="1"/>
  <c r="N33" i="4"/>
  <c r="G34" i="4"/>
  <c r="G35" i="4" s="1"/>
  <c r="G45" i="4" s="1"/>
  <c r="K45" i="4"/>
  <c r="J45" i="4"/>
  <c r="P45" i="4"/>
  <c r="H45" i="4"/>
  <c r="D19" i="26"/>
  <c r="R32" i="4"/>
  <c r="H29" i="1" s="1"/>
  <c r="K29" i="1" s="1"/>
  <c r="Q29" i="1" s="1"/>
  <c r="U140" i="31"/>
  <c r="V140" i="31" s="1"/>
  <c r="K23" i="1"/>
  <c r="K93" i="31"/>
  <c r="U91" i="31"/>
  <c r="K40" i="1"/>
  <c r="D11" i="26" s="1"/>
  <c r="D14" i="26" s="1"/>
  <c r="Q35" i="1"/>
  <c r="Q40" i="1" s="1"/>
  <c r="B16" i="24" s="1"/>
  <c r="D16" i="24" s="1"/>
  <c r="F16" i="24" s="1"/>
  <c r="Q15" i="1"/>
  <c r="K16" i="1"/>
  <c r="U53" i="31"/>
  <c r="V53" i="31" s="1"/>
  <c r="V110" i="31"/>
  <c r="V121" i="31" s="1"/>
  <c r="V123" i="31" s="1"/>
  <c r="U121" i="31"/>
  <c r="U123" i="31" s="1"/>
  <c r="N29" i="4"/>
  <c r="H16" i="24" l="1"/>
  <c r="O143" i="31" s="1"/>
  <c r="L34" i="4"/>
  <c r="L35" i="4" s="1"/>
  <c r="L45" i="4" s="1"/>
  <c r="O45" i="4"/>
  <c r="V91" i="31"/>
  <c r="V93" i="31" s="1"/>
  <c r="U93" i="31"/>
  <c r="D23" i="26"/>
  <c r="R29" i="4"/>
  <c r="O149" i="31" l="1"/>
  <c r="O150" i="31" s="1"/>
  <c r="O151" i="31" s="1"/>
  <c r="U143" i="31"/>
  <c r="N34" i="4"/>
  <c r="H26" i="1"/>
  <c r="N35" i="4" l="1"/>
  <c r="N45" i="4" s="1"/>
  <c r="M33" i="4"/>
  <c r="M34" i="4" s="1"/>
  <c r="M35" i="4" s="1"/>
  <c r="M45" i="4" s="1"/>
  <c r="K26" i="1"/>
  <c r="Q26" i="1" l="1"/>
  <c r="R22" i="4" l="1"/>
  <c r="H19" i="1" s="1"/>
  <c r="K19" i="1" l="1"/>
  <c r="Q19" i="1" s="1"/>
  <c r="K37" i="31"/>
  <c r="K54" i="31" s="1"/>
  <c r="U31" i="31"/>
  <c r="V143" i="31" l="1"/>
  <c r="V149" i="31" s="1"/>
  <c r="V150" i="31" s="1"/>
  <c r="U37" i="31"/>
  <c r="V31" i="31"/>
  <c r="V37" i="31" s="1"/>
  <c r="V54" i="31" s="1"/>
  <c r="V151" i="31" l="1"/>
  <c r="I33" i="4"/>
  <c r="U54" i="31"/>
  <c r="U149" i="31"/>
  <c r="U150" i="31" s="1"/>
  <c r="U151" i="31" s="1"/>
  <c r="I34" i="4" l="1"/>
  <c r="R33" i="4"/>
  <c r="H30" i="1" s="1"/>
  <c r="K30" i="1" l="1"/>
  <c r="K31" i="1" s="1"/>
  <c r="K32" i="1" s="1"/>
  <c r="H31" i="1"/>
  <c r="H32" i="1" s="1"/>
  <c r="I35" i="4"/>
  <c r="I45" i="4" s="1"/>
  <c r="R34" i="4"/>
  <c r="R35" i="4" s="1"/>
  <c r="R45" i="4" s="1"/>
  <c r="K41" i="1" l="1"/>
  <c r="D15" i="26"/>
  <c r="D17" i="26" s="1"/>
  <c r="D21" i="26" s="1"/>
  <c r="N13" i="1" l="1"/>
  <c r="D25" i="26"/>
  <c r="N16" i="1" l="1"/>
  <c r="Q13" i="1"/>
  <c r="Q16" i="1" s="1"/>
  <c r="N23" i="1" l="1"/>
  <c r="Q23" i="1" s="1"/>
  <c r="N20" i="1"/>
  <c r="K111" i="6"/>
  <c r="L111" i="6"/>
  <c r="N30" i="1" l="1"/>
  <c r="Q20" i="1"/>
  <c r="Q30" i="1" l="1"/>
  <c r="Q31" i="1" s="1"/>
  <c r="Q32" i="1" s="1"/>
  <c r="Q41" i="1" s="1"/>
  <c r="N31" i="1"/>
  <c r="N32" i="1" s="1"/>
  <c r="J7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Peters, Maryalice</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C65" authorId="1" shapeId="0" xr:uid="{00000000-0006-0000-1900-00000300000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<sst xmlns="http://schemas.openxmlformats.org/spreadsheetml/2006/main" count="5383" uniqueCount="2503">
  <si>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</si>
  <si>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</si>
  <si>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</si>
  <si>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</si>
  <si>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</si>
  <si>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</si>
  <si>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</si>
  <si>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</si>
  <si>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</si>
  <si>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</si>
  <si>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</si>
  <si>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</si>
  <si>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</si>
  <si>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</si>
  <si>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</si>
  <si>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</si>
  <si>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</si>
  <si>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</si>
  <si>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</si>
  <si>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</si>
  <si>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</si>
  <si>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</si>
  <si>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</si>
  <si>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</si>
  <si>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</si>
  <si>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</si>
  <si>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</si>
  <si>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</si>
  <si>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</si>
  <si>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</si>
  <si>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</si>
  <si>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</si>
  <si>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</si>
  <si>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</si>
  <si>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</si>
  <si>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</si>
  <si>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</si>
  <si>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</si>
  <si>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</si>
  <si>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</si>
  <si>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</si>
  <si>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</si>
  <si>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</si>
  <si>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</si>
  <si>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</si>
  <si>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</si>
  <si>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</si>
  <si>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</si>
  <si>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</si>
  <si>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</si>
  <si>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</si>
  <si>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</si>
  <si>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</si>
  <si>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</si>
  <si>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</si>
  <si>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</si>
  <si>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</si>
  <si>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</si>
  <si>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</si>
  <si>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</si>
  <si>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</si>
  <si>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</si>
  <si>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</si>
  <si>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</si>
  <si>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</si>
  <si>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</si>
  <si>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</si>
  <si>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</si>
  <si>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</si>
  <si>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</si>
  <si>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</si>
  <si>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</si>
  <si>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</si>
  <si>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</si>
  <si>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</si>
  <si>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</si>
  <si>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</si>
  <si>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</si>
  <si>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</si>
  <si>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</si>
  <si>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</si>
  <si>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</si>
  <si>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</si>
  <si>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</si>
  <si>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</si>
  <si>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</si>
  <si>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</si>
  <si>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</si>
  <si>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</si>
  <si>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</si>
  <si>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</si>
  <si>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</si>
  <si>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</si>
  <si>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</si>
  <si>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</si>
  <si>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</si>
  <si>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</si>
  <si>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</si>
  <si>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</si>
  <si>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</si>
  <si>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</si>
  <si>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</si>
  <si>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</si>
  <si>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</si>
  <si>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</si>
  <si>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</si>
  <si>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</si>
  <si>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</si>
  <si>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</si>
  <si>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</si>
  <si>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</si>
  <si>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</si>
  <si>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</si>
  <si>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</si>
  <si>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</si>
  <si>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</si>
  <si>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</si>
  <si>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</si>
  <si>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</si>
  <si>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</si>
  <si>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</si>
  <si>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</si>
  <si>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</si>
  <si>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</si>
  <si>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</si>
  <si>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</si>
  <si>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</si>
  <si>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</si>
  <si>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</si>
  <si>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</si>
  <si>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</si>
  <si>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</si>
  <si>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</si>
  <si>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</si>
  <si>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</si>
  <si>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</si>
  <si>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</si>
  <si>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</si>
  <si>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</si>
  <si>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</si>
  <si>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</si>
  <si>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</si>
  <si>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</si>
  <si>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</si>
  <si>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</si>
  <si>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</si>
  <si>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</si>
  <si>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</si>
  <si>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</si>
  <si>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</si>
  <si>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</si>
  <si>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</si>
  <si>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</si>
  <si>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</si>
  <si>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</si>
  <si>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</si>
  <si>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</si>
  <si>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</si>
  <si>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</si>
  <si>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</si>
  <si>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</si>
  <si>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</si>
  <si>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</si>
  <si>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</si>
  <si>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</si>
  <si>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</si>
  <si>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</si>
  <si>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</si>
  <si>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</si>
  <si>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</si>
  <si>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</si>
  <si>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</si>
  <si>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</si>
  <si>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</si>
  <si>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</si>
  <si>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</si>
  <si>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</si>
  <si>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</si>
  <si>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</si>
  <si>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</si>
  <si>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</si>
  <si>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</si>
  <si>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</si>
  <si>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</si>
  <si>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</si>
  <si>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</si>
  <si>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</si>
  <si>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</si>
  <si>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</si>
  <si>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</si>
  <si>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</si>
  <si>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</si>
  <si>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</si>
  <si>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</si>
  <si>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</si>
  <si>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</si>
  <si>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</si>
  <si>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</si>
  <si>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</si>
  <si>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</si>
  <si>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</si>
  <si>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</si>
  <si>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</si>
  <si>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</si>
  <si>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</si>
  <si>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</si>
  <si>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</si>
  <si>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</si>
  <si>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</si>
  <si>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</si>
  <si>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</si>
  <si>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</si>
  <si>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</si>
  <si>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</si>
  <si>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</si>
  <si>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</si>
  <si>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</si>
  <si>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</si>
  <si>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</si>
  <si>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</si>
  <si>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</si>
  <si>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</si>
  <si>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</si>
  <si>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</si>
  <si>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</si>
  <si>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</si>
  <si>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</si>
  <si>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</si>
  <si>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</si>
  <si>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</si>
  <si>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</si>
  <si>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</si>
  <si>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</si>
  <si>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</si>
  <si>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</si>
  <si>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</si>
  <si>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</si>
  <si>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</si>
  <si>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</si>
  <si>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</si>
  <si>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</si>
  <si>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</si>
  <si>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</si>
  <si>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</si>
  <si>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</si>
  <si>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</si>
  <si>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</si>
  <si>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</si>
  <si>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</si>
  <si>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</si>
  <si>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</si>
  <si>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</si>
  <si>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</si>
  <si>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</si>
  <si>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</si>
  <si>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</si>
  <si>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</si>
  <si>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</si>
  <si>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</si>
  <si>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</si>
  <si>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</si>
  <si>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</si>
  <si>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</si>
  <si>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</si>
  <si>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</si>
  <si>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</si>
  <si>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</si>
  <si>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</si>
  <si>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</si>
  <si>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</si>
  <si>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</si>
  <si>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</si>
  <si>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</si>
  <si>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</si>
  <si>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</si>
  <si>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</si>
  <si>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</si>
  <si>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</si>
  <si>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</si>
  <si>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</si>
  <si>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</si>
  <si>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</si>
  <si>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</si>
  <si>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</si>
  <si>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</si>
  <si>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</si>
  <si>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</si>
  <si>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</si>
  <si>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</si>
  <si>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</si>
  <si>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</si>
  <si>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</si>
  <si>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</si>
  <si>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</si>
  <si>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</si>
  <si>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</si>
  <si>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</si>
  <si>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</si>
  <si>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</si>
  <si>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</si>
  <si>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</si>
  <si>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</si>
  <si>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</si>
  <si>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</si>
  <si>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</si>
  <si>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</si>
  <si>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</si>
  <si>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</si>
  <si>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</si>
  <si>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</si>
  <si>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</si>
  <si>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</si>
  <si>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</si>
  <si>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</si>
  <si>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</si>
  <si>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</si>
  <si>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</si>
  <si>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</si>
  <si>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</si>
  <si>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</si>
  <si>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</si>
  <si>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</si>
  <si>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</si>
  <si>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</si>
  <si>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</si>
  <si>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</si>
  <si>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</si>
  <si>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</si>
  <si>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</si>
  <si>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</si>
  <si>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</si>
  <si>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</si>
  <si>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</si>
  <si>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</si>
  <si>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</si>
  <si>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</si>
  <si>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</si>
  <si>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</si>
  <si>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</si>
  <si>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</si>
  <si>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</si>
  <si>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</si>
  <si>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</si>
  <si>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</si>
  <si>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</si>
  <si>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</si>
  <si>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</si>
  <si>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</si>
  <si>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</si>
  <si>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</si>
  <si>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</si>
  <si>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</si>
  <si>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</si>
  <si>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</si>
  <si>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</si>
  <si>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</si>
  <si>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</si>
  <si>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</si>
  <si>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</si>
  <si>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</si>
  <si>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</si>
  <si>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</si>
  <si>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</si>
  <si>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</si>
  <si>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</si>
  <si>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</si>
  <si>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</si>
  <si>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</si>
  <si>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</si>
  <si>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</si>
  <si>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</si>
  <si>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</si>
  <si>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</si>
  <si>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</si>
  <si>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</si>
  <si>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</si>
  <si>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</si>
  <si>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</si>
  <si>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</si>
  <si>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</si>
  <si>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</si>
  <si>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</si>
  <si>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</si>
  <si>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</si>
  <si>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</si>
  <si>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</si>
  <si>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</si>
  <si>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</si>
  <si>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</si>
  <si>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</si>
  <si>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</si>
  <si>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</si>
  <si>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</si>
  <si>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</si>
  <si>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</si>
  <si>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</si>
  <si>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</si>
  <si>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</si>
  <si>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</si>
  <si>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</si>
  <si>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</si>
  <si>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</si>
  <si>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</si>
  <si>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</si>
  <si>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</si>
  <si>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</si>
  <si>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</si>
  <si>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</si>
  <si>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</si>
  <si>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</si>
  <si>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</si>
  <si>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</si>
  <si>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</si>
  <si>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 xml:space="preserve">   TOTAL CASH</t>
  </si>
  <si>
    <t>1360</t>
  </si>
  <si>
    <t xml:space="preserve">   TOTAL CASH EQUIVALENTS</t>
  </si>
  <si>
    <t>1420</t>
  </si>
  <si>
    <t>1432</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</si>
  <si>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</si>
  <si>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</si>
  <si>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</si>
  <si>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</si>
  <si>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</si>
  <si>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</si>
  <si>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</si>
  <si>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</si>
  <si>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</si>
  <si>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</si>
  <si>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</si>
  <si>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</si>
  <si>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046*</t>
  </si>
  <si>
    <t>Accts Receivable - PCEH</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</si>
  <si>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</si>
  <si>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</si>
  <si>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</si>
  <si>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</si>
  <si>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</si>
  <si>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</si>
  <si>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</si>
  <si>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</si>
  <si>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</si>
  <si>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</si>
  <si>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</si>
  <si>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</si>
  <si>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</si>
  <si>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</si>
  <si>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</si>
  <si>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</si>
  <si>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</si>
  <si>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</si>
  <si>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</si>
  <si>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</si>
  <si>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</si>
  <si>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</si>
  <si>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</si>
  <si>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</si>
  <si>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</si>
  <si>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</si>
  <si>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</si>
  <si>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</si>
  <si>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</si>
  <si>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</si>
  <si>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</si>
  <si>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</si>
  <si>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</si>
  <si>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</si>
  <si>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</si>
  <si>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</si>
  <si>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</si>
  <si>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</si>
  <si>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</si>
  <si>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</si>
  <si>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</si>
  <si>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</si>
  <si>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</si>
  <si>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</si>
  <si>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</si>
  <si>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</si>
  <si>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</si>
  <si>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</si>
  <si>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</si>
  <si>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</si>
  <si>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</si>
  <si>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</si>
  <si>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</si>
  <si>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</si>
  <si>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</si>
  <si>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</si>
  <si>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</si>
  <si>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24</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</si>
  <si>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</si>
  <si>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</si>
  <si>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</si>
  <si>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</si>
  <si>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</si>
  <si>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</si>
  <si>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</si>
  <si>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</si>
  <si>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</si>
  <si>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</si>
  <si>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</si>
  <si>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</si>
  <si>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</si>
  <si>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</si>
  <si>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</si>
  <si>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</si>
  <si>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</si>
  <si>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</si>
  <si>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</si>
  <si>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</si>
  <si>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</si>
  <si>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</si>
  <si>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</si>
  <si>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</si>
  <si>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</si>
  <si>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</si>
  <si>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</si>
  <si>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</si>
  <si>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</si>
  <si>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</si>
  <si>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</si>
  <si>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</si>
  <si>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</si>
  <si>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</si>
  <si>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</si>
  <si>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</si>
  <si>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</si>
  <si>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</si>
  <si>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</si>
  <si>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</si>
  <si>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</si>
  <si>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</si>
  <si>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</si>
  <si>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</si>
  <si>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</si>
  <si>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</si>
  <si>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</si>
  <si>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</si>
  <si>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</si>
  <si>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</si>
  <si>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</si>
  <si>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</si>
  <si>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</si>
  <si>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</si>
  <si>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</si>
  <si>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</si>
  <si>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</si>
  <si>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</si>
  <si>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</si>
  <si>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</si>
  <si>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</si>
  <si>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</si>
  <si>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</si>
  <si>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</si>
  <si>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</si>
  <si>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</si>
  <si>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</si>
  <si>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</si>
  <si>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</si>
  <si>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</si>
  <si>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</si>
  <si>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</si>
  <si>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</si>
  <si>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3</t>
  </si>
  <si>
    <t>R/E Performance Share Dividend Equivalents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</si>
  <si>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</si>
  <si>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</si>
  <si>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</si>
  <si>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</si>
  <si>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</si>
  <si>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</si>
  <si>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</si>
  <si>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</si>
  <si>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</si>
  <si>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</si>
  <si>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</si>
  <si>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</si>
  <si>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</si>
  <si>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</si>
  <si>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</si>
  <si>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</si>
  <si>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</si>
  <si>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</si>
  <si>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</si>
  <si>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</si>
  <si>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</si>
  <si>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</si>
  <si>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</si>
  <si>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</si>
  <si>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</si>
  <si>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</si>
  <si>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</si>
  <si>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</si>
  <si>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</si>
  <si>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</si>
  <si>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</si>
  <si>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</si>
  <si>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</si>
  <si>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</si>
  <si>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</si>
  <si>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</si>
  <si>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</si>
  <si>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</si>
  <si>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</si>
  <si>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</si>
  <si>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</si>
  <si>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</si>
  <si>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2361</t>
  </si>
  <si>
    <t>2362</t>
  </si>
  <si>
    <t>2363</t>
  </si>
  <si>
    <t>2364</t>
  </si>
  <si>
    <t>2380</t>
  </si>
  <si>
    <t>Dividends Declared</t>
  </si>
  <si>
    <t>2351</t>
  </si>
  <si>
    <t>Customer Deposits</t>
  </si>
  <si>
    <t>2372</t>
  </si>
  <si>
    <t>2422</t>
  </si>
  <si>
    <t>2420</t>
  </si>
  <si>
    <t>2423</t>
  </si>
  <si>
    <t>Misc Current Liab - Vacation Wages</t>
  </si>
  <si>
    <t>2429</t>
  </si>
  <si>
    <t>2282</t>
  </si>
  <si>
    <t>2284</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</si>
  <si>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</si>
  <si>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</si>
  <si>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</si>
  <si>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</si>
  <si>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</si>
  <si>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</si>
  <si>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</si>
  <si>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</si>
  <si>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</si>
  <si>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</si>
  <si>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</si>
  <si>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</si>
  <si>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</si>
  <si>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</si>
  <si>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</si>
  <si>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</si>
  <si>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</si>
  <si>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</si>
  <si>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</si>
  <si>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</si>
  <si>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</si>
  <si>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</si>
  <si>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</si>
  <si>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</si>
  <si>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4891</t>
  </si>
  <si>
    <t>Rent from Gas Properties</t>
  </si>
  <si>
    <t>5000</t>
  </si>
  <si>
    <t>conversion earnings</t>
  </si>
  <si>
    <t xml:space="preserve">     TOTAL GAS REVENUE</t>
  </si>
  <si>
    <t>4190</t>
  </si>
  <si>
    <t>4210</t>
  </si>
  <si>
    <t>Misc Non-Oper Income</t>
  </si>
  <si>
    <t>4191</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</si>
  <si>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</si>
  <si>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</si>
  <si>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</si>
  <si>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</si>
  <si>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</si>
  <si>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</si>
  <si>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</si>
  <si>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</si>
  <si>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</si>
  <si>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</si>
  <si>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</si>
  <si>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</si>
  <si>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</si>
  <si>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</si>
  <si>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HOQUIAM LOGGERS PLAYDAY INC   </t>
  </si>
  <si>
    <t xml:space="preserve">GRAYS HARBOR MOUNTED POSSE    </t>
  </si>
  <si>
    <t>MASON COUNTY FOREST FESTIVAL A</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</si>
  <si>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</si>
  <si>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</si>
  <si>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</si>
  <si>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</si>
  <si>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</si>
  <si>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</si>
  <si>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</si>
  <si>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</si>
  <si>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</si>
  <si>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</si>
  <si>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</si>
  <si>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</si>
  <si>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</si>
  <si>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</si>
  <si>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</si>
  <si>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</si>
  <si>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</si>
  <si>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</si>
  <si>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</si>
  <si>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</si>
  <si>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</si>
  <si>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</si>
  <si>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</si>
  <si>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</si>
  <si>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</si>
  <si>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</si>
  <si>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</si>
  <si>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</si>
  <si>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</si>
  <si>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</si>
  <si>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</si>
  <si>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</si>
  <si>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</si>
  <si>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</si>
  <si>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</si>
  <si>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</si>
  <si>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</si>
  <si>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</si>
  <si>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</si>
  <si>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</si>
  <si>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</si>
  <si>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</si>
  <si>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</si>
  <si>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</si>
  <si>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</si>
  <si>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</si>
  <si>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</si>
  <si>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</si>
  <si>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</si>
  <si>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</si>
  <si>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</si>
  <si>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</si>
  <si>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t>
  </si>
  <si>
    <t>1088</t>
  </si>
  <si>
    <t>Gas Accum Prov ARO</t>
  </si>
  <si>
    <t>Storage Boil-Off</t>
  </si>
  <si>
    <t>99</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</si>
  <si>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</si>
  <si>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</si>
  <si>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</si>
  <si>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</si>
  <si>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</si>
  <si>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</si>
  <si>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</si>
  <si>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</si>
  <si>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</si>
  <si>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</si>
  <si>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</si>
  <si>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YAKIMA VALLEY PIPPINS         </t>
  </si>
  <si>
    <t>Amount</t>
  </si>
  <si>
    <t>WA Allocated</t>
  </si>
  <si>
    <t xml:space="preserve">TOWN &amp; COUNTRY ADVERTISING    </t>
  </si>
  <si>
    <t>R-4</t>
  </si>
  <si>
    <t>CRM</t>
  </si>
  <si>
    <t>P-3</t>
  </si>
  <si>
    <t>4760500 MDUR Cross Charges to CNGC</t>
  </si>
  <si>
    <t>4767000 Credit and Collections</t>
  </si>
  <si>
    <t>4767400 Scheduling</t>
  </si>
  <si>
    <t>4767700 Communications</t>
  </si>
  <si>
    <t>4767800 Information Systems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</si>
  <si>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</si>
  <si>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</si>
  <si>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</si>
  <si>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</si>
  <si>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</si>
  <si>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</si>
  <si>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</si>
  <si>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</si>
  <si>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</si>
  <si>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</si>
  <si>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</si>
  <si>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</si>
  <si>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Total Intangible Plant</t>
  </si>
  <si>
    <t>Gas Distribution</t>
  </si>
  <si>
    <t>FP-101192 - MAIN-RELO-REPL-WASHINGTON</t>
  </si>
  <si>
    <t>FP-101196 - R STA-RELO-REPL-WASHINGTON</t>
  </si>
  <si>
    <t>FP-101197 - SERV-GROWTH-WASHINGTON</t>
  </si>
  <si>
    <t>FP-101200 - IND M&amp;R-GROWTH-WASHINGTON</t>
  </si>
  <si>
    <t>FP-101201 - IND M&amp;R-REMOVE&amp;REPL-WASHINGTON</t>
  </si>
  <si>
    <t>FP-101275 - SERV-RELO-REPL-WASHINGTON</t>
  </si>
  <si>
    <t>FP-302369 - GB - GROUNDBED WASHINGTON</t>
  </si>
  <si>
    <t>Total Distribution Plant</t>
  </si>
  <si>
    <t>Gas General</t>
  </si>
  <si>
    <t>FP-101204 - GP TRAN. VEHICLE - WASHINGTO</t>
  </si>
  <si>
    <t>Notes:</t>
  </si>
  <si>
    <t>Depreciation</t>
  </si>
  <si>
    <t>Expense</t>
  </si>
  <si>
    <t>FERC</t>
  </si>
  <si>
    <t>Acct</t>
  </si>
  <si>
    <t>Note:</t>
  </si>
  <si>
    <t xml:space="preserve">           Cascade Natural Gas</t>
  </si>
  <si>
    <t>Results</t>
  </si>
  <si>
    <t>Overall Revenue Increase</t>
  </si>
  <si>
    <t>RESULTS OF OPERATIONS SUMMARY SHEET</t>
  </si>
  <si>
    <t>Results of Operations Summary Sheet</t>
  </si>
  <si>
    <t>CONVERSION FACTOR CALCULATION</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</si>
  <si>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</si>
  <si>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</si>
  <si>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</si>
  <si>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</si>
  <si>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</si>
  <si>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</si>
  <si>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</si>
  <si>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</si>
  <si>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</si>
  <si>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</si>
  <si>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</si>
  <si>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</si>
  <si>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</si>
  <si>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</si>
  <si>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</si>
  <si>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</si>
  <si>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</si>
  <si>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</si>
  <si>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</si>
  <si>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</si>
  <si>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</si>
  <si>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</si>
  <si>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</si>
  <si>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</si>
  <si>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</si>
  <si>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</si>
  <si>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</si>
  <si>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</si>
  <si>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</si>
  <si>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</si>
  <si>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</si>
  <si>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</si>
  <si>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</si>
  <si>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</si>
  <si>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</si>
  <si>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</si>
  <si>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</si>
  <si>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</si>
  <si>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</si>
  <si>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</si>
  <si>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</si>
  <si>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</si>
  <si>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</si>
  <si>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</si>
  <si>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</si>
  <si>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</si>
  <si>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</si>
  <si>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</si>
  <si>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</si>
  <si>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</si>
  <si>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</si>
  <si>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</si>
  <si>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</si>
  <si>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</si>
  <si>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</si>
  <si>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</si>
  <si>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</si>
  <si>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</si>
  <si>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</si>
  <si>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</si>
  <si>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</si>
  <si>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</si>
  <si>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</si>
  <si>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</si>
  <si>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</si>
  <si>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</si>
  <si>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</si>
  <si>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</si>
  <si>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</si>
  <si>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</si>
  <si>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</si>
  <si>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</si>
  <si>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</si>
  <si>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</si>
  <si>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</si>
  <si>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</si>
  <si>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</si>
  <si>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</si>
  <si>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</si>
  <si>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</si>
  <si>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</si>
  <si>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</si>
  <si>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</si>
  <si>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</si>
  <si>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</si>
  <si>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</si>
  <si>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</si>
  <si>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</si>
  <si>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</si>
  <si>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</si>
  <si>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</si>
  <si>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</si>
  <si>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</si>
  <si>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</si>
  <si>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</si>
  <si>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</si>
  <si>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</si>
  <si>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</si>
  <si>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</si>
  <si>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</si>
  <si>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</si>
  <si>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</si>
  <si>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</si>
  <si>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</si>
  <si>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</si>
  <si>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</si>
  <si>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</si>
  <si>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</si>
  <si>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</si>
  <si>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</si>
  <si>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</si>
  <si>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</si>
  <si>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</si>
  <si>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</si>
  <si>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</si>
  <si>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</si>
  <si>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</si>
  <si>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</si>
  <si>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</si>
  <si>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</si>
  <si>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</si>
  <si>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</si>
  <si>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</si>
  <si>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</si>
  <si>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</si>
  <si>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</si>
  <si>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</si>
  <si>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</si>
  <si>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</si>
  <si>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</si>
  <si>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</si>
  <si>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</si>
  <si>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</si>
  <si>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</si>
  <si>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</si>
  <si>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</si>
  <si>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</si>
  <si>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</si>
  <si>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</si>
  <si>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</si>
  <si>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</si>
  <si>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</si>
  <si>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</si>
  <si>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</si>
  <si>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</si>
  <si>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</si>
  <si>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</si>
  <si>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</si>
  <si>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</si>
  <si>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</si>
  <si>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</si>
  <si>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</si>
  <si>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</si>
  <si>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</si>
  <si>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</si>
  <si>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</si>
  <si>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</si>
  <si>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</si>
  <si>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</si>
  <si>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</si>
  <si>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</si>
  <si>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</si>
  <si>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</si>
  <si>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</si>
  <si>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</si>
  <si>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</si>
  <si>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</si>
  <si>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</si>
  <si>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</si>
  <si>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</si>
  <si>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</si>
  <si>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</si>
  <si>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</si>
  <si>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</si>
  <si>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</si>
  <si>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</si>
  <si>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</si>
  <si>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</si>
  <si>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</si>
  <si>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</si>
  <si>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</si>
  <si>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</si>
  <si>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</si>
  <si>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</si>
  <si>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</si>
  <si>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</si>
  <si>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</si>
  <si>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</si>
  <si>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</si>
  <si>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</si>
  <si>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</si>
  <si>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</si>
  <si>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</si>
  <si>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</si>
  <si>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</si>
  <si>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</si>
  <si>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</si>
  <si>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</si>
  <si>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</si>
  <si>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</si>
  <si>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</si>
  <si>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</si>
  <si>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</si>
  <si>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</si>
  <si>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</si>
  <si>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</si>
  <si>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</si>
  <si>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</si>
  <si>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</si>
  <si>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</si>
  <si>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</si>
  <si>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</si>
  <si>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</si>
  <si>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</si>
  <si>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</si>
  <si>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</si>
  <si>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</si>
  <si>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</si>
  <si>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</si>
  <si>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</si>
  <si>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</si>
  <si>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</si>
  <si>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</si>
  <si>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</si>
  <si>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</si>
  <si>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</si>
  <si>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</si>
  <si>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</si>
  <si>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</si>
  <si>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</si>
  <si>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</si>
  <si>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</si>
  <si>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</si>
  <si>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</si>
  <si>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</si>
  <si>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</si>
  <si>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</si>
  <si>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</si>
  <si>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</si>
  <si>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</si>
  <si>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</si>
  <si>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</si>
  <si>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</si>
  <si>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</si>
  <si>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</si>
  <si>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</si>
  <si>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</si>
  <si>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</si>
  <si>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</si>
  <si>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</si>
  <si>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</si>
  <si>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</si>
  <si>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</si>
  <si>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</si>
  <si>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</si>
  <si>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</si>
  <si>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</si>
  <si>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</si>
  <si>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</si>
  <si>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</si>
  <si>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</si>
  <si>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</si>
  <si>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</si>
  <si>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</si>
  <si>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</si>
  <si>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</si>
  <si>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</si>
  <si>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</si>
  <si>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</si>
  <si>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</si>
  <si>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</si>
  <si>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</si>
  <si>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</si>
  <si>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</si>
  <si>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</si>
  <si>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</si>
  <si>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</si>
  <si>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</si>
  <si>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</si>
  <si>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</si>
  <si>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</si>
  <si>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</si>
  <si>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</si>
  <si>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</si>
  <si>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</si>
  <si>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</si>
  <si>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</si>
  <si>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</si>
  <si>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</si>
  <si>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</si>
  <si>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</si>
  <si>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</si>
  <si>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</si>
  <si>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</si>
  <si>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</si>
  <si>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</si>
  <si>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</si>
  <si>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</si>
  <si>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</si>
  <si>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</si>
  <si>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</si>
  <si>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</si>
  <si>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</si>
  <si>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</si>
  <si>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</si>
  <si>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</si>
  <si>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</si>
  <si>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</si>
  <si>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</si>
  <si>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</si>
  <si>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</si>
  <si>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</si>
  <si>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</si>
  <si>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</si>
  <si>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</si>
  <si>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</si>
  <si>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</si>
  <si>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</si>
  <si>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</si>
  <si>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</si>
  <si>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</si>
  <si>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</si>
  <si>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</si>
  <si>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</si>
  <si>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</si>
  <si>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</si>
  <si>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</si>
  <si>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</si>
  <si>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</si>
  <si>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</si>
  <si>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</si>
  <si>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</si>
  <si>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</si>
  <si>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</si>
  <si>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</si>
  <si>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</si>
  <si>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</si>
  <si>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</si>
  <si>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</si>
  <si>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</si>
  <si>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</si>
  <si>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</si>
  <si>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</si>
  <si>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</si>
  <si>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</si>
  <si>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</si>
  <si>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</si>
  <si>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</si>
  <si>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</si>
  <si>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47107</t>
  </si>
  <si>
    <t>47531</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</si>
  <si>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</si>
  <si>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</si>
  <si>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</si>
  <si>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</si>
  <si>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</si>
  <si>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</si>
  <si>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</si>
  <si>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</si>
  <si>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</si>
  <si>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</si>
  <si>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</si>
  <si>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</si>
  <si>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</si>
  <si>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</si>
  <si>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</si>
  <si>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</si>
  <si>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</si>
  <si>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</si>
  <si>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</si>
  <si>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</si>
  <si>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</si>
  <si>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</si>
  <si>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</si>
  <si>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</si>
  <si>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</si>
  <si>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</si>
  <si>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</si>
  <si>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</si>
  <si>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</si>
  <si>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</si>
  <si>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</si>
  <si>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</si>
  <si>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</si>
  <si>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</si>
  <si>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</si>
  <si>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</si>
  <si>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</si>
  <si>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</si>
  <si>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</si>
  <si>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</si>
  <si>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</si>
  <si>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</si>
  <si>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</si>
  <si>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</si>
  <si>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</si>
  <si>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</si>
  <si>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</si>
  <si>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</si>
  <si>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</si>
  <si>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</si>
  <si>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</si>
  <si>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</si>
  <si>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</si>
  <si>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</si>
  <si>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</si>
  <si>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</si>
  <si>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</si>
  <si>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</si>
  <si>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</si>
  <si>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</si>
  <si>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</si>
  <si>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</si>
  <si>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</si>
  <si>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</si>
  <si>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</si>
  <si>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</si>
  <si>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</si>
  <si>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</si>
  <si>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</si>
  <si>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</si>
  <si>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</si>
  <si>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</si>
  <si>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</si>
  <si>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</si>
  <si>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</si>
  <si>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</si>
  <si>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</si>
  <si>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</si>
  <si>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</si>
  <si>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</si>
  <si>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</si>
  <si>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</si>
  <si>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</si>
  <si>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</si>
  <si>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</si>
  <si>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</si>
  <si>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</si>
  <si>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</si>
  <si>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</si>
  <si>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</si>
  <si>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408</t>
  </si>
  <si>
    <t>304</t>
  </si>
  <si>
    <t>329</t>
  </si>
  <si>
    <t>01272</t>
  </si>
  <si>
    <t>01273</t>
  </si>
  <si>
    <t>01285</t>
  </si>
  <si>
    <t>01287</t>
  </si>
  <si>
    <t>01999</t>
  </si>
  <si>
    <t>01253</t>
  </si>
  <si>
    <t>01254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</si>
  <si>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</si>
  <si>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</si>
  <si>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</si>
  <si>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</si>
  <si>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</si>
  <si>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</si>
  <si>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</si>
  <si>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</si>
  <si>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</si>
  <si>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</si>
  <si>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</si>
  <si>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</si>
  <si>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</si>
  <si>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</si>
  <si>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</si>
  <si>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</si>
  <si>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</si>
  <si>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</si>
  <si>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</si>
  <si>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</si>
  <si>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</si>
  <si>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</si>
  <si>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</si>
  <si>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</si>
  <si>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</si>
  <si>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</si>
  <si>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</si>
  <si>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4861</t>
  </si>
  <si>
    <t>4863</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</si>
  <si>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</si>
  <si>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</si>
  <si>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</si>
  <si>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</si>
  <si>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</si>
  <si>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</si>
  <si>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</si>
  <si>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</si>
  <si>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</si>
  <si>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</si>
  <si>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</si>
  <si>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</si>
  <si>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</si>
  <si>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2020 Wage</t>
  </si>
  <si>
    <t>EXHIBIT OF MARYALICE C. PETERS</t>
  </si>
  <si>
    <t>MCP WP-1.8</t>
  </si>
  <si>
    <t>MCP WP-1.9</t>
  </si>
  <si>
    <t>MCP WP-1.10</t>
  </si>
  <si>
    <t>MCP WP-1.0</t>
  </si>
  <si>
    <t>UG 19_____</t>
  </si>
  <si>
    <t>MCP WP-1.1</t>
  </si>
  <si>
    <t>MCP WP-1.7</t>
  </si>
  <si>
    <t>Provision for Rate Refund</t>
  </si>
  <si>
    <t>FP-300233 - ARLINGTON 6" HP REINFORCEMENT</t>
  </si>
  <si>
    <t>FP-316429 - RF; 6" HP; ABER; 12,500' BASICH BLV</t>
  </si>
  <si>
    <t>FP-316670 - RF; 12" HP; KENN; WALLULA HP LINE</t>
  </si>
  <si>
    <t>FP-317291 - Roof replacement/Parking lot - Bell</t>
  </si>
  <si>
    <t>MCP WP-1.2</t>
  </si>
  <si>
    <t xml:space="preserve">LOWER COLUMBIA CONTRACTORS    </t>
  </si>
  <si>
    <t>NORTHWEST EVENT ORGANIZERS INC</t>
  </si>
  <si>
    <t xml:space="preserve">OTHELLO RODEO ASSOCIATION     </t>
  </si>
  <si>
    <t>CENTRAL OREGON BUILDERS ASSOCI</t>
  </si>
  <si>
    <t xml:space="preserve">acct. 20856                   </t>
  </si>
  <si>
    <t>MCP WP-1.12</t>
  </si>
  <si>
    <t>MCP WP-1.13</t>
  </si>
  <si>
    <t>MCP WP-1.14</t>
  </si>
  <si>
    <t>Investment from MCP-6</t>
  </si>
  <si>
    <t>Ln 6 * .21</t>
  </si>
  <si>
    <t>(Ln 8 - Ln 6) * .21</t>
  </si>
  <si>
    <t>MCP WP-1.15</t>
  </si>
  <si>
    <t>MCP WP-1.17</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</si>
  <si>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</si>
  <si>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</si>
  <si>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</si>
  <si>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</si>
  <si>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</si>
  <si>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</si>
  <si>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</si>
  <si>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</si>
  <si>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</si>
  <si>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</si>
  <si>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</si>
  <si>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</si>
  <si>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</si>
  <si>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</si>
  <si>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</si>
  <si>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</si>
  <si>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</si>
  <si>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</si>
  <si>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</si>
  <si>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</si>
  <si>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</si>
  <si>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</si>
  <si>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</si>
  <si>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</si>
  <si>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</si>
  <si>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</si>
  <si>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</si>
  <si>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</si>
  <si>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</si>
  <si>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</si>
  <si>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</si>
  <si>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</si>
  <si>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</si>
  <si>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</si>
  <si>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</si>
  <si>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</si>
  <si>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</si>
  <si>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</si>
  <si>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</si>
  <si>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</si>
  <si>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</si>
  <si>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</si>
  <si>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</si>
  <si>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</si>
  <si>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</si>
  <si>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</si>
  <si>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</si>
  <si>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</si>
  <si>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</si>
  <si>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</si>
  <si>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</si>
  <si>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</si>
  <si>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</si>
  <si>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</si>
  <si>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4760600 Human Resources</t>
  </si>
  <si>
    <t>4760800 Customer Service</t>
  </si>
  <si>
    <t>4763400 Enterprised GIS</t>
  </si>
  <si>
    <t>4766100 Fleet</t>
  </si>
  <si>
    <t>4767500 Compliance Systems &amp; Telecom</t>
  </si>
  <si>
    <t>4769400 Utility Group Controller</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</si>
  <si>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</si>
  <si>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</si>
  <si>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</si>
  <si>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</si>
  <si>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</si>
  <si>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</si>
  <si>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</si>
  <si>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</si>
  <si>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</si>
  <si>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</si>
  <si>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</si>
  <si>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</si>
  <si>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</si>
  <si>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</si>
  <si>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</si>
  <si>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</si>
  <si>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</si>
  <si>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</si>
  <si>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</si>
  <si>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</si>
  <si>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</si>
  <si>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Total  Deferral to be amort</t>
  </si>
  <si>
    <t>End of Year</t>
  </si>
  <si>
    <t>R-5</t>
  </si>
  <si>
    <t>R-6</t>
  </si>
  <si>
    <t xml:space="preserve">Restate </t>
  </si>
  <si>
    <t>Maryalice C. Peters</t>
  </si>
  <si>
    <t>State Grossup</t>
  </si>
  <si>
    <t>State FAS 109 adj</t>
  </si>
  <si>
    <t>State Non-current deferred Tax</t>
  </si>
  <si>
    <t>State Current Deferred Tax</t>
  </si>
  <si>
    <t>Federal Grossup</t>
  </si>
  <si>
    <t>Federal FAS 109 adj</t>
  </si>
  <si>
    <t>Federal Non-current deferred Tax</t>
  </si>
  <si>
    <t>Federal Current Deferred Tax</t>
  </si>
  <si>
    <t>864</t>
  </si>
  <si>
    <t>964</t>
  </si>
  <si>
    <t>T/B Total-1900</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</si>
  <si>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</si>
  <si>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</si>
  <si>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</si>
  <si>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</si>
  <si>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</si>
  <si>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</si>
  <si>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</si>
  <si>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</si>
  <si>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</si>
  <si>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</si>
  <si>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</si>
  <si>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</si>
  <si>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</si>
  <si>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</si>
  <si>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</si>
  <si>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</si>
  <si>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</si>
  <si>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</si>
  <si>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</si>
  <si>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</si>
  <si>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</si>
  <si>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</si>
  <si>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</si>
  <si>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</si>
  <si>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</si>
  <si>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</si>
  <si>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</si>
  <si>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</si>
  <si>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</si>
  <si>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</si>
  <si>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</si>
  <si>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</si>
  <si>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</si>
  <si>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</si>
  <si>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</si>
  <si>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</si>
  <si>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</si>
  <si>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</si>
  <si>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</si>
  <si>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</si>
  <si>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</si>
  <si>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</si>
  <si>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</si>
  <si>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</si>
  <si>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</si>
  <si>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</si>
  <si>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</si>
  <si>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</si>
  <si>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</si>
  <si>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</si>
  <si>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</si>
  <si>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</si>
  <si>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</si>
  <si>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</si>
  <si>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Estimated In-Service Date</t>
  </si>
  <si>
    <t>302-G-Franchises</t>
  </si>
  <si>
    <t>303-G-Misc. Intangible Plant</t>
  </si>
  <si>
    <t>365-G-Land and Land Rights</t>
  </si>
  <si>
    <t>365-G-Rights-of-Way</t>
  </si>
  <si>
    <t>367-G-Mains</t>
  </si>
  <si>
    <t>369-G-Measuring/Regulating Equipmen</t>
  </si>
  <si>
    <t>374-G-Land and Land Rights</t>
  </si>
  <si>
    <t>374-G-Land</t>
  </si>
  <si>
    <t>375-G-Structures &amp; Improvements</t>
  </si>
  <si>
    <t>376-G-Mains-High Pressure Steel</t>
  </si>
  <si>
    <t>376-G-Mains-Plastic</t>
  </si>
  <si>
    <t>376-G-Mains-Steel</t>
  </si>
  <si>
    <t>380-G-Services-Plastc</t>
  </si>
  <si>
    <t>380-G-Services-Steel</t>
  </si>
  <si>
    <t>381-G-ERT Units</t>
  </si>
  <si>
    <t>381-G-Meters</t>
  </si>
  <si>
    <t>382-G-Meter Set Installation</t>
  </si>
  <si>
    <t>383-G-Service Regulators</t>
  </si>
  <si>
    <t>385-G-Industrial Meas. &amp; Reg Stn Eq</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</si>
  <si>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</si>
  <si>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</si>
  <si>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</si>
  <si>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</si>
  <si>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</si>
  <si>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</si>
  <si>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</si>
  <si>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</si>
  <si>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</si>
  <si>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</si>
  <si>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</si>
  <si>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</si>
  <si>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</si>
  <si>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</si>
  <si>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</si>
  <si>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</si>
  <si>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</si>
  <si>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</si>
  <si>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</si>
  <si>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</si>
  <si>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</si>
  <si>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</si>
  <si>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</si>
  <si>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</si>
  <si>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</si>
  <si>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</si>
  <si>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</si>
  <si>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</si>
  <si>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</si>
  <si>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</si>
  <si>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</si>
  <si>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</si>
  <si>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</si>
  <si>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</si>
  <si>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</si>
  <si>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</si>
  <si>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</si>
  <si>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</si>
  <si>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</si>
  <si>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</si>
  <si>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</si>
  <si>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</si>
  <si>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</si>
  <si>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</si>
  <si>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</si>
  <si>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</si>
  <si>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</si>
  <si>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</si>
  <si>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</si>
  <si>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</si>
  <si>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</si>
  <si>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</si>
  <si>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</si>
  <si>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</si>
  <si>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</si>
  <si>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</si>
  <si>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</si>
  <si>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</si>
  <si>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</si>
  <si>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</si>
  <si>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</si>
  <si>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</si>
  <si>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</si>
  <si>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</si>
  <si>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</si>
  <si>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</si>
  <si>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</si>
  <si>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</si>
  <si>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</si>
  <si>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</si>
  <si>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</si>
  <si>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</si>
  <si>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</si>
  <si>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</si>
  <si>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</si>
  <si>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</si>
  <si>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</si>
  <si>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</si>
  <si>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</si>
  <si>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</si>
  <si>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</si>
  <si>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</si>
  <si>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</si>
  <si>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</si>
  <si>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</si>
  <si>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</si>
  <si>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</si>
  <si>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</si>
  <si>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</si>
  <si>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</si>
  <si>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</si>
  <si>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</si>
  <si>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</si>
  <si>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</si>
  <si>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</si>
  <si>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</si>
  <si>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</si>
  <si>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</si>
  <si>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</si>
  <si>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</si>
  <si>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</si>
  <si>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</si>
  <si>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</si>
  <si>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</si>
  <si>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</si>
  <si>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</si>
  <si>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</si>
  <si>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</si>
  <si>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</si>
  <si>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</si>
  <si>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</si>
  <si>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</si>
  <si>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</si>
  <si>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</si>
  <si>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</si>
  <si>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</si>
  <si>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</si>
  <si>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</si>
  <si>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</si>
  <si>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</si>
  <si>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</si>
  <si>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</si>
  <si>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</si>
  <si>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</si>
  <si>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</si>
  <si>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</si>
  <si>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</si>
  <si>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</si>
  <si>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</si>
  <si>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</si>
  <si>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</si>
  <si>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</si>
  <si>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</si>
  <si>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</si>
  <si>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</si>
  <si>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</si>
  <si>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</si>
  <si>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</si>
  <si>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</si>
  <si>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</si>
  <si>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</si>
  <si>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</si>
  <si>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</si>
  <si>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</si>
  <si>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</si>
  <si>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</si>
  <si>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</si>
  <si>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</si>
  <si>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</si>
  <si>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</si>
  <si>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</si>
  <si>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</si>
  <si>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</si>
  <si>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</si>
  <si>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</si>
  <si>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</si>
  <si>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</si>
  <si>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</si>
  <si>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</si>
  <si>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</si>
  <si>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</si>
  <si>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</si>
  <si>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</si>
  <si>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</si>
  <si>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</si>
  <si>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</si>
  <si>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</si>
  <si>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</si>
  <si>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</si>
  <si>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</si>
  <si>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</si>
  <si>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</si>
  <si>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</si>
  <si>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</si>
  <si>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</si>
  <si>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</si>
  <si>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</si>
  <si>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</si>
  <si>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</si>
  <si>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</si>
  <si>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</si>
  <si>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</si>
  <si>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</si>
  <si>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</si>
  <si>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</si>
  <si>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</si>
  <si>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</si>
  <si>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</si>
  <si>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</si>
  <si>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</si>
  <si>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</si>
  <si>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</si>
  <si>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</si>
  <si>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</si>
  <si>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</si>
  <si>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</si>
  <si>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</si>
  <si>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</si>
  <si>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</si>
  <si>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</si>
  <si>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</si>
  <si>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</si>
  <si>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</si>
  <si>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</si>
  <si>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</si>
  <si>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</si>
  <si>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</si>
  <si>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</si>
  <si>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</si>
  <si>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</si>
  <si>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</si>
  <si>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</si>
  <si>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</si>
  <si>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</si>
  <si>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</si>
  <si>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</si>
  <si>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</si>
  <si>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</si>
  <si>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</si>
  <si>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</si>
  <si>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</si>
  <si>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</si>
  <si>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</si>
  <si>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</si>
  <si>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</si>
  <si>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</si>
  <si>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</si>
  <si>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</si>
  <si>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</si>
  <si>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</si>
  <si>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</si>
  <si>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</si>
  <si>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</si>
  <si>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</si>
  <si>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</si>
  <si>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</si>
  <si>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</si>
  <si>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</si>
  <si>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</si>
  <si>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</si>
  <si>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</si>
  <si>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</si>
  <si>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</si>
  <si>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</si>
  <si>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</si>
  <si>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</si>
  <si>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</si>
  <si>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</si>
  <si>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</si>
  <si>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</si>
  <si>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</si>
  <si>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</si>
  <si>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</si>
  <si>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</si>
  <si>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</si>
  <si>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</si>
  <si>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</si>
  <si>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</si>
  <si>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</si>
  <si>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</si>
  <si>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</si>
  <si>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</si>
  <si>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</si>
  <si>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</si>
  <si>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</si>
  <si>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</si>
  <si>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</si>
  <si>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</si>
  <si>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</si>
  <si>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</si>
  <si>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</si>
  <si>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</si>
  <si>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</si>
  <si>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</si>
  <si>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</si>
  <si>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</si>
  <si>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</si>
  <si>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</si>
  <si>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</si>
  <si>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</si>
  <si>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</si>
  <si>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</si>
  <si>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</si>
  <si>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</si>
  <si>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</si>
  <si>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</si>
  <si>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</si>
  <si>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</si>
  <si>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</si>
  <si>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</si>
  <si>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</si>
  <si>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</si>
  <si>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</si>
  <si>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</si>
  <si>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</si>
  <si>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</si>
  <si>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</si>
  <si>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</si>
  <si>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</si>
  <si>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</si>
  <si>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</si>
  <si>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</si>
  <si>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</si>
  <si>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</si>
  <si>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</si>
  <si>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</si>
  <si>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</si>
  <si>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</si>
  <si>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</si>
  <si>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</si>
  <si>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</si>
  <si>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</si>
  <si>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</si>
  <si>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</si>
  <si>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</si>
  <si>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</si>
  <si>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</si>
  <si>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</si>
  <si>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</si>
  <si>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</si>
  <si>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</si>
  <si>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</si>
  <si>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</si>
  <si>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</si>
  <si>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</si>
  <si>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</si>
  <si>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</si>
  <si>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</si>
  <si>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</si>
  <si>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</si>
  <si>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</si>
  <si>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</si>
  <si>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</si>
  <si>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</si>
  <si>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</si>
  <si>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</si>
  <si>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</si>
  <si>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</si>
  <si>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</si>
  <si>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</si>
  <si>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Interest and Dividend Income - CIAC Tax grossup</t>
  </si>
  <si>
    <t>Interest and Dividend Income - PGA related</t>
  </si>
  <si>
    <t>Funding Project #</t>
  </si>
  <si>
    <t>EOP</t>
  </si>
  <si>
    <t xml:space="preserve"> Proposed Plant Additions</t>
  </si>
  <si>
    <t xml:space="preserve">Function            </t>
  </si>
  <si>
    <t xml:space="preserve">Funding Project - Description      </t>
  </si>
  <si>
    <t xml:space="preserve">Account No. </t>
  </si>
  <si>
    <t xml:space="preserve">WA                     </t>
  </si>
  <si>
    <t>(A)</t>
  </si>
  <si>
    <t>(B)</t>
  </si>
  <si>
    <t>(C)</t>
  </si>
  <si>
    <t>(D)</t>
  </si>
  <si>
    <t>( E )</t>
  </si>
  <si>
    <t>(F)=(D)*( E )</t>
  </si>
  <si>
    <t>(G)</t>
  </si>
  <si>
    <t>(H)</t>
  </si>
  <si>
    <t>(I)</t>
  </si>
  <si>
    <t>Exhibit No. __ (MCP-6)</t>
  </si>
  <si>
    <t>Witness: Maryalice C. Peters</t>
  </si>
  <si>
    <t>Exhibit No. __ (MCP-4)</t>
  </si>
  <si>
    <t>Difference</t>
  </si>
  <si>
    <t>Annulize</t>
  </si>
  <si>
    <t>Total CRM Proposed Rev</t>
  </si>
  <si>
    <t>Less booked CRM</t>
  </si>
  <si>
    <t>Total CRM Adjustment</t>
  </si>
  <si>
    <t>Annualize CRM Adjustment</t>
  </si>
  <si>
    <t>End of Period Revenue Adjustment</t>
  </si>
  <si>
    <t xml:space="preserve">Restate     </t>
  </si>
  <si>
    <t xml:space="preserve">P </t>
  </si>
  <si>
    <t>(EOP) Adj.</t>
  </si>
  <si>
    <t>End of Period</t>
  </si>
  <si>
    <t>Restate Revenues Adjustment</t>
  </si>
  <si>
    <t>Restate &amp; Pro Forma Wage Adjustment</t>
  </si>
  <si>
    <t>Working Capital (AMA)</t>
  </si>
  <si>
    <t>End of Period Depreciation Expense Adjustment</t>
  </si>
  <si>
    <t xml:space="preserve">Restate Revenues Adjustment </t>
  </si>
  <si>
    <t>Less Total Booked Margin</t>
  </si>
  <si>
    <t>Adjusted current margin revenues using weather normalized volumes at current margin rates</t>
  </si>
  <si>
    <t>Line #:</t>
  </si>
  <si>
    <t>Twelve Months Ended December 31, 2019</t>
  </si>
  <si>
    <t>UG 20_____</t>
  </si>
  <si>
    <t>12 Months Ended December 31, 2019</t>
  </si>
  <si>
    <t>Ended 12/31/2019</t>
  </si>
  <si>
    <t>2019</t>
  </si>
  <si>
    <t>For the Twelve Months Ended December 31, 2019</t>
  </si>
  <si>
    <t>Gas Plant In Service-Excluding ARO</t>
  </si>
  <si>
    <t>Gas Plant In Service-ARO Only</t>
  </si>
  <si>
    <t>@ACCTCatCode02:107</t>
  </si>
  <si>
    <t>Accum Prov Deprec - Gas Util Excluding ARO</t>
  </si>
  <si>
    <t>Accum Prov Deprec - Gas Util ARO Only</t>
  </si>
  <si>
    <t>1084</t>
  </si>
  <si>
    <t>2101</t>
  </si>
  <si>
    <t>2110</t>
  </si>
  <si>
    <t>Money Center Acctount - US Bank</t>
  </si>
  <si>
    <t>Temporary Cash Investments - Money Center Account - US Bank</t>
  </si>
  <si>
    <t>2103</t>
  </si>
  <si>
    <t>Temporary Cash Investments - Money Sweep (REPO) Account</t>
  </si>
  <si>
    <t>Other Accounts Receivable - Federal Income Tax</t>
  </si>
  <si>
    <t>Other Accounts Receivable - State Income Tax</t>
  </si>
  <si>
    <t>Other Accounts Receivable - Prepaid FIN48 - Current</t>
  </si>
  <si>
    <t>47G</t>
  </si>
  <si>
    <t>Receivable Federal Income Tax</t>
  </si>
  <si>
    <t>Accts Receivable - FutureSource</t>
  </si>
  <si>
    <t>Plant Materials &amp; Op Supplies - Truck Stock WA</t>
  </si>
  <si>
    <t>Undistributed Stores Exp - Non-Inventory Purchases Clearing</t>
  </si>
  <si>
    <t xml:space="preserve">Prepayments - Insurance  </t>
  </si>
  <si>
    <t>Prepaid Federal Income Tax</t>
  </si>
  <si>
    <t>100OR</t>
  </si>
  <si>
    <t>(Over) Under Recovery of Purchased Gas Costs</t>
  </si>
  <si>
    <t>100WA</t>
  </si>
  <si>
    <t>101WA</t>
  </si>
  <si>
    <t>Unamort Debt Exp - 4.09% - 2044</t>
  </si>
  <si>
    <t>Unamort Debt Exp - 4.24% - 2054</t>
  </si>
  <si>
    <t>Unamort Debt Exp - 4.09% - 2045</t>
  </si>
  <si>
    <t>Unamort Debt Exp - 4.24% - 2055</t>
  </si>
  <si>
    <t>27</t>
  </si>
  <si>
    <t>Unamort Debt Exp - 3.62% - 2029</t>
  </si>
  <si>
    <t>28</t>
  </si>
  <si>
    <t>Unamort Debt Exp - 3.82% - 2034</t>
  </si>
  <si>
    <t>29</t>
  </si>
  <si>
    <t>Unamort Debt Exp - 4.26% - 2049</t>
  </si>
  <si>
    <t>Other Regulatory Asset - Reclass</t>
  </si>
  <si>
    <t>2048</t>
  </si>
  <si>
    <t>Other Regulatory Asset - FAS 158 - MDUR Post-Retirement</t>
  </si>
  <si>
    <t>2049</t>
  </si>
  <si>
    <t>Other Regulatory Asset - FAS 158 Post-Retirment</t>
  </si>
  <si>
    <t>Misc Def Dr - Adjustment Clearing 1840</t>
  </si>
  <si>
    <t>Misc Def Dr - Over-Refunded Temp FIT</t>
  </si>
  <si>
    <t>[01999,20401999]</t>
  </si>
  <si>
    <t>Misc Def Dr - Unbilled Decoupling Amort</t>
  </si>
  <si>
    <t>Misc Def Dr - Decoupling Deferral</t>
  </si>
  <si>
    <t>1868</t>
  </si>
  <si>
    <t>Gas-Operating Right of Use Assets</t>
  </si>
  <si>
    <t>299</t>
  </si>
  <si>
    <t>Taxes Other Than Income - Delaware - MDUR</t>
  </si>
  <si>
    <t>LOC - Commitment Fee</t>
  </si>
  <si>
    <t>011</t>
  </si>
  <si>
    <t>Accrued Tax Interest</t>
  </si>
  <si>
    <t>1111</t>
  </si>
  <si>
    <t>Other Interest Expense - Short-term debt</t>
  </si>
  <si>
    <t>Other Interest Expense - Deferred Compensation</t>
  </si>
  <si>
    <t>3.62% Snr Nt Due 06/13/2029</t>
  </si>
  <si>
    <t>3.82% Snr Nt Due 06/13/2034</t>
  </si>
  <si>
    <t>4.26% Snr Nt Due 06/13/2049</t>
  </si>
  <si>
    <t>2241</t>
  </si>
  <si>
    <t>5.21% MTN Due 9/1/2020 - Due within 1 Year</t>
  </si>
  <si>
    <t>2270</t>
  </si>
  <si>
    <t>40</t>
  </si>
  <si>
    <t>Operating Lease Liability - Noncurrent</t>
  </si>
  <si>
    <t>41</t>
  </si>
  <si>
    <t>Financing Lease Liability - Noncurrent</t>
  </si>
  <si>
    <t>323</t>
  </si>
  <si>
    <t>Accts Pay - Child Support</t>
  </si>
  <si>
    <t>Accts Pay - WBI</t>
  </si>
  <si>
    <t>Accrued Provision - Injuries &amp; Damages Current</t>
  </si>
  <si>
    <t>WA2</t>
  </si>
  <si>
    <t>Interest Accrued - 3.62% Sr Nt due 6/13/2029</t>
  </si>
  <si>
    <t>Interest Accrued - 3.82% Sr Nt due 6/13/2034</t>
  </si>
  <si>
    <t>Interest Accrued - 4.26% Sr Nt due 6/13/2049</t>
  </si>
  <si>
    <t>2370</t>
  </si>
  <si>
    <t>Interest Accrued - Short-term debt</t>
  </si>
  <si>
    <t>Other Taxes Accrued - Dept. of Energy Fee</t>
  </si>
  <si>
    <t>01288</t>
  </si>
  <si>
    <t>Other Deferred Credits - Temporary Gas Cst 3-year Ammortization</t>
  </si>
  <si>
    <t>01289</t>
  </si>
  <si>
    <t>Adjustment Clearing</t>
  </si>
  <si>
    <t>2430</t>
  </si>
  <si>
    <t>Operating Lease Liability - Current</t>
  </si>
  <si>
    <t>Accrued Provision - Injuries &amp; Damages Non Current</t>
  </si>
  <si>
    <t>FAS 158 - MDUR Pension</t>
  </si>
  <si>
    <t>0109</t>
  </si>
  <si>
    <t>FAS 158 - MDUR Post-Retirement</t>
  </si>
  <si>
    <t>02011</t>
  </si>
  <si>
    <t>Core Gas Supply Hedging</t>
  </si>
  <si>
    <t>20488</t>
  </si>
  <si>
    <t>20489</t>
  </si>
  <si>
    <t>Other Regulatory Liabilities - OR Temp Federal Income Tax Credit</t>
  </si>
  <si>
    <t>02010</t>
  </si>
  <si>
    <t>001</t>
  </si>
  <si>
    <t>Interdepartmental Rents - MDU</t>
  </si>
  <si>
    <t>048</t>
  </si>
  <si>
    <t>Interdepartmental Rents - IGC</t>
  </si>
  <si>
    <t>Unbilled Gas Revenue - Residential Conservation</t>
  </si>
  <si>
    <t>Unbilled Gas Revenue - Commercial Conservation</t>
  </si>
  <si>
    <t>4962</t>
  </si>
  <si>
    <t>January 2019</t>
  </si>
  <si>
    <t>February 2019</t>
  </si>
  <si>
    <t>March 2019</t>
  </si>
  <si>
    <t>April 2019</t>
  </si>
  <si>
    <t>May 2019</t>
  </si>
  <si>
    <t>June 2019</t>
  </si>
  <si>
    <t>July 2019</t>
  </si>
  <si>
    <t>August 2019</t>
  </si>
  <si>
    <t>September 2019</t>
  </si>
  <si>
    <t>October 2019</t>
  </si>
  <si>
    <t>November 2019</t>
  </si>
  <si>
    <t>December 2019</t>
  </si>
  <si>
    <t>CY 2018 Allocation Factors to be used in CY 2019</t>
  </si>
  <si>
    <t xml:space="preserve">2020 Adjustment </t>
  </si>
  <si>
    <t>2019 Actual Deferral</t>
  </si>
  <si>
    <t xml:space="preserve">2019 Actual Amortization </t>
  </si>
  <si>
    <t xml:space="preserve">2018 Balance </t>
  </si>
  <si>
    <t>12 Months ended December 31, 2019</t>
  </si>
  <si>
    <t>2020 Plant Additions</t>
  </si>
  <si>
    <t>2020 PLANT ADDITIONS</t>
  </si>
  <si>
    <t>UG 20 _____</t>
  </si>
  <si>
    <t>FP-101480 UG Implement Maximo Ph 1 CNG Direct</t>
  </si>
  <si>
    <t>FP-302596 WALLULA GATE; GTN</t>
  </si>
  <si>
    <t>FP-302621 LV CUSTOMER WEB SITE - DIRECT</t>
  </si>
  <si>
    <t>FP-306998 SOUTH WALLA GATE-WILLIAMS COSTS</t>
  </si>
  <si>
    <t>FP-316019 UG GIS ESRI UPGRADE - CNG DIRECT</t>
  </si>
  <si>
    <t>FP-316047 UG GIS LANDBASE - CNG DIRECT COST</t>
  </si>
  <si>
    <t>FP-316182 UG 2018 CC&amp;B UPGRADE - CNG DIRECT</t>
  </si>
  <si>
    <t>FP-316269 UG WEBLOGIC FOR JDE - CNG DIRE</t>
  </si>
  <si>
    <t>FP-316289 PowerPlan Lease CNG</t>
  </si>
  <si>
    <t>FP-316361 UG 2018 SCADA ENHANCE-CNG DIRECT</t>
  </si>
  <si>
    <t>FP-316451 UG Purch RabMQ Software CNG Direct</t>
  </si>
  <si>
    <t>FP-317322 ARLINGTON GATE UPGR; WILLIAMS COSTS</t>
  </si>
  <si>
    <t>FP-317617 UG-Migrate Aligne CNG Direct</t>
  </si>
  <si>
    <t>FP-318808 GR-OTHELLO-GT-OTHELLO GATE NWP</t>
  </si>
  <si>
    <t>FP-318822 Impl myWorld Leak Survey at CNGC</t>
  </si>
  <si>
    <t>FP-318987 GR-OTHELLO-NWP LAT FA COSTS</t>
  </si>
  <si>
    <t>FP-312009 - RP;R-130 (R-25) BURBANK</t>
  </si>
  <si>
    <t>FP-316034 - MAOP; 8" HP; OTHE; 11,500' W LEE RD</t>
  </si>
  <si>
    <t>FP-316046 - MAOP; 8" HP; YAKI; 4,500' YAKIMA RI</t>
  </si>
  <si>
    <t>FP-317060 - FRL; 10" HP; BELL; 2900' STATEBRIDG</t>
  </si>
  <si>
    <t>FP-316823 - RP; O-12(O-5) DEMI; DIRINJECT</t>
  </si>
  <si>
    <t>FP-316822 - RP; O-4(O-4) LAWR; DIRINJECT</t>
  </si>
  <si>
    <t>FP-316587 - RF; WALLULA GATE; R-127 &amp; O-14</t>
  </si>
  <si>
    <t>FP-316586 - RP; R-187 ARLINGTON GATE</t>
  </si>
  <si>
    <t>FP-101288 Purchase calibration field kit</t>
  </si>
  <si>
    <t>FP-101413 REPLACE WAREHOUSE FENCE WALLA WALLA</t>
  </si>
  <si>
    <t>FP-200043 RPL 8" TRANSMISSION BELFAIR</t>
  </si>
  <si>
    <t>FP-309960 Anacortes Upgrade</t>
  </si>
  <si>
    <t>FP-316146 RP; R-178 (R-137) FERNDALE</t>
  </si>
  <si>
    <t>FP-316589 RF; S WALLA GATE; R-4 &amp; O-2</t>
  </si>
  <si>
    <t>FP-317519 RP; 2" ST; SHELTON; 7,034' PH 3 SEC</t>
  </si>
  <si>
    <t>FP-317528 RP; 3/4" SL; SHELTON; PH 3 SEC 1 SE</t>
  </si>
  <si>
    <t>FP-317535 GR; R-128 BURB;TIE-IN TO ATTAL</t>
  </si>
  <si>
    <t>FP-317609 GR; R-80 ABER; BASICH BLV</t>
  </si>
  <si>
    <t>FP-318325 CRM, RP; 3/4" SL; ANACORT; PH 7 S 2</t>
  </si>
  <si>
    <t>FP-319086 GR; 4"; PE; WRIC; 2946; PARA</t>
  </si>
  <si>
    <t>FP-319193 MN,ILLAHEE PRESERVE,BREMERTON,WA</t>
  </si>
  <si>
    <t>FP-319209 GR; 4" HP; KALA; 2,500' SPENCER CRE</t>
  </si>
  <si>
    <t>FP-319238 MN,13559' SOUND VIEW,BREMERTON,WA</t>
  </si>
  <si>
    <t>FP-319247 RL;2"ST;YAKI;2,000'</t>
  </si>
  <si>
    <t>FP-319256 GR; 2" PE; PROS; 2,500'</t>
  </si>
  <si>
    <t>FP-319257 GR;4" SL; PROS; 1500 PATERSON RD</t>
  </si>
  <si>
    <t>Ties to account 2520 as shown in the tab titled "Working Capital Work Paper" cell S547-S551</t>
  </si>
  <si>
    <t>UG 20____</t>
  </si>
  <si>
    <t>2019 Property Tax Rate [1]</t>
  </si>
  <si>
    <t>2019 Assessment (Final)</t>
  </si>
  <si>
    <t>Actual taxes to be paid in 2019</t>
  </si>
  <si>
    <t xml:space="preserve">2ND HALF OF SPONSORSHIP       </t>
  </si>
  <si>
    <t xml:space="preserve">THUNDER MOUNTAIN PRO RODEO    </t>
  </si>
  <si>
    <t>RODEO BUCKING CHUTE SPONSORSHI</t>
  </si>
  <si>
    <t xml:space="preserve">SPONSORSHIP                   </t>
  </si>
  <si>
    <t xml:space="preserve">C CANNON 2-19                 </t>
  </si>
  <si>
    <t xml:space="preserve">Grandview Herald              </t>
  </si>
  <si>
    <t xml:space="preserve">Pendleton Babe Ruth           </t>
  </si>
  <si>
    <t xml:space="preserve">2019 8X8 SIGN SPONSOR         </t>
  </si>
  <si>
    <t xml:space="preserve">CAPECO                        </t>
  </si>
  <si>
    <t xml:space="preserve">BRONZE SPONSOR-DANCING STARS  </t>
  </si>
  <si>
    <t xml:space="preserve">Acct 300311214                </t>
  </si>
  <si>
    <t xml:space="preserve">FESTIVAL OF TREES             </t>
  </si>
  <si>
    <t xml:space="preserve">SPONSOR                       </t>
  </si>
  <si>
    <t xml:space="preserve">RCL 4768900 TO 4768700 CONSER </t>
  </si>
  <si>
    <t xml:space="preserve">PRODUCTION &amp; SPONSORSHIP      </t>
  </si>
  <si>
    <t>WA Direct</t>
  </si>
  <si>
    <t xml:space="preserve">UMATILLA CO FAIR PROMO 2019   </t>
  </si>
  <si>
    <t xml:space="preserve">'19 Pendleton Round Up Promo  </t>
  </si>
  <si>
    <t xml:space="preserve">EAST OREGONIAN                </t>
  </si>
  <si>
    <t xml:space="preserve">WELCOME TO PENDLETON 2019     </t>
  </si>
  <si>
    <t xml:space="preserve">NATL 4H WEEK ACCT 20856       </t>
  </si>
  <si>
    <t xml:space="preserve">ACCT 20856                    </t>
  </si>
  <si>
    <t xml:space="preserve">M ROGERS 6-19                 </t>
  </si>
  <si>
    <t xml:space="preserve">Welcome Baskets               </t>
  </si>
  <si>
    <t xml:space="preserve">July '19 Marketing            </t>
  </si>
  <si>
    <t xml:space="preserve">arena sign                    </t>
  </si>
  <si>
    <t xml:space="preserve">SHELTON MASON COUNTY          </t>
  </si>
  <si>
    <t xml:space="preserve">SPONSORED BASKET              </t>
  </si>
  <si>
    <t xml:space="preserve">2019 PROGRAM ADVERTISING      </t>
  </si>
  <si>
    <t xml:space="preserve">ALPHA MEDIA GRAYS HARBOR      </t>
  </si>
  <si>
    <t xml:space="preserve">SPONSOR HOLE                  </t>
  </si>
  <si>
    <t xml:space="preserve">Oysterfest 2019               </t>
  </si>
  <si>
    <t xml:space="preserve">program ad                    </t>
  </si>
  <si>
    <t xml:space="preserve">ARENA SIGN SPONSOR            </t>
  </si>
  <si>
    <t xml:space="preserve">AD DEPARTMENT, INC            </t>
  </si>
  <si>
    <t xml:space="preserve">Grandview Herald July 4 ad    </t>
  </si>
  <si>
    <t xml:space="preserve">CONFIRMATION NO 50225         </t>
  </si>
  <si>
    <t xml:space="preserve">FULL PAGE AD                  </t>
  </si>
  <si>
    <t xml:space="preserve">ACCT 29324 RENEWAL            </t>
  </si>
  <si>
    <t xml:space="preserve">ID: 29324                     </t>
  </si>
  <si>
    <t>gold sponsorship</t>
  </si>
  <si>
    <t>BISMARCK MANDAN TENNIS ASSOCIA</t>
  </si>
  <si>
    <t>SPONSORSHIP</t>
  </si>
  <si>
    <t>NORTH DAKOTA PROFESSIONAL COMM</t>
  </si>
  <si>
    <t>MISSOURI RIVER CLAY TARGET LEA</t>
  </si>
  <si>
    <t>C FONG 2-19</t>
  </si>
  <si>
    <t>RELENTLESS 5K</t>
  </si>
  <si>
    <t>MANDAN PROGRESS ORGANIZATION</t>
  </si>
  <si>
    <t>BISMARCK LARKS BASEBALL TEAM</t>
  </si>
  <si>
    <t>C FONG 6-19</t>
  </si>
  <si>
    <t>CHS FOOTBALL BOOSTER CLUB</t>
  </si>
  <si>
    <t>IOGCC-Interstate Oil &amp; Gas Com</t>
  </si>
  <si>
    <t>2019 RATE CARD &amp; CONTRACT</t>
  </si>
  <si>
    <t>BISMARCK-MANDAN CHAMBER OF COM</t>
  </si>
  <si>
    <t>Acct 1051-Babe Ruth sponsor</t>
  </si>
  <si>
    <t>BISMARCK PARKS &amp; RECREATION DI</t>
  </si>
  <si>
    <t>adv 145226</t>
  </si>
  <si>
    <t>PRAIRIE BUSINESS</t>
  </si>
  <si>
    <t>Bis-Man Chamber Campaign</t>
  </si>
  <si>
    <t>C FONG 1-19</t>
  </si>
  <si>
    <t>magnet clip</t>
  </si>
  <si>
    <t>Coaches Choice Inc</t>
  </si>
  <si>
    <t>patriot publications</t>
  </si>
  <si>
    <t>CENTURY HIGH SCHOOL</t>
  </si>
  <si>
    <t>acct 10460043089</t>
  </si>
  <si>
    <t>BISMARCK TRIBUNE - advertising</t>
  </si>
  <si>
    <t>backpacks</t>
  </si>
  <si>
    <t>convention welcome bags</t>
  </si>
  <si>
    <t>NORTH DAKOTA NEWSPAPER ASSOC</t>
  </si>
  <si>
    <t>Governor Cup Golf Birdie Level</t>
  </si>
  <si>
    <t>MONTANA CHAMBER FOUNDATION</t>
  </si>
  <si>
    <t>Issue 04 - 1/2 pg Ad</t>
  </si>
  <si>
    <t>Donation</t>
  </si>
  <si>
    <t>MANDAN GIRLS SOCCER BOOSTER CL</t>
  </si>
  <si>
    <t>Sponsor Eight Teams</t>
  </si>
  <si>
    <t>CITYSCAN AD 2019</t>
  </si>
  <si>
    <t>NORTH DAKOTA LEAGUE OF CITIES</t>
  </si>
  <si>
    <t>DEATH BY CHOC SPONSORHIP</t>
  </si>
  <si>
    <t>GIRL SCOUTS DAKOTA HORIZONS</t>
  </si>
  <si>
    <t>Acct 104-60043089</t>
  </si>
  <si>
    <t>DINNER SPONSOR</t>
  </si>
  <si>
    <t>BISMARCK STATE COLLEGE</t>
  </si>
  <si>
    <t>ACCT 00RXC9</t>
  </si>
  <si>
    <t>INK PUBLISHING CORPORATION</t>
  </si>
  <si>
    <t>C/N 599093</t>
  </si>
  <si>
    <t>VERNON COMPANY</t>
  </si>
  <si>
    <t>Larks STEM night event</t>
  </si>
  <si>
    <t>A BLESSUM 5-19</t>
  </si>
  <si>
    <t>MARCH PAT PUB</t>
  </si>
  <si>
    <t>silver sponsor PBR Bismarck</t>
  </si>
  <si>
    <t>Chad Berger Bucking Bulls</t>
  </si>
  <si>
    <t>silver sponsor-econ dev week</t>
  </si>
  <si>
    <t>WILLISTON ECONOMIC DEVELOPMENT</t>
  </si>
  <si>
    <t>2019 womens business summit</t>
  </si>
  <si>
    <t>CENTER FOR TECHNOLOGY &amp; BUSINE</t>
  </si>
  <si>
    <t>ads</t>
  </si>
  <si>
    <t>advertising</t>
  </si>
  <si>
    <t>IT'S HER BRAND MAGAZINE</t>
  </si>
  <si>
    <t>C FONG 9-19</t>
  </si>
  <si>
    <t>BIS MARATHON COR G/L</t>
  </si>
  <si>
    <t>DART ROCKET</t>
  </si>
  <si>
    <t>FLEXIBLE PENCILS</t>
  </si>
  <si>
    <t>GRAVITATE POLOS</t>
  </si>
  <si>
    <t>NITRO BASKETBALL DONATION</t>
  </si>
  <si>
    <t>RICK SCHOCK - BISMARCK NITRO</t>
  </si>
  <si>
    <t>104-60043089 due on acct</t>
  </si>
  <si>
    <t>Leadership Conf. Sponsorship</t>
  </si>
  <si>
    <t>SD BROADCASTERS ASSOCIATION</t>
  </si>
  <si>
    <t>MILITARY EMERGENCY RELIEF FUND</t>
  </si>
  <si>
    <t>KUPPER-CHEVROLET</t>
  </si>
  <si>
    <t>SILVER SPONSORSHIP</t>
  </si>
  <si>
    <t>DAKOTA WEST ARTS COUNCIL INVOI</t>
  </si>
  <si>
    <t>United Way Events</t>
  </si>
  <si>
    <t>N FERDERER 7-19</t>
  </si>
  <si>
    <t>V-102676</t>
  </si>
  <si>
    <t>WO V-102548</t>
  </si>
  <si>
    <t>WO V-102553</t>
  </si>
  <si>
    <t>20 FAST PASSES</t>
  </si>
  <si>
    <t>2019 DUCK RACE</t>
  </si>
  <si>
    <t>BISMARCK FIGURE SKATING CLUB</t>
  </si>
  <si>
    <t>2019-20 yr 1 of 3</t>
  </si>
  <si>
    <t>BOBCAT HOCKEY</t>
  </si>
  <si>
    <t>ad</t>
  </si>
  <si>
    <t>ALERT MAGAZINE</t>
  </si>
  <si>
    <t>Cybercon Sponsor</t>
  </si>
  <si>
    <t>Doc. 3107</t>
  </si>
  <si>
    <t>JULY 2019 ND SALES TAX REFUND</t>
  </si>
  <si>
    <t>Doc. 3108</t>
  </si>
  <si>
    <t>TWO ICE LOGOS</t>
  </si>
  <si>
    <t>Volleyball Team Sponsorship</t>
  </si>
  <si>
    <t>6 ads Star Newspaper</t>
  </si>
  <si>
    <t>Acct 5896-1111800</t>
  </si>
  <si>
    <t>US-YELLOW PAGES</t>
  </si>
  <si>
    <t>CITYSCAN ADVERTISING</t>
  </si>
  <si>
    <t>Cyber summit sponsor</t>
  </si>
  <si>
    <t>GREAT PLAINS INSTITUTE</t>
  </si>
  <si>
    <t>ENTERTAINMENT</t>
  </si>
  <si>
    <t>GEIGER, JIM</t>
  </si>
  <si>
    <t>program ad</t>
  </si>
  <si>
    <t>MANDAN BOYS HOCKEY</t>
  </si>
  <si>
    <t>Savor the Flavor</t>
  </si>
  <si>
    <t>R O''NEILL 9-19</t>
  </si>
  <si>
    <t>Sponsorship, EmPower ND</t>
  </si>
  <si>
    <t>J DEVER 9-19</t>
  </si>
  <si>
    <t>STUDENT COUNCIL DONATION</t>
  </si>
  <si>
    <t>MANDAN HIGH SCHOOL</t>
  </si>
  <si>
    <t>2019 Policy Summit</t>
  </si>
  <si>
    <t>GREATER NORTH DAKOTA CHAMBER O</t>
  </si>
  <si>
    <t>Bismarck Marathon sponsorship</t>
  </si>
  <si>
    <t>A BLESSUM 10-19</t>
  </si>
  <si>
    <t>Chamber Leadership event</t>
  </si>
  <si>
    <t>EDC-TRC Campaign</t>
  </si>
  <si>
    <t>Fall Art show ad</t>
  </si>
  <si>
    <t>BISMARCK ART &amp; GALLERIES ASSOC</t>
  </si>
  <si>
    <t>Mile marker supplies</t>
  </si>
  <si>
    <t>A BLESSUM 9-19</t>
  </si>
  <si>
    <t>MT Newspaper group meeting</t>
  </si>
  <si>
    <t>M HANSON 10-19</t>
  </si>
  <si>
    <t>newspaper ads</t>
  </si>
  <si>
    <t>THE MHS COURIER</t>
  </si>
  <si>
    <t>Runner shirts</t>
  </si>
  <si>
    <t>school paper ads</t>
  </si>
  <si>
    <t>BHS Hi-Herald</t>
  </si>
  <si>
    <t>Volunteer shirts</t>
  </si>
  <si>
    <t>WILLISTON PETROLEUM BANQUET</t>
  </si>
  <si>
    <t>WILLISTON API</t>
  </si>
  <si>
    <t>Workshop supporter</t>
  </si>
  <si>
    <t>WESTERN GOVERNORS ASSOCIATION</t>
  </si>
  <si>
    <t>ADVERTISING SPECIALS</t>
  </si>
  <si>
    <t>CAPITAL TROPHY, INC</t>
  </si>
  <si>
    <t>Community Bowl support</t>
  </si>
  <si>
    <t>BISMARCK MANDAN CHAMBER FOUNDA</t>
  </si>
  <si>
    <t>104-60043089</t>
  </si>
  <si>
    <t>Acct 1593</t>
  </si>
  <si>
    <t>CUST 1593</t>
  </si>
  <si>
    <t>Golf draw pak</t>
  </si>
  <si>
    <t>MEDIEVAL RUSH</t>
  </si>
  <si>
    <t>RAW RECREATION ATHLETIC WELLNE</t>
  </si>
  <si>
    <t>mini cutting board</t>
  </si>
  <si>
    <t>2019 [1]</t>
  </si>
  <si>
    <t xml:space="preserve">2020 Total </t>
  </si>
  <si>
    <t>2021 Wage</t>
  </si>
  <si>
    <t>Jan 1 2019</t>
  </si>
  <si>
    <t>Apr 1 2019</t>
  </si>
  <si>
    <t>28871</t>
  </si>
  <si>
    <t>5110: O&amp;M Straight time allocated to CNG by Business Unit for 2019</t>
  </si>
  <si>
    <t>2019 wage</t>
  </si>
  <si>
    <t>Office Suplies &amp; Expenses</t>
  </si>
  <si>
    <t>Demonstration</t>
  </si>
  <si>
    <t>Pipeline</t>
  </si>
  <si>
    <t>Operations</t>
  </si>
  <si>
    <t>Total Revenue Adjustment</t>
  </si>
  <si>
    <t>4760100 EVP Business Dev./Gas Supply</t>
  </si>
  <si>
    <t>4760300 Dir. Process Imprvmt &amp; Oper. Tech</t>
  </si>
  <si>
    <t>4761800 VP Safety, Proc. Improv. Tech.</t>
  </si>
  <si>
    <t>4762000 Technical Training</t>
  </si>
  <si>
    <t>4762300 Dir. Operations Policies &amp; Proc.</t>
  </si>
  <si>
    <t>4762500 VP Field Operations</t>
  </si>
  <si>
    <t>4763000 Dir. Quality Control</t>
  </si>
  <si>
    <t>4765800 Dir. Operations Services</t>
  </si>
  <si>
    <t>4766000 VP Operations &amp; Eng. Services</t>
  </si>
  <si>
    <t>4766300 Dir. of Construction Services</t>
  </si>
  <si>
    <t>4766400 Mgr. Operations Systems</t>
  </si>
  <si>
    <t>4766500 Dir. Systems Integrity</t>
  </si>
  <si>
    <t>47665WA Dir. Systems Integrity</t>
  </si>
  <si>
    <t>4766600 Safety Mgmt. &amp; Qlty. Assur.</t>
  </si>
  <si>
    <t>4766900 Dir. of Engineering Services</t>
  </si>
  <si>
    <t>4767100 Customer Service Director</t>
  </si>
  <si>
    <t>4767200 Meridian Customer Service</t>
  </si>
  <si>
    <t>4767300 Customer Development Service</t>
  </si>
  <si>
    <t>4767600 Information Tech, Director</t>
  </si>
  <si>
    <t>4767900 Field Automation</t>
  </si>
  <si>
    <t>4769000 Environmental</t>
  </si>
  <si>
    <t>4769200 EVP Reg Cust Srv</t>
  </si>
  <si>
    <t>4769300 Dir. Gas Supply &amp; Control</t>
  </si>
  <si>
    <t>4769600 President &amp; CEO</t>
  </si>
  <si>
    <t>4769800 Dir. Safety &amp; Technical Training</t>
  </si>
  <si>
    <t>Jan-2019 Plant</t>
  </si>
  <si>
    <t>Jan-2019 Reserve</t>
  </si>
  <si>
    <t>Feb-2019 Plant</t>
  </si>
  <si>
    <t>Feb-2019 Reserve</t>
  </si>
  <si>
    <t>Mar-2019 Plant</t>
  </si>
  <si>
    <t>Mar-2019 Reserve</t>
  </si>
  <si>
    <t>Apr-2019 Plant</t>
  </si>
  <si>
    <t>Apr-2019 Reserve</t>
  </si>
  <si>
    <t>May-2019 Plant</t>
  </si>
  <si>
    <t>May-2019 Reserve</t>
  </si>
  <si>
    <t>Jun-2019 Plant</t>
  </si>
  <si>
    <t>Jun-2019 Reserve</t>
  </si>
  <si>
    <t>Jul-2019 Plant</t>
  </si>
  <si>
    <t>Jul-2019 Reserve</t>
  </si>
  <si>
    <t>Aug-2019 Plant</t>
  </si>
  <si>
    <t>Aug-2019 Reserve</t>
  </si>
  <si>
    <t>Sept-2019 Plant</t>
  </si>
  <si>
    <t>Sept-2019 Reserve</t>
  </si>
  <si>
    <t>Oct-2019 Plant</t>
  </si>
  <si>
    <t>Oct-2019 Reserve</t>
  </si>
  <si>
    <t>Nov-2019 Plant</t>
  </si>
  <si>
    <t>Nov-2019 Reserve</t>
  </si>
  <si>
    <t>Dec-2019 Plant</t>
  </si>
  <si>
    <t>Dec-2019 Reserve</t>
  </si>
  <si>
    <t>CNG-303-G-Intang-00100-10 YR-2019</t>
  </si>
  <si>
    <t>CNG-303-G-Intang-00100-12 YR-2019</t>
  </si>
  <si>
    <t>CNG-303-G-Intang-00100-5 YR-2019</t>
  </si>
  <si>
    <t>CNG-303-G-Intang-00100-7 YR-2019</t>
  </si>
  <si>
    <t>CNG-303-G-Intang-00100-8 YR-2019</t>
  </si>
  <si>
    <t>CNG-303-G-Intang-00100-PowerPlan</t>
  </si>
  <si>
    <t>FP-317290 Building remodel for Bellingham Dis</t>
  </si>
  <si>
    <t>FP-317387 MGP site restoration</t>
  </si>
  <si>
    <t>FP-318352 Bremerton District Office Remodel</t>
  </si>
  <si>
    <t>FP-318797 Instl District Strge Fclty Kelso</t>
  </si>
  <si>
    <t>FP-318801 Instl Asphalt in Storage Area Kelso</t>
  </si>
  <si>
    <t>FP-319044 CONST SERV - NEW BLDG ADD - MT VERN</t>
  </si>
  <si>
    <t xml:space="preserve">FP-319052 BUILDING UPGARDES </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</si>
  <si>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</si>
  <si>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</si>
  <si>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</si>
  <si>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</si>
  <si>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</si>
  <si>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</si>
  <si>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FP-319120 Instl Cement Floor Barn Walla Walla</t>
  </si>
  <si>
    <t>FP-319146  OFFICE REMODEL</t>
  </si>
  <si>
    <t>FP-319284  12" Mueller Shell Cutter and Stoppe</t>
  </si>
  <si>
    <t>FP-319289  PURCHASE FUME EXTRACTOR BREMERTON</t>
  </si>
  <si>
    <t>FP-200663 UG-GIS Enhancements CNGC</t>
  </si>
  <si>
    <t>FP-316284 GIS High Acc Trans Line Surv Enhanc</t>
  </si>
  <si>
    <t>FP-316102 UG-GIS Pipeline Inspection System</t>
  </si>
  <si>
    <t>FP-317101 UG-JDEdwards AS400 to Oracle DB</t>
  </si>
  <si>
    <t>FP-318846 UG-Impl 2Ring Dashboard for CSC-CNG</t>
  </si>
  <si>
    <t>FP-318893 UG-Impl GIS Offline Mobile Maps-CNG</t>
  </si>
  <si>
    <t>FP-306967 District Office Access Control Sys</t>
  </si>
  <si>
    <t>FP-316915 Pur replacement display devices</t>
  </si>
  <si>
    <t>FP-318317 Sensit PMD Trainer</t>
  </si>
  <si>
    <t>FP-318319 Sensit GLT Trainer</t>
  </si>
  <si>
    <t>FP-318706 Repl Cisco VoIP Telephone-CNG</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</si>
  <si>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</si>
  <si>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</si>
  <si>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</si>
  <si>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</si>
  <si>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</si>
  <si>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</si>
  <si>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</si>
  <si>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</si>
  <si>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</si>
  <si>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FP-319045 TAP TRUCK HYDRAULIC SYSTEM</t>
  </si>
  <si>
    <t xml:space="preserve">FP-319048 Mueller Equipment </t>
  </si>
  <si>
    <t>FP-319053 NEW WELDER YAK FAB SHOP</t>
  </si>
  <si>
    <t>FP-319100 Purch Threading Machine Walla Walla</t>
  </si>
  <si>
    <t>FP-319101 Pur Xtndble Squze Tool Walla Walla</t>
  </si>
  <si>
    <t>FP-319102 Purch Storage Cabinet Walla Walla</t>
  </si>
  <si>
    <t>FP-319132 Purch Swamp Cooler Wld Shp Wla Wla</t>
  </si>
  <si>
    <t>FP-319143 Purch 2 Squeeze Tools Walla Walla</t>
  </si>
  <si>
    <t>FP-319147 Purchase Air Compressor Walla Walla</t>
  </si>
  <si>
    <t>FP-306980 ERT Replacement 2020</t>
  </si>
  <si>
    <t>FP-316027 C/M RPL; 2" HP; NOOKSACK; 732'</t>
  </si>
  <si>
    <t>FP-316033 C/M RPL; 3" HP; ZILLAH; 873'</t>
  </si>
  <si>
    <t>FP-316035 C/M RPL; 4" HP; ARLINGTON; 4,700'</t>
  </si>
  <si>
    <t xml:space="preserve">FP-316043 MAOP; 8" HP; BELLINGHAM; 1,800' </t>
  </si>
  <si>
    <t>FP-316044 C/M RPL; 8" HP; BREMERTON; 7,373'</t>
  </si>
  <si>
    <t>FP-316403 CRM; 6" ST; TOPPENISH, 800'</t>
  </si>
  <si>
    <t>FP-316570 C/M RPL; 12" STL HP, LONG/KELSO PH4</t>
  </si>
  <si>
    <t>FP-316580 C/M RPL; 2,6,8" HP; ANACORTES; PH3</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</si>
  <si>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</si>
  <si>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</si>
  <si>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</si>
  <si>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</si>
  <si>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</si>
  <si>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</si>
  <si>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</si>
  <si>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</si>
  <si>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</si>
  <si>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</si>
  <si>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</si>
  <si>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FP-319072 GR; 6" HP&amp;PE;W.RICH; 1.7mi KEENE RD</t>
  </si>
  <si>
    <t>FP-319095 Odorizer site imprvmts Walla Walla</t>
  </si>
  <si>
    <t>FP-319099 Repl Fence R-1 Reg Stn Walla Walla</t>
  </si>
  <si>
    <t>FP-319106 C/M RPL; 8" HP; YAKIMA; PH2</t>
  </si>
  <si>
    <t>FP-319180 GR; 4" PE; LONG; 4,600' KELSO SCHOO</t>
  </si>
  <si>
    <t>FP-319168 Ext Main Noll Rd Poulsbo</t>
  </si>
  <si>
    <t>Depreciation Study Comparison (Includes Base, Salvage, COR)</t>
  </si>
  <si>
    <t>Based on January 2020</t>
  </si>
  <si>
    <t>January</t>
  </si>
  <si>
    <t>Using</t>
  </si>
  <si>
    <t>Proposed</t>
  </si>
  <si>
    <t>Day 1</t>
  </si>
  <si>
    <t>Depr</t>
  </si>
  <si>
    <t>Beginning</t>
  </si>
  <si>
    <t>Actual</t>
  </si>
  <si>
    <t>Monthly</t>
  </si>
  <si>
    <t>Annualized</t>
  </si>
  <si>
    <t>Auto-Retire</t>
  </si>
  <si>
    <t>Retirement</t>
  </si>
  <si>
    <t>Plant Balance</t>
  </si>
  <si>
    <t>Rates</t>
  </si>
  <si>
    <t>Life (Years)</t>
  </si>
  <si>
    <t>Life (Months)</t>
  </si>
  <si>
    <t>Annual</t>
  </si>
  <si>
    <t>301-G-Organization</t>
  </si>
  <si>
    <t>378-G-Measure/Regulation</t>
  </si>
  <si>
    <t>391-G-Software</t>
  </si>
  <si>
    <t>392-G-Trailers</t>
  </si>
  <si>
    <t>392-G-Transportation Equipment</t>
  </si>
  <si>
    <t>396-G-Power Operated Equipment</t>
  </si>
  <si>
    <t>396-G-Trailers-Work Equipment</t>
  </si>
  <si>
    <t>N/A</t>
  </si>
  <si>
    <t>Total CNG</t>
  </si>
  <si>
    <t>Depreciation Total</t>
  </si>
  <si>
    <t>Base Year</t>
  </si>
  <si>
    <t>Change</t>
  </si>
  <si>
    <t>2-8</t>
  </si>
  <si>
    <t>22-29</t>
  </si>
  <si>
    <t>39-41</t>
  </si>
  <si>
    <t>46-65</t>
  </si>
  <si>
    <t>34-35</t>
  </si>
  <si>
    <t xml:space="preserve"> 10-21</t>
  </si>
  <si>
    <t>FP-316923 -C/M RPL 8" MARCH POINT LINE PHASE 2</t>
  </si>
  <si>
    <t>FP-306988 - Walla Walla Mains High Press Steel</t>
  </si>
  <si>
    <t>Less Total Cap Adjustments</t>
  </si>
  <si>
    <t>Less Unbilled Margins Booked</t>
  </si>
  <si>
    <t>FP-101191 - MAIN-REINFORCE-WASHINGTON</t>
  </si>
  <si>
    <t>FP-101194-Reg Station Growth Washingotn</t>
  </si>
  <si>
    <t>FP-317628 MAIN-GROWTH-WALLA WALLA DISTRICT</t>
  </si>
  <si>
    <t>FP-317629 MAIN-REPLACE-WALLA WALLA DISTRICT</t>
  </si>
  <si>
    <t>FP-317630 SERV-GROWTH-WALLA WALLA DISTRICT</t>
  </si>
  <si>
    <t>FP-317631 SERV-REPLACE-WALLA WALLA DISTRICT</t>
  </si>
  <si>
    <t>FP-317632 MAIN-GROWTH-WENATCHEE DISTRICT</t>
  </si>
  <si>
    <t>FP-317633 MAIN-REPLACE-WENATCHEE DISTRICT</t>
  </si>
  <si>
    <t>FP-317634 SERV-GROWTH-WENATCHEE DISTRICT</t>
  </si>
  <si>
    <t>FP-317635 SERV-REPLACE-WENATCHEE DISTRICT</t>
  </si>
  <si>
    <t>FP-317636 MAIN-GROWTH-YAKIMA DISTRICT</t>
  </si>
  <si>
    <t>FP-317637 MAIN-REPLACE-YAKIMA DISTRICT</t>
  </si>
  <si>
    <t>FP-317638 SERV-GROWTH-YAKIMA DISTRICT</t>
  </si>
  <si>
    <t>FP-317639 SERV-REPLACE-YAKIMA DISTRICT</t>
  </si>
  <si>
    <t>FP-317640 MAIN-GROWTH-ABERDEEN DISTRICT</t>
  </si>
  <si>
    <t>FP-317641 MAIN-REPLACE-ABERDEEN DISTRICT</t>
  </si>
  <si>
    <t>FP-317642 SERV-GROWTH-ABERDEEN DISTRICT</t>
  </si>
  <si>
    <t>FP-317643 SERV-REPLACE-ABERDEEN DISTRICT</t>
  </si>
  <si>
    <t>FP-317645 MAIN-REPLACE-BELLINGHAM DISTRICT</t>
  </si>
  <si>
    <t>FP-317646 SERV-GROWTH-BELLINGHAM DISTRICT</t>
  </si>
  <si>
    <t>FP-317647 SERV-REPLACE-BELLINGHAM DISTRICT</t>
  </si>
  <si>
    <t>FP-319111 MAOP MAIN RPL CNG WA</t>
  </si>
  <si>
    <t>FP-319112 MAOP SERV RPL CNG WA</t>
  </si>
  <si>
    <t>FP-317649 MAIN-REPLACE-BREMERTON DISTRICT</t>
  </si>
  <si>
    <t>FP-317650 SERV-GROWTH-BREMERTON DISTRICT</t>
  </si>
  <si>
    <t>FP-317651 SERV-REPLACE-BREMERTON DISTRICT</t>
  </si>
  <si>
    <t>FP-317652 MAIN-GROWTH-LONGVIEW DISTRICT</t>
  </si>
  <si>
    <t>FP-317653 MAIN-REPLACE-LONGVIEW DISTRICT</t>
  </si>
  <si>
    <t>FP-317654 SERV-GROWTH-LONGVIEW DISTRICT</t>
  </si>
  <si>
    <t>FP-317655 SERV-REPLACE-LONGVIEW DISTRICT</t>
  </si>
  <si>
    <t>FP-317656 MAIN-GROWTH-MT VERNON DISTRICT</t>
  </si>
  <si>
    <t>FP-317657 MAIN-REPLACE-MT VERNON DISTRICT</t>
  </si>
  <si>
    <t>FP-317658 SERV-GROWTH-MT VERNON DISTRICT</t>
  </si>
  <si>
    <t>FP-317659 SERV-REPLACE-MT VERNON DISTRICT</t>
  </si>
  <si>
    <t>FP-317744 Tools &amp; Minor Work Equip CNG WA</t>
  </si>
  <si>
    <t>FP-317750 MAIN-GROWTH-KENNEWICK DISTRICT</t>
  </si>
  <si>
    <t>FP-317751 MAIN-REPLACE-KENNEWICK DISTRICT</t>
  </si>
  <si>
    <t>FP-317752 SERV-GROWTH-KENNEWICK DISTRICT</t>
  </si>
  <si>
    <t>FP-317753 SERV-REPLACE-KENNEWICK DISTRICT</t>
  </si>
  <si>
    <t>FP-318092 HPSS Replacements CNG WA</t>
  </si>
  <si>
    <t>FP-318186 Sys Safety &amp; Integ Main Repl CNG WA</t>
  </si>
  <si>
    <t>FP-318187 Sys Safety &amp; Integ Svcs Rpl CNG WA</t>
  </si>
  <si>
    <t>FP-101163 Gas Work Equipment-CNGC</t>
  </si>
  <si>
    <t>FP-101164 IT Network Equipment-CNG</t>
  </si>
  <si>
    <t>FP-101210 Gas Meters-Total Company CNGC</t>
  </si>
  <si>
    <t>FP-101215 Gas Vehicles-CNGC</t>
  </si>
  <si>
    <t>FP-101259 Gas Regulators-Total Company CNGC</t>
  </si>
  <si>
    <t>FP-200662 Personal Computers &amp; Peripherals</t>
  </si>
  <si>
    <t>FP-316445 Toughbook Replacements-CNG</t>
  </si>
  <si>
    <t>FP-316832 Office Structure &amp; Eq-Kennewick GO</t>
  </si>
  <si>
    <t>FP-318192 Fixed Network Equipment-CNG</t>
  </si>
  <si>
    <t>FP-318197 Gas SCADA Equipment-CNG</t>
  </si>
  <si>
    <t>Blanket-Growth</t>
  </si>
  <si>
    <t>Blanket-RF/REPL</t>
  </si>
  <si>
    <t>Blanket work orders.  These projects are routine in nature and typically have offsetting benefits.   Some Funding projects are for forced relocates.  A forced relocate is where the city or municipality requires Cascade to move facilities under the franchise agreement.</t>
  </si>
  <si>
    <t>Blanket growth work orders. These projects are know to improve system dependability (i.e. gas deliverability) in an area without the specific intent to add known new customers. Some projects are construction of new system assets (mains, services, etc.) to deliver gas to known/identified new customers</t>
  </si>
  <si>
    <t>2020 New Customer Revenue Adjustment</t>
  </si>
  <si>
    <t>6/19/2020</t>
  </si>
  <si>
    <t xml:space="preserve">2020 Total - The Company's budget and plant accounting software  </t>
  </si>
  <si>
    <t>FP-317644-MAIN-GROWTH-BELLINGHAM DISTRICT</t>
  </si>
  <si>
    <t>FP-317648-MAIN-GROWTH-BREMERTON DISTRICT</t>
  </si>
  <si>
    <t>Brief Summary</t>
  </si>
  <si>
    <t>The Richland Keene Rd Project includes installing approximately 1.7 miles of 6" PE and 6" HP steel along Keene Rd following a road expansion project. This project will include the Keene Rd pressure increase needed for the existing steel pipe from R-104 to the beginning of this Keene Rd install.  Design is complete, and construction is underway and a portion of the project is expected to be completed in early summer 2020.</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</si>
  <si>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</si>
  <si>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</si>
  <si>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</si>
  <si>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 xml:space="preserve">Bremerton Reg Station Project includes installing one new regulator station to eliminate five smaller regulator stations that are difficult to access and maintain and have a history of leaks. </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</si>
  <si>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</si>
  <si>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</si>
  <si>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</si>
  <si>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See FP-306998.</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</si>
  <si>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</si>
  <si>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 xml:space="preserve">See FP-302596. </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</si>
  <si>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</si>
  <si>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</si>
  <si>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</si>
  <si>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See FP-300233</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</si>
  <si>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</si>
  <si>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The Gibraltar 4” PE Project includes installing approximately 2,800 feet of 4” PE main.  The existing 2” steel main is undersized for the area and represents a bottleneck in the system that will be resolved by increasing the pipe size in this area.</t>
  </si>
  <si>
    <t>Replacing a vintage odorizer with obsolete parts with a new odorizer that performs correctly and can be safely maintained.  Kennewick</t>
  </si>
  <si>
    <t xml:space="preserve">Replacing a vintage odorizer with obsolete parts with a new odorizer that performs correctly and can be safely maintained.  Richland </t>
  </si>
  <si>
    <t>Add Customer Billing Correction</t>
  </si>
  <si>
    <t>Exhibit No. __ (MCP-10)</t>
  </si>
  <si>
    <t>SUPPLEMENTAL SUMMARY OF PROPOSED ADJUSTMENTS TO TEST YEAR RESULTS</t>
  </si>
  <si>
    <t>7/24/20</t>
  </si>
  <si>
    <t>Supplemental Summary of Proposed Adjustments to Test Year Results</t>
  </si>
  <si>
    <t>Exhibit No. __ (MCP-9)</t>
  </si>
  <si>
    <t>Supplemental Revenue Requirement Calculation</t>
  </si>
  <si>
    <t>SUPPLEMENTAL REVENUE REQUIREMENT CALCULATION</t>
  </si>
  <si>
    <t>Exhibit No. __ (MCP-8)</t>
  </si>
  <si>
    <t>Supplemental Results of Operations Summary Sheet</t>
  </si>
  <si>
    <t>SUPPLEMENTAL RESULTS OF OPERATIONS SUMMARY SHEET</t>
  </si>
  <si>
    <t>IDM-7. Column (V), Line 582</t>
  </si>
  <si>
    <t>IDM-7. Column (V), Line 583</t>
  </si>
  <si>
    <t>IDM-7. Column (V), Line 584</t>
  </si>
  <si>
    <t xml:space="preserve"> Exh. IDM-7, column (J), Line 584</t>
  </si>
  <si>
    <t xml:space="preserve"> Exh. IDM-7, column (J), Line 587</t>
  </si>
  <si>
    <t xml:space="preserve"> Exh. IDM-7, column (J), Line 588</t>
  </si>
  <si>
    <t xml:space="preserve"> Exh. IDM-7, column (M), Line 584</t>
  </si>
  <si>
    <t>Exh. IDM-7, column (D), Line 586</t>
  </si>
  <si>
    <t>Exhibit IDM-7, Column (S), Line 584</t>
  </si>
  <si>
    <t>Exhibit IDM-7, Column (P), Line 584</t>
  </si>
  <si>
    <t>Exhibit IDM-7, Column (Y), Line 584</t>
  </si>
  <si>
    <t>Filed</t>
  </si>
  <si>
    <t>Budgeted 2020</t>
  </si>
  <si>
    <t>UG-200278</t>
  </si>
  <si>
    <t>UG200278</t>
  </si>
  <si>
    <t>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</si>
</sst>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_);\(#,##0.000000000\)"/>
    <numFmt numFmtId="193" formatCode="#,##0.0000000000_);[Red]\(#,##0.0000000000\)"/>
    <numFmt numFmtId="194" formatCode="0.00000%"/>
    <numFmt numFmtId="195" formatCode="[$-F800]dddd\,\ mmmm\ dd\,\ yyyy"/>
    <numFmt numFmtId="196" formatCode="#,##0.0000_);\(#,##0.0000\)"/>
    <numFmt numFmtId="197" formatCode="mmm\-yy_)"/>
    <numFmt numFmtId="198" formatCode="0_)"/>
    <numFmt numFmtId="199" formatCode="#,##0.000000_);\(#,##0.000000\)"/>
    <numFmt numFmtId="200" formatCode="#,##0.0000000"/>
    <numFmt numFmtId="201" formatCode="[$-409]m/d/yy\ h:mm\ AM/PM;@"/>
    <numFmt numFmtId="202" formatCode="0_);\(0\)"/>
    <numFmt numFmtId="203" formatCode="#,##0.0"/>
    <numFmt numFmtId="204" formatCode="#,##0.000"/>
    <numFmt numFmtId="205" formatCode="_(&quot;$&quot;* #,##0_);_(&quot;$&quot;* \(#,##0\);_(&quot;$&quot;* &quot;-&quot;??_);_(@_)"/>
    <numFmt numFmtId="206" formatCode="0.0%"/>
  </numFmts>
  <fonts count="1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sz val="11"/>
      <name val="Calibri"/>
      <family val="2"/>
      <scheme val="minor"/>
    </font>
    <font>
      <sz val="10"/>
      <color theme="1"/>
      <name val="Arial Narrow"/>
      <family val="2"/>
    </font>
    <font>
      <sz val="8"/>
      <name val="Calibri"/>
      <family val="2"/>
      <scheme val="minor"/>
    </font>
    <font>
      <sz val="11"/>
      <name val="Calibri"/>
      <family val="2"/>
    </font>
    <font>
      <sz val="11"/>
      <color rgb="FFC00000"/>
      <name val="Calibri"/>
      <family val="2"/>
      <scheme val="minor"/>
    </font>
    <font>
      <b/>
      <sz val="11"/>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1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right style="thick">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right/>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s>
  <cellStyleXfs count="33354">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3"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8" fillId="0" borderId="0" applyFill="0" applyBorder="0" applyProtection="0">
      <alignment horizontal="right"/>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18" fillId="0" borderId="0" applyFill="0" applyBorder="0" applyProtection="0">
      <alignment horizontal="right"/>
    </xf>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8" fillId="0" borderId="0" applyFill="0" applyBorder="0" applyProtection="0">
      <alignment horizontal="right"/>
    </xf>
    <xf numFmtId="0" fontId="18" fillId="0" borderId="139" applyNumberFormat="0" applyFill="0" applyAlignment="0" applyProtection="0"/>
    <xf numFmtId="0" fontId="18" fillId="0" borderId="139"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59" borderId="144"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176" fontId="18" fillId="0" borderId="145">
      <alignment horizontal="justify" vertical="top" wrapTex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35" fillId="0" borderId="147"/>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1" fillId="0" borderId="0"/>
    <xf numFmtId="43" fontId="141" fillId="0" borderId="0" applyFont="0" applyFill="0" applyBorder="0" applyAlignment="0" applyProtection="0"/>
    <xf numFmtId="0" fontId="18" fillId="0" borderId="0" applyFill="0" applyBorder="0" applyProtection="0">
      <alignment horizontal="right"/>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27" fillId="48" borderId="166" applyNumberFormat="0" applyProtection="0">
      <alignment horizontal="left" vertical="center" indent="1"/>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63" fillId="59" borderId="165" applyNumberFormat="0" applyFont="0" applyFill="0" applyAlignment="0" applyProtection="0">
      <protection locked="0"/>
    </xf>
    <xf numFmtId="0" fontId="18" fillId="51" borderId="142" applyNumberFormat="0" applyProtection="0">
      <alignment horizontal="left" vertical="center" indent="1"/>
    </xf>
    <xf numFmtId="0" fontId="110" fillId="77" borderId="161" applyNumberFormat="0" applyAlignment="0" applyProtection="0"/>
    <xf numFmtId="0" fontId="18" fillId="0" borderId="139" applyNumberFormat="0" applyFill="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54" borderId="142" applyNumberFormat="0" applyProtection="0">
      <alignment horizontal="left" vertical="top"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4" fontId="47" fillId="35" borderId="142" applyNumberFormat="0" applyProtection="0">
      <alignment horizontal="left" vertical="center" indent="1"/>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1" borderId="142" applyNumberFormat="0" applyProtection="0">
      <alignment horizontal="left" vertical="top" indent="1"/>
    </xf>
    <xf numFmtId="0" fontId="21" fillId="35" borderId="140" applyNumberFormat="0" applyFont="0" applyAlignment="0" applyProtection="0">
      <alignment horizontal="center"/>
      <protection locked="0"/>
    </xf>
    <xf numFmtId="4" fontId="47" fillId="44" borderId="142" applyNumberFormat="0" applyProtection="0">
      <alignment horizontal="right" vertical="center"/>
    </xf>
    <xf numFmtId="0" fontId="18" fillId="34" borderId="142" applyNumberFormat="0" applyProtection="0">
      <alignment horizontal="left" vertical="top"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0" borderId="142" applyNumberFormat="0" applyProtection="0">
      <alignment horizontal="left" vertical="top" indent="1"/>
    </xf>
    <xf numFmtId="4" fontId="47" fillId="43"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05" fillId="0" borderId="146" applyNumberFormat="0" applyFill="0" applyAlignment="0" applyProtection="0"/>
    <xf numFmtId="4" fontId="47" fillId="45" borderId="142" applyNumberFormat="0" applyProtection="0">
      <alignment horizontal="right" vertical="center"/>
    </xf>
    <xf numFmtId="0" fontId="102" fillId="79" borderId="149"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1"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4" fontId="27" fillId="37" borderId="142" applyNumberFormat="0" applyProtection="0">
      <alignment vertical="center"/>
    </xf>
    <xf numFmtId="0" fontId="18" fillId="85" borderId="142" applyNumberFormat="0" applyProtection="0">
      <alignment horizontal="left" vertical="center" indent="1"/>
    </xf>
    <xf numFmtId="4" fontId="47" fillId="51" borderId="142" applyNumberFormat="0" applyProtection="0">
      <alignment horizontal="righ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14" fillId="79" borderId="141" applyNumberFormat="0" applyAlignment="0" applyProtection="0"/>
    <xf numFmtId="0" fontId="24" fillId="59" borderId="148" applyNumberFormat="0" applyFont="0" applyAlignment="0" applyProtection="0">
      <protection locked="0"/>
    </xf>
    <xf numFmtId="4" fontId="47" fillId="40"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8" fillId="51" borderId="142" applyNumberFormat="0" applyProtection="0">
      <alignment horizontal="left" vertical="top"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left" vertical="top"/>
    </xf>
    <xf numFmtId="0" fontId="18" fillId="54" borderId="142" applyNumberFormat="0" applyProtection="0">
      <alignment horizontal="left" vertical="center" indent="1"/>
    </xf>
    <xf numFmtId="4" fontId="47" fillId="44" borderId="142" applyNumberFormat="0" applyProtection="0">
      <alignment horizontal="right" vertical="center"/>
    </xf>
    <xf numFmtId="0" fontId="114" fillId="79" borderId="141" applyNumberFormat="0" applyAlignment="0" applyProtection="0"/>
    <xf numFmtId="0" fontId="18" fillId="49" borderId="142" applyNumberFormat="0" applyProtection="0">
      <alignment horizontal="left" vertical="top" indent="1"/>
    </xf>
    <xf numFmtId="4" fontId="47" fillId="40" borderId="142" applyNumberFormat="0" applyProtection="0">
      <alignment horizontal="right" vertical="center"/>
    </xf>
    <xf numFmtId="0" fontId="114" fillId="79" borderId="141" applyNumberFormat="0" applyAlignment="0" applyProtection="0"/>
    <xf numFmtId="4" fontId="51" fillId="49" borderId="142" applyNumberFormat="0" applyProtection="0">
      <alignment horizontal="right" vertical="center"/>
    </xf>
    <xf numFmtId="4" fontId="47" fillId="35" borderId="142" applyNumberFormat="0" applyProtection="0">
      <alignment vertical="center"/>
    </xf>
    <xf numFmtId="0" fontId="18" fillId="84" borderId="142" applyNumberFormat="0" applyProtection="0">
      <alignment horizontal="left" vertical="top" indent="1"/>
    </xf>
    <xf numFmtId="4" fontId="25" fillId="49" borderId="142" applyNumberFormat="0" applyProtection="0">
      <alignment horizontal="right" vertical="center"/>
    </xf>
    <xf numFmtId="4" fontId="47" fillId="35" borderId="142" applyNumberFormat="0" applyProtection="0">
      <alignment vertical="center"/>
    </xf>
    <xf numFmtId="0" fontId="18" fillId="50"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4" fontId="47" fillId="46" borderId="142" applyNumberFormat="0" applyProtection="0">
      <alignment horizontal="right" vertical="center"/>
    </xf>
    <xf numFmtId="0" fontId="18" fillId="54"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4" fontId="27" fillId="38" borderId="142" applyNumberFormat="0" applyProtection="0">
      <alignment horizontal="left" vertical="center" indent="1"/>
    </xf>
    <xf numFmtId="0" fontId="18" fillId="55" borderId="142" applyNumberFormat="0" applyProtection="0">
      <alignment horizontal="left" vertical="top" indent="1"/>
    </xf>
    <xf numFmtId="0" fontId="18" fillId="50" borderId="142" applyNumberFormat="0" applyProtection="0">
      <alignment horizontal="left" vertical="top" indent="1"/>
    </xf>
    <xf numFmtId="4" fontId="47" fillId="47" borderId="142" applyNumberFormat="0" applyProtection="0">
      <alignment horizontal="right" vertical="center"/>
    </xf>
    <xf numFmtId="0" fontId="102" fillId="79" borderId="149" applyNumberFormat="0" applyAlignment="0" applyProtection="0"/>
    <xf numFmtId="0" fontId="18" fillId="49" borderId="142" applyNumberFormat="0" applyProtection="0">
      <alignment horizontal="left" vertical="center" indent="1"/>
    </xf>
    <xf numFmtId="0" fontId="105" fillId="0" borderId="146" applyNumberFormat="0" applyFill="0" applyAlignment="0" applyProtection="0"/>
    <xf numFmtId="0" fontId="18" fillId="54" borderId="142" applyNumberFormat="0" applyProtection="0">
      <alignment horizontal="left" vertical="center" indent="1"/>
    </xf>
    <xf numFmtId="0" fontId="18" fillId="55" borderId="142" applyNumberFormat="0" applyProtection="0">
      <alignment horizontal="left" vertical="top" indent="1"/>
    </xf>
    <xf numFmtId="0" fontId="114" fillId="79" borderId="141" applyNumberFormat="0" applyAlignment="0" applyProtection="0"/>
    <xf numFmtId="4" fontId="47" fillId="0" borderId="142" applyNumberFormat="0" applyProtection="0">
      <alignment horizontal="left" vertical="center" indent="1"/>
    </xf>
    <xf numFmtId="0" fontId="18" fillId="49" borderId="142" applyNumberFormat="0" applyProtection="0">
      <alignment horizontal="left" vertical="center" indent="1"/>
    </xf>
    <xf numFmtId="0" fontId="18" fillId="76" borderId="151" applyNumberFormat="0" applyFont="0" applyAlignment="0" applyProtection="0"/>
    <xf numFmtId="0" fontId="18" fillId="34" borderId="142" applyNumberFormat="0" applyProtection="0">
      <alignment horizontal="left" vertical="center" indent="1"/>
    </xf>
    <xf numFmtId="0" fontId="27" fillId="38" borderId="142" applyNumberFormat="0" applyProtection="0">
      <alignment horizontal="left" vertical="top" indent="1"/>
    </xf>
    <xf numFmtId="0" fontId="18" fillId="76" borderId="151" applyNumberFormat="0" applyFont="0" applyAlignment="0" applyProtection="0"/>
    <xf numFmtId="0" fontId="18" fillId="51" borderId="142" applyNumberFormat="0" applyProtection="0">
      <alignment horizontal="left" vertical="center" indent="1"/>
    </xf>
    <xf numFmtId="4" fontId="47" fillId="0" borderId="142" applyNumberFormat="0" applyProtection="0">
      <alignment horizontal="left" vertical="center" indent="1"/>
    </xf>
    <xf numFmtId="0" fontId="18" fillId="49" borderId="142" applyNumberFormat="0" applyProtection="0">
      <alignment horizontal="left" vertical="top" indent="1"/>
    </xf>
    <xf numFmtId="0" fontId="18" fillId="54" borderId="142" applyNumberFormat="0" applyProtection="0">
      <alignment horizontal="left" vertical="top" indent="1"/>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4" fontId="47" fillId="45"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center" indent="1"/>
    </xf>
    <xf numFmtId="0" fontId="18" fillId="49" borderId="142" applyNumberFormat="0" applyProtection="0">
      <alignment horizontal="left" vertical="top" indent="1"/>
    </xf>
    <xf numFmtId="0" fontId="18" fillId="55" borderId="142" applyNumberFormat="0" applyProtection="0">
      <alignment horizontal="left" vertical="center" indent="1"/>
    </xf>
    <xf numFmtId="0" fontId="47" fillId="34" borderId="142" applyNumberFormat="0" applyProtection="0">
      <alignment horizontal="left" vertical="top"/>
    </xf>
    <xf numFmtId="0" fontId="18" fillId="54" borderId="142" applyNumberFormat="0" applyProtection="0">
      <alignment horizontal="left" vertical="top" indent="1"/>
    </xf>
    <xf numFmtId="4" fontId="47" fillId="44" borderId="142" applyNumberFormat="0" applyProtection="0">
      <alignment horizontal="right" vertical="center"/>
    </xf>
    <xf numFmtId="4" fontId="47" fillId="0" borderId="142" applyNumberFormat="0" applyProtection="0">
      <alignment horizontal="right" vertical="center"/>
    </xf>
    <xf numFmtId="0" fontId="18" fillId="51" borderId="142" applyNumberFormat="0" applyProtection="0">
      <alignment horizontal="left" vertical="center" indent="1"/>
    </xf>
    <xf numFmtId="4" fontId="27" fillId="37" borderId="142" applyNumberFormat="0" applyProtection="0">
      <alignment vertical="center"/>
    </xf>
    <xf numFmtId="0" fontId="105" fillId="0" borderId="146" applyNumberFormat="0" applyFill="0" applyAlignment="0" applyProtection="0"/>
    <xf numFmtId="0" fontId="27" fillId="38" borderId="142" applyNumberFormat="0" applyProtection="0">
      <alignment horizontal="left" vertical="top" indent="1"/>
    </xf>
    <xf numFmtId="0" fontId="18" fillId="51" borderId="142" applyNumberFormat="0" applyProtection="0">
      <alignment horizontal="left" vertical="top" indent="1"/>
    </xf>
    <xf numFmtId="0" fontId="47" fillId="34" borderId="142" applyNumberFormat="0" applyProtection="0">
      <alignment horizontal="left" vertical="top"/>
    </xf>
    <xf numFmtId="0" fontId="18" fillId="8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54" borderId="142" applyNumberFormat="0" applyProtection="0">
      <alignment horizontal="left" vertical="center" indent="1"/>
    </xf>
    <xf numFmtId="4" fontId="47" fillId="46" borderId="142" applyNumberFormat="0" applyProtection="0">
      <alignment horizontal="right" vertical="center"/>
    </xf>
    <xf numFmtId="0" fontId="18" fillId="85"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0" fontId="18" fillId="55"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4" fontId="47" fillId="39" borderId="142" applyNumberFormat="0" applyProtection="0">
      <alignment horizontal="right" vertical="center"/>
    </xf>
    <xf numFmtId="4" fontId="27" fillId="34" borderId="143" applyNumberFormat="0" applyProtection="0">
      <alignmen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8" fillId="85"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0" fontId="102" fillId="79" borderId="149" applyNumberFormat="0" applyAlignment="0" applyProtection="0"/>
    <xf numFmtId="0" fontId="18" fillId="76" borderId="151" applyNumberFormat="0" applyFont="0" applyAlignment="0" applyProtection="0"/>
    <xf numFmtId="0" fontId="102" fillId="79" borderId="149" applyNumberFormat="0" applyAlignment="0" applyProtection="0"/>
    <xf numFmtId="4" fontId="27" fillId="37" borderId="142" applyNumberFormat="0" applyProtection="0">
      <alignment vertical="center"/>
    </xf>
    <xf numFmtId="4" fontId="27" fillId="38" borderId="142" applyNumberFormat="0" applyProtection="0">
      <alignment horizontal="left" vertical="center" indent="1"/>
    </xf>
    <xf numFmtId="0" fontId="18" fillId="34" borderId="142" applyNumberFormat="0" applyProtection="0">
      <alignment horizontal="left" vertical="top" indent="1"/>
    </xf>
    <xf numFmtId="4" fontId="47" fillId="51" borderId="142" applyNumberFormat="0" applyProtection="0">
      <alignment horizontal="left" vertical="center" indent="1"/>
    </xf>
    <xf numFmtId="4" fontId="27" fillId="38" borderId="142" applyNumberFormat="0" applyProtection="0">
      <alignment vertical="center"/>
    </xf>
    <xf numFmtId="0" fontId="24" fillId="59" borderId="148" applyNumberFormat="0" applyFont="0" applyAlignment="0" applyProtection="0">
      <protection locked="0"/>
    </xf>
    <xf numFmtId="0" fontId="18" fillId="34" borderId="142" applyNumberFormat="0" applyProtection="0">
      <alignment horizontal="left" vertical="top"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50" borderId="142" applyNumberFormat="0" applyProtection="0">
      <alignment horizontal="left" vertical="top" indent="1"/>
    </xf>
    <xf numFmtId="4" fontId="27" fillId="34" borderId="142" applyNumberForma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center" indent="1"/>
    </xf>
    <xf numFmtId="0" fontId="18" fillId="76" borderId="162" applyNumberFormat="0" applyFont="0" applyAlignment="0" applyProtection="0"/>
    <xf numFmtId="4" fontId="51" fillId="35" borderId="142" applyNumberFormat="0" applyProtection="0">
      <alignment vertical="center"/>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4" borderId="142" applyNumberFormat="0" applyProtection="0">
      <alignment horizontal="left" vertical="top" indent="1"/>
    </xf>
    <xf numFmtId="0" fontId="21" fillId="35" borderId="140" applyNumberFormat="0" applyFont="0" applyAlignment="0" applyProtection="0">
      <alignment horizontal="center"/>
      <protection locked="0"/>
    </xf>
    <xf numFmtId="0" fontId="18" fillId="76" borderId="151" applyNumberFormat="0" applyFont="0" applyAlignment="0" applyProtection="0"/>
    <xf numFmtId="0" fontId="18" fillId="76" borderId="151" applyNumberFormat="0" applyFont="0" applyAlignment="0" applyProtection="0"/>
    <xf numFmtId="0" fontId="105" fillId="0" borderId="146" applyNumberFormat="0" applyFill="0" applyAlignment="0" applyProtection="0"/>
    <xf numFmtId="0" fontId="114" fillId="79" borderId="141" applyNumberFormat="0" applyAlignment="0" applyProtection="0"/>
    <xf numFmtId="0" fontId="114" fillId="79" borderId="141"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top" indent="1"/>
    </xf>
    <xf numFmtId="0" fontId="110" fillId="77" borderId="149" applyNumberFormat="0" applyAlignment="0" applyProtection="0"/>
    <xf numFmtId="0" fontId="18" fillId="51" borderId="142" applyNumberFormat="0" applyProtection="0">
      <alignment horizontal="left" vertical="center" indent="1"/>
    </xf>
    <xf numFmtId="0" fontId="18" fillId="76" borderId="151" applyNumberFormat="0" applyFont="0" applyAlignment="0" applyProtection="0"/>
    <xf numFmtId="4" fontId="47" fillId="40" borderId="142" applyNumberFormat="0" applyProtection="0">
      <alignment horizontal="right" vertical="center"/>
    </xf>
    <xf numFmtId="0" fontId="27" fillId="38" borderId="142" applyNumberFormat="0" applyProtection="0">
      <alignment horizontal="left" vertical="top" indent="1"/>
    </xf>
    <xf numFmtId="0" fontId="18" fillId="49" borderId="142" applyNumberFormat="0" applyProtection="0">
      <alignment horizontal="left" vertical="top" indent="1"/>
    </xf>
    <xf numFmtId="4" fontId="46" fillId="38" borderId="142" applyNumberFormat="0" applyProtection="0">
      <alignment vertical="center"/>
    </xf>
    <xf numFmtId="0" fontId="18" fillId="51" borderId="142" applyNumberFormat="0" applyProtection="0">
      <alignment horizontal="left" vertical="top" indent="1"/>
    </xf>
    <xf numFmtId="4" fontId="47" fillId="59" borderId="142" applyNumberFormat="0" applyProtection="0">
      <alignment horizontal="left" vertical="center" indent="1"/>
    </xf>
    <xf numFmtId="4" fontId="47" fillId="44" borderId="142" applyNumberFormat="0" applyProtection="0">
      <alignment horizontal="right" vertical="center"/>
    </xf>
    <xf numFmtId="0" fontId="105" fillId="0" borderId="146" applyNumberFormat="0" applyFill="0" applyAlignment="0" applyProtection="0"/>
    <xf numFmtId="0" fontId="18" fillId="84" borderId="142" applyNumberFormat="0" applyProtection="0">
      <alignment horizontal="left" vertical="center" indent="1"/>
    </xf>
    <xf numFmtId="0" fontId="18" fillId="55" borderId="142" applyNumberFormat="0" applyProtection="0">
      <alignment horizontal="left" vertical="top" indent="1"/>
    </xf>
    <xf numFmtId="4" fontId="47" fillId="45" borderId="142" applyNumberFormat="0" applyProtection="0">
      <alignment horizontal="right" vertical="center"/>
    </xf>
    <xf numFmtId="4" fontId="47" fillId="0"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42" applyNumberFormat="0" applyProtection="0">
      <alignment horizontal="left" vertical="top" indent="1"/>
    </xf>
    <xf numFmtId="0" fontId="18" fillId="76" borderId="151"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center" indent="1"/>
    </xf>
    <xf numFmtId="4" fontId="47" fillId="40" borderId="142" applyNumberFormat="0" applyProtection="0">
      <alignment horizontal="right" vertical="center"/>
    </xf>
    <xf numFmtId="4" fontId="47" fillId="35" borderId="142" applyNumberFormat="0" applyProtection="0">
      <alignment horizontal="left" vertical="center" indent="1"/>
    </xf>
    <xf numFmtId="0" fontId="105" fillId="0" borderId="146" applyNumberFormat="0" applyFill="0" applyAlignment="0" applyProtection="0"/>
    <xf numFmtId="0" fontId="18" fillId="84" borderId="142" applyNumberFormat="0" applyProtection="0">
      <alignment horizontal="left" vertical="top" indent="1"/>
    </xf>
    <xf numFmtId="4" fontId="47" fillId="0" borderId="142" applyNumberFormat="0" applyProtection="0">
      <alignment horizontal="left" vertical="center" indent="1"/>
    </xf>
    <xf numFmtId="0" fontId="18" fillId="85" borderId="142" applyNumberFormat="0" applyProtection="0">
      <alignment horizontal="left" vertical="center" indent="1"/>
    </xf>
    <xf numFmtId="0" fontId="18" fillId="51" borderId="142" applyNumberFormat="0" applyProtection="0">
      <alignment horizontal="left" vertical="top" indent="1"/>
    </xf>
    <xf numFmtId="4" fontId="51" fillId="35" borderId="142" applyNumberFormat="0" applyProtection="0">
      <alignment vertical="center"/>
    </xf>
    <xf numFmtId="4" fontId="47" fillId="45" borderId="142" applyNumberFormat="0" applyProtection="0">
      <alignment horizontal="right" vertical="center"/>
    </xf>
    <xf numFmtId="0" fontId="18" fillId="55" borderId="142" applyNumberFormat="0" applyProtection="0">
      <alignment horizontal="left" vertical="top" indent="1"/>
    </xf>
    <xf numFmtId="0" fontId="102" fillId="79" borderId="149" applyNumberFormat="0" applyAlignment="0" applyProtection="0"/>
    <xf numFmtId="0" fontId="63" fillId="59" borderId="148" applyNumberFormat="0" applyFont="0" applyFill="0" applyAlignment="0" applyProtection="0">
      <protection locked="0"/>
    </xf>
    <xf numFmtId="0" fontId="18" fillId="49" borderId="142" applyNumberFormat="0" applyProtection="0">
      <alignment horizontal="left" vertical="center" indent="1"/>
    </xf>
    <xf numFmtId="0" fontId="105" fillId="0" borderId="146" applyNumberFormat="0" applyFill="0" applyAlignment="0" applyProtection="0"/>
    <xf numFmtId="0" fontId="47" fillId="34" borderId="142" applyNumberFormat="0" applyProtection="0">
      <alignment horizontal="left" vertical="top"/>
    </xf>
    <xf numFmtId="4" fontId="27" fillId="34" borderId="142" applyNumberFormat="0" applyProtection="0"/>
    <xf numFmtId="4" fontId="27" fillId="34" borderId="142" applyNumberFormat="0" applyProtection="0"/>
    <xf numFmtId="0" fontId="114" fillId="79" borderId="141" applyNumberFormat="0" applyAlignment="0" applyProtection="0"/>
    <xf numFmtId="0" fontId="18" fillId="54" borderId="142" applyNumberFormat="0" applyProtection="0">
      <alignment horizontal="left" vertical="center" indent="1"/>
    </xf>
    <xf numFmtId="0" fontId="18" fillId="34"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center" vertical="top"/>
    </xf>
    <xf numFmtId="4" fontId="47" fillId="41" borderId="142" applyNumberFormat="0" applyProtection="0">
      <alignment horizontal="right" vertical="center"/>
    </xf>
    <xf numFmtId="4" fontId="47" fillId="35" borderId="142" applyNumberFormat="0" applyProtection="0">
      <alignment horizontal="left" vertical="center" indent="1"/>
    </xf>
    <xf numFmtId="0" fontId="18" fillId="76" borderId="151" applyNumberFormat="0" applyFont="0" applyAlignment="0" applyProtection="0"/>
    <xf numFmtId="0" fontId="18" fillId="50" borderId="142" applyNumberFormat="0" applyProtection="0">
      <alignment horizontal="left" vertical="top" indent="1"/>
    </xf>
    <xf numFmtId="0" fontId="114" fillId="79" borderId="141" applyNumberFormat="0" applyAlignment="0" applyProtection="0"/>
    <xf numFmtId="4" fontId="27" fillId="38" borderId="142" applyNumberFormat="0" applyProtection="0">
      <alignment horizontal="left" vertical="center" indent="1"/>
    </xf>
    <xf numFmtId="0" fontId="105" fillId="0" borderId="146" applyNumberFormat="0" applyFill="0" applyAlignment="0" applyProtection="0"/>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4" borderId="142" applyNumberFormat="0" applyProtection="0"/>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49" applyNumberForma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63" fillId="59" borderId="148" applyNumberFormat="0" applyFont="0" applyFill="0" applyAlignment="0" applyProtection="0">
      <protection locked="0"/>
    </xf>
    <xf numFmtId="0" fontId="18" fillId="50" borderId="142" applyNumberFormat="0" applyProtection="0">
      <alignment horizontal="left" vertical="top" indent="1"/>
    </xf>
    <xf numFmtId="0" fontId="18" fillId="76" borderId="151" applyNumberFormat="0" applyFont="0" applyAlignment="0" applyProtection="0"/>
    <xf numFmtId="0" fontId="102" fillId="79" borderId="149" applyNumberFormat="0" applyAlignment="0" applyProtection="0"/>
    <xf numFmtId="0" fontId="18" fillId="49"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top" indent="1"/>
    </xf>
    <xf numFmtId="4" fontId="47" fillId="35" borderId="142" applyNumberFormat="0" applyProtection="0">
      <alignment horizontal="left" vertical="center" indent="1"/>
    </xf>
    <xf numFmtId="4" fontId="27" fillId="34" borderId="142" applyNumberForma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0" fontId="18" fillId="85" borderId="142" applyNumberFormat="0" applyProtection="0">
      <alignment horizontal="left" vertical="center" indent="1"/>
    </xf>
    <xf numFmtId="4" fontId="47" fillId="0" borderId="142" applyNumberFormat="0" applyProtection="0">
      <alignment horizontal="right" vertical="center"/>
    </xf>
    <xf numFmtId="0" fontId="18" fillId="51" borderId="142" applyNumberFormat="0" applyProtection="0">
      <alignment horizontal="left" vertical="top" indent="1"/>
    </xf>
    <xf numFmtId="0" fontId="110" fillId="77" borderId="149" applyNumberFormat="0" applyAlignment="0" applyProtection="0"/>
    <xf numFmtId="0" fontId="18" fillId="76" borderId="151" applyNumberFormat="0" applyFont="0" applyAlignment="0" applyProtection="0"/>
    <xf numFmtId="0" fontId="105" fillId="0" borderId="146" applyNumberFormat="0" applyFill="0" applyAlignment="0" applyProtection="0"/>
    <xf numFmtId="0" fontId="18" fillId="50" borderId="142" applyNumberFormat="0" applyProtection="0">
      <alignment horizontal="left" vertical="center" indent="1"/>
    </xf>
    <xf numFmtId="0" fontId="114" fillId="79" borderId="141" applyNumberFormat="0" applyAlignment="0" applyProtection="0"/>
    <xf numFmtId="0" fontId="114" fillId="79" borderId="141" applyNumberFormat="0" applyAlignment="0" applyProtection="0"/>
    <xf numFmtId="0" fontId="105" fillId="0" borderId="146" applyNumberFormat="0" applyFill="0" applyAlignment="0" applyProtection="0"/>
    <xf numFmtId="0" fontId="105" fillId="0" borderId="146" applyNumberFormat="0" applyFill="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8" borderId="142" applyNumberFormat="0" applyProtection="0">
      <alignment horizontal="left" vertical="center" indent="1"/>
    </xf>
    <xf numFmtId="0" fontId="110" fillId="77" borderId="149" applyNumberFormat="0" applyAlignment="0" applyProtection="0"/>
    <xf numFmtId="0" fontId="18" fillId="51" borderId="142" applyNumberFormat="0" applyProtection="0">
      <alignment horizontal="left" vertical="top" indent="1"/>
    </xf>
    <xf numFmtId="4" fontId="51" fillId="49" borderId="142" applyNumberFormat="0" applyProtection="0">
      <alignment horizontal="right" vertical="center"/>
    </xf>
    <xf numFmtId="0" fontId="18" fillId="76" borderId="162"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top" indent="1"/>
    </xf>
    <xf numFmtId="4" fontId="27" fillId="34" borderId="142" applyNumberFormat="0" applyProtection="0"/>
    <xf numFmtId="0" fontId="26" fillId="0" borderId="150">
      <alignment horizontal="left" vertical="center"/>
    </xf>
    <xf numFmtId="0" fontId="26" fillId="0" borderId="32">
      <alignment horizontal="left" vertical="center"/>
    </xf>
    <xf numFmtId="0" fontId="114" fillId="79" borderId="141" applyNumberFormat="0" applyAlignment="0" applyProtection="0"/>
    <xf numFmtId="4" fontId="27" fillId="38" borderId="142" applyNumberFormat="0" applyProtection="0">
      <alignment horizontal="left" vertical="center" indent="1"/>
    </xf>
    <xf numFmtId="0" fontId="18" fillId="51" borderId="142" applyNumberFormat="0" applyProtection="0">
      <alignment horizontal="left" vertical="top" indent="1"/>
    </xf>
    <xf numFmtId="0" fontId="18" fillId="85" borderId="142" applyNumberFormat="0" applyProtection="0">
      <alignment horizontal="left" vertical="top" indent="1"/>
    </xf>
    <xf numFmtId="0" fontId="18" fillId="49" borderId="142" applyNumberFormat="0" applyProtection="0">
      <alignment horizontal="left" vertical="center" indent="1"/>
    </xf>
    <xf numFmtId="4" fontId="47" fillId="47" borderId="142" applyNumberFormat="0" applyProtection="0">
      <alignment horizontal="right" vertical="center"/>
    </xf>
    <xf numFmtId="0" fontId="110" fillId="77" borderId="149" applyNumberFormat="0" applyAlignment="0" applyProtection="0"/>
    <xf numFmtId="4" fontId="47" fillId="44" borderId="142" applyNumberFormat="0" applyProtection="0">
      <alignment horizontal="right" vertical="center"/>
    </xf>
    <xf numFmtId="0" fontId="18" fillId="51" borderId="142" applyNumberFormat="0" applyProtection="0">
      <alignment horizontal="left" vertical="top" indent="1"/>
    </xf>
    <xf numFmtId="0" fontId="18" fillId="76" borderId="151" applyNumberFormat="0" applyFont="0" applyAlignment="0" applyProtection="0"/>
    <xf numFmtId="4" fontId="47" fillId="39"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4" fontId="47" fillId="0" borderId="142" applyNumberFormat="0" applyProtection="0">
      <alignment horizontal="right" vertical="center"/>
    </xf>
    <xf numFmtId="4" fontId="47" fillId="35" borderId="142" applyNumberFormat="0" applyProtection="0">
      <alignment vertical="center"/>
    </xf>
    <xf numFmtId="4" fontId="47" fillId="39" borderId="142" applyNumberFormat="0" applyProtection="0">
      <alignment horizontal="right" vertical="center"/>
    </xf>
    <xf numFmtId="0" fontId="18" fillId="8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46" fillId="38" borderId="142" applyNumberFormat="0" applyProtection="0">
      <alignment vertical="center"/>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63" fillId="59" borderId="148" applyNumberFormat="0" applyFont="0" applyFill="0" applyAlignment="0" applyProtection="0">
      <protection locked="0"/>
    </xf>
    <xf numFmtId="0" fontId="105" fillId="0" borderId="146" applyNumberFormat="0" applyFill="0" applyAlignment="0" applyProtection="0"/>
    <xf numFmtId="4" fontId="27" fillId="37"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4" fontId="47" fillId="3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34" borderId="142" applyNumberFormat="0" applyProtection="0">
      <alignment horizontal="left" vertical="top" indent="1"/>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0" fontId="18" fillId="55" borderId="142" applyNumberFormat="0" applyProtection="0">
      <alignment horizontal="left" vertical="top" indent="1"/>
    </xf>
    <xf numFmtId="0" fontId="102" fillId="79" borderId="149" applyNumberFormat="0" applyAlignment="0" applyProtection="0"/>
    <xf numFmtId="4" fontId="27" fillId="37" borderId="142" applyNumberFormat="0" applyProtection="0">
      <alignment vertical="center"/>
    </xf>
    <xf numFmtId="0" fontId="102" fillId="79" borderId="149" applyNumberFormat="0" applyAlignment="0" applyProtection="0"/>
    <xf numFmtId="0" fontId="18" fillId="51" borderId="142" applyNumberFormat="0" applyProtection="0">
      <alignment horizontal="left" vertical="top" indent="1"/>
    </xf>
    <xf numFmtId="0" fontId="105" fillId="0" borderId="146" applyNumberFormat="0" applyFill="0" applyAlignment="0" applyProtection="0"/>
    <xf numFmtId="4" fontId="47" fillId="43" borderId="142" applyNumberFormat="0" applyProtection="0">
      <alignment horizontal="right" vertical="center"/>
    </xf>
    <xf numFmtId="0" fontId="18" fillId="85" borderId="142" applyNumberFormat="0" applyProtection="0">
      <alignment horizontal="left" vertical="top" indent="1"/>
    </xf>
    <xf numFmtId="0" fontId="18" fillId="34" borderId="142" applyNumberFormat="0" applyProtection="0">
      <alignment horizontal="left" vertical="top" indent="1"/>
    </xf>
    <xf numFmtId="0" fontId="18" fillId="50" borderId="142" applyNumberFormat="0" applyProtection="0">
      <alignment horizontal="left" vertical="center" indent="1"/>
    </xf>
    <xf numFmtId="4" fontId="47" fillId="47" borderId="142" applyNumberFormat="0" applyProtection="0">
      <alignment horizontal="right" vertical="center"/>
    </xf>
    <xf numFmtId="0" fontId="18" fillId="55" borderId="142" applyNumberFormat="0" applyProtection="0">
      <alignment horizontal="left" vertical="center"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8" fillId="54" borderId="142" applyNumberFormat="0" applyProtection="0">
      <alignment horizontal="left" vertical="top" indent="1"/>
    </xf>
    <xf numFmtId="0" fontId="18" fillId="5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4" borderId="142" applyNumberFormat="0" applyProtection="0">
      <alignment horizontal="left" vertical="center" indent="1"/>
    </xf>
    <xf numFmtId="4" fontId="27" fillId="34" borderId="142" applyNumberFormat="0" applyProtection="0"/>
    <xf numFmtId="0" fontId="114" fillId="79" borderId="163" applyNumberFormat="0" applyAlignment="0" applyProtection="0"/>
    <xf numFmtId="4" fontId="47" fillId="39" borderId="142" applyNumberFormat="0" applyProtection="0">
      <alignment horizontal="right" vertical="center"/>
    </xf>
    <xf numFmtId="0" fontId="18" fillId="34"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47" fillId="34" borderId="142" applyNumberFormat="0" applyProtection="0">
      <alignment horizontal="left" vertical="top"/>
    </xf>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8" fillId="55" borderId="142" applyNumberFormat="0" applyProtection="0">
      <alignment horizontal="left" vertical="center" indent="1"/>
    </xf>
    <xf numFmtId="0" fontId="18" fillId="76" borderId="151" applyNumberFormat="0" applyFont="0" applyAlignment="0" applyProtection="0"/>
    <xf numFmtId="0" fontId="18" fillId="55" borderId="142" applyNumberFormat="0" applyProtection="0">
      <alignment horizontal="left" vertical="top" indent="1"/>
    </xf>
    <xf numFmtId="0" fontId="105" fillId="0" borderId="146" applyNumberFormat="0" applyFill="0" applyAlignment="0" applyProtection="0"/>
    <xf numFmtId="0" fontId="18" fillId="55" borderId="142" applyNumberFormat="0" applyProtection="0">
      <alignment horizontal="left" vertical="top" indent="1"/>
    </xf>
    <xf numFmtId="4" fontId="47" fillId="35" borderId="142" applyNumberFormat="0" applyProtection="0">
      <alignment horizontal="left" vertical="center" indent="1"/>
    </xf>
    <xf numFmtId="4" fontId="27" fillId="38" borderId="142" applyNumberFormat="0" applyProtection="0">
      <alignment horizontal="left" vertical="center" indent="1"/>
    </xf>
    <xf numFmtId="0" fontId="114" fillId="79" borderId="141" applyNumberFormat="0" applyAlignment="0" applyProtection="0"/>
    <xf numFmtId="0" fontId="18" fillId="55" borderId="142" applyNumberFormat="0" applyProtection="0">
      <alignment horizontal="left" vertical="center" indent="1"/>
    </xf>
    <xf numFmtId="0" fontId="18" fillId="54" borderId="142" applyNumberFormat="0" applyProtection="0">
      <alignment horizontal="left" vertical="top" indent="1"/>
    </xf>
    <xf numFmtId="4" fontId="51" fillId="35" borderId="142" applyNumberFormat="0" applyProtection="0">
      <alignment vertical="center"/>
    </xf>
    <xf numFmtId="4" fontId="25" fillId="49" borderId="142" applyNumberFormat="0" applyProtection="0">
      <alignment horizontal="right" vertical="center"/>
    </xf>
    <xf numFmtId="0" fontId="27" fillId="38" borderId="142" applyNumberFormat="0" applyProtection="0">
      <alignment horizontal="left" vertical="top" indent="1"/>
    </xf>
    <xf numFmtId="0" fontId="18" fillId="50" borderId="142" applyNumberFormat="0" applyProtection="0">
      <alignment horizontal="left" vertical="center" indent="1"/>
    </xf>
    <xf numFmtId="0" fontId="114" fillId="79" borderId="141"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05" fillId="0" borderId="146" applyNumberFormat="0" applyFill="0" applyAlignment="0" applyProtection="0"/>
    <xf numFmtId="0" fontId="18" fillId="50" borderId="142" applyNumberFormat="0" applyProtection="0">
      <alignment horizontal="left" vertical="top" indent="1"/>
    </xf>
    <xf numFmtId="0" fontId="110" fillId="77" borderId="149" applyNumberFormat="0" applyAlignment="0" applyProtection="0"/>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4" fontId="25" fillId="49" borderId="142" applyNumberFormat="0" applyProtection="0">
      <alignment horizontal="right" vertical="center"/>
    </xf>
    <xf numFmtId="0" fontId="110" fillId="77" borderId="149" applyNumberFormat="0" applyAlignment="0" applyProtection="0"/>
    <xf numFmtId="0" fontId="18" fillId="49" borderId="142" applyNumberFormat="0" applyProtection="0">
      <alignment horizontal="left" vertical="top" indent="1"/>
    </xf>
    <xf numFmtId="0" fontId="18" fillId="84" borderId="142" applyNumberFormat="0" applyProtection="0">
      <alignment horizontal="left" vertical="top" indent="1"/>
    </xf>
    <xf numFmtId="4" fontId="47" fillId="41" borderId="142" applyNumberFormat="0" applyProtection="0">
      <alignment horizontal="right" vertical="center"/>
    </xf>
    <xf numFmtId="4" fontId="47" fillId="0" borderId="142" applyNumberFormat="0" applyProtection="0">
      <alignment horizontal="right" vertical="center"/>
    </xf>
    <xf numFmtId="0" fontId="114" fillId="79" borderId="141" applyNumberFormat="0" applyAlignment="0" applyProtection="0"/>
    <xf numFmtId="0" fontId="105" fillId="0" borderId="146" applyNumberFormat="0" applyFill="0" applyAlignment="0" applyProtection="0"/>
    <xf numFmtId="4" fontId="47" fillId="46" borderId="142" applyNumberFormat="0" applyProtection="0">
      <alignment horizontal="right" vertical="center"/>
    </xf>
    <xf numFmtId="0" fontId="18" fillId="76" borderId="151" applyNumberFormat="0" applyFont="0" applyAlignment="0" applyProtection="0"/>
    <xf numFmtId="0" fontId="47" fillId="34" borderId="142" applyNumberFormat="0" applyProtection="0">
      <alignment horizontal="left" vertical="top"/>
    </xf>
    <xf numFmtId="4" fontId="47" fillId="46" borderId="142" applyNumberFormat="0" applyProtection="0">
      <alignment horizontal="right" vertical="center"/>
    </xf>
    <xf numFmtId="0" fontId="18" fillId="55" borderId="142" applyNumberFormat="0" applyProtection="0">
      <alignment horizontal="left" vertical="top" indent="1"/>
    </xf>
    <xf numFmtId="0" fontId="18" fillId="51" borderId="142" applyNumberFormat="0" applyProtection="0">
      <alignment horizontal="left" vertical="center" indent="1"/>
    </xf>
    <xf numFmtId="4" fontId="27" fillId="34" borderId="142" applyNumberFormat="0" applyProtection="0"/>
    <xf numFmtId="4" fontId="47" fillId="47" borderId="142" applyNumberFormat="0" applyProtection="0">
      <alignment horizontal="right" vertical="center"/>
    </xf>
    <xf numFmtId="0" fontId="27" fillId="38"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47" fillId="34" borderId="142" applyNumberFormat="0" applyProtection="0">
      <alignment horizontal="left" vertical="top"/>
    </xf>
    <xf numFmtId="0" fontId="27" fillId="38" borderId="142" applyNumberFormat="0" applyProtection="0">
      <alignment horizontal="left" vertical="top" indent="1"/>
    </xf>
    <xf numFmtId="0" fontId="114" fillId="79" borderId="141" applyNumberFormat="0" applyAlignment="0" applyProtection="0"/>
    <xf numFmtId="0" fontId="18" fillId="55" borderId="142" applyNumberFormat="0" applyProtection="0">
      <alignment horizontal="left" vertical="center" indent="1"/>
    </xf>
    <xf numFmtId="4" fontId="27" fillId="34" borderId="143"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4" fontId="47" fillId="42" borderId="142" applyNumberFormat="0" applyProtection="0">
      <alignment horizontal="right" vertical="center"/>
    </xf>
    <xf numFmtId="0" fontId="18" fillId="84" borderId="142" applyNumberFormat="0" applyProtection="0">
      <alignment horizontal="left" vertical="center" indent="1"/>
    </xf>
    <xf numFmtId="0" fontId="114" fillId="79" borderId="163" applyNumberFormat="0" applyAlignment="0" applyProtection="0"/>
    <xf numFmtId="4" fontId="27" fillId="34" borderId="142" applyNumberForma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4" fontId="47" fillId="40" borderId="142" applyNumberFormat="0" applyProtection="0">
      <alignment horizontal="right" vertical="center"/>
    </xf>
    <xf numFmtId="4" fontId="46" fillId="38" borderId="142" applyNumberFormat="0" applyProtection="0">
      <alignment vertical="center"/>
    </xf>
    <xf numFmtId="4" fontId="47" fillId="0" borderId="142" applyNumberFormat="0" applyProtection="0">
      <alignment horizontal="left" vertical="center" indent="1"/>
    </xf>
    <xf numFmtId="4" fontId="47" fillId="0" borderId="142" applyNumberFormat="0" applyProtection="0">
      <alignment horizontal="right" vertical="center"/>
    </xf>
    <xf numFmtId="4" fontId="47" fillId="44" borderId="142" applyNumberFormat="0" applyProtection="0">
      <alignment horizontal="right" vertical="center"/>
    </xf>
    <xf numFmtId="0" fontId="18" fillId="49" borderId="142" applyNumberFormat="0" applyProtection="0">
      <alignment horizontal="left" vertical="top" indent="1"/>
    </xf>
    <xf numFmtId="0" fontId="18" fillId="76" borderId="151" applyNumberFormat="0" applyFont="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4" fontId="51" fillId="49"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top" indent="1"/>
    </xf>
    <xf numFmtId="4" fontId="47" fillId="59" borderId="142" applyNumberFormat="0" applyProtection="0">
      <alignment horizontal="left" vertical="center" indent="1"/>
    </xf>
    <xf numFmtId="4" fontId="46" fillId="38" borderId="142" applyNumberFormat="0" applyProtection="0">
      <alignment vertical="center"/>
    </xf>
    <xf numFmtId="0" fontId="102" fillId="79"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4" fontId="47" fillId="42" borderId="142" applyNumberFormat="0" applyProtection="0">
      <alignment horizontal="right" vertical="center"/>
    </xf>
    <xf numFmtId="0" fontId="18" fillId="50" borderId="142" applyNumberFormat="0" applyProtection="0">
      <alignment horizontal="left" vertical="top" indent="1"/>
    </xf>
    <xf numFmtId="4" fontId="47" fillId="0" borderId="142" applyNumberFormat="0" applyProtection="0">
      <alignment horizontal="right" vertical="center"/>
    </xf>
    <xf numFmtId="0" fontId="110" fillId="77" borderId="149" applyNumberFormat="0" applyAlignment="0" applyProtection="0"/>
    <xf numFmtId="0" fontId="24" fillId="59" borderId="148" applyNumberFormat="0" applyFont="0" applyAlignment="0" applyProtection="0">
      <protection locked="0"/>
    </xf>
    <xf numFmtId="0" fontId="18" fillId="34" borderId="142" applyNumberFormat="0" applyProtection="0">
      <alignment horizontal="left" vertical="top" indent="1"/>
    </xf>
    <xf numFmtId="0" fontId="18" fillId="34" borderId="142" applyNumberFormat="0" applyProtection="0">
      <alignment horizontal="left" vertical="center" indent="1"/>
    </xf>
    <xf numFmtId="0" fontId="18" fillId="76" borderId="151" applyNumberFormat="0" applyFont="0" applyAlignment="0" applyProtection="0"/>
    <xf numFmtId="4" fontId="27" fillId="37" borderId="142"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4" fontId="47" fillId="35" borderId="142" applyNumberFormat="0" applyProtection="0">
      <alignment vertical="center"/>
    </xf>
    <xf numFmtId="0" fontId="18" fillId="50"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14" fillId="79" borderId="141" applyNumberFormat="0" applyAlignment="0" applyProtection="0"/>
    <xf numFmtId="4" fontId="47" fillId="0" borderId="142" applyNumberFormat="0" applyProtection="0">
      <alignment horizontal="left" vertical="center"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4" fontId="47" fillId="47" borderId="142" applyNumberFormat="0" applyProtection="0">
      <alignment horizontal="right" vertical="center"/>
    </xf>
    <xf numFmtId="4" fontId="47" fillId="45" borderId="142" applyNumberFormat="0" applyProtection="0">
      <alignment horizontal="right" vertical="center"/>
    </xf>
    <xf numFmtId="4" fontId="47" fillId="35" borderId="142" applyNumberFormat="0" applyProtection="0">
      <alignment vertical="center"/>
    </xf>
    <xf numFmtId="0" fontId="105" fillId="0" borderId="146" applyNumberFormat="0" applyFill="0" applyAlignment="0" applyProtection="0"/>
    <xf numFmtId="0" fontId="18" fillId="76" borderId="151" applyNumberFormat="0" applyFont="0" applyAlignment="0" applyProtection="0"/>
    <xf numFmtId="4" fontId="51" fillId="35" borderId="142" applyNumberFormat="0" applyProtection="0">
      <alignment vertical="center"/>
    </xf>
    <xf numFmtId="0" fontId="47" fillId="34" borderId="142" applyNumberFormat="0" applyProtection="0">
      <alignment horizontal="left" vertical="top"/>
    </xf>
    <xf numFmtId="4" fontId="27" fillId="37"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0" fontId="18" fillId="49"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18" fillId="51"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8" fillId="50" borderId="142" applyNumberFormat="0" applyProtection="0">
      <alignment horizontal="left" vertical="top" indent="1"/>
    </xf>
    <xf numFmtId="0" fontId="18" fillId="85" borderId="142" applyNumberFormat="0" applyProtection="0">
      <alignment horizontal="left" vertical="top" indent="1"/>
    </xf>
    <xf numFmtId="0" fontId="105" fillId="0" borderId="146" applyNumberFormat="0" applyFill="0" applyAlignment="0" applyProtection="0"/>
    <xf numFmtId="0" fontId="27" fillId="38"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76" borderId="151" applyNumberFormat="0" applyFont="0" applyAlignment="0" applyProtection="0"/>
    <xf numFmtId="0" fontId="18" fillId="50" borderId="142" applyNumberFormat="0" applyProtection="0">
      <alignment horizontal="left" vertical="top" indent="1"/>
    </xf>
    <xf numFmtId="0" fontId="27" fillId="38" borderId="142" applyNumberFormat="0" applyProtection="0">
      <alignment horizontal="left" vertical="top" indent="1"/>
    </xf>
    <xf numFmtId="0" fontId="18" fillId="55" borderId="142" applyNumberFormat="0" applyProtection="0">
      <alignment horizontal="left" vertical="top" indent="1"/>
    </xf>
    <xf numFmtId="0" fontId="18" fillId="85" borderId="142" applyNumberFormat="0" applyProtection="0">
      <alignment horizontal="left" vertical="top" indent="1"/>
    </xf>
    <xf numFmtId="0" fontId="18" fillId="84" borderId="142" applyNumberFormat="0" applyProtection="0">
      <alignment horizontal="left" vertical="center" indent="1"/>
    </xf>
    <xf numFmtId="4" fontId="47" fillId="41" borderId="142" applyNumberFormat="0" applyProtection="0">
      <alignment horizontal="right" vertical="center"/>
    </xf>
    <xf numFmtId="0" fontId="18" fillId="55" borderId="142" applyNumberFormat="0" applyProtection="0">
      <alignment horizontal="left" vertical="center" indent="1"/>
    </xf>
    <xf numFmtId="0" fontId="18" fillId="84" borderId="142" applyNumberFormat="0" applyProtection="0">
      <alignment horizontal="left" vertical="center" indent="1"/>
    </xf>
    <xf numFmtId="0" fontId="47" fillId="34" borderId="142" applyNumberFormat="0" applyProtection="0">
      <alignment horizontal="left" vertical="top"/>
    </xf>
    <xf numFmtId="0" fontId="102" fillId="79" borderId="149" applyNumberFormat="0" applyAlignment="0" applyProtection="0"/>
    <xf numFmtId="0" fontId="18" fillId="54" borderId="142" applyNumberFormat="0" applyProtection="0">
      <alignment horizontal="left" vertical="top" indent="1"/>
    </xf>
    <xf numFmtId="0" fontId="110" fillId="77" borderId="149" applyNumberFormat="0" applyAlignment="0" applyProtection="0"/>
    <xf numFmtId="0" fontId="18" fillId="55" borderId="142" applyNumberFormat="0" applyProtection="0">
      <alignment horizontal="left" vertical="top" indent="1"/>
    </xf>
    <xf numFmtId="4" fontId="47" fillId="46" borderId="142" applyNumberFormat="0" applyProtection="0">
      <alignment horizontal="right" vertical="center"/>
    </xf>
    <xf numFmtId="4" fontId="51" fillId="35" borderId="142" applyNumberFormat="0" applyProtection="0">
      <alignment vertical="center"/>
    </xf>
    <xf numFmtId="0" fontId="18" fillId="55" borderId="142" applyNumberFormat="0" applyProtection="0">
      <alignment horizontal="left" vertical="center" indent="1"/>
    </xf>
    <xf numFmtId="4" fontId="47" fillId="35" borderId="142" applyNumberFormat="0" applyProtection="0">
      <alignment vertical="center"/>
    </xf>
    <xf numFmtId="0" fontId="18" fillId="55"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2"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0" fontId="24" fillId="59" borderId="148" applyNumberFormat="0" applyFont="0" applyAlignment="0" applyProtection="0">
      <protection locked="0"/>
    </xf>
    <xf numFmtId="0" fontId="18" fillId="50" borderId="142" applyNumberFormat="0" applyProtection="0">
      <alignment horizontal="left" vertical="center" indent="1"/>
    </xf>
    <xf numFmtId="0" fontId="18" fillId="34" borderId="142" applyNumberFormat="0" applyProtection="0">
      <alignment horizontal="left" vertical="center" indent="1"/>
    </xf>
    <xf numFmtId="0" fontId="110" fillId="77" borderId="161" applyNumberFormat="0" applyAlignment="0" applyProtection="0"/>
    <xf numFmtId="4" fontId="27" fillId="38" borderId="142" applyNumberFormat="0" applyProtection="0">
      <alignment vertical="center"/>
    </xf>
    <xf numFmtId="0" fontId="18" fillId="55" borderId="142" applyNumberFormat="0" applyProtection="0">
      <alignment horizontal="left" vertical="top" indent="1"/>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0" fontId="102" fillId="79" borderId="161" applyNumberFormat="0" applyAlignment="0" applyProtection="0"/>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110" fillId="77" borderId="161" applyNumberFormat="0" applyAlignment="0" applyProtection="0"/>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5" fillId="0" borderId="146" applyNumberFormat="0" applyFill="0" applyAlignment="0" applyProtection="0"/>
    <xf numFmtId="0" fontId="110" fillId="77" borderId="161" applyNumberFormat="0" applyAlignment="0" applyProtection="0"/>
    <xf numFmtId="4" fontId="27" fillId="38" borderId="142" applyNumberFormat="0" applyProtection="0">
      <alignment vertical="center"/>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8" fillId="76" borderId="162" applyNumberFormat="0" applyFont="0" applyAlignment="0" applyProtection="0"/>
    <xf numFmtId="0" fontId="18" fillId="50" borderId="142" applyNumberFormat="0" applyProtection="0">
      <alignment horizontal="left" vertical="top" indent="1"/>
    </xf>
    <xf numFmtId="0" fontId="18" fillId="76" borderId="151" applyNumberFormat="0" applyFont="0" applyAlignment="0" applyProtection="0"/>
    <xf numFmtId="4" fontId="27" fillId="38" borderId="142" applyNumberFormat="0" applyProtection="0">
      <alignment horizontal="left" vertical="center" indent="1"/>
    </xf>
    <xf numFmtId="0" fontId="110" fillId="77" borderId="149" applyNumberFormat="0" applyAlignment="0" applyProtection="0"/>
    <xf numFmtId="4" fontId="27" fillId="34" borderId="143" applyNumberFormat="0" applyProtection="0">
      <alignment vertical="center"/>
    </xf>
    <xf numFmtId="4" fontId="47" fillId="0" borderId="142" applyNumberFormat="0" applyProtection="0">
      <alignment horizontal="left" vertical="center" indent="1"/>
    </xf>
    <xf numFmtId="0" fontId="114" fillId="79" borderId="141" applyNumberFormat="0" applyAlignment="0" applyProtection="0"/>
    <xf numFmtId="0" fontId="105" fillId="0" borderId="146" applyNumberFormat="0" applyFill="0" applyAlignment="0" applyProtection="0"/>
    <xf numFmtId="4" fontId="47" fillId="51" borderId="142" applyNumberFormat="0" applyProtection="0">
      <alignment horizontal="right" vertical="center"/>
    </xf>
    <xf numFmtId="4" fontId="25" fillId="49" borderId="142" applyNumberFormat="0" applyProtection="0">
      <alignment horizontal="right" vertical="center"/>
    </xf>
    <xf numFmtId="4" fontId="47" fillId="46" borderId="142" applyNumberFormat="0" applyProtection="0">
      <alignment horizontal="right" vertical="center"/>
    </xf>
    <xf numFmtId="0" fontId="102" fillId="79" borderId="149" applyNumberFormat="0" applyAlignment="0" applyProtection="0"/>
    <xf numFmtId="0" fontId="114" fillId="79" borderId="141" applyNumberFormat="0" applyAlignment="0" applyProtection="0"/>
    <xf numFmtId="4" fontId="47" fillId="41" borderId="142" applyNumberFormat="0" applyProtection="0">
      <alignment horizontal="right" vertical="center"/>
    </xf>
    <xf numFmtId="0" fontId="18" fillId="50" borderId="142" applyNumberFormat="0" applyProtection="0">
      <alignment horizontal="left" vertical="center" indent="1"/>
    </xf>
    <xf numFmtId="4" fontId="27" fillId="34" borderId="142" applyNumberFormat="0" applyProtection="0"/>
    <xf numFmtId="0" fontId="18" fillId="76" borderId="151" applyNumberFormat="0" applyFont="0" applyAlignment="0" applyProtection="0"/>
    <xf numFmtId="4" fontId="47" fillId="44" borderId="142" applyNumberFormat="0" applyProtection="0">
      <alignment horizontal="right" vertical="center"/>
    </xf>
    <xf numFmtId="0" fontId="18" fillId="55" borderId="142" applyNumberFormat="0" applyProtection="0">
      <alignment horizontal="left" vertical="center" indent="1"/>
    </xf>
    <xf numFmtId="0" fontId="110" fillId="77" borderId="149" applyNumberFormat="0" applyAlignment="0" applyProtection="0"/>
    <xf numFmtId="0" fontId="18" fillId="85" borderId="142" applyNumberFormat="0" applyProtection="0">
      <alignment horizontal="left" vertical="top" indent="1"/>
    </xf>
    <xf numFmtId="0" fontId="18" fillId="5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47" fillId="35" borderId="142" applyNumberFormat="0" applyProtection="0">
      <alignment vertical="center"/>
    </xf>
    <xf numFmtId="0" fontId="102" fillId="79" borderId="161" applyNumberFormat="0" applyAlignment="0" applyProtection="0"/>
    <xf numFmtId="0" fontId="110" fillId="77" borderId="161" applyNumberFormat="0" applyAlignment="0" applyProtection="0"/>
    <xf numFmtId="4" fontId="27" fillId="34" borderId="142" applyNumberFormat="0" applyProtection="0"/>
    <xf numFmtId="0" fontId="114" fillId="79" borderId="163" applyNumberFormat="0" applyAlignment="0" applyProtection="0"/>
    <xf numFmtId="4" fontId="47" fillId="42"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47" fillId="35" borderId="142" applyNumberFormat="0" applyProtection="0">
      <alignment horizontal="left" vertical="top" indent="1"/>
    </xf>
    <xf numFmtId="0" fontId="18" fillId="50" borderId="142" applyNumberFormat="0" applyProtection="0">
      <alignment horizontal="left" vertical="top" indent="1"/>
    </xf>
    <xf numFmtId="0" fontId="110" fillId="77" borderId="149" applyNumberFormat="0" applyAlignment="0" applyProtection="0"/>
    <xf numFmtId="0" fontId="18" fillId="54"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0" fontId="18" fillId="84" borderId="142" applyNumberFormat="0" applyProtection="0">
      <alignment horizontal="left" vertical="center" indent="1"/>
    </xf>
    <xf numFmtId="0" fontId="47" fillId="35" borderId="142" applyNumberFormat="0" applyProtection="0">
      <alignment horizontal="left" vertical="top" indent="1"/>
    </xf>
    <xf numFmtId="0" fontId="26" fillId="0" borderId="150">
      <alignment horizontal="left" vertical="center"/>
    </xf>
    <xf numFmtId="4" fontId="47" fillId="0" borderId="142" applyNumberFormat="0" applyProtection="0">
      <alignment horizontal="left" vertical="center" indent="1"/>
    </xf>
    <xf numFmtId="0" fontId="105" fillId="0" borderId="146" applyNumberFormat="0" applyFill="0" applyAlignment="0" applyProtection="0"/>
    <xf numFmtId="0" fontId="18" fillId="85" borderId="142" applyNumberFormat="0" applyProtection="0">
      <alignment horizontal="left" vertical="center" indent="1"/>
    </xf>
    <xf numFmtId="0" fontId="47" fillId="35" borderId="142" applyNumberFormat="0" applyProtection="0">
      <alignment horizontal="left" vertical="top" indent="1"/>
    </xf>
    <xf numFmtId="4" fontId="47" fillId="43"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0" fontId="18" fillId="51" borderId="142" applyNumberFormat="0" applyProtection="0">
      <alignment horizontal="left" vertical="center" indent="1"/>
    </xf>
    <xf numFmtId="0" fontId="18" fillId="85" borderId="142" applyNumberFormat="0" applyProtection="0">
      <alignment horizontal="left" vertical="center" indent="1"/>
    </xf>
    <xf numFmtId="0" fontId="102" fillId="79" borderId="149" applyNumberFormat="0" applyAlignment="0" applyProtection="0"/>
    <xf numFmtId="4" fontId="47" fillId="43" borderId="142" applyNumberFormat="0" applyProtection="0">
      <alignment horizontal="right" vertical="center"/>
    </xf>
    <xf numFmtId="0" fontId="18" fillId="54" borderId="142" applyNumberFormat="0" applyProtection="0">
      <alignment horizontal="left" vertical="center" indent="1"/>
    </xf>
    <xf numFmtId="0" fontId="18" fillId="49" borderId="142" applyNumberFormat="0" applyProtection="0">
      <alignment horizontal="left" vertical="center" indent="1"/>
    </xf>
    <xf numFmtId="4" fontId="27" fillId="38" borderId="142" applyNumberFormat="0" applyProtection="0">
      <alignment horizontal="left" vertical="center" indent="1"/>
    </xf>
    <xf numFmtId="4" fontId="47" fillId="43" borderId="142" applyNumberFormat="0" applyProtection="0">
      <alignment horizontal="right" vertical="center"/>
    </xf>
    <xf numFmtId="4" fontId="47" fillId="35" borderId="142" applyNumberFormat="0" applyProtection="0">
      <alignment vertical="center"/>
    </xf>
    <xf numFmtId="0" fontId="18" fillId="76" borderId="151" applyNumberFormat="0" applyFont="0" applyAlignment="0" applyProtection="0"/>
    <xf numFmtId="0" fontId="18" fillId="76" borderId="151" applyNumberFormat="0" applyFont="0" applyAlignment="0" applyProtection="0"/>
    <xf numFmtId="4" fontId="46" fillId="38"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35" borderId="142" applyNumberFormat="0" applyProtection="0">
      <alignment horizontal="left" vertical="center" indent="1"/>
    </xf>
    <xf numFmtId="0" fontId="18" fillId="76" borderId="162" applyNumberFormat="0" applyFont="0" applyAlignment="0" applyProtection="0"/>
    <xf numFmtId="4" fontId="25" fillId="49" borderId="142" applyNumberFormat="0" applyProtection="0">
      <alignment horizontal="right" vertical="center"/>
    </xf>
    <xf numFmtId="0" fontId="18" fillId="50" borderId="142" applyNumberFormat="0" applyProtection="0">
      <alignment horizontal="left" vertical="top" indent="1"/>
    </xf>
    <xf numFmtId="4" fontId="47" fillId="39" borderId="142" applyNumberFormat="0" applyProtection="0">
      <alignment horizontal="right" vertical="center"/>
    </xf>
    <xf numFmtId="0" fontId="18" fillId="85" borderId="142" applyNumberFormat="0" applyProtection="0">
      <alignment horizontal="left" vertical="top" indent="1"/>
    </xf>
    <xf numFmtId="0" fontId="63" fillId="59" borderId="148" applyNumberFormat="0" applyFont="0" applyFill="0" applyAlignment="0" applyProtection="0">
      <protection locked="0"/>
    </xf>
    <xf numFmtId="0" fontId="18" fillId="34"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4" fontId="47" fillId="39"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top" indent="1"/>
    </xf>
    <xf numFmtId="0" fontId="18" fillId="85" borderId="142" applyNumberFormat="0" applyProtection="0">
      <alignment horizontal="left" vertical="center" indent="1"/>
    </xf>
    <xf numFmtId="0" fontId="114" fillId="79" borderId="141" applyNumberFormat="0" applyAlignment="0" applyProtection="0"/>
    <xf numFmtId="4" fontId="47" fillId="46" borderId="142" applyNumberFormat="0" applyProtection="0">
      <alignment horizontal="right" vertical="center"/>
    </xf>
    <xf numFmtId="0" fontId="18" fillId="34" borderId="142" applyNumberFormat="0" applyProtection="0">
      <alignment horizontal="left" vertical="center" indent="1"/>
    </xf>
    <xf numFmtId="0" fontId="102" fillId="79" borderId="149" applyNumberFormat="0" applyAlignment="0" applyProtection="0"/>
    <xf numFmtId="0" fontId="18" fillId="84" borderId="142" applyNumberFormat="0" applyProtection="0">
      <alignment horizontal="left" vertical="top" indent="1"/>
    </xf>
    <xf numFmtId="4" fontId="47" fillId="51" borderId="142" applyNumberFormat="0" applyProtection="0">
      <alignment horizontal="right" vertical="center"/>
    </xf>
    <xf numFmtId="0" fontId="18" fillId="49" borderId="142" applyNumberFormat="0" applyProtection="0">
      <alignment horizontal="left" vertical="center" indent="1"/>
    </xf>
    <xf numFmtId="0" fontId="18" fillId="50" borderId="142" applyNumberFormat="0" applyProtection="0">
      <alignment horizontal="left" vertical="center" indent="1"/>
    </xf>
    <xf numFmtId="4" fontId="27" fillId="34" borderId="142" applyNumberFormat="0" applyProtection="0"/>
    <xf numFmtId="0" fontId="18" fillId="55" borderId="142" applyNumberFormat="0" applyProtection="0">
      <alignment horizontal="left" vertical="center" indent="1"/>
    </xf>
    <xf numFmtId="4" fontId="47" fillId="0" borderId="142" applyNumberFormat="0" applyProtection="0">
      <alignment horizontal="left" vertical="center" indent="1"/>
    </xf>
    <xf numFmtId="0" fontId="47" fillId="34" borderId="142" applyNumberFormat="0" applyProtection="0">
      <alignment horizontal="left" vertical="top"/>
    </xf>
    <xf numFmtId="4" fontId="47" fillId="40" borderId="142" applyNumberFormat="0" applyProtection="0">
      <alignment horizontal="right" vertical="center"/>
    </xf>
    <xf numFmtId="0" fontId="47" fillId="35" borderId="142" applyNumberFormat="0" applyProtection="0">
      <alignment horizontal="left" vertical="top" indent="1"/>
    </xf>
    <xf numFmtId="0" fontId="18" fillId="76" borderId="151" applyNumberFormat="0" applyFont="0" applyAlignment="0" applyProtection="0"/>
    <xf numFmtId="4" fontId="47" fillId="40" borderId="142" applyNumberFormat="0" applyProtection="0">
      <alignment horizontal="right" vertical="center"/>
    </xf>
    <xf numFmtId="0" fontId="18" fillId="50" borderId="142" applyNumberFormat="0" applyProtection="0">
      <alignment horizontal="left" vertical="center" indent="1"/>
    </xf>
    <xf numFmtId="0" fontId="18" fillId="76" borderId="151" applyNumberFormat="0" applyFont="0" applyAlignment="0" applyProtection="0"/>
    <xf numFmtId="0" fontId="114" fillId="79" borderId="141" applyNumberFormat="0" applyAlignment="0" applyProtection="0"/>
    <xf numFmtId="4" fontId="47" fillId="51" borderId="142" applyNumberFormat="0" applyProtection="0">
      <alignment horizontal="right" vertical="center"/>
    </xf>
    <xf numFmtId="4" fontId="27" fillId="34" borderId="143" applyNumberFormat="0" applyProtection="0">
      <alignment vertical="center"/>
    </xf>
    <xf numFmtId="0" fontId="18" fillId="55" borderId="142" applyNumberFormat="0" applyProtection="0">
      <alignment horizontal="left" vertical="center" indent="1"/>
    </xf>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4" fontId="47" fillId="0"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8" fillId="34" borderId="142" applyNumberFormat="0" applyProtection="0">
      <alignment horizontal="left" vertical="center" indent="1"/>
    </xf>
    <xf numFmtId="0" fontId="18" fillId="55" borderId="142" applyNumberFormat="0" applyProtection="0">
      <alignment horizontal="left" vertical="top" indent="1"/>
    </xf>
    <xf numFmtId="0" fontId="18" fillId="76" borderId="151" applyNumberFormat="0" applyFont="0" applyAlignment="0" applyProtection="0"/>
    <xf numFmtId="0" fontId="105" fillId="0" borderId="146" applyNumberFormat="0" applyFill="0" applyAlignment="0" applyProtection="0"/>
    <xf numFmtId="0" fontId="105" fillId="0" borderId="146" applyNumberFormat="0" applyFill="0" applyAlignment="0" applyProtection="0"/>
    <xf numFmtId="0" fontId="63" fillId="59" borderId="148" applyNumberFormat="0" applyFont="0" applyFill="0" applyAlignment="0" applyProtection="0">
      <protection locked="0"/>
    </xf>
    <xf numFmtId="0" fontId="18" fillId="51" borderId="142" applyNumberFormat="0" applyProtection="0">
      <alignment horizontal="left" vertical="top" indent="1"/>
    </xf>
    <xf numFmtId="0" fontId="105" fillId="0" borderId="146" applyNumberFormat="0" applyFill="0" applyAlignment="0" applyProtection="0"/>
    <xf numFmtId="4" fontId="47" fillId="0" borderId="142" applyNumberFormat="0" applyProtection="0">
      <alignment horizontal="left" vertical="center" indent="1"/>
    </xf>
    <xf numFmtId="0" fontId="102" fillId="79" borderId="149" applyNumberFormat="0" applyAlignment="0" applyProtection="0"/>
    <xf numFmtId="0" fontId="102" fillId="79" borderId="149" applyNumberFormat="0" applyAlignment="0" applyProtection="0"/>
    <xf numFmtId="0" fontId="18" fillId="85" borderId="142" applyNumberFormat="0" applyProtection="0">
      <alignment horizontal="left" vertical="top" indent="1"/>
    </xf>
    <xf numFmtId="4" fontId="51" fillId="49" borderId="142" applyNumberFormat="0" applyProtection="0">
      <alignment horizontal="right" vertical="center"/>
    </xf>
    <xf numFmtId="0" fontId="47" fillId="34" borderId="142" applyNumberFormat="0" applyProtection="0">
      <alignment horizontal="left" vertical="top"/>
    </xf>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84" borderId="142" applyNumberFormat="0" applyProtection="0">
      <alignment horizontal="left" vertical="top" indent="1"/>
    </xf>
    <xf numFmtId="0" fontId="114" fillId="79" borderId="141" applyNumberFormat="0" applyAlignment="0" applyProtection="0"/>
    <xf numFmtId="0" fontId="18" fillId="54" borderId="142" applyNumberFormat="0" applyProtection="0">
      <alignment horizontal="left" vertical="top" indent="1"/>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0" fontId="18" fillId="54" borderId="142" applyNumberFormat="0" applyProtection="0">
      <alignment horizontal="left" vertical="top" indent="1"/>
    </xf>
    <xf numFmtId="0" fontId="18" fillId="50" borderId="142" applyNumberFormat="0" applyProtection="0">
      <alignment horizontal="left" vertical="top" indent="1"/>
    </xf>
    <xf numFmtId="4" fontId="47" fillId="39" borderId="142" applyNumberFormat="0" applyProtection="0">
      <alignment horizontal="right" vertical="center"/>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6" borderId="142" applyNumberFormat="0" applyProtection="0">
      <alignment horizontal="right" vertical="center"/>
    </xf>
    <xf numFmtId="0" fontId="114" fillId="79" borderId="141" applyNumberFormat="0" applyAlignment="0" applyProtection="0"/>
    <xf numFmtId="0" fontId="27" fillId="38" borderId="142" applyNumberFormat="0" applyProtection="0">
      <alignment horizontal="left" vertical="top" indent="1"/>
    </xf>
    <xf numFmtId="0" fontId="18" fillId="76" borderId="162" applyNumberFormat="0" applyFont="0" applyAlignment="0" applyProtection="0"/>
    <xf numFmtId="0" fontId="18" fillId="34" borderId="142" applyNumberFormat="0" applyProtection="0">
      <alignment horizontal="left" vertical="center" indent="1"/>
    </xf>
    <xf numFmtId="4" fontId="47" fillId="41"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110" fillId="77" borderId="149" applyNumberFormat="0" applyAlignment="0" applyProtection="0"/>
    <xf numFmtId="4" fontId="47" fillId="45" borderId="142" applyNumberFormat="0" applyProtection="0">
      <alignment horizontal="right" vertical="center"/>
    </xf>
    <xf numFmtId="4" fontId="51" fillId="35" borderId="142" applyNumberFormat="0" applyProtection="0">
      <alignment vertical="center"/>
    </xf>
    <xf numFmtId="0" fontId="18" fillId="84" borderId="142" applyNumberFormat="0" applyProtection="0">
      <alignment horizontal="left" vertical="center" indent="1"/>
    </xf>
    <xf numFmtId="4" fontId="25" fillId="49" borderId="142" applyNumberFormat="0" applyProtection="0">
      <alignment horizontal="right" vertical="center"/>
    </xf>
    <xf numFmtId="0" fontId="114" fillId="79" borderId="141" applyNumberFormat="0" applyAlignment="0" applyProtection="0"/>
    <xf numFmtId="0" fontId="47" fillId="35"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0" fontId="114" fillId="79" borderId="141" applyNumberFormat="0" applyAlignment="0" applyProtection="0"/>
    <xf numFmtId="4" fontId="47" fillId="47" borderId="142" applyNumberFormat="0" applyProtection="0">
      <alignment horizontal="right" vertical="center"/>
    </xf>
    <xf numFmtId="0" fontId="47" fillId="34" borderId="142" applyNumberFormat="0" applyProtection="0">
      <alignment horizontal="left" vertical="top"/>
    </xf>
    <xf numFmtId="0" fontId="18" fillId="76" borderId="151"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top" indent="1"/>
    </xf>
    <xf numFmtId="4" fontId="27" fillId="38" borderId="142" applyNumberFormat="0" applyProtection="0">
      <alignment horizontal="left" vertical="center" indent="1"/>
    </xf>
    <xf numFmtId="4" fontId="51" fillId="35" borderId="142" applyNumberFormat="0" applyProtection="0">
      <alignment vertical="center"/>
    </xf>
    <xf numFmtId="0" fontId="114" fillId="79" borderId="141" applyNumberFormat="0" applyAlignment="0" applyProtection="0"/>
    <xf numFmtId="0" fontId="18" fillId="85" borderId="142" applyNumberFormat="0" applyProtection="0">
      <alignment horizontal="left" vertical="center" indent="1"/>
    </xf>
    <xf numFmtId="0" fontId="18" fillId="84" borderId="142" applyNumberFormat="0" applyProtection="0">
      <alignment horizontal="left" vertical="top" indent="1"/>
    </xf>
    <xf numFmtId="4" fontId="47" fillId="35" borderId="142" applyNumberFormat="0" applyProtection="0">
      <alignment vertical="center"/>
    </xf>
    <xf numFmtId="4" fontId="47" fillId="0" borderId="142" applyNumberFormat="0" applyProtection="0">
      <alignment horizontal="right" vertical="center"/>
    </xf>
    <xf numFmtId="4" fontId="47" fillId="42" borderId="142" applyNumberFormat="0" applyProtection="0">
      <alignment horizontal="right" vertical="center"/>
    </xf>
    <xf numFmtId="0" fontId="105" fillId="0" borderId="146" applyNumberFormat="0" applyFill="0" applyAlignment="0" applyProtection="0"/>
    <xf numFmtId="0" fontId="47" fillId="34" borderId="142" applyNumberFormat="0" applyProtection="0">
      <alignment horizontal="left" vertical="top"/>
    </xf>
    <xf numFmtId="0" fontId="102" fillId="79" borderId="161"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02" fillId="79" borderId="149" applyNumberFormat="0" applyAlignment="0" applyProtection="0"/>
    <xf numFmtId="4" fontId="47" fillId="51" borderId="142" applyNumberFormat="0" applyProtection="0">
      <alignment horizontal="left" vertical="center" indent="1"/>
    </xf>
    <xf numFmtId="4" fontId="47" fillId="42" borderId="142" applyNumberFormat="0" applyProtection="0">
      <alignment horizontal="right" vertical="center"/>
    </xf>
    <xf numFmtId="4" fontId="47" fillId="43" borderId="142" applyNumberFormat="0" applyProtection="0">
      <alignment horizontal="right" vertical="center"/>
    </xf>
    <xf numFmtId="0" fontId="65" fillId="0" borderId="49" applyNumberFormat="0" applyFont="0" applyFill="0" applyAlignment="0" applyProtection="0"/>
    <xf numFmtId="4" fontId="47" fillId="51" borderId="142" applyNumberFormat="0" applyProtection="0">
      <alignment horizontal="right" vertical="center"/>
    </xf>
    <xf numFmtId="4" fontId="47" fillId="43" borderId="142" applyNumberFormat="0" applyProtection="0">
      <alignment horizontal="right" vertical="center"/>
    </xf>
    <xf numFmtId="0" fontId="18" fillId="50" borderId="142" applyNumberFormat="0" applyProtection="0">
      <alignment horizontal="left" vertical="top"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top" indent="1"/>
    </xf>
    <xf numFmtId="0" fontId="18" fillId="51" borderId="142" applyNumberFormat="0" applyProtection="0">
      <alignment horizontal="left" vertical="center" indent="1"/>
    </xf>
    <xf numFmtId="4" fontId="47" fillId="41" borderId="142" applyNumberFormat="0" applyProtection="0">
      <alignment horizontal="right" vertical="center"/>
    </xf>
    <xf numFmtId="4" fontId="47" fillId="51" borderId="142" applyNumberFormat="0" applyProtection="0">
      <alignment horizontal="right" vertical="center"/>
    </xf>
    <xf numFmtId="0" fontId="18" fillId="54" borderId="142" applyNumberFormat="0" applyProtection="0">
      <alignment horizontal="left" vertical="top" indent="1"/>
    </xf>
    <xf numFmtId="0" fontId="18" fillId="55" borderId="142" applyNumberFormat="0" applyProtection="0">
      <alignment horizontal="left" vertical="top" indent="1"/>
    </xf>
    <xf numFmtId="0" fontId="18" fillId="34" borderId="142" applyNumberFormat="0" applyProtection="0">
      <alignment horizontal="left" vertical="center" indent="1"/>
    </xf>
    <xf numFmtId="4" fontId="47" fillId="42" borderId="142" applyNumberFormat="0" applyProtection="0">
      <alignment horizontal="right" vertical="center"/>
    </xf>
    <xf numFmtId="0" fontId="18" fillId="55" borderId="142" applyNumberFormat="0" applyProtection="0">
      <alignment horizontal="left" vertical="top" indent="1"/>
    </xf>
    <xf numFmtId="0" fontId="18" fillId="84" borderId="142" applyNumberFormat="0" applyProtection="0">
      <alignment horizontal="left" vertical="top" indent="1"/>
    </xf>
    <xf numFmtId="4" fontId="51" fillId="35" borderId="142" applyNumberFormat="0" applyProtection="0">
      <alignment vertical="center"/>
    </xf>
    <xf numFmtId="0" fontId="18" fillId="34" borderId="142" applyNumberFormat="0" applyProtection="0">
      <alignment horizontal="left" vertical="top" indent="1"/>
    </xf>
    <xf numFmtId="4" fontId="47" fillId="45"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0" borderId="142" applyNumberFormat="0" applyProtection="0">
      <alignment horizontal="right" vertical="center"/>
    </xf>
    <xf numFmtId="0" fontId="47" fillId="34" borderId="142" applyNumberFormat="0" applyProtection="0">
      <alignment horizontal="left" vertical="top"/>
    </xf>
    <xf numFmtId="0" fontId="114" fillId="79" borderId="163" applyNumberFormat="0" applyAlignment="0" applyProtection="0"/>
    <xf numFmtId="0" fontId="18" fillId="51"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47" fillId="34" borderId="142" applyNumberFormat="0" applyProtection="0">
      <alignment horizontal="left" vertical="top"/>
    </xf>
    <xf numFmtId="0" fontId="110" fillId="77" borderId="149" applyNumberFormat="0" applyAlignment="0" applyProtection="0"/>
    <xf numFmtId="4" fontId="46" fillId="38" borderId="142" applyNumberFormat="0" applyProtection="0">
      <alignment vertical="center"/>
    </xf>
    <xf numFmtId="0" fontId="18" fillId="34" borderId="142" applyNumberFormat="0" applyProtection="0">
      <alignment horizontal="left" vertical="center" indent="1"/>
    </xf>
    <xf numFmtId="4" fontId="47" fillId="39" borderId="142" applyNumberFormat="0" applyProtection="0">
      <alignment horizontal="right" vertical="center"/>
    </xf>
    <xf numFmtId="0" fontId="18" fillId="50" borderId="142" applyNumberFormat="0" applyProtection="0">
      <alignment horizontal="left" vertical="top" indent="1"/>
    </xf>
    <xf numFmtId="0" fontId="18" fillId="76" borderId="151" applyNumberFormat="0" applyFont="0" applyAlignment="0" applyProtection="0"/>
    <xf numFmtId="4" fontId="47" fillId="51" borderId="142" applyNumberFormat="0" applyProtection="0">
      <alignment horizontal="left" vertical="center" indent="1"/>
    </xf>
    <xf numFmtId="0" fontId="18" fillId="54" borderId="142" applyNumberFormat="0" applyProtection="0">
      <alignment horizontal="left" vertical="center" indent="1"/>
    </xf>
    <xf numFmtId="0" fontId="110" fillId="77" borderId="149" applyNumberFormat="0" applyAlignment="0" applyProtection="0"/>
    <xf numFmtId="0" fontId="105" fillId="0" borderId="146" applyNumberFormat="0" applyFill="0" applyAlignment="0" applyProtection="0"/>
    <xf numFmtId="4" fontId="47" fillId="47"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47" fillId="34" borderId="142" applyNumberFormat="0" applyProtection="0">
      <alignment horizontal="left" vertical="top"/>
    </xf>
    <xf numFmtId="0" fontId="18" fillId="49"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center" indent="1"/>
    </xf>
    <xf numFmtId="0" fontId="18" fillId="50" borderId="142" applyNumberFormat="0" applyProtection="0">
      <alignment horizontal="left" vertical="top" indent="1"/>
    </xf>
    <xf numFmtId="0" fontId="18" fillId="54" borderId="142" applyNumberFormat="0" applyProtection="0">
      <alignment horizontal="left" vertical="center" indent="1"/>
    </xf>
    <xf numFmtId="4" fontId="47" fillId="41" borderId="142" applyNumberFormat="0" applyProtection="0">
      <alignment horizontal="right" vertical="center"/>
    </xf>
    <xf numFmtId="0" fontId="18" fillId="49" borderId="142" applyNumberFormat="0" applyProtection="0">
      <alignment horizontal="left" vertical="top" indent="1"/>
    </xf>
    <xf numFmtId="0" fontId="18" fillId="84" borderId="142" applyNumberFormat="0" applyProtection="0">
      <alignment horizontal="left" vertical="center" indent="1"/>
    </xf>
    <xf numFmtId="0" fontId="18" fillId="76" borderId="151" applyNumberFormat="0" applyFont="0" applyAlignment="0" applyProtection="0"/>
    <xf numFmtId="0" fontId="105" fillId="0" borderId="146" applyNumberFormat="0" applyFill="0" applyAlignment="0" applyProtection="0"/>
    <xf numFmtId="4" fontId="27" fillId="38" borderId="142" applyNumberFormat="0" applyProtection="0">
      <alignment horizontal="left" vertical="center" indent="1"/>
    </xf>
    <xf numFmtId="0" fontId="18" fillId="84"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0" fontId="18" fillId="51"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51" fillId="35" borderId="142" applyNumberFormat="0" applyProtection="0">
      <alignment vertical="center"/>
    </xf>
    <xf numFmtId="4" fontId="47" fillId="0" borderId="142" applyNumberFormat="0" applyProtection="0">
      <alignment horizontal="left" vertical="center" indent="1"/>
    </xf>
    <xf numFmtId="0" fontId="18" fillId="76" borderId="151" applyNumberFormat="0" applyFont="0" applyAlignment="0" applyProtection="0"/>
    <xf numFmtId="0" fontId="47" fillId="34" borderId="142" applyNumberFormat="0" applyProtection="0">
      <alignment horizontal="left" vertical="top"/>
    </xf>
    <xf numFmtId="0" fontId="105" fillId="0" borderId="146" applyNumberFormat="0" applyFill="0" applyAlignment="0" applyProtection="0"/>
    <xf numFmtId="0" fontId="18" fillId="49" borderId="142" applyNumberFormat="0" applyProtection="0">
      <alignment horizontal="left" vertical="center" indent="1"/>
    </xf>
    <xf numFmtId="4" fontId="46" fillId="38" borderId="142" applyNumberFormat="0" applyProtection="0">
      <alignment vertical="center"/>
    </xf>
    <xf numFmtId="0" fontId="110" fillId="77" borderId="149" applyNumberFormat="0" applyAlignment="0" applyProtection="0"/>
    <xf numFmtId="0" fontId="102" fillId="79" borderId="149" applyNumberFormat="0" applyAlignment="0" applyProtection="0"/>
    <xf numFmtId="0" fontId="105" fillId="0" borderId="146" applyNumberFormat="0" applyFill="0" applyAlignment="0" applyProtection="0"/>
    <xf numFmtId="0" fontId="26" fillId="0" borderId="32">
      <alignment horizontal="left" vertical="center"/>
    </xf>
    <xf numFmtId="0" fontId="26" fillId="0" borderId="150">
      <alignment horizontal="left" vertical="center"/>
    </xf>
    <xf numFmtId="0" fontId="110" fillId="77" borderId="149"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4" fontId="27" fillId="34" borderId="142" applyNumberFormat="0" applyProtection="0"/>
    <xf numFmtId="0" fontId="105" fillId="0" borderId="146" applyNumberFormat="0" applyFill="0" applyAlignment="0" applyProtection="0"/>
    <xf numFmtId="0" fontId="47" fillId="3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4" fontId="47" fillId="51"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top" indent="1"/>
    </xf>
    <xf numFmtId="0" fontId="18" fillId="34" borderId="142" applyNumberFormat="0" applyProtection="0">
      <alignment horizontal="left" vertical="top" indent="1"/>
    </xf>
    <xf numFmtId="0" fontId="114" fillId="79" borderId="141" applyNumberFormat="0" applyAlignment="0" applyProtection="0"/>
    <xf numFmtId="0" fontId="110" fillId="77"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0" fontId="114" fillId="79" borderId="141" applyNumberFormat="0" applyAlignment="0" applyProtection="0"/>
    <xf numFmtId="0" fontId="18" fillId="34" borderId="142" applyNumberFormat="0" applyProtection="0">
      <alignment horizontal="left" vertical="top" indent="1"/>
    </xf>
    <xf numFmtId="4" fontId="47" fillId="0" borderId="142" applyNumberFormat="0" applyProtection="0">
      <alignment horizontal="left" vertical="center" indent="1"/>
    </xf>
    <xf numFmtId="0" fontId="18" fillId="84" borderId="142" applyNumberFormat="0" applyProtection="0">
      <alignment horizontal="left" vertical="center" indent="1"/>
    </xf>
    <xf numFmtId="4" fontId="27" fillId="38" borderId="142" applyNumberFormat="0" applyProtection="0">
      <alignment horizontal="left" vertical="center" indent="1"/>
    </xf>
    <xf numFmtId="0" fontId="18" fillId="84" borderId="142" applyNumberFormat="0" applyProtection="0">
      <alignment horizontal="left" vertical="top" indent="1"/>
    </xf>
    <xf numFmtId="0" fontId="47" fillId="34" borderId="142" applyNumberFormat="0" applyProtection="0">
      <alignment horizontal="center" vertical="top"/>
    </xf>
    <xf numFmtId="0" fontId="110" fillId="77" borderId="149" applyNumberFormat="0" applyAlignment="0" applyProtection="0"/>
    <xf numFmtId="4" fontId="51" fillId="4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55"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0" fontId="18" fillId="50" borderId="142" applyNumberFormat="0" applyProtection="0">
      <alignment horizontal="left" vertical="center" indent="1"/>
    </xf>
    <xf numFmtId="4" fontId="27" fillId="37" borderId="142" applyNumberFormat="0" applyProtection="0">
      <alignment vertical="center"/>
    </xf>
    <xf numFmtId="0" fontId="18" fillId="51" borderId="142" applyNumberFormat="0" applyProtection="0">
      <alignment horizontal="left" vertical="center" indent="1"/>
    </xf>
    <xf numFmtId="0" fontId="18" fillId="84" borderId="142" applyNumberFormat="0" applyProtection="0">
      <alignment horizontal="left" vertical="center" indent="1"/>
    </xf>
    <xf numFmtId="4" fontId="27" fillId="37" borderId="142" applyNumberFormat="0" applyProtection="0">
      <alignment vertical="center"/>
    </xf>
    <xf numFmtId="0" fontId="18" fillId="54"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center" indent="1"/>
    </xf>
    <xf numFmtId="0" fontId="18" fillId="85" borderId="142" applyNumberFormat="0" applyProtection="0">
      <alignment horizontal="left" vertical="top" indent="1"/>
    </xf>
    <xf numFmtId="0" fontId="18" fillId="55" borderId="142" applyNumberFormat="0" applyProtection="0">
      <alignment horizontal="left" vertical="center" indent="1"/>
    </xf>
    <xf numFmtId="0" fontId="18" fillId="54" borderId="142" applyNumberFormat="0" applyProtection="0">
      <alignment horizontal="left" vertical="top"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5" borderId="142" applyNumberFormat="0" applyProtection="0">
      <alignment horizontal="left" vertical="center" indent="1"/>
    </xf>
    <xf numFmtId="0" fontId="18" fillId="50" borderId="142" applyNumberFormat="0" applyProtection="0">
      <alignment horizontal="left" vertical="center" indent="1"/>
    </xf>
    <xf numFmtId="4" fontId="51" fillId="49" borderId="142" applyNumberFormat="0" applyProtection="0">
      <alignment horizontal="right" vertical="center"/>
    </xf>
    <xf numFmtId="4" fontId="47" fillId="0" borderId="142" applyNumberFormat="0" applyProtection="0">
      <alignment horizontal="right" vertical="center"/>
    </xf>
    <xf numFmtId="4" fontId="47" fillId="59" borderId="142" applyNumberFormat="0" applyProtection="0">
      <alignment horizontal="left" vertical="center" indent="1"/>
    </xf>
    <xf numFmtId="0" fontId="18" fillId="84" borderId="142" applyNumberFormat="0" applyProtection="0">
      <alignment horizontal="left" vertical="top" indent="1"/>
    </xf>
    <xf numFmtId="0" fontId="18" fillId="51" borderId="142" applyNumberFormat="0" applyProtection="0">
      <alignment horizontal="left" vertical="top" indent="1"/>
    </xf>
    <xf numFmtId="0" fontId="63" fillId="59" borderId="148" applyNumberFormat="0" applyFont="0" applyFill="0" applyAlignment="0" applyProtection="0">
      <protection locked="0"/>
    </xf>
    <xf numFmtId="0" fontId="47" fillId="34" borderId="142" applyNumberFormat="0" applyProtection="0">
      <alignment horizontal="center" vertical="top"/>
    </xf>
    <xf numFmtId="0" fontId="114" fillId="79" borderId="141" applyNumberFormat="0" applyAlignment="0" applyProtection="0"/>
    <xf numFmtId="0" fontId="18" fillId="84"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center" indent="1"/>
    </xf>
    <xf numFmtId="0" fontId="24" fillId="59" borderId="148" applyNumberFormat="0" applyFont="0" applyAlignment="0" applyProtection="0">
      <protection locked="0"/>
    </xf>
    <xf numFmtId="0" fontId="110" fillId="77" borderId="149" applyNumberFormat="0" applyAlignment="0" applyProtection="0"/>
    <xf numFmtId="0" fontId="18" fillId="51" borderId="142" applyNumberFormat="0" applyProtection="0">
      <alignment horizontal="left" vertical="top" indent="1"/>
    </xf>
    <xf numFmtId="0" fontId="63" fillId="59" borderId="165" applyNumberFormat="0" applyFont="0" applyFill="0" applyAlignment="0" applyProtection="0">
      <protection locked="0"/>
    </xf>
    <xf numFmtId="0" fontId="18" fillId="55" borderId="142" applyNumberFormat="0" applyProtection="0">
      <alignment horizontal="left" vertical="center" indent="1"/>
    </xf>
    <xf numFmtId="4" fontId="47" fillId="35" borderId="142" applyNumberFormat="0" applyProtection="0">
      <alignment horizontal="left" vertical="center" indent="1"/>
    </xf>
    <xf numFmtId="0" fontId="105" fillId="0" borderId="146" applyNumberFormat="0" applyFill="0" applyAlignment="0" applyProtection="0"/>
    <xf numFmtId="0" fontId="18" fillId="0" borderId="139"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4" fontId="47" fillId="47" borderId="142" applyNumberFormat="0" applyProtection="0">
      <alignment horizontal="right" vertical="center"/>
    </xf>
    <xf numFmtId="0" fontId="18" fillId="49" borderId="142" applyNumberFormat="0" applyProtection="0">
      <alignment horizontal="left" vertical="top" indent="1"/>
    </xf>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4" borderId="142" applyNumberFormat="0" applyProtection="0">
      <alignment horizontal="right" vertical="center"/>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0" fontId="114" fillId="79" borderId="141" applyNumberFormat="0" applyAlignment="0" applyProtection="0"/>
    <xf numFmtId="0" fontId="18" fillId="51" borderId="142" applyNumberFormat="0" applyProtection="0">
      <alignment horizontal="left" vertical="top" indent="1"/>
    </xf>
    <xf numFmtId="0" fontId="114" fillId="79" borderId="14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top" indent="1"/>
    </xf>
    <xf numFmtId="0" fontId="102" fillId="79" borderId="161"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61" applyNumberFormat="0" applyAlignment="0" applyProtection="0"/>
    <xf numFmtId="0" fontId="18" fillId="50" borderId="142" applyNumberFormat="0" applyProtection="0">
      <alignment horizontal="left" vertical="center" indent="1"/>
    </xf>
    <xf numFmtId="0" fontId="18" fillId="85" borderId="142" applyNumberFormat="0" applyProtection="0">
      <alignment horizontal="left" vertical="center" indent="1"/>
    </xf>
    <xf numFmtId="4" fontId="47" fillId="40" borderId="142" applyNumberFormat="0" applyProtection="0">
      <alignment horizontal="right" vertical="center"/>
    </xf>
    <xf numFmtId="0" fontId="102" fillId="79" borderId="149" applyNumberFormat="0" applyAlignment="0" applyProtection="0"/>
    <xf numFmtId="0" fontId="110" fillId="77" borderId="149" applyNumberFormat="0" applyAlignment="0" applyProtection="0"/>
    <xf numFmtId="4" fontId="27" fillId="38" borderId="142" applyNumberFormat="0" applyProtection="0">
      <alignment horizontal="left" vertical="center" indent="1"/>
    </xf>
    <xf numFmtId="0" fontId="18" fillId="49" borderId="142" applyNumberFormat="0" applyProtection="0">
      <alignment horizontal="left" vertical="top" indent="1"/>
    </xf>
    <xf numFmtId="4" fontId="27" fillId="34" borderId="142" applyNumberForma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4" fontId="27" fillId="34" borderId="142" applyNumberFormat="0" applyProtection="0"/>
    <xf numFmtId="4" fontId="47" fillId="43"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6" borderId="142" applyNumberFormat="0" applyProtection="0">
      <alignment horizontal="right" vertical="center"/>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4" fontId="47" fillId="0" borderId="142" applyNumberFormat="0" applyProtection="0">
      <alignment horizontal="right" vertical="center"/>
    </xf>
    <xf numFmtId="4" fontId="25" fillId="49" borderId="142" applyNumberFormat="0" applyProtection="0">
      <alignment horizontal="right" vertical="center"/>
    </xf>
    <xf numFmtId="0" fontId="102" fillId="79" borderId="149" applyNumberFormat="0" applyAlignment="0" applyProtection="0"/>
    <xf numFmtId="0" fontId="24" fillId="59" borderId="165" applyNumberFormat="0" applyFont="0" applyAlignment="0" applyProtection="0">
      <protection locked="0"/>
    </xf>
    <xf numFmtId="0" fontId="24" fillId="59" borderId="165" applyNumberFormat="0" applyFont="0" applyAlignment="0" applyProtection="0">
      <protection locked="0"/>
    </xf>
    <xf numFmtId="4" fontId="47" fillId="41" borderId="142" applyNumberFormat="0" applyProtection="0">
      <alignment horizontal="right" vertical="center"/>
    </xf>
    <xf numFmtId="0" fontId="26" fillId="0" borderId="32">
      <alignment horizontal="left" vertical="center"/>
    </xf>
    <xf numFmtId="0" fontId="102" fillId="79" borderId="149" applyNumberFormat="0" applyAlignment="0" applyProtection="0"/>
    <xf numFmtId="0" fontId="102" fillId="79" borderId="149" applyNumberFormat="0" applyAlignment="0" applyProtection="0"/>
    <xf numFmtId="0" fontId="18" fillId="54" borderId="142" applyNumberFormat="0" applyProtection="0">
      <alignment horizontal="left" vertical="top" indent="1"/>
    </xf>
    <xf numFmtId="0" fontId="24" fillId="59" borderId="148" applyNumberFormat="0" applyFont="0" applyAlignment="0" applyProtection="0">
      <protection locked="0"/>
    </xf>
    <xf numFmtId="0" fontId="102" fillId="79" borderId="149" applyNumberFormat="0" applyAlignment="0" applyProtection="0"/>
    <xf numFmtId="0" fontId="110" fillId="77" borderId="149"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top" indent="1"/>
    </xf>
    <xf numFmtId="0" fontId="18" fillId="49" borderId="142" applyNumberFormat="0" applyProtection="0">
      <alignment horizontal="left" vertical="top" indent="1"/>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85" borderId="142" applyNumberFormat="0" applyProtection="0">
      <alignment horizontal="left" vertical="top" indent="1"/>
    </xf>
    <xf numFmtId="0" fontId="18" fillId="51" borderId="142" applyNumberFormat="0" applyProtection="0">
      <alignment horizontal="left" vertical="center" indent="1"/>
    </xf>
    <xf numFmtId="0" fontId="47" fillId="35" borderId="142" applyNumberFormat="0" applyProtection="0">
      <alignment horizontal="left" vertical="top" indent="1"/>
    </xf>
    <xf numFmtId="0" fontId="18" fillId="51" borderId="142" applyNumberFormat="0" applyProtection="0">
      <alignment horizontal="left" vertical="center"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49" applyNumberFormat="0" applyAlignment="0" applyProtection="0"/>
    <xf numFmtId="0" fontId="114" fillId="79" borderId="141" applyNumberFormat="0" applyAlignment="0" applyProtection="0"/>
    <xf numFmtId="4" fontId="47" fillId="51" borderId="142" applyNumberFormat="0" applyProtection="0">
      <alignment horizontal="right" vertical="center"/>
    </xf>
    <xf numFmtId="4" fontId="47" fillId="42" borderId="142" applyNumberFormat="0" applyProtection="0">
      <alignment horizontal="right" vertical="center"/>
    </xf>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12" fontId="26" fillId="36" borderId="49">
      <alignment horizontal="left"/>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left" vertical="center" indent="1"/>
    </xf>
    <xf numFmtId="0" fontId="47" fillId="34" borderId="142" applyNumberFormat="0" applyProtection="0">
      <alignment horizontal="left" vertical="top"/>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176" fontId="18" fillId="0" borderId="145">
      <alignment horizontal="justify" vertical="top" wrapText="1"/>
    </xf>
    <xf numFmtId="4" fontId="47" fillId="42"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7" borderId="142" applyNumberFormat="0" applyProtection="0">
      <alignment horizontal="right" vertical="center"/>
    </xf>
    <xf numFmtId="4" fontId="27" fillId="38" borderId="142" applyNumberFormat="0" applyProtection="0">
      <alignment horizontal="left" vertical="center"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center" indent="1"/>
    </xf>
    <xf numFmtId="4" fontId="47" fillId="0" borderId="142" applyNumberFormat="0" applyProtection="0">
      <alignment horizontal="right" vertical="center"/>
    </xf>
    <xf numFmtId="4" fontId="47" fillId="0"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7" fillId="38" borderId="142" applyNumberFormat="0" applyProtection="0">
      <alignment horizontal="left" vertical="center" indent="1"/>
    </xf>
    <xf numFmtId="4" fontId="47" fillId="0" borderId="142" applyNumberFormat="0" applyProtection="0">
      <alignment horizontal="right" vertical="center"/>
    </xf>
    <xf numFmtId="0" fontId="18" fillId="54" borderId="142" applyNumberFormat="0" applyProtection="0">
      <alignment horizontal="left" vertical="center" indent="1"/>
    </xf>
    <xf numFmtId="0" fontId="47" fillId="35" borderId="142" applyNumberFormat="0" applyProtection="0">
      <alignment horizontal="left" vertical="top" indent="1"/>
    </xf>
    <xf numFmtId="4" fontId="47" fillId="51" borderId="142" applyNumberFormat="0" applyProtection="0">
      <alignment horizontal="right" vertical="center"/>
    </xf>
    <xf numFmtId="0" fontId="26" fillId="0" borderId="32">
      <alignment horizontal="lef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0" fontId="18" fillId="50" borderId="142" applyNumberFormat="0" applyProtection="0">
      <alignment horizontal="left" vertical="center" indent="1"/>
    </xf>
    <xf numFmtId="0" fontId="102" fillId="79" borderId="161" applyNumberFormat="0" applyAlignment="0" applyProtection="0"/>
    <xf numFmtId="0" fontId="18" fillId="54" borderId="142" applyNumberFormat="0" applyProtection="0">
      <alignment horizontal="left" vertical="center" indent="1"/>
    </xf>
    <xf numFmtId="0" fontId="102" fillId="79" borderId="161" applyNumberFormat="0" applyAlignment="0" applyProtection="0"/>
    <xf numFmtId="0" fontId="24" fillId="59" borderId="165" applyNumberFormat="0" applyFont="0" applyAlignment="0" applyProtection="0">
      <protection locked="0"/>
    </xf>
    <xf numFmtId="0" fontId="47" fillId="34" borderId="142" applyNumberFormat="0" applyProtection="0">
      <alignment horizontal="left" vertical="top"/>
    </xf>
    <xf numFmtId="0" fontId="102" fillId="79" borderId="161" applyNumberFormat="0" applyAlignment="0" applyProtection="0"/>
    <xf numFmtId="0" fontId="63" fillId="59" borderId="165" applyNumberFormat="0" applyFont="0" applyFill="0" applyAlignment="0" applyProtection="0">
      <protection locked="0"/>
    </xf>
    <xf numFmtId="4" fontId="47" fillId="0" borderId="142" applyNumberFormat="0" applyProtection="0">
      <alignment horizontal="right" vertical="center"/>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102" fillId="79" borderId="161" applyNumberFormat="0" applyAlignment="0" applyProtection="0"/>
    <xf numFmtId="0" fontId="26" fillId="0" borderId="32">
      <alignment horizontal="left" vertical="center"/>
    </xf>
    <xf numFmtId="0" fontId="26" fillId="0" borderId="32">
      <alignment horizontal="left" vertical="center"/>
    </xf>
    <xf numFmtId="0" fontId="110" fillId="77" borderId="161" applyNumberFormat="0" applyAlignment="0" applyProtection="0"/>
    <xf numFmtId="0" fontId="18" fillId="54" borderId="142" applyNumberFormat="0" applyProtection="0">
      <alignment horizontal="left" vertical="center" indent="1"/>
    </xf>
    <xf numFmtId="0" fontId="110" fillId="77" borderId="161" applyNumberFormat="0" applyAlignment="0" applyProtection="0"/>
    <xf numFmtId="0" fontId="110" fillId="77" borderId="161" applyNumberFormat="0" applyAlignment="0" applyProtection="0"/>
    <xf numFmtId="4" fontId="47" fillId="0" borderId="142" applyNumberFormat="0" applyProtection="0">
      <alignment horizontal="left" vertical="center" indent="1"/>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63" fillId="59" borderId="165" applyNumberFormat="0" applyFont="0" applyFill="0" applyAlignment="0" applyProtection="0">
      <protection locked="0"/>
    </xf>
    <xf numFmtId="0" fontId="18" fillId="54" borderId="142" applyNumberFormat="0" applyProtection="0">
      <alignment horizontal="left" vertical="top" indent="1"/>
    </xf>
    <xf numFmtId="0" fontId="102" fillId="79" borderId="161" applyNumberFormat="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34"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47" fillId="0"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4" borderId="142" applyNumberFormat="0" applyProtection="0">
      <alignment horizontal="left" vertical="top"/>
    </xf>
    <xf numFmtId="0" fontId="18" fillId="54" borderId="142" applyNumberFormat="0" applyProtection="0">
      <alignment horizontal="left" vertical="top" indent="1"/>
    </xf>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63" fillId="59" borderId="165" applyNumberFormat="0" applyFont="0" applyFill="0" applyAlignment="0" applyProtection="0">
      <protection locked="0"/>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4" fontId="51" fillId="49" borderId="142" applyNumberFormat="0" applyProtection="0">
      <alignment horizontal="right" vertical="center"/>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5" borderId="142" applyNumberFormat="0" applyProtection="0">
      <alignment horizontal="left" vertical="top" indent="1"/>
    </xf>
    <xf numFmtId="0" fontId="18" fillId="3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8" fillId="0" borderId="167" applyNumberFormat="0" applyFill="0" applyAlignment="0" applyProtection="0"/>
    <xf numFmtId="0" fontId="18" fillId="0" borderId="167" applyNumberFormat="0" applyFill="0" applyAlignment="0" applyProtection="0"/>
    <xf numFmtId="0" fontId="26" fillId="0" borderId="150">
      <alignment horizontal="left" vertical="center"/>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176" fontId="18" fillId="0" borderId="169">
      <alignment horizontal="justify" vertical="top" wrapText="1"/>
    </xf>
    <xf numFmtId="0" fontId="35" fillId="0" borderId="170"/>
  </cellStyleXfs>
  <cellXfs count="970">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5"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0" fontId="122" fillId="0" borderId="0" xfId="0" applyFont="1" applyFill="1" applyBorder="1"/>
    <xf numFmtId="38" fontId="32" fillId="0" borderId="11" xfId="2" applyNumberFormat="1" applyFont="1" applyBorder="1"/>
    <xf numFmtId="10" fontId="32" fillId="0" borderId="11" xfId="4" applyNumberFormat="1" applyFont="1" applyFill="1" applyBorder="1"/>
    <xf numFmtId="5" fontId="122" fillId="0" borderId="0" xfId="0" applyNumberFormat="1" applyFont="1"/>
    <xf numFmtId="0" fontId="32" fillId="0" borderId="0" xfId="25455" applyFont="1"/>
    <xf numFmtId="0" fontId="32" fillId="0" borderId="0" xfId="25455" applyFont="1" applyFill="1" applyBorder="1"/>
    <xf numFmtId="10" fontId="122" fillId="0" borderId="55" xfId="0" applyNumberFormat="1" applyFont="1" applyFill="1" applyBorder="1"/>
    <xf numFmtId="189" fontId="122"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8"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55" xfId="25455" applyFont="1" applyBorder="1"/>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Fill="1" applyBorder="1">
      <alignment horizontal="right"/>
    </xf>
    <xf numFmtId="5" fontId="121" fillId="0" borderId="75" xfId="25457" applyNumberFormat="1" applyFont="1" applyFill="1" applyBorder="1">
      <alignment horizontal="right"/>
    </xf>
    <xf numFmtId="5" fontId="121" fillId="0" borderId="64" xfId="25457" applyNumberFormat="1" applyFont="1" applyFill="1" applyBorder="1">
      <alignment horizontal="right"/>
    </xf>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192"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43" fontId="121" fillId="0" borderId="0" xfId="25742" applyFont="1" applyFill="1" applyBorder="1" applyAlignment="1">
      <alignment horizontal="center" vertical="center" wrapText="1"/>
    </xf>
    <xf numFmtId="43" fontId="32" fillId="0" borderId="0" xfId="25742" applyFont="1" applyFill="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75" xfId="25455" applyNumberFormat="1" applyFont="1" applyFill="1" applyBorder="1" applyAlignment="1">
      <alignment horizontal="center"/>
    </xf>
    <xf numFmtId="43" fontId="32" fillId="0" borderId="75" xfId="2574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3" fontId="32" fillId="0" borderId="15" xfId="25745" applyNumberFormat="1" applyFont="1" applyFill="1" applyBorder="1" applyAlignment="1">
      <alignment horizontal="center"/>
    </xf>
    <xf numFmtId="4" fontId="122" fillId="0" borderId="0" xfId="0" applyNumberFormat="1" applyFont="1"/>
    <xf numFmtId="8"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8" fillId="0" borderId="80" xfId="0" applyNumberFormat="1" applyFont="1" applyFill="1" applyBorder="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89" borderId="88" xfId="0" applyFont="1" applyFill="1" applyBorder="1"/>
    <xf numFmtId="0" fontId="122" fillId="89" borderId="0" xfId="0" applyFont="1" applyFill="1" applyBorder="1"/>
    <xf numFmtId="0" fontId="122" fillId="89"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1" borderId="88" xfId="25742" applyNumberFormat="1" applyFont="1" applyFill="1" applyBorder="1"/>
    <xf numFmtId="166" fontId="122" fillId="91" borderId="0" xfId="25742" applyNumberFormat="1" applyFont="1" applyFill="1" applyBorder="1"/>
    <xf numFmtId="166" fontId="122" fillId="91"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0" borderId="90" xfId="0" applyNumberFormat="1" applyFont="1" applyBorder="1"/>
    <xf numFmtId="41" fontId="122" fillId="0" borderId="0" xfId="0" applyNumberFormat="1" applyFont="1"/>
    <xf numFmtId="166" fontId="122" fillId="93" borderId="88" xfId="25742" applyNumberFormat="1" applyFont="1" applyFill="1" applyBorder="1"/>
    <xf numFmtId="166" fontId="122" fillId="93" borderId="0" xfId="25742" applyNumberFormat="1" applyFont="1" applyFill="1" applyBorder="1"/>
    <xf numFmtId="166" fontId="122" fillId="93" borderId="89" xfId="25742" applyNumberFormat="1" applyFont="1" applyFill="1" applyBorder="1"/>
    <xf numFmtId="0" fontId="122" fillId="93" borderId="88" xfId="0" applyFont="1" applyFill="1" applyBorder="1"/>
    <xf numFmtId="49" fontId="122" fillId="93" borderId="0" xfId="0" applyNumberFormat="1" applyFont="1" applyFill="1" applyBorder="1" applyAlignment="1">
      <alignment horizontal="center"/>
    </xf>
    <xf numFmtId="49" fontId="122" fillId="93" borderId="89" xfId="0" applyNumberFormat="1" applyFont="1" applyFill="1" applyBorder="1" applyAlignment="1">
      <alignment horizontal="center"/>
    </xf>
    <xf numFmtId="166" fontId="122" fillId="87" borderId="88" xfId="25742" applyNumberFormat="1" applyFont="1" applyFill="1" applyBorder="1"/>
    <xf numFmtId="166" fontId="122" fillId="87" borderId="89" xfId="25742" applyNumberFormat="1" applyFont="1" applyFill="1" applyBorder="1"/>
    <xf numFmtId="166" fontId="122" fillId="92"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167" fontId="121"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10" fontId="122" fillId="0" borderId="0" xfId="0" applyNumberFormat="1" applyFont="1" applyFill="1"/>
    <xf numFmtId="4" fontId="122" fillId="0" borderId="33" xfId="0" applyNumberFormat="1" applyFont="1" applyBorder="1"/>
    <xf numFmtId="44" fontId="122" fillId="0" borderId="0" xfId="25745" applyFont="1" applyFill="1"/>
    <xf numFmtId="0" fontId="131" fillId="0" borderId="0" xfId="0" applyFont="1" applyAlignment="1">
      <alignment horizontal="center"/>
    </xf>
    <xf numFmtId="0" fontId="122" fillId="0" borderId="76" xfId="0" applyFont="1" applyFill="1" applyBorder="1"/>
    <xf numFmtId="0" fontId="122" fillId="0" borderId="85" xfId="0" applyFont="1" applyFill="1" applyBorder="1"/>
    <xf numFmtId="43" fontId="122" fillId="0" borderId="14" xfId="25742" applyFont="1" applyFill="1" applyBorder="1"/>
    <xf numFmtId="0" fontId="121" fillId="0" borderId="0" xfId="0" applyFont="1" applyFill="1" applyAlignment="1">
      <alignment horizontal="center"/>
    </xf>
    <xf numFmtId="0" fontId="130"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6"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8"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49" fontId="121" fillId="0" borderId="0" xfId="25764" applyNumberFormat="1" applyFont="1" applyFill="1"/>
    <xf numFmtId="49" fontId="18" fillId="0" borderId="0" xfId="27901" applyNumberFormat="1" applyFont="1" applyFill="1" applyAlignment="1">
      <alignment horizontal="right"/>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166" fontId="18" fillId="0" borderId="0" xfId="25742" applyNumberFormat="1" applyFont="1" applyFill="1"/>
    <xf numFmtId="43" fontId="18" fillId="0" borderId="128" xfId="27903" applyFont="1" applyFill="1" applyBorder="1"/>
    <xf numFmtId="49" fontId="18" fillId="0" borderId="0" xfId="166" applyNumberFormat="1" applyFont="1" applyFill="1"/>
    <xf numFmtId="49" fontId="18" fillId="0" borderId="0" xfId="52"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6" applyFont="1" applyFill="1" applyBorder="1"/>
    <xf numFmtId="43" fontId="18" fillId="0" borderId="0" xfId="27917" applyFont="1" applyFill="1"/>
    <xf numFmtId="43" fontId="18" fillId="0" borderId="0" xfId="27918" applyFont="1" applyFill="1"/>
    <xf numFmtId="0" fontId="57" fillId="0" borderId="0" xfId="0" quotePrefix="1" applyFont="1" applyFill="1"/>
    <xf numFmtId="166" fontId="57" fillId="0" borderId="0" xfId="25742" applyNumberFormat="1" applyFont="1" applyFill="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43" fontId="20" fillId="0" borderId="79" xfId="27903" applyFont="1" applyFill="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39" fillId="0"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0" fontId="122" fillId="0" borderId="0" xfId="0" applyNumberFormat="1" applyFont="1" applyFill="1"/>
    <xf numFmtId="43" fontId="32" fillId="0" borderId="85" xfId="0" applyNumberFormat="1" applyFont="1" applyFill="1" applyBorder="1"/>
    <xf numFmtId="8" fontId="122" fillId="0" borderId="85" xfId="0" applyNumberFormat="1" applyFont="1" applyFill="1" applyBorder="1"/>
    <xf numFmtId="191"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6" fontId="122" fillId="0" borderId="88" xfId="0" applyNumberFormat="1" applyFont="1" applyBorder="1"/>
    <xf numFmtId="6" fontId="122" fillId="0" borderId="0" xfId="0" applyNumberFormat="1" applyFont="1" applyBorder="1"/>
    <xf numFmtId="166" fontId="122" fillId="94" borderId="88" xfId="25742" applyNumberFormat="1" applyFont="1" applyFill="1" applyBorder="1"/>
    <xf numFmtId="166" fontId="122" fillId="94" borderId="89" xfId="25742" applyNumberFormat="1" applyFont="1" applyFill="1" applyBorder="1"/>
    <xf numFmtId="166" fontId="122" fillId="92"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8" fillId="0" borderId="53" xfId="0" applyFont="1" applyFill="1" applyBorder="1"/>
    <xf numFmtId="0" fontId="128" fillId="0" borderId="53" xfId="0" applyFont="1" applyFill="1" applyBorder="1" applyAlignment="1">
      <alignment horizontal="center"/>
    </xf>
    <xf numFmtId="43" fontId="128" fillId="0" borderId="53" xfId="25766" applyFont="1" applyFill="1" applyBorder="1"/>
    <xf numFmtId="0" fontId="128" fillId="0" borderId="0" xfId="0" applyFont="1" applyFill="1" applyBorder="1"/>
    <xf numFmtId="43" fontId="128" fillId="0" borderId="0" xfId="25766" applyFont="1" applyFill="1" applyBorder="1"/>
    <xf numFmtId="0" fontId="128" fillId="0" borderId="80" xfId="0" applyFont="1" applyFill="1" applyBorder="1"/>
    <xf numFmtId="0" fontId="128" fillId="0" borderId="80" xfId="0" applyFont="1" applyFill="1" applyBorder="1" applyAlignment="1">
      <alignment horizontal="center"/>
    </xf>
    <xf numFmtId="0" fontId="32" fillId="0" borderId="0" xfId="0" applyFont="1" applyFill="1" applyAlignment="1">
      <alignment horizontal="left"/>
    </xf>
    <xf numFmtId="0" fontId="137"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43" fontId="122" fillId="0" borderId="0" xfId="25742" applyFont="1" applyFill="1"/>
    <xf numFmtId="7" fontId="122" fillId="0" borderId="0" xfId="0" applyNumberFormat="1" applyFont="1"/>
    <xf numFmtId="43" fontId="122" fillId="0" borderId="85" xfId="0" applyNumberFormat="1" applyFont="1" applyFill="1" applyBorder="1"/>
    <xf numFmtId="44" fontId="0" fillId="0" borderId="0" xfId="25745" applyFont="1"/>
    <xf numFmtId="44" fontId="0" fillId="0" borderId="80" xfId="25745" applyFont="1" applyBorder="1"/>
    <xf numFmtId="44" fontId="0" fillId="0" borderId="80" xfId="0" applyNumberFormat="1" applyBorder="1"/>
    <xf numFmtId="44" fontId="0" fillId="0" borderId="0" xfId="0" applyNumberFormat="1"/>
    <xf numFmtId="37" fontId="18" fillId="0" borderId="0" xfId="25795" applyFont="1" applyFill="1" applyAlignment="1">
      <alignment horizontal="center"/>
    </xf>
    <xf numFmtId="37" fontId="26" fillId="0" borderId="0" xfId="25795" applyFont="1" applyFill="1"/>
    <xf numFmtId="37" fontId="135" fillId="0" borderId="0" xfId="25795" applyFont="1" applyFill="1"/>
    <xf numFmtId="37" fontId="60" fillId="0" borderId="0" xfId="25795" applyFont="1" applyFill="1" applyAlignment="1">
      <alignment horizontal="center"/>
    </xf>
    <xf numFmtId="198" fontId="23" fillId="0" borderId="88" xfId="25795" applyNumberFormat="1" applyFont="1" applyFill="1" applyBorder="1" applyAlignment="1" applyProtection="1">
      <alignment horizontal="centerContinuous"/>
      <protection locked="0"/>
    </xf>
    <xf numFmtId="198" fontId="18" fillId="0" borderId="0" xfId="25795" applyNumberFormat="1" applyFont="1" applyFill="1" applyBorder="1" applyAlignment="1" applyProtection="1">
      <alignment horizontal="centerContinuous"/>
    </xf>
    <xf numFmtId="198"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7"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9"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44" fontId="122" fillId="0" borderId="0" xfId="0" applyNumberFormat="1" applyFont="1" applyFill="1"/>
    <xf numFmtId="194"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200" fontId="122" fillId="0" borderId="56" xfId="0" applyNumberFormat="1" applyFont="1" applyFill="1" applyBorder="1" applyAlignment="1"/>
    <xf numFmtId="0" fontId="121" fillId="0" borderId="0" xfId="24690" applyFont="1" applyFill="1" applyBorder="1" applyAlignment="1">
      <alignment horizontal="center"/>
    </xf>
    <xf numFmtId="3" fontId="127" fillId="0" borderId="0" xfId="0" applyNumberFormat="1" applyFont="1" applyFill="1" applyBorder="1"/>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29"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90"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49" fontId="18" fillId="0" borderId="0" xfId="27901" applyNumberFormat="1" applyFont="1" applyFill="1" applyAlignment="1">
      <alignment horizontal="center"/>
    </xf>
    <xf numFmtId="49" fontId="138"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39" fillId="0" borderId="85" xfId="0" quotePrefix="1" applyNumberFormat="1" applyFont="1" applyFill="1" applyBorder="1"/>
    <xf numFmtId="17" fontId="139"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39" fillId="0" borderId="0" xfId="0" applyFont="1" applyFill="1"/>
    <xf numFmtId="2" fontId="18" fillId="0" borderId="0" xfId="25764" applyNumberFormat="1" applyFont="1" applyFill="1" applyAlignment="1">
      <alignment wrapText="1"/>
    </xf>
    <xf numFmtId="39" fontId="32" fillId="0" borderId="0" xfId="25794"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2" fontId="32" fillId="0" borderId="35" xfId="25742" applyNumberFormat="1" applyFont="1" applyFill="1" applyBorder="1" applyAlignment="1" applyProtection="1">
      <alignment horizontal="center"/>
    </xf>
    <xf numFmtId="43" fontId="32" fillId="0" borderId="79"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6" xfId="0" applyNumberFormat="1" applyFont="1" applyFill="1" applyBorder="1"/>
    <xf numFmtId="43" fontId="32" fillId="0" borderId="56" xfId="25745"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7" xfId="0" applyNumberFormat="1" applyFont="1" applyFill="1" applyBorder="1"/>
    <xf numFmtId="193"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0" fontId="0" fillId="0" borderId="0" xfId="0" applyFill="1" applyAlignment="1">
      <alignment horizontal="center"/>
    </xf>
    <xf numFmtId="43" fontId="18" fillId="0" borderId="0" xfId="25742" applyFont="1" applyFill="1" applyAlignment="1">
      <alignment horizontal="center"/>
    </xf>
    <xf numFmtId="43" fontId="18" fillId="0" borderId="0" xfId="25742" applyFont="1" applyFill="1"/>
    <xf numFmtId="43" fontId="0" fillId="0" borderId="0" xfId="0" applyNumberFormat="1" applyFill="1"/>
    <xf numFmtId="44" fontId="0" fillId="0" borderId="0" xfId="25745" applyFont="1" applyFill="1" applyAlignment="1">
      <alignment horizontal="center"/>
    </xf>
    <xf numFmtId="14" fontId="32" fillId="0" borderId="0" xfId="25794" applyNumberFormat="1" applyFont="1" applyFill="1" applyBorder="1"/>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39" fillId="0" borderId="0" xfId="409" applyNumberFormat="1" applyFont="1" applyFill="1"/>
    <xf numFmtId="43" fontId="20" fillId="0" borderId="0" xfId="27902" applyFont="1" applyFill="1"/>
    <xf numFmtId="49" fontId="57" fillId="0" borderId="0" xfId="419" applyNumberFormat="1" applyFont="1" applyFill="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40" fillId="0" borderId="0" xfId="0" applyNumberFormat="1" applyFont="1" applyFill="1" applyAlignment="1">
      <alignment horizontal="center"/>
    </xf>
    <xf numFmtId="0" fontId="121" fillId="88" borderId="0" xfId="24690" applyFont="1" applyFill="1" applyBorder="1" applyAlignment="1"/>
    <xf numFmtId="6" fontId="122" fillId="0" borderId="85" xfId="0" applyNumberFormat="1" applyFont="1" applyFill="1" applyBorder="1"/>
    <xf numFmtId="6" fontId="124" fillId="0" borderId="53" xfId="0" applyNumberFormat="1" applyFont="1" applyFill="1" applyBorder="1"/>
    <xf numFmtId="0" fontId="121" fillId="0" borderId="0" xfId="27280" applyFont="1" applyFill="1" applyBorder="1" applyAlignment="1"/>
    <xf numFmtId="0" fontId="0" fillId="0" borderId="0" xfId="0"/>
    <xf numFmtId="43" fontId="32" fillId="0" borderId="145" xfId="25455" applyNumberFormat="1" applyFont="1" applyFill="1" applyBorder="1" applyAlignment="1">
      <alignment horizontal="center"/>
    </xf>
    <xf numFmtId="43" fontId="32" fillId="0" borderId="145" xfId="2574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5" xfId="25455" applyNumberFormat="1" applyFont="1" applyFill="1" applyBorder="1" applyAlignment="1">
      <alignment horizontal="center"/>
    </xf>
    <xf numFmtId="0" fontId="32" fillId="0" borderId="145" xfId="25455" applyFont="1" applyFill="1" applyBorder="1" applyAlignment="1">
      <alignment horizontal="center"/>
    </xf>
    <xf numFmtId="0" fontId="32" fillId="0" borderId="152"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4" fontId="122" fillId="0" borderId="153" xfId="0" applyNumberFormat="1" applyFont="1" applyFill="1" applyBorder="1"/>
    <xf numFmtId="4" fontId="122" fillId="0" borderId="140" xfId="0" applyNumberFormat="1" applyFont="1" applyFill="1" applyBorder="1"/>
    <xf numFmtId="203" fontId="122" fillId="0" borderId="0" xfId="0" applyNumberFormat="1" applyFont="1" applyFill="1"/>
    <xf numFmtId="166" fontId="32" fillId="0" borderId="14" xfId="25457" applyNumberFormat="1" applyFont="1" applyFill="1" applyBorder="1">
      <alignment horizontal="right"/>
    </xf>
    <xf numFmtId="0" fontId="121" fillId="0" borderId="0" xfId="24690" applyFont="1" applyFill="1" applyBorder="1" applyAlignment="1">
      <alignment horizontal="center"/>
    </xf>
    <xf numFmtId="43" fontId="124" fillId="0" borderId="140" xfId="0" applyNumberFormat="1" applyFont="1" applyFill="1" applyBorder="1" applyAlignment="1">
      <alignment horizontal="center"/>
    </xf>
    <xf numFmtId="39" fontId="124" fillId="0" borderId="140" xfId="0" applyNumberFormat="1" applyFont="1" applyFill="1" applyBorder="1" applyAlignment="1">
      <alignment horizontal="center"/>
    </xf>
    <xf numFmtId="0" fontId="124" fillId="0" borderId="140" xfId="0" applyFont="1" applyFill="1" applyBorder="1" applyAlignment="1">
      <alignment horizontal="center"/>
    </xf>
    <xf numFmtId="0" fontId="0" fillId="0" borderId="0" xfId="0" applyBorder="1" applyAlignment="1">
      <alignment vertical="center"/>
    </xf>
    <xf numFmtId="0" fontId="32" fillId="0" borderId="0" xfId="0" applyFont="1" applyAlignment="1">
      <alignment horizontal="left"/>
    </xf>
    <xf numFmtId="0" fontId="32" fillId="0" borderId="0" xfId="0" applyFont="1" applyBorder="1" applyAlignment="1">
      <alignment horizontal="left"/>
    </xf>
    <xf numFmtId="44" fontId="0" fillId="0" borderId="0" xfId="25745" applyFont="1" applyBorder="1"/>
    <xf numFmtId="10" fontId="57" fillId="0" borderId="0" xfId="25793" applyNumberFormat="1" applyFont="1" applyFill="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39" fillId="0" borderId="0" xfId="25742" applyNumberFormat="1" applyFont="1" applyFill="1" applyBorder="1"/>
    <xf numFmtId="0" fontId="139" fillId="0" borderId="0" xfId="0" applyFont="1" applyFill="1" applyBorder="1"/>
    <xf numFmtId="0" fontId="0" fillId="0" borderId="0" xfId="0" applyFill="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3"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2" xfId="1" applyFont="1" applyBorder="1"/>
    <xf numFmtId="0" fontId="32" fillId="0" borderId="140"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3" xfId="2" applyNumberFormat="1" applyFont="1" applyFill="1" applyBorder="1" applyProtection="1"/>
    <xf numFmtId="38" fontId="122" fillId="0" borderId="132" xfId="0" applyNumberFormat="1" applyFont="1" applyFill="1" applyBorder="1"/>
    <xf numFmtId="38" fontId="32" fillId="0" borderId="132" xfId="2" applyNumberFormat="1" applyFont="1" applyFill="1" applyBorder="1"/>
    <xf numFmtId="0" fontId="121" fillId="0" borderId="140" xfId="1" applyFont="1" applyFill="1" applyBorder="1"/>
    <xf numFmtId="0" fontId="32" fillId="0" borderId="152" xfId="1" applyFont="1" applyFill="1" applyBorder="1"/>
    <xf numFmtId="10" fontId="32" fillId="0" borderId="153" xfId="4" applyNumberFormat="1" applyFont="1" applyFill="1" applyBorder="1"/>
    <xf numFmtId="10" fontId="32" fillId="0" borderId="140" xfId="4" applyNumberFormat="1" applyFont="1" applyFill="1" applyBorder="1"/>
    <xf numFmtId="10" fontId="32" fillId="0" borderId="145"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66" fontId="122" fillId="87" borderId="0" xfId="25742" applyNumberFormat="1" applyFont="1" applyFill="1"/>
    <xf numFmtId="166" fontId="122" fillId="94" borderId="0" xfId="25742" applyNumberFormat="1" applyFont="1" applyFill="1"/>
    <xf numFmtId="166" fontId="122" fillId="92" borderId="0" xfId="25742" applyNumberFormat="1" applyFont="1" applyFill="1"/>
    <xf numFmtId="0" fontId="57" fillId="0" borderId="0" xfId="0" quotePrefix="1" applyFont="1" applyFill="1" applyAlignment="1">
      <alignment horizontal="left"/>
    </xf>
    <xf numFmtId="166" fontId="0" fillId="0" borderId="0" xfId="0" applyNumberFormat="1" applyFill="1"/>
    <xf numFmtId="43" fontId="57" fillId="0" borderId="0" xfId="25793" applyNumberFormat="1" applyFont="1" applyFill="1"/>
    <xf numFmtId="43" fontId="57" fillId="0" borderId="0" xfId="25742" applyNumberFormat="1" applyFont="1" applyFill="1" applyBorder="1"/>
    <xf numFmtId="43" fontId="139" fillId="0" borderId="0" xfId="25742" applyNumberFormat="1" applyFont="1" applyFill="1" applyBorder="1"/>
    <xf numFmtId="43" fontId="139" fillId="0" borderId="0" xfId="25742" applyNumberFormat="1" applyFont="1" applyFill="1"/>
    <xf numFmtId="49" fontId="122" fillId="0" borderId="0" xfId="0" applyNumberFormat="1" applyFont="1" applyFill="1" applyBorder="1" applyAlignment="1">
      <alignment horizontal="center"/>
    </xf>
    <xf numFmtId="0" fontId="124" fillId="0" borderId="0" xfId="0" applyFont="1" applyFill="1" applyBorder="1" applyAlignment="1">
      <alignment horizontal="center"/>
    </xf>
    <xf numFmtId="38" fontId="122" fillId="90" borderId="137" xfId="0" applyNumberFormat="1" applyFont="1" applyFill="1" applyBorder="1"/>
    <xf numFmtId="38" fontId="122" fillId="0" borderId="156" xfId="0" applyNumberFormat="1" applyFont="1" applyFill="1" applyBorder="1"/>
    <xf numFmtId="38" fontId="122" fillId="0" borderId="154" xfId="0" applyNumberFormat="1" applyFont="1" applyFill="1" applyBorder="1"/>
    <xf numFmtId="38" fontId="122" fillId="0" borderId="155" xfId="0" applyNumberFormat="1" applyFont="1" applyFill="1" applyBorder="1"/>
    <xf numFmtId="38" fontId="122" fillId="0" borderId="95" xfId="0" applyNumberFormat="1" applyFont="1" applyFill="1" applyBorder="1"/>
    <xf numFmtId="38" fontId="122" fillId="0" borderId="157" xfId="0" applyNumberFormat="1" applyFont="1" applyFill="1" applyBorder="1"/>
    <xf numFmtId="38" fontId="122" fillId="0" borderId="158" xfId="0" applyNumberFormat="1" applyFont="1" applyFill="1" applyBorder="1"/>
    <xf numFmtId="49" fontId="122" fillId="0" borderId="88" xfId="0" applyNumberFormat="1" applyFont="1" applyFill="1" applyBorder="1" applyAlignment="1">
      <alignment horizontal="center"/>
    </xf>
    <xf numFmtId="49" fontId="122" fillId="0" borderId="89" xfId="0" applyNumberFormat="1" applyFont="1" applyFill="1" applyBorder="1" applyAlignment="1">
      <alignment horizontal="center"/>
    </xf>
    <xf numFmtId="0" fontId="121" fillId="0" borderId="0" xfId="0" applyFont="1" applyFill="1" applyAlignment="1">
      <alignment horizontal="center"/>
    </xf>
    <xf numFmtId="43" fontId="57" fillId="0" borderId="0" xfId="25742" applyNumberFormat="1" applyFont="1" applyFill="1"/>
    <xf numFmtId="43" fontId="139" fillId="0" borderId="85" xfId="25742" applyNumberFormat="1" applyFont="1" applyFill="1" applyBorder="1"/>
    <xf numFmtId="43" fontId="57" fillId="0" borderId="85" xfId="25742" applyNumberFormat="1" applyFont="1" applyFill="1" applyBorder="1"/>
    <xf numFmtId="166" fontId="57" fillId="0" borderId="85" xfId="25742" applyNumberFormat="1" applyFont="1" applyFill="1" applyBorder="1"/>
    <xf numFmtId="166" fontId="139" fillId="0" borderId="0" xfId="25742" applyNumberFormat="1" applyFont="1" applyFill="1" applyAlignment="1">
      <alignment horizontal="center"/>
    </xf>
    <xf numFmtId="43" fontId="139" fillId="0" borderId="0" xfId="25742" applyNumberFormat="1" applyFont="1" applyFill="1" applyAlignment="1">
      <alignment horizontal="center"/>
    </xf>
    <xf numFmtId="166" fontId="139" fillId="0" borderId="0" xfId="25742" applyNumberFormat="1" applyFont="1" applyFill="1" applyBorder="1" applyAlignment="1">
      <alignment horizontal="center"/>
    </xf>
    <xf numFmtId="43" fontId="139" fillId="0" borderId="0" xfId="25742" applyNumberFormat="1" applyFont="1" applyFill="1" applyBorder="1" applyAlignment="1">
      <alignment horizontal="center"/>
    </xf>
    <xf numFmtId="43" fontId="57" fillId="0" borderId="11" xfId="25742" applyNumberFormat="1" applyFont="1" applyFill="1" applyBorder="1"/>
    <xf numFmtId="43" fontId="18" fillId="0" borderId="0" xfId="27909" applyFill="1"/>
    <xf numFmtId="43" fontId="18" fillId="0" borderId="140" xfId="27903" applyFont="1" applyFill="1" applyBorder="1"/>
    <xf numFmtId="43" fontId="139" fillId="0" borderId="11" xfId="25742" applyNumberFormat="1" applyFont="1" applyFill="1" applyBorder="1"/>
    <xf numFmtId="43" fontId="18" fillId="0" borderId="140" xfId="25742" applyNumberFormat="1" applyFont="1" applyFill="1" applyBorder="1"/>
    <xf numFmtId="43" fontId="57" fillId="0" borderId="132" xfId="25742" applyNumberFormat="1" applyFont="1" applyFill="1" applyBorder="1"/>
    <xf numFmtId="166" fontId="57" fillId="0" borderId="140" xfId="25742" applyNumberFormat="1" applyFont="1" applyFill="1" applyBorder="1"/>
    <xf numFmtId="43" fontId="57" fillId="0" borderId="140" xfId="25742" applyNumberFormat="1" applyFont="1" applyFill="1" applyBorder="1"/>
    <xf numFmtId="0" fontId="57" fillId="0" borderId="140" xfId="0" applyFont="1" applyFill="1" applyBorder="1"/>
    <xf numFmtId="43" fontId="139" fillId="0" borderId="0" xfId="0" applyNumberFormat="1" applyFont="1" applyFill="1"/>
    <xf numFmtId="43" fontId="57" fillId="0" borderId="14" xfId="25742" applyNumberFormat="1" applyFont="1" applyFill="1" applyBorder="1"/>
    <xf numFmtId="3" fontId="127" fillId="0" borderId="0" xfId="0" applyNumberFormat="1" applyFont="1" applyFill="1"/>
    <xf numFmtId="3" fontId="127" fillId="0" borderId="85" xfId="0" applyNumberFormat="1" applyFont="1" applyFill="1" applyBorder="1"/>
    <xf numFmtId="189" fontId="127" fillId="0" borderId="80" xfId="0" applyNumberFormat="1" applyFont="1" applyFill="1" applyBorder="1"/>
    <xf numFmtId="189" fontId="127" fillId="0" borderId="0" xfId="0" applyNumberFormat="1" applyFont="1" applyFill="1"/>
    <xf numFmtId="43" fontId="121" fillId="0" borderId="96" xfId="25742" applyFont="1" applyFill="1" applyBorder="1" applyAlignment="1">
      <alignment horizontal="center" vertical="center" wrapText="1"/>
    </xf>
    <xf numFmtId="6" fontId="122" fillId="0" borderId="90" xfId="0" applyNumberFormat="1" applyFont="1" applyFill="1" applyBorder="1"/>
    <xf numFmtId="204" fontId="122" fillId="0" borderId="0" xfId="0" applyNumberFormat="1" applyFont="1" applyFill="1"/>
    <xf numFmtId="8" fontId="32" fillId="0" borderId="82" xfId="0" applyNumberFormat="1" applyFont="1" applyFill="1" applyBorder="1"/>
    <xf numFmtId="0" fontId="122" fillId="0" borderId="0" xfId="0" quotePrefix="1" applyFont="1" applyFill="1"/>
    <xf numFmtId="0" fontId="122" fillId="0" borderId="49" xfId="0" applyFont="1" applyFill="1" applyBorder="1"/>
    <xf numFmtId="0" fontId="122" fillId="0" borderId="0" xfId="0" applyFont="1" applyFill="1" applyAlignment="1">
      <alignment horizontal="left" indent="1"/>
    </xf>
    <xf numFmtId="43" fontId="122" fillId="0" borderId="0" xfId="0" applyNumberFormat="1" applyFont="1" applyFill="1" applyBorder="1"/>
    <xf numFmtId="0" fontId="122" fillId="0" borderId="0" xfId="0" applyFont="1" applyFill="1" applyAlignment="1">
      <alignment horizontal="left"/>
    </xf>
    <xf numFmtId="44" fontId="122" fillId="0" borderId="0" xfId="25751" applyFont="1" applyFill="1"/>
    <xf numFmtId="0" fontId="121" fillId="0" borderId="76" xfId="0" applyFont="1" applyFill="1" applyBorder="1" applyAlignment="1">
      <alignment horizontal="center"/>
    </xf>
    <xf numFmtId="0" fontId="140" fillId="0" borderId="0" xfId="0" applyFont="1" applyFill="1"/>
    <xf numFmtId="0" fontId="140" fillId="0" borderId="0" xfId="0" applyFont="1" applyFill="1" applyAlignment="1">
      <alignment horizontal="center"/>
    </xf>
    <xf numFmtId="0" fontId="20" fillId="0" borderId="0" xfId="28781" applyFont="1" applyFill="1"/>
    <xf numFmtId="43" fontId="20" fillId="0" borderId="0" xfId="25742" applyFont="1" applyFill="1" applyAlignment="1">
      <alignment horizontal="center"/>
    </xf>
    <xf numFmtId="0" fontId="20" fillId="0" borderId="0" xfId="28781" applyFont="1" applyFill="1" applyAlignment="1">
      <alignment horizontal="center"/>
    </xf>
    <xf numFmtId="14" fontId="20" fillId="0" borderId="0" xfId="25742" applyNumberFormat="1" applyFont="1" applyFill="1" applyAlignment="1">
      <alignment horizontal="center"/>
    </xf>
    <xf numFmtId="0" fontId="20" fillId="0" borderId="140" xfId="28781" applyFont="1" applyFill="1" applyBorder="1" applyAlignment="1">
      <alignment horizontal="center"/>
    </xf>
    <xf numFmtId="43" fontId="20" fillId="0" borderId="140" xfId="25742" applyFont="1" applyFill="1" applyBorder="1" applyAlignment="1">
      <alignment horizontal="center"/>
    </xf>
    <xf numFmtId="0" fontId="18" fillId="0" borderId="0" xfId="25771" applyFill="1"/>
    <xf numFmtId="43" fontId="0" fillId="0" borderId="0" xfId="25742" applyFont="1" applyFill="1"/>
    <xf numFmtId="10" fontId="143" fillId="0" borderId="0" xfId="25793" applyNumberFormat="1" applyFont="1" applyFill="1"/>
    <xf numFmtId="43" fontId="143" fillId="0" borderId="0" xfId="25742" applyFont="1" applyFill="1"/>
    <xf numFmtId="43" fontId="140" fillId="0" borderId="0" xfId="25742" applyFont="1" applyFill="1" applyAlignment="1">
      <alignment horizontal="center"/>
    </xf>
    <xf numFmtId="43" fontId="144" fillId="0" borderId="0" xfId="0" applyNumberFormat="1" applyFont="1" applyFill="1"/>
    <xf numFmtId="0" fontId="0" fillId="0" borderId="0" xfId="0" applyFill="1" applyAlignment="1">
      <alignment horizontal="left"/>
    </xf>
    <xf numFmtId="43" fontId="16" fillId="0" borderId="150" xfId="25766" applyFont="1" applyFill="1" applyBorder="1"/>
    <xf numFmtId="43" fontId="145" fillId="0" borderId="150" xfId="25766" applyFont="1" applyFill="1" applyBorder="1"/>
    <xf numFmtId="43" fontId="143" fillId="0" borderId="150" xfId="25742" applyFont="1" applyFill="1" applyBorder="1"/>
    <xf numFmtId="0" fontId="18" fillId="0" borderId="0" xfId="28781" applyFill="1"/>
    <xf numFmtId="44" fontId="0" fillId="0" borderId="0" xfId="25745" applyFont="1" applyFill="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81" xfId="0" applyNumberFormat="1" applyFont="1" applyFill="1" applyBorder="1"/>
    <xf numFmtId="39" fontId="32" fillId="0" borderId="132" xfId="0" applyNumberFormat="1" applyFont="1" applyFill="1" applyBorder="1"/>
    <xf numFmtId="43" fontId="32" fillId="0" borderId="84" xfId="0" applyNumberFormat="1" applyFont="1" applyFill="1" applyBorder="1"/>
    <xf numFmtId="43" fontId="32" fillId="0" borderId="54" xfId="0" applyNumberFormat="1" applyFont="1" applyFill="1" applyBorder="1"/>
    <xf numFmtId="39" fontId="32" fillId="0" borderId="85" xfId="0" applyNumberFormat="1" applyFont="1" applyFill="1" applyBorder="1"/>
    <xf numFmtId="39" fontId="32" fillId="0" borderId="79" xfId="0" applyNumberFormat="1" applyFont="1" applyFill="1" applyBorder="1"/>
    <xf numFmtId="43" fontId="32" fillId="0" borderId="86" xfId="0" applyNumberFormat="1" applyFont="1" applyFill="1" applyBorder="1"/>
    <xf numFmtId="0" fontId="122" fillId="0" borderId="0" xfId="0" applyFont="1" applyFill="1" applyAlignment="1">
      <alignment horizontal="center" vertical="center"/>
    </xf>
    <xf numFmtId="16" fontId="32" fillId="0" borderId="0" xfId="0" applyNumberFormat="1" applyFont="1" applyFill="1" applyAlignment="1">
      <alignment horizontal="center"/>
    </xf>
    <xf numFmtId="16" fontId="32" fillId="0" borderId="0" xfId="25295" quotePrefix="1" applyNumberFormat="1" applyFont="1" applyFill="1" applyBorder="1" applyAlignment="1"/>
    <xf numFmtId="0" fontId="122" fillId="0" borderId="0" xfId="0" applyFont="1" applyFill="1" applyAlignment="1">
      <alignment vertical="center"/>
    </xf>
    <xf numFmtId="0" fontId="122" fillId="0" borderId="0" xfId="0" applyFont="1" applyFill="1" applyAlignment="1">
      <alignment vertical="top" wrapText="1"/>
    </xf>
    <xf numFmtId="0" fontId="122" fillId="0" borderId="0" xfId="0" applyFont="1" applyFill="1" applyBorder="1" applyAlignment="1">
      <alignment vertical="center" wrapText="1"/>
    </xf>
    <xf numFmtId="39" fontId="122" fillId="0" borderId="0" xfId="25745" applyNumberFormat="1" applyFont="1"/>
    <xf numFmtId="39" fontId="122" fillId="0" borderId="0" xfId="0" applyNumberFormat="1" applyFont="1"/>
    <xf numFmtId="39" fontId="122" fillId="0" borderId="49" xfId="0" applyNumberFormat="1" applyFont="1" applyBorder="1"/>
    <xf numFmtId="14" fontId="32" fillId="0" borderId="0" xfId="25742" applyNumberFormat="1" applyFont="1" applyFill="1" applyBorder="1"/>
    <xf numFmtId="14" fontId="32" fillId="0" borderId="0" xfId="25750" applyNumberFormat="1" applyFont="1" applyFill="1" applyBorder="1"/>
    <xf numFmtId="14" fontId="121" fillId="0" borderId="0" xfId="25742" applyNumberFormat="1" applyFont="1" applyFill="1" applyBorder="1"/>
    <xf numFmtId="14" fontId="32" fillId="0" borderId="0" xfId="25750" applyNumberFormat="1" applyFont="1" applyFill="1"/>
    <xf numFmtId="14" fontId="32" fillId="0" borderId="0" xfId="25794" applyNumberFormat="1" applyFont="1" applyFill="1"/>
    <xf numFmtId="14" fontId="32" fillId="0" borderId="0" xfId="25794" applyNumberFormat="1" applyFont="1" applyFill="1" applyAlignment="1">
      <alignment horizontal="center"/>
    </xf>
    <xf numFmtId="14" fontId="122" fillId="0" borderId="0" xfId="0" applyNumberFormat="1" applyFont="1" applyFill="1" applyAlignment="1">
      <alignment horizontal="center"/>
    </xf>
    <xf numFmtId="0" fontId="121" fillId="0" borderId="0" xfId="25750" applyFont="1" applyFill="1" applyAlignment="1">
      <alignment horizontal="center" vertical="center" wrapText="1"/>
    </xf>
    <xf numFmtId="14" fontId="121" fillId="0" borderId="0" xfId="25750" applyNumberFormat="1" applyFont="1" applyFill="1" applyAlignment="1">
      <alignment horizontal="center" vertical="center" wrapText="1"/>
    </xf>
    <xf numFmtId="10" fontId="32" fillId="0" borderId="0" xfId="25750" applyNumberFormat="1" applyFont="1" applyFill="1"/>
    <xf numFmtId="10" fontId="32" fillId="0" borderId="0" xfId="25793" applyNumberFormat="1" applyFont="1" applyFill="1"/>
    <xf numFmtId="43" fontId="32" fillId="0" borderId="159" xfId="25742" applyFont="1" applyFill="1" applyBorder="1"/>
    <xf numFmtId="43" fontId="122" fillId="0" borderId="159" xfId="25742" applyFont="1" applyFill="1" applyBorder="1"/>
    <xf numFmtId="43" fontId="122" fillId="0" borderId="96" xfId="25742" applyFont="1" applyFill="1" applyBorder="1"/>
    <xf numFmtId="4" fontId="32" fillId="0" borderId="0" xfId="25794" applyNumberFormat="1" applyFont="1" applyFill="1"/>
    <xf numFmtId="0" fontId="122" fillId="0" borderId="0" xfId="0" applyFont="1" applyFill="1" applyAlignment="1">
      <alignment wrapText="1"/>
    </xf>
    <xf numFmtId="206" fontId="32" fillId="86" borderId="0" xfId="25292" applyNumberFormat="1" applyFont="1" applyFill="1" applyBorder="1" applyAlignment="1">
      <alignment horizontal="center"/>
    </xf>
    <xf numFmtId="0" fontId="0" fillId="0" borderId="0" xfId="0" applyAlignment="1">
      <alignment horizontal="left"/>
    </xf>
    <xf numFmtId="39" fontId="122" fillId="0" borderId="0" xfId="0" applyNumberFormat="1" applyFont="1" applyFill="1" applyBorder="1"/>
    <xf numFmtId="10" fontId="0" fillId="0" borderId="0" xfId="25793" applyNumberFormat="1" applyFont="1" applyFill="1"/>
    <xf numFmtId="0" fontId="20" fillId="0" borderId="0" xfId="28781" applyFont="1" applyFill="1" applyBorder="1" applyAlignment="1">
      <alignment horizontal="center"/>
    </xf>
    <xf numFmtId="9" fontId="32" fillId="0" borderId="0" xfId="25793" applyFont="1" applyFill="1" applyBorder="1" applyProtection="1"/>
    <xf numFmtId="5" fontId="121" fillId="0" borderId="15" xfId="25457" applyNumberFormat="1" applyFont="1" applyFill="1" applyBorder="1">
      <alignment horizontal="right"/>
    </xf>
    <xf numFmtId="5" fontId="32" fillId="0" borderId="16" xfId="25457" applyNumberFormat="1" applyFont="1" applyFill="1" applyBorder="1">
      <alignment horizontal="right"/>
    </xf>
    <xf numFmtId="43" fontId="32" fillId="0" borderId="14" xfId="25457" applyNumberFormat="1" applyFont="1" applyFill="1" applyBorder="1">
      <alignment horizontal="right"/>
    </xf>
    <xf numFmtId="41" fontId="32" fillId="0" borderId="14" xfId="25457" applyNumberFormat="1" applyFont="1" applyFill="1" applyBorder="1">
      <alignment horizontal="right"/>
    </xf>
    <xf numFmtId="5" fontId="32" fillId="0" borderId="14" xfId="25456" applyNumberFormat="1" applyFont="1" applyFill="1" applyBorder="1"/>
    <xf numFmtId="182" fontId="32" fillId="0" borderId="14" xfId="25456" applyNumberFormat="1" applyFont="1" applyFill="1" applyBorder="1"/>
    <xf numFmtId="5" fontId="121" fillId="0" borderId="51" xfId="25456" applyNumberFormat="1" applyFont="1" applyFill="1" applyBorder="1"/>
    <xf numFmtId="5" fontId="121" fillId="0" borderId="64" xfId="25456" applyNumberFormat="1" applyFont="1" applyFill="1" applyBorder="1"/>
    <xf numFmtId="5" fontId="32" fillId="0" borderId="16" xfId="25456" applyNumberFormat="1" applyFont="1" applyFill="1" applyBorder="1"/>
    <xf numFmtId="37" fontId="32" fillId="0" borderId="99" xfId="25456" applyNumberFormat="1" applyFont="1" applyFill="1" applyBorder="1"/>
    <xf numFmtId="38" fontId="32" fillId="0" borderId="11" xfId="3" applyNumberFormat="1" applyFont="1" applyFill="1" applyBorder="1">
      <alignment horizontal="right"/>
    </xf>
    <xf numFmtId="38" fontId="32" fillId="0" borderId="18" xfId="3" applyNumberFormat="1" applyFont="1" applyFill="1" applyBorder="1">
      <alignment horizontal="right"/>
    </xf>
    <xf numFmtId="38" fontId="32" fillId="0" borderId="132" xfId="3" applyNumberFormat="1" applyFont="1" applyFill="1" applyBorder="1">
      <alignment horizontal="right"/>
    </xf>
    <xf numFmtId="10" fontId="32" fillId="0" borderId="132" xfId="4" applyNumberFormat="1" applyFont="1" applyFill="1" applyBorder="1"/>
    <xf numFmtId="167" fontId="32" fillId="0" borderId="0" xfId="4" applyNumberFormat="1" applyFont="1" applyFill="1" applyBorder="1"/>
    <xf numFmtId="38" fontId="32" fillId="0" borderId="33" xfId="2" applyNumberFormat="1" applyFont="1" applyFill="1" applyBorder="1" applyProtection="1"/>
    <xf numFmtId="38" fontId="32" fillId="0" borderId="84" xfId="3" applyNumberFormat="1" applyFont="1" applyFill="1" applyBorder="1">
      <alignment horizontal="right"/>
    </xf>
    <xf numFmtId="38" fontId="32" fillId="0" borderId="79" xfId="3" applyNumberFormat="1" applyFont="1" applyFill="1" applyBorder="1">
      <alignment horizontal="right"/>
    </xf>
    <xf numFmtId="185" fontId="122" fillId="0" borderId="55" xfId="0" applyNumberFormat="1" applyFont="1" applyFill="1" applyBorder="1"/>
    <xf numFmtId="205" fontId="32" fillId="0" borderId="0" xfId="25745" applyNumberFormat="1" applyFont="1" applyFill="1" applyAlignment="1"/>
    <xf numFmtId="205" fontId="32" fillId="0" borderId="140" xfId="25745" applyNumberFormat="1" applyFont="1" applyFill="1" applyBorder="1" applyAlignment="1"/>
    <xf numFmtId="205" fontId="121" fillId="0" borderId="80" xfId="25745" applyNumberFormat="1" applyFont="1" applyFill="1" applyBorder="1" applyAlignment="1"/>
    <xf numFmtId="39" fontId="122" fillId="0" borderId="49" xfId="0" applyNumberFormat="1" applyFont="1" applyFill="1" applyBorder="1"/>
    <xf numFmtId="39" fontId="122" fillId="0" borderId="79" xfId="25745" applyNumberFormat="1" applyFont="1" applyFill="1" applyBorder="1"/>
    <xf numFmtId="44" fontId="122" fillId="0" borderId="0" xfId="25745" applyFont="1" applyFill="1" applyAlignment="1"/>
    <xf numFmtId="44" fontId="0" fillId="0" borderId="79" xfId="25745" applyNumberFormat="1" applyFont="1" applyFill="1" applyBorder="1"/>
    <xf numFmtId="10" fontId="0" fillId="0" borderId="0" xfId="0" applyNumberFormat="1" applyFill="1"/>
    <xf numFmtId="10" fontId="122" fillId="0" borderId="0" xfId="25793" applyNumberFormat="1" applyFont="1" applyFill="1"/>
    <xf numFmtId="38" fontId="32" fillId="87" borderId="0" xfId="3" applyNumberFormat="1" applyFont="1" applyFill="1" applyBorder="1">
      <alignment horizontal="right"/>
    </xf>
    <xf numFmtId="38" fontId="32" fillId="87" borderId="33" xfId="2" applyNumberFormat="1" applyFont="1" applyFill="1" applyBorder="1" applyProtection="1"/>
    <xf numFmtId="38" fontId="32" fillId="87" borderId="0" xfId="2" applyNumberFormat="1" applyFont="1" applyFill="1" applyBorder="1"/>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8" borderId="0" xfId="24690" applyFont="1" applyFill="1" applyBorder="1" applyAlignment="1">
      <alignment horizontal="center"/>
    </xf>
    <xf numFmtId="0" fontId="122" fillId="0" borderId="0" xfId="0" applyFont="1" applyFill="1" applyBorder="1" applyAlignment="1">
      <alignment horizontal="center"/>
    </xf>
    <xf numFmtId="0" fontId="121" fillId="97" borderId="0" xfId="2469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8" fillId="0" borderId="76" xfId="0" applyFont="1" applyFill="1" applyBorder="1" applyAlignment="1">
      <alignment horizontal="left"/>
    </xf>
    <xf numFmtId="0" fontId="128" fillId="0" borderId="53" xfId="0" applyFont="1" applyFill="1" applyBorder="1" applyAlignment="1">
      <alignment horizontal="left"/>
    </xf>
    <xf numFmtId="0" fontId="122" fillId="96" borderId="0" xfId="0" applyFont="1" applyFill="1" applyAlignment="1">
      <alignment horizontal="center" wrapText="1"/>
    </xf>
    <xf numFmtId="0" fontId="136" fillId="95" borderId="91" xfId="0" applyFont="1" applyFill="1" applyBorder="1" applyAlignment="1">
      <alignment horizontal="center" vertical="center" wrapText="1"/>
    </xf>
    <xf numFmtId="0" fontId="136" fillId="95" borderId="92" xfId="0" applyFont="1" applyFill="1" applyBorder="1" applyAlignment="1">
      <alignment horizontal="center" vertical="center" wrapText="1"/>
    </xf>
    <xf numFmtId="0" fontId="136" fillId="95" borderId="93" xfId="0" applyFont="1" applyFill="1" applyBorder="1" applyAlignment="1">
      <alignment horizontal="center" vertical="center" wrapText="1"/>
    </xf>
    <xf numFmtId="0" fontId="136" fillId="95" borderId="88" xfId="0" applyFont="1" applyFill="1" applyBorder="1" applyAlignment="1">
      <alignment horizontal="center" vertical="center" wrapText="1"/>
    </xf>
    <xf numFmtId="0" fontId="136" fillId="95" borderId="0" xfId="0" applyFont="1" applyFill="1" applyBorder="1" applyAlignment="1">
      <alignment horizontal="center" vertical="center" wrapText="1"/>
    </xf>
    <xf numFmtId="0" fontId="136" fillId="95" borderId="89" xfId="0" applyFont="1" applyFill="1" applyBorder="1" applyAlignment="1">
      <alignment horizontal="center" vertical="center" wrapText="1"/>
    </xf>
    <xf numFmtId="0" fontId="129" fillId="0" borderId="88" xfId="0" applyFont="1" applyBorder="1" applyAlignment="1">
      <alignment horizontal="left"/>
    </xf>
    <xf numFmtId="0" fontId="129" fillId="0" borderId="0" xfId="0" applyFont="1" applyBorder="1" applyAlignment="1">
      <alignment horizontal="left"/>
    </xf>
    <xf numFmtId="0" fontId="129" fillId="0" borderId="89" xfId="0" applyFont="1" applyBorder="1" applyAlignment="1">
      <alignment horizontal="left"/>
    </xf>
    <xf numFmtId="0" fontId="136" fillId="0" borderId="91" xfId="0" applyFont="1" applyBorder="1" applyAlignment="1">
      <alignment horizontal="center" vertical="center" wrapText="1"/>
    </xf>
    <xf numFmtId="0" fontId="136" fillId="0" borderId="92" xfId="0" applyFont="1" applyBorder="1" applyAlignment="1">
      <alignment horizontal="center" vertical="center" wrapText="1"/>
    </xf>
    <xf numFmtId="0" fontId="136" fillId="0" borderId="93" xfId="0" applyFont="1" applyBorder="1" applyAlignment="1">
      <alignment horizontal="center" vertical="center" wrapText="1"/>
    </xf>
    <xf numFmtId="0" fontId="136" fillId="0" borderId="88" xfId="0" applyFont="1" applyBorder="1" applyAlignment="1">
      <alignment horizontal="center" vertical="center" wrapText="1"/>
    </xf>
    <xf numFmtId="0" fontId="136" fillId="0" borderId="0" xfId="0" applyFont="1" applyBorder="1" applyAlignment="1">
      <alignment horizontal="center" vertical="center" wrapText="1"/>
    </xf>
    <xf numFmtId="0" fontId="136" fillId="0" borderId="89" xfId="0" applyFont="1" applyBorder="1" applyAlignment="1">
      <alignment horizontal="center" vertical="center" wrapText="1"/>
    </xf>
    <xf numFmtId="0" fontId="136" fillId="0" borderId="94" xfId="0" applyFont="1" applyBorder="1" applyAlignment="1">
      <alignment horizontal="center" vertical="center" wrapText="1"/>
    </xf>
    <xf numFmtId="0" fontId="136" fillId="0" borderId="49" xfId="0" applyFont="1" applyBorder="1" applyAlignment="1">
      <alignment horizontal="center" vertical="center" wrapText="1"/>
    </xf>
    <xf numFmtId="0" fontId="136"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33" borderId="0" xfId="0" applyFont="1" applyFill="1" applyBorder="1" applyAlignment="1">
      <alignment horizontal="right"/>
    </xf>
    <xf numFmtId="0" fontId="122" fillId="33" borderId="89" xfId="0" applyFont="1" applyFill="1" applyBorder="1" applyAlignment="1">
      <alignment horizontal="right"/>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124" fillId="0" borderId="91" xfId="0" applyFont="1" applyFill="1" applyBorder="1" applyAlignment="1">
      <alignment vertical="center"/>
    </xf>
    <xf numFmtId="0" fontId="124" fillId="0" borderId="92" xfId="0" applyFont="1" applyFill="1" applyBorder="1" applyAlignment="1">
      <alignment vertical="center"/>
    </xf>
    <xf numFmtId="0" fontId="124" fillId="0" borderId="93" xfId="0" applyFont="1" applyFill="1" applyBorder="1" applyAlignment="1">
      <alignment vertical="center"/>
    </xf>
    <xf numFmtId="0" fontId="124" fillId="0" borderId="88" xfId="0" applyFont="1" applyFill="1" applyBorder="1" applyAlignment="1">
      <alignment vertical="center"/>
    </xf>
    <xf numFmtId="0" fontId="124" fillId="0" borderId="0" xfId="0" applyFont="1" applyFill="1" applyBorder="1" applyAlignment="1">
      <alignment vertical="center"/>
    </xf>
    <xf numFmtId="0" fontId="124" fillId="0" borderId="89" xfId="0" applyFont="1" applyFill="1" applyBorder="1" applyAlignment="1">
      <alignment vertical="center"/>
    </xf>
    <xf numFmtId="0" fontId="124" fillId="0" borderId="94" xfId="0" applyFont="1" applyFill="1" applyBorder="1" applyAlignment="1">
      <alignment vertical="center"/>
    </xf>
    <xf numFmtId="0" fontId="124" fillId="0" borderId="49" xfId="0" applyFont="1" applyFill="1" applyBorder="1" applyAlignment="1">
      <alignment vertical="center"/>
    </xf>
    <xf numFmtId="0" fontId="124" fillId="0" borderId="95" xfId="0" applyFont="1" applyFill="1" applyBorder="1" applyAlignment="1">
      <alignment vertical="center"/>
    </xf>
    <xf numFmtId="0" fontId="57" fillId="0" borderId="0" xfId="0" applyFont="1" applyFill="1" applyAlignment="1">
      <alignment horizontal="left" wrapText="1"/>
    </xf>
    <xf numFmtId="38" fontId="32" fillId="87" borderId="79" xfId="3" applyNumberFormat="1" applyFont="1" applyFill="1" applyBorder="1">
      <alignment horizontal="right"/>
    </xf>
    <xf numFmtId="38" fontId="32" fillId="87" borderId="18" xfId="3" applyNumberFormat="1" applyFont="1" applyFill="1" applyBorder="1">
      <alignment horizontal="right"/>
    </xf>
    <xf numFmtId="10" fontId="32" fillId="87" borderId="0" xfId="4" applyNumberFormat="1" applyFont="1" applyFill="1" applyBorder="1"/>
    <xf numFmtId="38" fontId="32" fillId="87" borderId="11" xfId="3" applyNumberFormat="1" applyFont="1" applyFill="1" applyBorder="1">
      <alignment horizontal="right"/>
    </xf>
    <xf numFmtId="38" fontId="32" fillId="87" borderId="34" xfId="2" applyNumberFormat="1" applyFont="1" applyFill="1" applyBorder="1" applyProtection="1"/>
    <xf numFmtId="38" fontId="32" fillId="87" borderId="83" xfId="3" applyNumberFormat="1" applyFont="1" applyFill="1" applyBorder="1">
      <alignment horizontal="right"/>
    </xf>
    <xf numFmtId="38" fontId="32" fillId="87" borderId="15" xfId="3" applyNumberFormat="1" applyFont="1" applyFill="1" applyBorder="1">
      <alignment horizontal="right"/>
    </xf>
    <xf numFmtId="5" fontId="122" fillId="87" borderId="0" xfId="0" applyNumberFormat="1" applyFont="1" applyFill="1"/>
    <xf numFmtId="189" fontId="122" fillId="87" borderId="0" xfId="0" applyNumberFormat="1" applyFont="1" applyFill="1"/>
    <xf numFmtId="189" fontId="122" fillId="87" borderId="55" xfId="0" applyNumberFormat="1" applyFont="1" applyFill="1" applyBorder="1"/>
    <xf numFmtId="189" fontId="124" fillId="87" borderId="79" xfId="0" applyNumberFormat="1" applyFont="1" applyFill="1" applyBorder="1"/>
    <xf numFmtId="167" fontId="124" fillId="87" borderId="0" xfId="0" applyNumberFormat="1" applyFont="1" applyFill="1"/>
    <xf numFmtId="41" fontId="32" fillId="87" borderId="14" xfId="25456" applyNumberFormat="1" applyFont="1" applyFill="1" applyBorder="1"/>
    <xf numFmtId="37" fontId="32" fillId="87" borderId="14" xfId="25456" applyNumberFormat="1" applyFont="1" applyFill="1" applyBorder="1"/>
    <xf numFmtId="5" fontId="32" fillId="87" borderId="51" xfId="25457" applyNumberFormat="1" applyFont="1" applyFill="1" applyBorder="1">
      <alignment horizontal="right"/>
    </xf>
    <xf numFmtId="5" fontId="121" fillId="87" borderId="16" xfId="25455" applyNumberFormat="1" applyFont="1" applyFill="1" applyBorder="1"/>
    <xf numFmtId="37" fontId="32" fillId="87" borderId="16" xfId="25456" applyNumberFormat="1" applyFont="1" applyFill="1" applyBorder="1"/>
    <xf numFmtId="5" fontId="32" fillId="87" borderId="51" xfId="25456" applyNumberFormat="1" applyFont="1" applyFill="1" applyBorder="1"/>
    <xf numFmtId="5" fontId="32" fillId="87" borderId="14" xfId="25457" applyNumberFormat="1" applyFont="1" applyFill="1" applyBorder="1">
      <alignment horizontal="right"/>
    </xf>
    <xf numFmtId="10" fontId="32" fillId="87" borderId="0" xfId="25793" applyNumberFormat="1" applyFont="1" applyFill="1"/>
    <xf numFmtId="10" fontId="122" fillId="87" borderId="0" xfId="25793" applyNumberFormat="1" applyFont="1" applyFill="1"/>
    <xf numFmtId="0" fontId="32" fillId="87" borderId="0" xfId="25794" applyFont="1" applyFill="1"/>
    <xf numFmtId="0" fontId="122" fillId="87" borderId="0" xfId="0" applyFont="1" applyFill="1"/>
    <xf numFmtId="4" fontId="32" fillId="87" borderId="0" xfId="25794" applyNumberFormat="1" applyFont="1" applyFill="1"/>
    <xf numFmtId="0" fontId="122" fillId="87" borderId="0" xfId="0" applyFont="1" applyFill="1" applyAlignment="1">
      <alignment horizontal="center"/>
    </xf>
    <xf numFmtId="0" fontId="32" fillId="87" borderId="0" xfId="25794" applyFont="1" applyFill="1" applyAlignment="1">
      <alignment horizontal="center"/>
    </xf>
    <xf numFmtId="43" fontId="122" fillId="87" borderId="0" xfId="0" applyNumberFormat="1" applyFont="1" applyFill="1"/>
    <xf numFmtId="43" fontId="32" fillId="87" borderId="82" xfId="0" applyNumberFormat="1" applyFont="1" applyFill="1" applyBorder="1"/>
    <xf numFmtId="43" fontId="32" fillId="87" borderId="11" xfId="0" applyNumberFormat="1" applyFont="1" applyFill="1" applyBorder="1"/>
    <xf numFmtId="39" fontId="32" fillId="87" borderId="87" xfId="0" applyNumberFormat="1" applyFont="1" applyFill="1" applyBorder="1"/>
    <xf numFmtId="4" fontId="122" fillId="87" borderId="0" xfId="0" applyNumberFormat="1" applyFont="1" applyFill="1"/>
    <xf numFmtId="43" fontId="32" fillId="87" borderId="87" xfId="0" applyNumberFormat="1" applyFont="1" applyFill="1" applyBorder="1"/>
    <xf numFmtId="10" fontId="143" fillId="87" borderId="0" xfId="25793" applyNumberFormat="1" applyFont="1" applyFill="1"/>
    <xf numFmtId="44" fontId="140" fillId="87" borderId="0" xfId="25745" applyFont="1" applyFill="1"/>
    <xf numFmtId="44" fontId="140" fillId="87" borderId="0" xfId="0" applyNumberFormat="1" applyFont="1" applyFill="1"/>
    <xf numFmtId="43" fontId="143" fillId="87" borderId="150" xfId="25742" applyFont="1" applyFill="1" applyBorder="1"/>
    <xf numFmtId="43" fontId="143" fillId="87" borderId="0" xfId="25742" applyFont="1" applyFill="1"/>
    <xf numFmtId="43" fontId="140" fillId="87" borderId="0" xfId="25742" applyFont="1" applyFill="1" applyAlignment="1">
      <alignment horizontal="center"/>
    </xf>
    <xf numFmtId="43" fontId="0" fillId="87" borderId="0" xfId="0" applyNumberFormat="1" applyFill="1"/>
    <xf numFmtId="43" fontId="144" fillId="87" borderId="0" xfId="0" applyNumberFormat="1" applyFont="1" applyFill="1"/>
    <xf numFmtId="37" fontId="32" fillId="87" borderId="0" xfId="25741" applyFont="1" applyFill="1" applyAlignment="1">
      <alignment horizontal="left"/>
    </xf>
    <xf numFmtId="37" fontId="32" fillId="87" borderId="0" xfId="25741" applyFont="1" applyFill="1" applyAlignment="1">
      <alignment horizontal="center"/>
    </xf>
    <xf numFmtId="37" fontId="121" fillId="87" borderId="79" xfId="25741" applyFont="1" applyFill="1" applyBorder="1" applyAlignment="1">
      <alignment horizontal="center"/>
    </xf>
  </cellXfs>
  <cellStyles count="33354">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7" xr:uid="{00000000-0005-0000-0000-0000634B0000}"/>
    <cellStyle name="Border Heavy 2 2 2" xfId="31638" xr:uid="{700635AD-BC88-4A5A-BD92-83BE05124C23}"/>
    <cellStyle name="Border Thin" xfId="545" xr:uid="{00000000-0005-0000-0000-0000644B0000}"/>
    <cellStyle name="Border Thin 2" xfId="24055" xr:uid="{00000000-0005-0000-0000-0000654B0000}"/>
    <cellStyle name="Border Thin 2 2" xfId="27048" xr:uid="{00000000-0005-0000-0000-0000664B0000}"/>
    <cellStyle name="Border Thin 2 2 2" xfId="31793" xr:uid="{484BE277-BF68-4EDB-BD3E-784F5BF2A081}"/>
    <cellStyle name="Border Thin 2 3" xfId="29401" xr:uid="{00000000-0005-0000-0000-0000674B0000}"/>
    <cellStyle name="Border Thin 2 3 2" xfId="33346" xr:uid="{0BD560DC-5140-4E70-86A9-7EA57D36B43C}"/>
    <cellStyle name="Border Thin 3" xfId="26039" xr:uid="{00000000-0005-0000-0000-0000684B0000}"/>
    <cellStyle name="Border Thin 3 2" xfId="30840" xr:uid="{4F688095-A2FF-4665-BF7D-7AACE1BE95FF}"/>
    <cellStyle name="Border Thin 4" xfId="29400" xr:uid="{00000000-0005-0000-0000-0000694B0000}"/>
    <cellStyle name="Border Thin 4 2" xfId="33345" xr:uid="{E4D43F6C-B0CE-4381-B2A5-D2C9A59C23BF}"/>
    <cellStyle name="Calculation 10" xfId="2441" xr:uid="{00000000-0005-0000-0000-00006A4B0000}"/>
    <cellStyle name="Calculation 11" xfId="2442" xr:uid="{00000000-0005-0000-0000-00006B4B0000}"/>
    <cellStyle name="Calculation 12" xfId="2443" xr:uid="{00000000-0005-0000-0000-00006C4B0000}"/>
    <cellStyle name="Calculation 13" xfId="2444" xr:uid="{00000000-0005-0000-0000-00006D4B0000}"/>
    <cellStyle name="Calculation 14" xfId="2445" xr:uid="{00000000-0005-0000-0000-00006E4B0000}"/>
    <cellStyle name="Calculation 15" xfId="2446" xr:uid="{00000000-0005-0000-0000-00006F4B0000}"/>
    <cellStyle name="Calculation 16" xfId="2447" xr:uid="{00000000-0005-0000-0000-0000704B0000}"/>
    <cellStyle name="Calculation 17" xfId="2448" xr:uid="{00000000-0005-0000-0000-0000714B0000}"/>
    <cellStyle name="Calculation 18" xfId="2449" xr:uid="{00000000-0005-0000-0000-0000724B0000}"/>
    <cellStyle name="Calculation 19" xfId="2450" xr:uid="{00000000-0005-0000-0000-0000734B0000}"/>
    <cellStyle name="Calculation 2" xfId="2451" xr:uid="{00000000-0005-0000-0000-0000744B0000}"/>
    <cellStyle name="Calculation 2 2" xfId="24057" xr:uid="{00000000-0005-0000-0000-0000754B0000}"/>
    <cellStyle name="Calculation 2 2 2" xfId="24699" xr:uid="{00000000-0005-0000-0000-0000764B0000}"/>
    <cellStyle name="Calculation 2 2 2 2" xfId="25298" xr:uid="{00000000-0005-0000-0000-0000774B0000}"/>
    <cellStyle name="Calculation 2 2 2 2 2" xfId="27452" xr:uid="{00000000-0005-0000-0000-0000784B0000}"/>
    <cellStyle name="Calculation 2 2 2 2 2 2" xfId="32044" xr:uid="{2B1BFAD7-52B1-41BB-BDAE-629ECBF45942}"/>
    <cellStyle name="Calculation 2 2 2 2 3" xfId="29191" xr:uid="{00000000-0005-0000-0000-0000794B0000}"/>
    <cellStyle name="Calculation 2 2 2 2 3 2" xfId="33174" xr:uid="{531B9C10-B224-4B98-A21E-0615FB6F7C6D}"/>
    <cellStyle name="Calculation 2 2 2 2 4" xfId="26814" xr:uid="{00000000-0005-0000-0000-00007A4B0000}"/>
    <cellStyle name="Calculation 2 2 2 2 4 2" xfId="31575" xr:uid="{0AEC4CE2-5C7A-4093-8DC4-0B829B5830F4}"/>
    <cellStyle name="Calculation 2 2 2 2 5" xfId="29396" xr:uid="{00000000-0005-0000-0000-00007B4B0000}"/>
    <cellStyle name="Calculation 2 2 2 2 5 2" xfId="33342" xr:uid="{B30AF003-A2DD-4B61-B539-DA55689BDB9E}"/>
    <cellStyle name="Calculation 2 2 2 2 6" xfId="30457" xr:uid="{1BEB926D-92A9-4536-9E1F-A25B9784AB12}"/>
    <cellStyle name="Calculation 2 2 2 3" xfId="25658" xr:uid="{00000000-0005-0000-0000-00007C4B0000}"/>
    <cellStyle name="Calculation 2 2 2 3 2" xfId="27811" xr:uid="{00000000-0005-0000-0000-00007D4B0000}"/>
    <cellStyle name="Calculation 2 2 2 3 2 2" xfId="32398" xr:uid="{29657348-06E1-4FC0-8FBC-1F7075EC36B1}"/>
    <cellStyle name="Calculation 2 2 2 3 3" xfId="29238" xr:uid="{00000000-0005-0000-0000-00007E4B0000}"/>
    <cellStyle name="Calculation 2 2 2 3 3 2" xfId="33220" xr:uid="{3518CE90-601A-4870-9086-D1DA6DCE2F05}"/>
    <cellStyle name="Calculation 2 2 2 3 4" xfId="26123" xr:uid="{00000000-0005-0000-0000-00007F4B0000}"/>
    <cellStyle name="Calculation 2 2 2 3 4 2" xfId="30913" xr:uid="{430DD274-B6CB-4FE5-B170-49DDE0172C29}"/>
    <cellStyle name="Calculation 2 2 2 3 5" xfId="29395" xr:uid="{00000000-0005-0000-0000-0000804B0000}"/>
    <cellStyle name="Calculation 2 2 2 3 5 2" xfId="33341" xr:uid="{61C9E807-E8CB-41D2-982E-34D5C6E96AB7}"/>
    <cellStyle name="Calculation 2 2 2 3 6" xfId="30652" xr:uid="{C4FAB978-6D4A-44AA-87DA-3B2C807AB515}"/>
    <cellStyle name="Calculation 2 2 2 4" xfId="27288" xr:uid="{00000000-0005-0000-0000-0000814B0000}"/>
    <cellStyle name="Calculation 2 2 2 4 2" xfId="31920" xr:uid="{F0DA3697-DCF1-43AB-8F93-408342820A44}"/>
    <cellStyle name="Calculation 2 2 2 5" xfId="26681" xr:uid="{00000000-0005-0000-0000-0000824B0000}"/>
    <cellStyle name="Calculation 2 2 2 5 2" xfId="31444" xr:uid="{644DAA56-B3BE-43F3-B2F8-12A5ABB33DC3}"/>
    <cellStyle name="Calculation 2 2 2 6" xfId="26813" xr:uid="{00000000-0005-0000-0000-0000834B0000}"/>
    <cellStyle name="Calculation 2 2 2 6 2" xfId="31574" xr:uid="{7BFA2600-5054-4A9B-B740-11B8976E30A3}"/>
    <cellStyle name="Calculation 2 2 2 7" xfId="29397" xr:uid="{00000000-0005-0000-0000-0000844B0000}"/>
    <cellStyle name="Calculation 2 2 2 7 2" xfId="33343" xr:uid="{568874B0-F112-4654-BB21-832F2D71AA05}"/>
    <cellStyle name="Calculation 2 2 2 8" xfId="30360" xr:uid="{86BEAF0D-F3E1-4722-BA0F-D230A55BEF0E}"/>
    <cellStyle name="Calculation 2 2 3" xfId="25022" xr:uid="{00000000-0005-0000-0000-0000854B0000}"/>
    <cellStyle name="Calculation 2 2 3 2" xfId="25431" xr:uid="{00000000-0005-0000-0000-0000864B0000}"/>
    <cellStyle name="Calculation 2 2 3 2 2" xfId="27585" xr:uid="{00000000-0005-0000-0000-0000874B0000}"/>
    <cellStyle name="Calculation 2 2 3 2 2 2" xfId="32176" xr:uid="{BCEF941E-EF2A-4082-AC7A-E0C46C752DCF}"/>
    <cellStyle name="Calculation 2 2 3 2 3" xfId="29211" xr:uid="{00000000-0005-0000-0000-0000884B0000}"/>
    <cellStyle name="Calculation 2 2 3 2 3 2" xfId="33194" xr:uid="{306977B6-9A34-46E2-8A60-4439D0E76332}"/>
    <cellStyle name="Calculation 2 2 3 2 4" xfId="26248" xr:uid="{00000000-0005-0000-0000-0000894B0000}"/>
    <cellStyle name="Calculation 2 2 3 2 4 2" xfId="31036" xr:uid="{A6C10B99-F9AA-4A0B-BA55-EE337C81E928}"/>
    <cellStyle name="Calculation 2 2 3 2 5" xfId="29393" xr:uid="{00000000-0005-0000-0000-00008A4B0000}"/>
    <cellStyle name="Calculation 2 2 3 2 5 2" xfId="33339" xr:uid="{88AE123B-7D3A-4AF0-B830-A8AB3F073CDE}"/>
    <cellStyle name="Calculation 2 2 3 2 6" xfId="30589" xr:uid="{54F849A6-0C7E-4CA6-98EF-3962F0462C9F}"/>
    <cellStyle name="Calculation 2 2 3 3" xfId="25669" xr:uid="{00000000-0005-0000-0000-00008B4B0000}"/>
    <cellStyle name="Calculation 2 2 3 3 2" xfId="27822" xr:uid="{00000000-0005-0000-0000-00008C4B0000}"/>
    <cellStyle name="Calculation 2 2 3 3 2 2" xfId="32409" xr:uid="{0D9C04EF-0EF1-4C23-894D-64E663BDEB2C}"/>
    <cellStyle name="Calculation 2 2 3 3 3" xfId="29249" xr:uid="{00000000-0005-0000-0000-00008D4B0000}"/>
    <cellStyle name="Calculation 2 2 3 3 3 2" xfId="33231" xr:uid="{7494DCE4-165C-4480-AC1C-E2C4FE025321}"/>
    <cellStyle name="Calculation 2 2 3 3 4" xfId="26829" xr:uid="{00000000-0005-0000-0000-00008E4B0000}"/>
    <cellStyle name="Calculation 2 2 3 3 4 2" xfId="31590" xr:uid="{547F0B99-1814-49D3-B6F0-CA087194BF9B}"/>
    <cellStyle name="Calculation 2 2 3 3 5" xfId="29392" xr:uid="{00000000-0005-0000-0000-00008F4B0000}"/>
    <cellStyle name="Calculation 2 2 3 3 5 2" xfId="33338" xr:uid="{BFA23AAD-2683-44E0-AA95-43A699EDD75D}"/>
    <cellStyle name="Calculation 2 2 3 3 6" xfId="30663" xr:uid="{5CA77894-E8AA-4F1B-8FAD-150C8607F2AD}"/>
    <cellStyle name="Calculation 2 2 3 4" xfId="27352" xr:uid="{00000000-0005-0000-0000-0000904B0000}"/>
    <cellStyle name="Calculation 2 2 3 4 2" xfId="31950" xr:uid="{83832CCD-BB47-4FCB-9242-EEFEC9A678D9}"/>
    <cellStyle name="Calculation 2 2 3 5" xfId="26190" xr:uid="{00000000-0005-0000-0000-0000914B0000}"/>
    <cellStyle name="Calculation 2 2 3 5 2" xfId="30978" xr:uid="{DB4846F2-F54E-4B68-BB8F-BF244DDDD245}"/>
    <cellStyle name="Calculation 2 2 3 6" xfId="26920" xr:uid="{00000000-0005-0000-0000-0000924B0000}"/>
    <cellStyle name="Calculation 2 2 3 6 2" xfId="31681" xr:uid="{EC2AEDCB-34FE-4881-A226-1423DFF0F079}"/>
    <cellStyle name="Calculation 2 2 3 7" xfId="29394" xr:uid="{00000000-0005-0000-0000-0000934B0000}"/>
    <cellStyle name="Calculation 2 2 3 7 2" xfId="33340" xr:uid="{B14DB7C0-DDC6-42C0-83BE-2F65D9A64A4F}"/>
    <cellStyle name="Calculation 2 2 3 8" xfId="30371" xr:uid="{8BA2D2AC-3D78-4518-AEB4-4759D2D0A2FE}"/>
    <cellStyle name="Calculation 2 2 4" xfId="25556" xr:uid="{00000000-0005-0000-0000-0000944B0000}"/>
    <cellStyle name="Calculation 2 2 4 2" xfId="27709" xr:uid="{00000000-0005-0000-0000-0000954B0000}"/>
    <cellStyle name="Calculation 2 2 4 2 2" xfId="32296" xr:uid="{79B2D777-6015-4C97-9C21-81761850383E}"/>
    <cellStyle name="Calculation 2 2 4 3" xfId="29224" xr:uid="{00000000-0005-0000-0000-0000964B0000}"/>
    <cellStyle name="Calculation 2 2 4 3 2" xfId="33207" xr:uid="{3931BF3F-9987-4F32-9E3B-074F803E656E}"/>
    <cellStyle name="Calculation 2 2 4 4" xfId="26702" xr:uid="{00000000-0005-0000-0000-0000974B0000}"/>
    <cellStyle name="Calculation 2 2 4 4 2" xfId="31464" xr:uid="{F96AF69F-F4D2-4416-828A-5B56399E8616}"/>
    <cellStyle name="Calculation 2 2 4 5" xfId="29391" xr:uid="{00000000-0005-0000-0000-0000984B0000}"/>
    <cellStyle name="Calculation 2 2 4 5 2" xfId="33337" xr:uid="{8896CC3D-2F81-4127-85F8-EB5525C36882}"/>
    <cellStyle name="Calculation 2 2 4 6" xfId="30613" xr:uid="{20EF0E59-8CDA-4C32-BA6E-B756F608865D}"/>
    <cellStyle name="Calculation 2 2 5" xfId="27050" xr:uid="{00000000-0005-0000-0000-0000994B0000}"/>
    <cellStyle name="Calculation 2 2 5 2" xfId="31795" xr:uid="{0086F781-00C9-4913-844F-653A9DDB8B3E}"/>
    <cellStyle name="Calculation 2 2 6" xfId="26271" xr:uid="{00000000-0005-0000-0000-00009A4B0000}"/>
    <cellStyle name="Calculation 2 2 6 2" xfId="31059" xr:uid="{795B8F0D-0EE4-4E56-820B-D0B3712B0FAF}"/>
    <cellStyle name="Calculation 2 2 7" xfId="26776" xr:uid="{00000000-0005-0000-0000-00009B4B0000}"/>
    <cellStyle name="Calculation 2 2 7 2" xfId="31537" xr:uid="{DF21CD0F-4514-4685-B0A5-62B876E3123D}"/>
    <cellStyle name="Calculation 2 2 8" xfId="29398" xr:uid="{00000000-0005-0000-0000-00009C4B0000}"/>
    <cellStyle name="Calculation 2 2 8 2" xfId="33344" xr:uid="{DD1DB7C7-FF34-4B11-8E22-F98DC1BC4512}"/>
    <cellStyle name="Calculation 2 2 9" xfId="30258" xr:uid="{CDCECA73-8F7F-477E-BDB6-308A4BFB3597}"/>
    <cellStyle name="Calculation 2 3" xfId="24056" xr:uid="{00000000-0005-0000-0000-00009D4B0000}"/>
    <cellStyle name="Calculation 2 3 2" xfId="25555" xr:uid="{00000000-0005-0000-0000-00009E4B0000}"/>
    <cellStyle name="Calculation 2 3 2 2" xfId="27708" xr:uid="{00000000-0005-0000-0000-00009F4B0000}"/>
    <cellStyle name="Calculation 2 3 2 2 2" xfId="32295" xr:uid="{A3899A44-E16C-4BF4-82C7-31B5BFAB1C43}"/>
    <cellStyle name="Calculation 2 3 2 3" xfId="29223" xr:uid="{00000000-0005-0000-0000-0000A04B0000}"/>
    <cellStyle name="Calculation 2 3 2 3 2" xfId="33206" xr:uid="{DB7F5252-B329-47E8-B9BB-E972793DFAE6}"/>
    <cellStyle name="Calculation 2 3 2 4" xfId="26959" xr:uid="{00000000-0005-0000-0000-0000A14B0000}"/>
    <cellStyle name="Calculation 2 3 2 4 2" xfId="31720" xr:uid="{95C67B6F-720F-4136-B3DF-3DDB2B2E11D7}"/>
    <cellStyle name="Calculation 2 3 2 5" xfId="29389" xr:uid="{00000000-0005-0000-0000-0000A24B0000}"/>
    <cellStyle name="Calculation 2 3 2 5 2" xfId="33335" xr:uid="{10FF7160-93C1-4FF3-B708-CEAA926A7317}"/>
    <cellStyle name="Calculation 2 3 2 6" xfId="30612" xr:uid="{D1037D7D-DAF0-4CCF-9508-3C24CA5D58EA}"/>
    <cellStyle name="Calculation 2 3 3" xfId="27049" xr:uid="{00000000-0005-0000-0000-0000A34B0000}"/>
    <cellStyle name="Calculation 2 3 3 2" xfId="31794" xr:uid="{DFFF3FA8-172F-4F6D-87AF-A324AE2D4DF3}"/>
    <cellStyle name="Calculation 2 3 4" xfId="26867" xr:uid="{00000000-0005-0000-0000-0000A44B0000}"/>
    <cellStyle name="Calculation 2 3 4 2" xfId="31628" xr:uid="{5947D9A8-67E0-46AC-A40D-A2E23C3061C2}"/>
    <cellStyle name="Calculation 2 3 5" xfId="26178" xr:uid="{00000000-0005-0000-0000-0000A54B0000}"/>
    <cellStyle name="Calculation 2 3 5 2" xfId="30967" xr:uid="{221F027D-86D7-4587-8687-F2535B80D54C}"/>
    <cellStyle name="Calculation 2 3 6" xfId="29390" xr:uid="{00000000-0005-0000-0000-0000A64B0000}"/>
    <cellStyle name="Calculation 2 3 6 2" xfId="33336" xr:uid="{E126F95F-C60B-4F1A-93FA-28DE8E2E9B9B}"/>
    <cellStyle name="Calculation 2 3 7" xfId="30257" xr:uid="{3B8433AB-F31A-4BDA-AD5C-04E9B038B584}"/>
    <cellStyle name="Calculation 2 4" xfId="24698" xr:uid="{00000000-0005-0000-0000-0000A74B0000}"/>
    <cellStyle name="Calculation 2 4 2" xfId="25361" xr:uid="{00000000-0005-0000-0000-0000A84B0000}"/>
    <cellStyle name="Calculation 2 4 2 2" xfId="27515" xr:uid="{00000000-0005-0000-0000-0000A94B0000}"/>
    <cellStyle name="Calculation 2 4 2 2 2" xfId="32106" xr:uid="{1C90EBC5-777D-4E7B-90EC-6C18776FCB63}"/>
    <cellStyle name="Calculation 2 4 2 3" xfId="29200" xr:uid="{00000000-0005-0000-0000-0000AA4B0000}"/>
    <cellStyle name="Calculation 2 4 2 3 2" xfId="33183" xr:uid="{E1F4F72C-2F7C-448F-A0A9-FC4B9EAA3ABD}"/>
    <cellStyle name="Calculation 2 4 2 4" xfId="26357" xr:uid="{00000000-0005-0000-0000-0000AB4B0000}"/>
    <cellStyle name="Calculation 2 4 2 4 2" xfId="31145" xr:uid="{F485C8DC-779B-4B27-8AD8-B73E2B477585}"/>
    <cellStyle name="Calculation 2 4 2 5" xfId="29387" xr:uid="{00000000-0005-0000-0000-0000AC4B0000}"/>
    <cellStyle name="Calculation 2 4 2 5 2" xfId="33333" xr:uid="{19597BFC-4FA1-4685-B090-6734D65877D6}"/>
    <cellStyle name="Calculation 2 4 2 6" xfId="30519" xr:uid="{8F9FE50E-FC71-46B5-8A2B-05B2720C40FC}"/>
    <cellStyle name="Calculation 2 4 3" xfId="25657" xr:uid="{00000000-0005-0000-0000-0000AD4B0000}"/>
    <cellStyle name="Calculation 2 4 3 2" xfId="27810" xr:uid="{00000000-0005-0000-0000-0000AE4B0000}"/>
    <cellStyle name="Calculation 2 4 3 2 2" xfId="32397" xr:uid="{1A808D33-0858-4449-9AB7-1C74ED6D1A02}"/>
    <cellStyle name="Calculation 2 4 3 3" xfId="29237" xr:uid="{00000000-0005-0000-0000-0000AF4B0000}"/>
    <cellStyle name="Calculation 2 4 3 3 2" xfId="33219" xr:uid="{29E23966-4A17-4BB7-9F0E-F2C9C6AD83D4}"/>
    <cellStyle name="Calculation 2 4 3 4" xfId="26351" xr:uid="{00000000-0005-0000-0000-0000B04B0000}"/>
    <cellStyle name="Calculation 2 4 3 4 2" xfId="31139" xr:uid="{2E54CDA6-6CD0-4D45-A8CA-4E49E960E3ED}"/>
    <cellStyle name="Calculation 2 4 3 5" xfId="29386" xr:uid="{00000000-0005-0000-0000-0000B14B0000}"/>
    <cellStyle name="Calculation 2 4 3 5 2" xfId="33332" xr:uid="{BE4C9081-C733-47D6-AFD5-E1A3B109B9DD}"/>
    <cellStyle name="Calculation 2 4 3 6" xfId="30651" xr:uid="{7965914C-7C58-4880-A1AF-2E36F100B203}"/>
    <cellStyle name="Calculation 2 4 4" xfId="27287" xr:uid="{00000000-0005-0000-0000-0000B24B0000}"/>
    <cellStyle name="Calculation 2 4 4 2" xfId="31919" xr:uid="{32030FED-D7AF-412F-A055-D4933768F0BC}"/>
    <cellStyle name="Calculation 2 4 5" xfId="26034" xr:uid="{00000000-0005-0000-0000-0000B34B0000}"/>
    <cellStyle name="Calculation 2 4 5 2" xfId="30835" xr:uid="{2E29DCAC-63D8-45D2-98EC-08A15AC3E334}"/>
    <cellStyle name="Calculation 2 4 6" xfId="27074" xr:uid="{00000000-0005-0000-0000-0000B44B0000}"/>
    <cellStyle name="Calculation 2 4 6 2" xfId="31805" xr:uid="{F3F4894C-51D9-4915-88D9-729EC354B916}"/>
    <cellStyle name="Calculation 2 4 7" xfId="29388" xr:uid="{00000000-0005-0000-0000-0000B54B0000}"/>
    <cellStyle name="Calculation 2 4 7 2" xfId="33334" xr:uid="{2EB7C969-2510-4AA8-A5FB-394590E5669B}"/>
    <cellStyle name="Calculation 2 4 8" xfId="30359" xr:uid="{1B44B031-214C-46AB-BEC3-48C0D9CA4766}"/>
    <cellStyle name="Calculation 2 5" xfId="25021" xr:uid="{00000000-0005-0000-0000-0000B64B0000}"/>
    <cellStyle name="Calculation 2 5 2" xfId="25330" xr:uid="{00000000-0005-0000-0000-0000B74B0000}"/>
    <cellStyle name="Calculation 2 5 2 2" xfId="27484" xr:uid="{00000000-0005-0000-0000-0000B84B0000}"/>
    <cellStyle name="Calculation 2 5 2 2 2" xfId="32075" xr:uid="{BFD88212-DC81-4FAC-BCAE-EED53C793E79}"/>
    <cellStyle name="Calculation 2 5 2 3" xfId="29193" xr:uid="{00000000-0005-0000-0000-0000B94B0000}"/>
    <cellStyle name="Calculation 2 5 2 3 2" xfId="33176" xr:uid="{ED1CE3AA-A7FF-49CD-826B-69C6A38FBF40}"/>
    <cellStyle name="Calculation 2 5 2 4" xfId="26275" xr:uid="{00000000-0005-0000-0000-0000BA4B0000}"/>
    <cellStyle name="Calculation 2 5 2 4 2" xfId="31063" xr:uid="{6CC6C1D1-7E15-4E82-91B9-D7A1CFF15B33}"/>
    <cellStyle name="Calculation 2 5 2 5" xfId="29384" xr:uid="{00000000-0005-0000-0000-0000BB4B0000}"/>
    <cellStyle name="Calculation 2 5 2 5 2" xfId="33330" xr:uid="{3EA474CC-3E99-4553-931F-A5C02FEBCB64}"/>
    <cellStyle name="Calculation 2 5 2 6" xfId="30488" xr:uid="{058C1255-45E0-4C42-8E90-67D680E049DE}"/>
    <cellStyle name="Calculation 2 5 3" xfId="25668" xr:uid="{00000000-0005-0000-0000-0000BC4B0000}"/>
    <cellStyle name="Calculation 2 5 3 2" xfId="27821" xr:uid="{00000000-0005-0000-0000-0000BD4B0000}"/>
    <cellStyle name="Calculation 2 5 3 2 2" xfId="32408" xr:uid="{702D036F-105A-42BC-9FEF-19B84CE38D0A}"/>
    <cellStyle name="Calculation 2 5 3 3" xfId="29248" xr:uid="{00000000-0005-0000-0000-0000BE4B0000}"/>
    <cellStyle name="Calculation 2 5 3 3 2" xfId="33230" xr:uid="{59BE864A-1512-4122-AB53-2925F8C3F15C}"/>
    <cellStyle name="Calculation 2 5 3 4" xfId="26355" xr:uid="{00000000-0005-0000-0000-0000BF4B0000}"/>
    <cellStyle name="Calculation 2 5 3 4 2" xfId="31143" xr:uid="{88DF5399-7D06-476F-B1DF-6AA6A172381D}"/>
    <cellStyle name="Calculation 2 5 3 5" xfId="29383" xr:uid="{00000000-0005-0000-0000-0000C04B0000}"/>
    <cellStyle name="Calculation 2 5 3 5 2" xfId="33329" xr:uid="{48F2F8D8-FEE7-4976-A5FF-C3B932C12749}"/>
    <cellStyle name="Calculation 2 5 3 6" xfId="30662" xr:uid="{BCC86636-0FD7-440A-9D8F-BB94A45A74E2}"/>
    <cellStyle name="Calculation 2 5 4" xfId="27351" xr:uid="{00000000-0005-0000-0000-0000C14B0000}"/>
    <cellStyle name="Calculation 2 5 4 2" xfId="31949" xr:uid="{7A92ED66-3599-4A47-A87B-778DD49CF25E}"/>
    <cellStyle name="Calculation 2 5 5" xfId="26189" xr:uid="{00000000-0005-0000-0000-0000C24B0000}"/>
    <cellStyle name="Calculation 2 5 5 2" xfId="30977" xr:uid="{95613B4E-B771-42DB-AC47-F2D41BF85B9B}"/>
    <cellStyle name="Calculation 2 5 6" xfId="27319" xr:uid="{00000000-0005-0000-0000-0000C34B0000}"/>
    <cellStyle name="Calculation 2 5 6 2" xfId="31938" xr:uid="{A47312DE-0796-426D-B522-3362C60B4B87}"/>
    <cellStyle name="Calculation 2 5 7" xfId="29385" xr:uid="{00000000-0005-0000-0000-0000C44B0000}"/>
    <cellStyle name="Calculation 2 5 7 2" xfId="33331" xr:uid="{24A8F570-0E3A-47D0-803F-4B4DC71CC216}"/>
    <cellStyle name="Calculation 2 5 8" xfId="30370" xr:uid="{03FA685C-4D87-46A6-B6AB-F627CE8D6881}"/>
    <cellStyle name="Calculation 20" xfId="2452" xr:uid="{00000000-0005-0000-0000-0000C54B0000}"/>
    <cellStyle name="Calculation 21" xfId="2453" xr:uid="{00000000-0005-0000-0000-0000C64B0000}"/>
    <cellStyle name="Calculation 22" xfId="2454" xr:uid="{00000000-0005-0000-0000-0000C74B0000}"/>
    <cellStyle name="Calculation 23" xfId="2455" xr:uid="{00000000-0005-0000-0000-0000C84B0000}"/>
    <cellStyle name="Calculation 24" xfId="2456" xr:uid="{00000000-0005-0000-0000-0000C94B0000}"/>
    <cellStyle name="Calculation 25" xfId="2457" xr:uid="{00000000-0005-0000-0000-0000CA4B0000}"/>
    <cellStyle name="Calculation 26" xfId="2458" xr:uid="{00000000-0005-0000-0000-0000CB4B0000}"/>
    <cellStyle name="Calculation 27" xfId="2459" xr:uid="{00000000-0005-0000-0000-0000CC4B0000}"/>
    <cellStyle name="Calculation 28" xfId="2460" xr:uid="{00000000-0005-0000-0000-0000CD4B0000}"/>
    <cellStyle name="Calculation 29" xfId="2461" xr:uid="{00000000-0005-0000-0000-0000CE4B0000}"/>
    <cellStyle name="Calculation 3" xfId="2462" xr:uid="{00000000-0005-0000-0000-0000CF4B0000}"/>
    <cellStyle name="Calculation 3 2" xfId="24058" xr:uid="{00000000-0005-0000-0000-0000D04B0000}"/>
    <cellStyle name="Calculation 3 2 2" xfId="25557" xr:uid="{00000000-0005-0000-0000-0000D14B0000}"/>
    <cellStyle name="Calculation 3 2 2 2" xfId="27710" xr:uid="{00000000-0005-0000-0000-0000D24B0000}"/>
    <cellStyle name="Calculation 3 2 2 2 2" xfId="32297" xr:uid="{F1D15821-9304-45C6-999C-81FEE509069F}"/>
    <cellStyle name="Calculation 3 2 2 3" xfId="29225" xr:uid="{00000000-0005-0000-0000-0000D34B0000}"/>
    <cellStyle name="Calculation 3 2 2 3 2" xfId="33208" xr:uid="{25FACB92-215D-4210-9BE7-4B42B3A595F7}"/>
    <cellStyle name="Calculation 3 2 2 4" xfId="26745" xr:uid="{00000000-0005-0000-0000-0000D44B0000}"/>
    <cellStyle name="Calculation 3 2 2 4 2" xfId="31506" xr:uid="{C3F16722-E7D8-47B9-BE9B-11132B1CB9CC}"/>
    <cellStyle name="Calculation 3 2 2 5" xfId="29381" xr:uid="{00000000-0005-0000-0000-0000D54B0000}"/>
    <cellStyle name="Calculation 3 2 2 5 2" xfId="33327" xr:uid="{6814F5B0-F1CE-47F8-9D01-898EBAE5FAB4}"/>
    <cellStyle name="Calculation 3 2 2 6" xfId="30614" xr:uid="{235CA099-96C2-4EB6-969E-B9538D78E0F8}"/>
    <cellStyle name="Calculation 3 2 3" xfId="27051" xr:uid="{00000000-0005-0000-0000-0000D64B0000}"/>
    <cellStyle name="Calculation 3 2 3 2" xfId="31796" xr:uid="{5FFB9C24-F174-4F1C-BD16-FEB96A6D91CF}"/>
    <cellStyle name="Calculation 3 2 4" xfId="26795" xr:uid="{00000000-0005-0000-0000-0000D74B0000}"/>
    <cellStyle name="Calculation 3 2 4 2" xfId="31556" xr:uid="{E8B51B8C-3DC8-48F3-8173-6ECA2CA15758}"/>
    <cellStyle name="Calculation 3 2 5" xfId="27304" xr:uid="{00000000-0005-0000-0000-0000D84B0000}"/>
    <cellStyle name="Calculation 3 2 5 2" xfId="31933" xr:uid="{3ADAF7FE-DAC1-4D19-BD86-E20CE2153A74}"/>
    <cellStyle name="Calculation 3 2 6" xfId="29382" xr:uid="{00000000-0005-0000-0000-0000D94B0000}"/>
    <cellStyle name="Calculation 3 2 6 2" xfId="33328" xr:uid="{8B606221-D3BD-4A63-81F3-806699C2D6F7}"/>
    <cellStyle name="Calculation 3 2 7" xfId="30259" xr:uid="{00580857-8DBA-4DE3-B5EF-91CC93EF199F}"/>
    <cellStyle name="Calculation 3 3" xfId="24700" xr:uid="{00000000-0005-0000-0000-0000DA4B0000}"/>
    <cellStyle name="Calculation 3 3 2" xfId="25287" xr:uid="{00000000-0005-0000-0000-0000DB4B0000}"/>
    <cellStyle name="Calculation 3 3 2 2" xfId="27442" xr:uid="{00000000-0005-0000-0000-0000DC4B0000}"/>
    <cellStyle name="Calculation 3 3 2 2 2" xfId="32037" xr:uid="{0B51F1AD-CD5E-472F-8903-B1D3F5B9620C}"/>
    <cellStyle name="Calculation 3 3 2 3" xfId="29189" xr:uid="{00000000-0005-0000-0000-0000DD4B0000}"/>
    <cellStyle name="Calculation 3 3 2 3 2" xfId="33172" xr:uid="{07607AAA-6F7A-4F09-A5F9-A1E051669EDD}"/>
    <cellStyle name="Calculation 3 3 2 4" xfId="27151" xr:uid="{00000000-0005-0000-0000-0000DE4B0000}"/>
    <cellStyle name="Calculation 3 3 2 4 2" xfId="31852" xr:uid="{78B1D17E-B45C-42E6-BEE4-DE23295D70C0}"/>
    <cellStyle name="Calculation 3 3 2 5" xfId="29379" xr:uid="{00000000-0005-0000-0000-0000DF4B0000}"/>
    <cellStyle name="Calculation 3 3 2 5 2" xfId="33325" xr:uid="{15239E7E-4294-44FF-A855-E62129392276}"/>
    <cellStyle name="Calculation 3 3 2 6" xfId="30450" xr:uid="{C060EED8-2AB5-4E4F-82D7-86B4AC56A448}"/>
    <cellStyle name="Calculation 3 3 3" xfId="25659" xr:uid="{00000000-0005-0000-0000-0000E04B0000}"/>
    <cellStyle name="Calculation 3 3 3 2" xfId="27812" xr:uid="{00000000-0005-0000-0000-0000E14B0000}"/>
    <cellStyle name="Calculation 3 3 3 2 2" xfId="32399" xr:uid="{6BF9C6C7-9E0E-4532-98F7-6DD15C2019A5}"/>
    <cellStyle name="Calculation 3 3 3 3" xfId="29239" xr:uid="{00000000-0005-0000-0000-0000E24B0000}"/>
    <cellStyle name="Calculation 3 3 3 3 2" xfId="33221" xr:uid="{000D310D-0A86-4F12-A503-FE9CFA91C51C}"/>
    <cellStyle name="Calculation 3 3 3 4" xfId="26534" xr:uid="{00000000-0005-0000-0000-0000E34B0000}"/>
    <cellStyle name="Calculation 3 3 3 4 2" xfId="31321" xr:uid="{A880C674-57DF-49B4-A1F3-E6617F6EE937}"/>
    <cellStyle name="Calculation 3 3 3 5" xfId="29378" xr:uid="{00000000-0005-0000-0000-0000E44B0000}"/>
    <cellStyle name="Calculation 3 3 3 5 2" xfId="33324" xr:uid="{B5C303F8-49B1-4279-96C8-A0FBE3AB4272}"/>
    <cellStyle name="Calculation 3 3 3 6" xfId="30653" xr:uid="{E7F1EFF0-6A02-490B-82C8-56E6A97447FB}"/>
    <cellStyle name="Calculation 3 3 4" xfId="27289" xr:uid="{00000000-0005-0000-0000-0000E54B0000}"/>
    <cellStyle name="Calculation 3 3 4 2" xfId="31921" xr:uid="{CB1A0B74-496D-4B80-A5C8-99E5F99935F0}"/>
    <cellStyle name="Calculation 3 3 5" xfId="26624" xr:uid="{00000000-0005-0000-0000-0000E64B0000}"/>
    <cellStyle name="Calculation 3 3 5 2" xfId="31401" xr:uid="{74AA51AE-9E5C-48C7-848D-A026307632DA}"/>
    <cellStyle name="Calculation 3 3 6" xfId="27323" xr:uid="{00000000-0005-0000-0000-0000E74B0000}"/>
    <cellStyle name="Calculation 3 3 6 2" xfId="31942" xr:uid="{7B91B36C-7909-4C39-93B5-EE50CFB3617A}"/>
    <cellStyle name="Calculation 3 3 7" xfId="29380" xr:uid="{00000000-0005-0000-0000-0000E84B0000}"/>
    <cellStyle name="Calculation 3 3 7 2" xfId="33326" xr:uid="{B6975EF9-1CA5-4985-B7DD-9F2887EEC2EA}"/>
    <cellStyle name="Calculation 3 3 8" xfId="30361" xr:uid="{B37B179B-87BC-41CB-B8CB-8EA62C003449}"/>
    <cellStyle name="Calculation 3 4" xfId="25023" xr:uid="{00000000-0005-0000-0000-0000E94B0000}"/>
    <cellStyle name="Calculation 3 4 2" xfId="25347" xr:uid="{00000000-0005-0000-0000-0000EA4B0000}"/>
    <cellStyle name="Calculation 3 4 2 2" xfId="27501" xr:uid="{00000000-0005-0000-0000-0000EB4B0000}"/>
    <cellStyle name="Calculation 3 4 2 2 2" xfId="32092" xr:uid="{7D96E9E7-656D-4B1A-BEC7-205E32C786C2}"/>
    <cellStyle name="Calculation 3 4 2 3" xfId="29196" xr:uid="{00000000-0005-0000-0000-0000EC4B0000}"/>
    <cellStyle name="Calculation 3 4 2 3 2" xfId="33179" xr:uid="{EDE490D0-B4F9-40E0-99D3-630712C534C6}"/>
    <cellStyle name="Calculation 3 4 2 4" xfId="26075" xr:uid="{00000000-0005-0000-0000-0000ED4B0000}"/>
    <cellStyle name="Calculation 3 4 2 4 2" xfId="30865" xr:uid="{4659BA34-4B6E-4CA9-A7C4-093B7378A42C}"/>
    <cellStyle name="Calculation 3 4 2 5" xfId="29376" xr:uid="{00000000-0005-0000-0000-0000EE4B0000}"/>
    <cellStyle name="Calculation 3 4 2 5 2" xfId="33322" xr:uid="{7808538A-206C-40E9-A494-C66AF4D48B30}"/>
    <cellStyle name="Calculation 3 4 2 6" xfId="30505" xr:uid="{E4F8FB28-0D8A-43D6-AAAC-52BECFE94991}"/>
    <cellStyle name="Calculation 3 4 3" xfId="25670" xr:uid="{00000000-0005-0000-0000-0000EF4B0000}"/>
    <cellStyle name="Calculation 3 4 3 2" xfId="27823" xr:uid="{00000000-0005-0000-0000-0000F04B0000}"/>
    <cellStyle name="Calculation 3 4 3 2 2" xfId="32410" xr:uid="{96A10897-D76A-498C-8618-F694D6EC9139}"/>
    <cellStyle name="Calculation 3 4 3 3" xfId="29250" xr:uid="{00000000-0005-0000-0000-0000F14B0000}"/>
    <cellStyle name="Calculation 3 4 3 3 2" xfId="33232" xr:uid="{0B05B8DD-6649-4410-969E-2B2D5C4E4A99}"/>
    <cellStyle name="Calculation 3 4 3 4" xfId="26950" xr:uid="{00000000-0005-0000-0000-0000F24B0000}"/>
    <cellStyle name="Calculation 3 4 3 4 2" xfId="31711" xr:uid="{22D77CA2-B30E-402E-95DC-36AE49535040}"/>
    <cellStyle name="Calculation 3 4 3 5" xfId="29375" xr:uid="{00000000-0005-0000-0000-0000F34B0000}"/>
    <cellStyle name="Calculation 3 4 3 5 2" xfId="33321" xr:uid="{F8872ABC-4D46-4A02-9BF2-FED643ECEFFD}"/>
    <cellStyle name="Calculation 3 4 3 6" xfId="30664" xr:uid="{D96FA7B9-24A2-41C5-A820-64EFE9813034}"/>
    <cellStyle name="Calculation 3 4 4" xfId="27353" xr:uid="{00000000-0005-0000-0000-0000F44B0000}"/>
    <cellStyle name="Calculation 3 4 4 2" xfId="31951" xr:uid="{C98BA7FB-F445-47C2-AA05-890FC9150AE9}"/>
    <cellStyle name="Calculation 3 4 5" xfId="26191" xr:uid="{00000000-0005-0000-0000-0000F54B0000}"/>
    <cellStyle name="Calculation 3 4 5 2" xfId="30979" xr:uid="{77495922-1854-4D74-92C4-10158B171EA2}"/>
    <cellStyle name="Calculation 3 4 6" xfId="26841" xr:uid="{00000000-0005-0000-0000-0000F64B0000}"/>
    <cellStyle name="Calculation 3 4 6 2" xfId="31602" xr:uid="{19F9C155-4A17-454C-94C7-7FA7CEDDF4F3}"/>
    <cellStyle name="Calculation 3 4 7" xfId="29377" xr:uid="{00000000-0005-0000-0000-0000F74B0000}"/>
    <cellStyle name="Calculation 3 4 7 2" xfId="33323" xr:uid="{AAE1723E-987B-48A8-9E27-960BE4526DF6}"/>
    <cellStyle name="Calculation 3 4 8" xfId="30372" xr:uid="{3708D2E8-6A0B-415D-A42B-E048464B741D}"/>
    <cellStyle name="Calculation 30" xfId="2463" xr:uid="{00000000-0005-0000-0000-0000F84B0000}"/>
    <cellStyle name="Calculation 31" xfId="2464" xr:uid="{00000000-0005-0000-0000-0000F94B0000}"/>
    <cellStyle name="Calculation 32" xfId="2465" xr:uid="{00000000-0005-0000-0000-0000FA4B0000}"/>
    <cellStyle name="Calculation 33" xfId="2466" xr:uid="{00000000-0005-0000-0000-0000FB4B0000}"/>
    <cellStyle name="Calculation 34" xfId="2467" xr:uid="{00000000-0005-0000-0000-0000FC4B0000}"/>
    <cellStyle name="Calculation 35" xfId="2468" xr:uid="{00000000-0005-0000-0000-0000FD4B0000}"/>
    <cellStyle name="Calculation 36" xfId="2469" xr:uid="{00000000-0005-0000-0000-0000FE4B0000}"/>
    <cellStyle name="Calculation 37" xfId="2470" xr:uid="{00000000-0005-0000-0000-0000FF4B0000}"/>
    <cellStyle name="Calculation 38" xfId="2471" xr:uid="{00000000-0005-0000-0000-0000004C0000}"/>
    <cellStyle name="Calculation 39" xfId="2472" xr:uid="{00000000-0005-0000-0000-0000014C0000}"/>
    <cellStyle name="Calculation 4" xfId="2473" xr:uid="{00000000-0005-0000-0000-0000024C0000}"/>
    <cellStyle name="Calculation 4 2" xfId="24059" xr:uid="{00000000-0005-0000-0000-0000034C0000}"/>
    <cellStyle name="Calculation 4 2 2" xfId="25558" xr:uid="{00000000-0005-0000-0000-0000044C0000}"/>
    <cellStyle name="Calculation 4 2 2 2" xfId="27711" xr:uid="{00000000-0005-0000-0000-0000054C0000}"/>
    <cellStyle name="Calculation 4 2 2 2 2" xfId="32298" xr:uid="{0C1A1CC9-EB11-49C4-BCB7-D90BF5F9C31E}"/>
    <cellStyle name="Calculation 4 2 2 3" xfId="29226" xr:uid="{00000000-0005-0000-0000-0000064C0000}"/>
    <cellStyle name="Calculation 4 2 2 3 2" xfId="33209" xr:uid="{6C19285E-D3DC-4A00-8584-B7B096D97962}"/>
    <cellStyle name="Calculation 4 2 2 4" xfId="27023" xr:uid="{00000000-0005-0000-0000-0000074C0000}"/>
    <cellStyle name="Calculation 4 2 2 4 2" xfId="31783" xr:uid="{7D33E6F0-9B9D-463F-A765-90F5100A5A16}"/>
    <cellStyle name="Calculation 4 2 2 5" xfId="29373" xr:uid="{00000000-0005-0000-0000-0000084C0000}"/>
    <cellStyle name="Calculation 4 2 2 5 2" xfId="33319" xr:uid="{749FEB65-3243-4CC5-86AF-8CE42F272CDA}"/>
    <cellStyle name="Calculation 4 2 2 6" xfId="30615" xr:uid="{1D453E89-3D4A-4B06-8221-64AA49CD0287}"/>
    <cellStyle name="Calculation 4 2 3" xfId="27052" xr:uid="{00000000-0005-0000-0000-0000094C0000}"/>
    <cellStyle name="Calculation 4 2 3 2" xfId="31797" xr:uid="{73DF92F7-A1D0-461E-B2EB-4911A50C8A03}"/>
    <cellStyle name="Calculation 4 2 4" xfId="26716" xr:uid="{00000000-0005-0000-0000-00000A4C0000}"/>
    <cellStyle name="Calculation 4 2 4 2" xfId="31478" xr:uid="{83E781E8-997A-4BEC-B832-2B14EA626D37}"/>
    <cellStyle name="Calculation 4 2 5" xfId="26470" xr:uid="{00000000-0005-0000-0000-00000B4C0000}"/>
    <cellStyle name="Calculation 4 2 5 2" xfId="31258" xr:uid="{C1183BBB-9A00-493B-B298-74A49B0EF81D}"/>
    <cellStyle name="Calculation 4 2 6" xfId="29374" xr:uid="{00000000-0005-0000-0000-00000C4C0000}"/>
    <cellStyle name="Calculation 4 2 6 2" xfId="33320" xr:uid="{2C09A5F9-E725-4299-B781-6E62E5AE2053}"/>
    <cellStyle name="Calculation 4 2 7" xfId="30260" xr:uid="{83EDB7C7-0023-4EE5-84D6-1F404F9FE780}"/>
    <cellStyle name="Calculation 4 3" xfId="24701" xr:uid="{00000000-0005-0000-0000-00000D4C0000}"/>
    <cellStyle name="Calculation 4 3 2" xfId="25369" xr:uid="{00000000-0005-0000-0000-00000E4C0000}"/>
    <cellStyle name="Calculation 4 3 2 2" xfId="27523" xr:uid="{00000000-0005-0000-0000-00000F4C0000}"/>
    <cellStyle name="Calculation 4 3 2 2 2" xfId="32114" xr:uid="{17613EEF-90D8-4308-88F3-7976BA49B028}"/>
    <cellStyle name="Calculation 4 3 2 3" xfId="29202" xr:uid="{00000000-0005-0000-0000-0000104C0000}"/>
    <cellStyle name="Calculation 4 3 2 3 2" xfId="33185" xr:uid="{9232BAFA-C7F4-4871-92B8-C06D3864C842}"/>
    <cellStyle name="Calculation 4 3 2 4" xfId="27320" xr:uid="{00000000-0005-0000-0000-0000114C0000}"/>
    <cellStyle name="Calculation 4 3 2 4 2" xfId="31939" xr:uid="{C67F3CC7-E21E-4D57-A0F1-037F001BC7D9}"/>
    <cellStyle name="Calculation 4 3 2 5" xfId="29371" xr:uid="{00000000-0005-0000-0000-0000124C0000}"/>
    <cellStyle name="Calculation 4 3 2 5 2" xfId="33317" xr:uid="{FB525251-5DE4-4A2C-8EED-963ED5760E39}"/>
    <cellStyle name="Calculation 4 3 2 6" xfId="30527" xr:uid="{58BD831C-38E7-445B-8887-A2FD7A889069}"/>
    <cellStyle name="Calculation 4 3 3" xfId="25660" xr:uid="{00000000-0005-0000-0000-0000134C0000}"/>
    <cellStyle name="Calculation 4 3 3 2" xfId="27813" xr:uid="{00000000-0005-0000-0000-0000144C0000}"/>
    <cellStyle name="Calculation 4 3 3 2 2" xfId="32400" xr:uid="{60D8A67F-2A8A-47CE-86D4-9C10B466B71E}"/>
    <cellStyle name="Calculation 4 3 3 3" xfId="29240" xr:uid="{00000000-0005-0000-0000-0000154C0000}"/>
    <cellStyle name="Calculation 4 3 3 3 2" xfId="33222" xr:uid="{240FD0DD-958E-4C14-81C3-E5B4EEA2C10F}"/>
    <cellStyle name="Calculation 4 3 3 4" xfId="26180" xr:uid="{00000000-0005-0000-0000-0000164C0000}"/>
    <cellStyle name="Calculation 4 3 3 4 2" xfId="30969" xr:uid="{709A15C7-D1E5-4B8C-9019-8FFBD559A98F}"/>
    <cellStyle name="Calculation 4 3 3 5" xfId="29370" xr:uid="{00000000-0005-0000-0000-0000174C0000}"/>
    <cellStyle name="Calculation 4 3 3 5 2" xfId="33316" xr:uid="{18C6F444-3582-4A70-8310-0758C4CB1B61}"/>
    <cellStyle name="Calculation 4 3 3 6" xfId="30654" xr:uid="{48A2F894-78F5-4452-B472-150ACDD32879}"/>
    <cellStyle name="Calculation 4 3 4" xfId="27290" xr:uid="{00000000-0005-0000-0000-0000184C0000}"/>
    <cellStyle name="Calculation 4 3 4 2" xfId="31922" xr:uid="{06D28166-9BB3-48BB-BF21-A30BF55DD7DA}"/>
    <cellStyle name="Calculation 4 3 5" xfId="27107" xr:uid="{00000000-0005-0000-0000-0000194C0000}"/>
    <cellStyle name="Calculation 4 3 5 2" xfId="31825" xr:uid="{833B78C7-5689-4121-90B5-A70041296100}"/>
    <cellStyle name="Calculation 4 3 6" xfId="26359" xr:uid="{00000000-0005-0000-0000-00001A4C0000}"/>
    <cellStyle name="Calculation 4 3 6 2" xfId="31147" xr:uid="{36F63016-EF96-4D5A-946B-254F9851387A}"/>
    <cellStyle name="Calculation 4 3 7" xfId="29372" xr:uid="{00000000-0005-0000-0000-00001B4C0000}"/>
    <cellStyle name="Calculation 4 3 7 2" xfId="33318" xr:uid="{4D309B14-DA9C-4A75-AA24-9D54D01F96CD}"/>
    <cellStyle name="Calculation 4 3 8" xfId="30362" xr:uid="{D047B4E0-B7FF-46F2-A51F-C805246C030F}"/>
    <cellStyle name="Calculation 4 4" xfId="25024" xr:uid="{00000000-0005-0000-0000-00001C4C0000}"/>
    <cellStyle name="Calculation 4 4 2" xfId="25448" xr:uid="{00000000-0005-0000-0000-00001D4C0000}"/>
    <cellStyle name="Calculation 4 4 2 2" xfId="27602" xr:uid="{00000000-0005-0000-0000-00001E4C0000}"/>
    <cellStyle name="Calculation 4 4 2 2 2" xfId="32193" xr:uid="{F5D5923E-B58A-469A-A656-DBF81070EA00}"/>
    <cellStyle name="Calculation 4 4 2 3" xfId="29215" xr:uid="{00000000-0005-0000-0000-00001F4C0000}"/>
    <cellStyle name="Calculation 4 4 2 3 2" xfId="33198" xr:uid="{ED93DCD5-F52E-4744-B1D1-3EDD0F3F1D6F}"/>
    <cellStyle name="Calculation 4 4 2 4" xfId="26281" xr:uid="{00000000-0005-0000-0000-0000204C0000}"/>
    <cellStyle name="Calculation 4 4 2 4 2" xfId="31069" xr:uid="{AB3AE607-57B7-4A19-BDC1-10C40AC75269}"/>
    <cellStyle name="Calculation 4 4 2 5" xfId="29368" xr:uid="{00000000-0005-0000-0000-0000214C0000}"/>
    <cellStyle name="Calculation 4 4 2 5 2" xfId="33314" xr:uid="{11E0E40D-0851-4687-98D2-BA673BD7330E}"/>
    <cellStyle name="Calculation 4 4 2 6" xfId="30606" xr:uid="{270CC665-6554-488C-9124-EA7F0ACF9CCD}"/>
    <cellStyle name="Calculation 4 4 3" xfId="25671" xr:uid="{00000000-0005-0000-0000-0000224C0000}"/>
    <cellStyle name="Calculation 4 4 3 2" xfId="27824" xr:uid="{00000000-0005-0000-0000-0000234C0000}"/>
    <cellStyle name="Calculation 4 4 3 2 2" xfId="32411" xr:uid="{7B421FD5-8A91-4FEB-AC08-7255F6597362}"/>
    <cellStyle name="Calculation 4 4 3 3" xfId="29251" xr:uid="{00000000-0005-0000-0000-0000244C0000}"/>
    <cellStyle name="Calculation 4 4 3 3 2" xfId="33233" xr:uid="{AC069370-84A8-40CA-BCCA-D7863913A378}"/>
    <cellStyle name="Calculation 4 4 3 4" xfId="26873" xr:uid="{00000000-0005-0000-0000-0000254C0000}"/>
    <cellStyle name="Calculation 4 4 3 4 2" xfId="31634" xr:uid="{2FD6CD7C-461E-438B-8D3E-7CA36FBFAD66}"/>
    <cellStyle name="Calculation 4 4 3 5" xfId="29367" xr:uid="{00000000-0005-0000-0000-0000264C0000}"/>
    <cellStyle name="Calculation 4 4 3 5 2" xfId="33313" xr:uid="{F7D9CA66-8040-41B0-874E-C29C968BDAD7}"/>
    <cellStyle name="Calculation 4 4 3 6" xfId="30665" xr:uid="{48C2D53F-CF91-4669-B5FB-C0D4309BED0E}"/>
    <cellStyle name="Calculation 4 4 4" xfId="27354" xr:uid="{00000000-0005-0000-0000-0000274C0000}"/>
    <cellStyle name="Calculation 4 4 4 2" xfId="31952" xr:uid="{AD8D52BF-3AE0-448F-84E2-5E9F3A5E209B}"/>
    <cellStyle name="Calculation 4 4 5" xfId="26192" xr:uid="{00000000-0005-0000-0000-0000284C0000}"/>
    <cellStyle name="Calculation 4 4 5 2" xfId="30980" xr:uid="{0F6B48E2-CCD4-458A-B4F6-640451D941EC}"/>
    <cellStyle name="Calculation 4 4 6" xfId="26689" xr:uid="{00000000-0005-0000-0000-0000294C0000}"/>
    <cellStyle name="Calculation 4 4 6 2" xfId="31451" xr:uid="{7DE842D7-3928-4E53-A6B2-CC0558E14828}"/>
    <cellStyle name="Calculation 4 4 7" xfId="29369" xr:uid="{00000000-0005-0000-0000-00002A4C0000}"/>
    <cellStyle name="Calculation 4 4 7 2" xfId="33315" xr:uid="{EC2EEF61-D80F-49DB-A055-BBAC80E8D5BE}"/>
    <cellStyle name="Calculation 4 4 8" xfId="30373" xr:uid="{744D290D-F761-430E-A621-3B127DDA76C7}"/>
    <cellStyle name="Calculation 40" xfId="2474" xr:uid="{00000000-0005-0000-0000-00002B4C0000}"/>
    <cellStyle name="Calculation 41" xfId="2475" xr:uid="{00000000-0005-0000-0000-00002C4C0000}"/>
    <cellStyle name="Calculation 42" xfId="2476" xr:uid="{00000000-0005-0000-0000-00002D4C0000}"/>
    <cellStyle name="Calculation 43" xfId="2477" xr:uid="{00000000-0005-0000-0000-00002E4C0000}"/>
    <cellStyle name="Calculation 44" xfId="2478" xr:uid="{00000000-0005-0000-0000-00002F4C0000}"/>
    <cellStyle name="Calculation 45" xfId="2479" xr:uid="{00000000-0005-0000-0000-0000304C0000}"/>
    <cellStyle name="Calculation 46" xfId="2480" xr:uid="{00000000-0005-0000-0000-0000314C0000}"/>
    <cellStyle name="Calculation 47" xfId="2481" xr:uid="{00000000-0005-0000-0000-0000324C0000}"/>
    <cellStyle name="Calculation 48" xfId="2482" xr:uid="{00000000-0005-0000-0000-0000334C0000}"/>
    <cellStyle name="Calculation 49" xfId="2483" xr:uid="{00000000-0005-0000-0000-0000344C0000}"/>
    <cellStyle name="Calculation 5" xfId="2484" xr:uid="{00000000-0005-0000-0000-0000354C0000}"/>
    <cellStyle name="Calculation 50" xfId="2485" xr:uid="{00000000-0005-0000-0000-0000364C0000}"/>
    <cellStyle name="Calculation 51" xfId="2486" xr:uid="{00000000-0005-0000-0000-0000374C0000}"/>
    <cellStyle name="Calculation 52" xfId="2487" xr:uid="{00000000-0005-0000-0000-0000384C0000}"/>
    <cellStyle name="Calculation 53" xfId="2488" xr:uid="{00000000-0005-0000-0000-0000394C0000}"/>
    <cellStyle name="Calculation 54" xfId="2489" xr:uid="{00000000-0005-0000-0000-00003A4C0000}"/>
    <cellStyle name="Calculation 55" xfId="2490" xr:uid="{00000000-0005-0000-0000-00003B4C0000}"/>
    <cellStyle name="Calculation 56" xfId="2491" xr:uid="{00000000-0005-0000-0000-00003C4C0000}"/>
    <cellStyle name="Calculation 57" xfId="2492" xr:uid="{00000000-0005-0000-0000-00003D4C0000}"/>
    <cellStyle name="Calculation 58" xfId="2493" xr:uid="{00000000-0005-0000-0000-00003E4C0000}"/>
    <cellStyle name="Calculation 59" xfId="2494" xr:uid="{00000000-0005-0000-0000-00003F4C0000}"/>
    <cellStyle name="Calculation 6" xfId="2495" xr:uid="{00000000-0005-0000-0000-0000404C0000}"/>
    <cellStyle name="Calculation 60" xfId="2496" xr:uid="{00000000-0005-0000-0000-0000414C0000}"/>
    <cellStyle name="Calculation 61" xfId="2497" xr:uid="{00000000-0005-0000-0000-0000424C0000}"/>
    <cellStyle name="Calculation 62" xfId="2498" xr:uid="{00000000-0005-0000-0000-0000434C0000}"/>
    <cellStyle name="Calculation 63" xfId="2499" xr:uid="{00000000-0005-0000-0000-0000444C0000}"/>
    <cellStyle name="Calculation 64" xfId="2500" xr:uid="{00000000-0005-0000-0000-0000454C0000}"/>
    <cellStyle name="Calculation 65" xfId="2501" xr:uid="{00000000-0005-0000-0000-0000464C0000}"/>
    <cellStyle name="Calculation 66" xfId="2502" xr:uid="{00000000-0005-0000-0000-0000474C0000}"/>
    <cellStyle name="Calculation 67" xfId="2503" xr:uid="{00000000-0005-0000-0000-0000484C0000}"/>
    <cellStyle name="Calculation 68" xfId="2504" xr:uid="{00000000-0005-0000-0000-0000494C0000}"/>
    <cellStyle name="Calculation 69" xfId="2505" xr:uid="{00000000-0005-0000-0000-00004A4C0000}"/>
    <cellStyle name="Calculation 7" xfId="2506" xr:uid="{00000000-0005-0000-0000-00004B4C0000}"/>
    <cellStyle name="Calculation 70" xfId="2507" xr:uid="{00000000-0005-0000-0000-00004C4C0000}"/>
    <cellStyle name="Calculation 71" xfId="2508" xr:uid="{00000000-0005-0000-0000-00004D4C0000}"/>
    <cellStyle name="Calculation 72" xfId="2509" xr:uid="{00000000-0005-0000-0000-00004E4C0000}"/>
    <cellStyle name="Calculation 8" xfId="2510" xr:uid="{00000000-0005-0000-0000-00004F4C0000}"/>
    <cellStyle name="Calculation 9" xfId="2511" xr:uid="{00000000-0005-0000-0000-0000504C0000}"/>
    <cellStyle name="Check Cell 10" xfId="2512" xr:uid="{00000000-0005-0000-0000-0000514C0000}"/>
    <cellStyle name="Check Cell 11" xfId="2513" xr:uid="{00000000-0005-0000-0000-0000524C0000}"/>
    <cellStyle name="Check Cell 12" xfId="2514" xr:uid="{00000000-0005-0000-0000-0000534C0000}"/>
    <cellStyle name="Check Cell 13" xfId="2515" xr:uid="{00000000-0005-0000-0000-0000544C0000}"/>
    <cellStyle name="Check Cell 14" xfId="2516" xr:uid="{00000000-0005-0000-0000-0000554C0000}"/>
    <cellStyle name="Check Cell 15" xfId="2517" xr:uid="{00000000-0005-0000-0000-0000564C0000}"/>
    <cellStyle name="Check Cell 16" xfId="2518" xr:uid="{00000000-0005-0000-0000-0000574C0000}"/>
    <cellStyle name="Check Cell 17" xfId="2519" xr:uid="{00000000-0005-0000-0000-0000584C0000}"/>
    <cellStyle name="Check Cell 18" xfId="2520" xr:uid="{00000000-0005-0000-0000-0000594C0000}"/>
    <cellStyle name="Check Cell 19" xfId="2521" xr:uid="{00000000-0005-0000-0000-00005A4C0000}"/>
    <cellStyle name="Check Cell 2" xfId="2522" xr:uid="{00000000-0005-0000-0000-00005B4C0000}"/>
    <cellStyle name="Check Cell 2 2" xfId="24061" xr:uid="{00000000-0005-0000-0000-00005C4C0000}"/>
    <cellStyle name="Check Cell 2 3" xfId="24060" xr:uid="{00000000-0005-0000-0000-00005D4C0000}"/>
    <cellStyle name="Check Cell 20" xfId="2523" xr:uid="{00000000-0005-0000-0000-00005E4C0000}"/>
    <cellStyle name="Check Cell 21" xfId="2524" xr:uid="{00000000-0005-0000-0000-00005F4C0000}"/>
    <cellStyle name="Check Cell 22" xfId="2525" xr:uid="{00000000-0005-0000-0000-0000604C0000}"/>
    <cellStyle name="Check Cell 23" xfId="2526" xr:uid="{00000000-0005-0000-0000-0000614C0000}"/>
    <cellStyle name="Check Cell 24" xfId="2527" xr:uid="{00000000-0005-0000-0000-0000624C0000}"/>
    <cellStyle name="Check Cell 25" xfId="2528" xr:uid="{00000000-0005-0000-0000-0000634C0000}"/>
    <cellStyle name="Check Cell 26" xfId="2529" xr:uid="{00000000-0005-0000-0000-0000644C0000}"/>
    <cellStyle name="Check Cell 27" xfId="2530" xr:uid="{00000000-0005-0000-0000-0000654C0000}"/>
    <cellStyle name="Check Cell 28" xfId="2531" xr:uid="{00000000-0005-0000-0000-0000664C0000}"/>
    <cellStyle name="Check Cell 29" xfId="2532" xr:uid="{00000000-0005-0000-0000-0000674C0000}"/>
    <cellStyle name="Check Cell 3" xfId="2533" xr:uid="{00000000-0005-0000-0000-0000684C0000}"/>
    <cellStyle name="Check Cell 3 2" xfId="24062" xr:uid="{00000000-0005-0000-0000-0000694C0000}"/>
    <cellStyle name="Check Cell 30" xfId="2534" xr:uid="{00000000-0005-0000-0000-00006A4C0000}"/>
    <cellStyle name="Check Cell 31" xfId="2535" xr:uid="{00000000-0005-0000-0000-00006B4C0000}"/>
    <cellStyle name="Check Cell 32" xfId="2536" xr:uid="{00000000-0005-0000-0000-00006C4C0000}"/>
    <cellStyle name="Check Cell 33" xfId="2537" xr:uid="{00000000-0005-0000-0000-00006D4C0000}"/>
    <cellStyle name="Check Cell 34" xfId="2538" xr:uid="{00000000-0005-0000-0000-00006E4C0000}"/>
    <cellStyle name="Check Cell 35" xfId="2539" xr:uid="{00000000-0005-0000-0000-00006F4C0000}"/>
    <cellStyle name="Check Cell 36" xfId="2540" xr:uid="{00000000-0005-0000-0000-0000704C0000}"/>
    <cellStyle name="Check Cell 37" xfId="2541" xr:uid="{00000000-0005-0000-0000-0000714C0000}"/>
    <cellStyle name="Check Cell 38" xfId="2542" xr:uid="{00000000-0005-0000-0000-0000724C0000}"/>
    <cellStyle name="Check Cell 39" xfId="2543" xr:uid="{00000000-0005-0000-0000-0000734C0000}"/>
    <cellStyle name="Check Cell 4" xfId="2544" xr:uid="{00000000-0005-0000-0000-0000744C0000}"/>
    <cellStyle name="Check Cell 4 2" xfId="24063" xr:uid="{00000000-0005-0000-0000-0000754C0000}"/>
    <cellStyle name="Check Cell 40" xfId="2545" xr:uid="{00000000-0005-0000-0000-0000764C0000}"/>
    <cellStyle name="Check Cell 41" xfId="2546" xr:uid="{00000000-0005-0000-0000-0000774C0000}"/>
    <cellStyle name="Check Cell 42" xfId="2547" xr:uid="{00000000-0005-0000-0000-0000784C0000}"/>
    <cellStyle name="Check Cell 43" xfId="2548" xr:uid="{00000000-0005-0000-0000-0000794C0000}"/>
    <cellStyle name="Check Cell 44" xfId="2549" xr:uid="{00000000-0005-0000-0000-00007A4C0000}"/>
    <cellStyle name="Check Cell 45" xfId="2550" xr:uid="{00000000-0005-0000-0000-00007B4C0000}"/>
    <cellStyle name="Check Cell 46" xfId="2551" xr:uid="{00000000-0005-0000-0000-00007C4C0000}"/>
    <cellStyle name="Check Cell 47" xfId="2552" xr:uid="{00000000-0005-0000-0000-00007D4C0000}"/>
    <cellStyle name="Check Cell 48" xfId="2553" xr:uid="{00000000-0005-0000-0000-00007E4C0000}"/>
    <cellStyle name="Check Cell 49" xfId="2554" xr:uid="{00000000-0005-0000-0000-00007F4C0000}"/>
    <cellStyle name="Check Cell 5" xfId="2555" xr:uid="{00000000-0005-0000-0000-0000804C0000}"/>
    <cellStyle name="Check Cell 50" xfId="2556" xr:uid="{00000000-0005-0000-0000-0000814C0000}"/>
    <cellStyle name="Check Cell 51" xfId="2557" xr:uid="{00000000-0005-0000-0000-0000824C0000}"/>
    <cellStyle name="Check Cell 52" xfId="2558" xr:uid="{00000000-0005-0000-0000-0000834C0000}"/>
    <cellStyle name="Check Cell 53" xfId="2559" xr:uid="{00000000-0005-0000-0000-0000844C0000}"/>
    <cellStyle name="Check Cell 54" xfId="2560" xr:uid="{00000000-0005-0000-0000-0000854C0000}"/>
    <cellStyle name="Check Cell 55" xfId="2561" xr:uid="{00000000-0005-0000-0000-0000864C0000}"/>
    <cellStyle name="Check Cell 56" xfId="2562" xr:uid="{00000000-0005-0000-0000-0000874C0000}"/>
    <cellStyle name="Check Cell 57" xfId="2563" xr:uid="{00000000-0005-0000-0000-0000884C0000}"/>
    <cellStyle name="Check Cell 58" xfId="2564" xr:uid="{00000000-0005-0000-0000-0000894C0000}"/>
    <cellStyle name="Check Cell 59" xfId="2565" xr:uid="{00000000-0005-0000-0000-00008A4C0000}"/>
    <cellStyle name="Check Cell 6" xfId="2566" xr:uid="{00000000-0005-0000-0000-00008B4C0000}"/>
    <cellStyle name="Check Cell 60" xfId="2567" xr:uid="{00000000-0005-0000-0000-00008C4C0000}"/>
    <cellStyle name="Check Cell 61" xfId="2568" xr:uid="{00000000-0005-0000-0000-00008D4C0000}"/>
    <cellStyle name="Check Cell 62" xfId="2569" xr:uid="{00000000-0005-0000-0000-00008E4C0000}"/>
    <cellStyle name="Check Cell 63" xfId="2570" xr:uid="{00000000-0005-0000-0000-00008F4C0000}"/>
    <cellStyle name="Check Cell 64" xfId="2571" xr:uid="{00000000-0005-0000-0000-0000904C0000}"/>
    <cellStyle name="Check Cell 65" xfId="2572" xr:uid="{00000000-0005-0000-0000-0000914C0000}"/>
    <cellStyle name="Check Cell 66" xfId="2573" xr:uid="{00000000-0005-0000-0000-0000924C0000}"/>
    <cellStyle name="Check Cell 67" xfId="2574" xr:uid="{00000000-0005-0000-0000-0000934C0000}"/>
    <cellStyle name="Check Cell 68" xfId="2575" xr:uid="{00000000-0005-0000-0000-0000944C0000}"/>
    <cellStyle name="Check Cell 69" xfId="2576" xr:uid="{00000000-0005-0000-0000-0000954C0000}"/>
    <cellStyle name="Check Cell 7" xfId="2577" xr:uid="{00000000-0005-0000-0000-0000964C0000}"/>
    <cellStyle name="Check Cell 70" xfId="2578" xr:uid="{00000000-0005-0000-0000-0000974C0000}"/>
    <cellStyle name="Check Cell 71" xfId="2579" xr:uid="{00000000-0005-0000-0000-0000984C0000}"/>
    <cellStyle name="Check Cell 72" xfId="2580" xr:uid="{00000000-0005-0000-0000-0000994C0000}"/>
    <cellStyle name="Check Cell 8" xfId="2581" xr:uid="{00000000-0005-0000-0000-00009A4C0000}"/>
    <cellStyle name="Check Cell 9" xfId="2582" xr:uid="{00000000-0005-0000-0000-00009B4C0000}"/>
    <cellStyle name="Co. Names" xfId="546" xr:uid="{00000000-0005-0000-0000-00009C4C0000}"/>
    <cellStyle name="Co. Names 2" xfId="24064" xr:uid="{00000000-0005-0000-0000-00009D4C0000}"/>
    <cellStyle name="Column total in dollars" xfId="11" xr:uid="{00000000-0005-0000-0000-00009E4C0000}"/>
    <cellStyle name="ColumnAttributeAbovePrompt" xfId="2583" xr:uid="{00000000-0005-0000-0000-00009F4C0000}"/>
    <cellStyle name="ColumnAttributePrompt" xfId="2584" xr:uid="{00000000-0005-0000-0000-0000A04C0000}"/>
    <cellStyle name="ColumnAttributeValue" xfId="2585" xr:uid="{00000000-0005-0000-0000-0000A14C0000}"/>
    <cellStyle name="ColumnHeadingPrompt" xfId="2586" xr:uid="{00000000-0005-0000-0000-0000A24C0000}"/>
    <cellStyle name="ColumnHeadingValue" xfId="2587" xr:uid="{00000000-0005-0000-0000-0000A34C0000}"/>
    <cellStyle name="Comma" xfId="25742" builtinId="3"/>
    <cellStyle name="Comma  - Style1" xfId="12" xr:uid="{00000000-0005-0000-0000-0000A54C0000}"/>
    <cellStyle name="Comma  - Style1 2" xfId="25800" xr:uid="{00000000-0005-0000-0000-0000A64C0000}"/>
    <cellStyle name="Comma  - Style2" xfId="13" xr:uid="{00000000-0005-0000-0000-0000A74C0000}"/>
    <cellStyle name="Comma  - Style2 2" xfId="25801" xr:uid="{00000000-0005-0000-0000-0000A84C0000}"/>
    <cellStyle name="Comma  - Style3" xfId="14" xr:uid="{00000000-0005-0000-0000-0000A94C0000}"/>
    <cellStyle name="Comma  - Style3 2" xfId="25802" xr:uid="{00000000-0005-0000-0000-0000AA4C0000}"/>
    <cellStyle name="Comma  - Style4" xfId="15" xr:uid="{00000000-0005-0000-0000-0000AB4C0000}"/>
    <cellStyle name="Comma  - Style4 2" xfId="25803" xr:uid="{00000000-0005-0000-0000-0000AC4C0000}"/>
    <cellStyle name="Comma  - Style5" xfId="16" xr:uid="{00000000-0005-0000-0000-0000AD4C0000}"/>
    <cellStyle name="Comma  - Style5 2" xfId="25804" xr:uid="{00000000-0005-0000-0000-0000AE4C0000}"/>
    <cellStyle name="Comma  - Style6" xfId="17" xr:uid="{00000000-0005-0000-0000-0000AF4C0000}"/>
    <cellStyle name="Comma  - Style6 2" xfId="25805" xr:uid="{00000000-0005-0000-0000-0000B04C0000}"/>
    <cellStyle name="Comma  - Style7" xfId="18" xr:uid="{00000000-0005-0000-0000-0000B14C0000}"/>
    <cellStyle name="Comma  - Style7 2" xfId="25806" xr:uid="{00000000-0005-0000-0000-0000B24C0000}"/>
    <cellStyle name="Comma  - Style8" xfId="19" xr:uid="{00000000-0005-0000-0000-0000B34C0000}"/>
    <cellStyle name="Comma  - Style8 2" xfId="25807" xr:uid="{00000000-0005-0000-0000-0000B44C0000}"/>
    <cellStyle name="Comma (0)" xfId="20" xr:uid="{00000000-0005-0000-0000-0000B54C0000}"/>
    <cellStyle name="Comma [0] 2" xfId="176" xr:uid="{00000000-0005-0000-0000-0000B64C0000}"/>
    <cellStyle name="Comma [0] 2 2" xfId="25886" xr:uid="{00000000-0005-0000-0000-0000B74C0000}"/>
    <cellStyle name="Comma [0] 3" xfId="177" xr:uid="{00000000-0005-0000-0000-0000B84C0000}"/>
    <cellStyle name="Comma [0] 3 2" xfId="363" xr:uid="{00000000-0005-0000-0000-0000B94C0000}"/>
    <cellStyle name="Comma [0] 3 2 2" xfId="445" xr:uid="{00000000-0005-0000-0000-0000BA4C0000}"/>
    <cellStyle name="Comma [0] 3 2 2 2" xfId="531" xr:uid="{00000000-0005-0000-0000-0000BB4C0000}"/>
    <cellStyle name="Comma [0] 3 2 2 2 2" xfId="13894" xr:uid="{00000000-0005-0000-0000-0000BC4C0000}"/>
    <cellStyle name="Comma [0] 3 2 2 3" xfId="13817" xr:uid="{00000000-0005-0000-0000-0000BD4C0000}"/>
    <cellStyle name="Comma [0] 3 2 3" xfId="494" xr:uid="{00000000-0005-0000-0000-0000BE4C0000}"/>
    <cellStyle name="Comma [0] 3 2 3 2" xfId="13857" xr:uid="{00000000-0005-0000-0000-0000BF4C0000}"/>
    <cellStyle name="Comma [0] 3 2 4" xfId="13773" xr:uid="{00000000-0005-0000-0000-0000C04C0000}"/>
    <cellStyle name="Comma [0] 3 3" xfId="425" xr:uid="{00000000-0005-0000-0000-0000C14C0000}"/>
    <cellStyle name="Comma [0] 3 3 2" xfId="516" xr:uid="{00000000-0005-0000-0000-0000C24C0000}"/>
    <cellStyle name="Comma [0] 3 3 2 2" xfId="13879" xr:uid="{00000000-0005-0000-0000-0000C34C0000}"/>
    <cellStyle name="Comma [0] 3 3 3" xfId="13802" xr:uid="{00000000-0005-0000-0000-0000C44C0000}"/>
    <cellStyle name="Comma [0] 3 4" xfId="479" xr:uid="{00000000-0005-0000-0000-0000C54C0000}"/>
    <cellStyle name="Comma [0] 3 4 2" xfId="13842" xr:uid="{00000000-0005-0000-0000-0000C64C0000}"/>
    <cellStyle name="Comma [0] 3 5" xfId="13687" xr:uid="{00000000-0005-0000-0000-0000C74C0000}"/>
    <cellStyle name="Comma [1]" xfId="547" xr:uid="{00000000-0005-0000-0000-0000C84C0000}"/>
    <cellStyle name="Comma [1] 2" xfId="24066" xr:uid="{00000000-0005-0000-0000-0000C94C0000}"/>
    <cellStyle name="Comma [2]" xfId="548" xr:uid="{00000000-0005-0000-0000-0000CA4C0000}"/>
    <cellStyle name="Comma [3]" xfId="549" xr:uid="{00000000-0005-0000-0000-0000CB4C0000}"/>
    <cellStyle name="Comma 10" xfId="172" xr:uid="{00000000-0005-0000-0000-0000CC4C0000}"/>
    <cellStyle name="Comma 10 10" xfId="25744" xr:uid="{00000000-0005-0000-0000-0000CD4C0000}"/>
    <cellStyle name="Comma 10 10 2" xfId="27894" xr:uid="{00000000-0005-0000-0000-0000CE4C0000}"/>
    <cellStyle name="Comma 10 11" xfId="28614" xr:uid="{00000000-0005-0000-0000-0000CF4C0000}"/>
    <cellStyle name="Comma 10 11 2" xfId="28856" xr:uid="{00000000-0005-0000-0000-0000D04C0000}"/>
    <cellStyle name="Comma 10 12" xfId="28615" xr:uid="{00000000-0005-0000-0000-0000D14C0000}"/>
    <cellStyle name="Comma 10 12 2" xfId="28857" xr:uid="{00000000-0005-0000-0000-0000D24C0000}"/>
    <cellStyle name="Comma 10 13" xfId="28616" xr:uid="{00000000-0005-0000-0000-0000D34C0000}"/>
    <cellStyle name="Comma 10 13 2" xfId="28858" xr:uid="{00000000-0005-0000-0000-0000D44C0000}"/>
    <cellStyle name="Comma 10 2" xfId="281" xr:uid="{00000000-0005-0000-0000-0000D54C0000}"/>
    <cellStyle name="Comma 10 2 2" xfId="25940" xr:uid="{00000000-0005-0000-0000-0000D64C0000}"/>
    <cellStyle name="Comma 10 3" xfId="633" xr:uid="{00000000-0005-0000-0000-0000D74C0000}"/>
    <cellStyle name="Comma 10 3 2" xfId="13905" xr:uid="{00000000-0005-0000-0000-0000D84C0000}"/>
    <cellStyle name="Comma 10 3 2 2" xfId="28859" xr:uid="{00000000-0005-0000-0000-0000D94C0000}"/>
    <cellStyle name="Comma 10 3 3" xfId="28617" xr:uid="{00000000-0005-0000-0000-0000DA4C0000}"/>
    <cellStyle name="Comma 10 4" xfId="28618" xr:uid="{00000000-0005-0000-0000-0000DB4C0000}"/>
    <cellStyle name="Comma 10 4 2" xfId="28860" xr:uid="{00000000-0005-0000-0000-0000DC4C0000}"/>
    <cellStyle name="Comma 10 5" xfId="28619" xr:uid="{00000000-0005-0000-0000-0000DD4C0000}"/>
    <cellStyle name="Comma 10 5 2" xfId="28861" xr:uid="{00000000-0005-0000-0000-0000DE4C0000}"/>
    <cellStyle name="Comma 10 6" xfId="28620" xr:uid="{00000000-0005-0000-0000-0000DF4C0000}"/>
    <cellStyle name="Comma 10 6 2" xfId="28862" xr:uid="{00000000-0005-0000-0000-0000E04C0000}"/>
    <cellStyle name="Comma 10 7" xfId="28621" xr:uid="{00000000-0005-0000-0000-0000E14C0000}"/>
    <cellStyle name="Comma 10 7 2" xfId="28863" xr:uid="{00000000-0005-0000-0000-0000E24C0000}"/>
    <cellStyle name="Comma 10 8" xfId="28622" xr:uid="{00000000-0005-0000-0000-0000E34C0000}"/>
    <cellStyle name="Comma 10 8 2" xfId="28864" xr:uid="{00000000-0005-0000-0000-0000E44C0000}"/>
    <cellStyle name="Comma 10 9" xfId="28623" xr:uid="{00000000-0005-0000-0000-0000E54C0000}"/>
    <cellStyle name="Comma 10 9 2" xfId="28865" xr:uid="{00000000-0005-0000-0000-0000E64C0000}"/>
    <cellStyle name="Comma 11" xfId="178" xr:uid="{00000000-0005-0000-0000-0000E74C0000}"/>
    <cellStyle name="Comma 11 10" xfId="28624" xr:uid="{00000000-0005-0000-0000-0000E84C0000}"/>
    <cellStyle name="Comma 11 10 2" xfId="28866" xr:uid="{00000000-0005-0000-0000-0000E94C0000}"/>
    <cellStyle name="Comma 11 11" xfId="28625" xr:uid="{00000000-0005-0000-0000-0000EA4C0000}"/>
    <cellStyle name="Comma 11 11 2" xfId="28867" xr:uid="{00000000-0005-0000-0000-0000EB4C0000}"/>
    <cellStyle name="Comma 11 12" xfId="28626" xr:uid="{00000000-0005-0000-0000-0000EC4C0000}"/>
    <cellStyle name="Comma 11 12 2" xfId="28868" xr:uid="{00000000-0005-0000-0000-0000ED4C0000}"/>
    <cellStyle name="Comma 11 13" xfId="28627" xr:uid="{00000000-0005-0000-0000-0000EE4C0000}"/>
    <cellStyle name="Comma 11 13 2" xfId="28869" xr:uid="{00000000-0005-0000-0000-0000EF4C0000}"/>
    <cellStyle name="Comma 11 2" xfId="634" xr:uid="{00000000-0005-0000-0000-0000F04C0000}"/>
    <cellStyle name="Comma 11 2 2" xfId="28870" xr:uid="{00000000-0005-0000-0000-0000F14C0000}"/>
    <cellStyle name="Comma 11 2 3" xfId="28628" xr:uid="{00000000-0005-0000-0000-0000F24C0000}"/>
    <cellStyle name="Comma 11 3" xfId="23929" xr:uid="{00000000-0005-0000-0000-0000F34C0000}"/>
    <cellStyle name="Comma 11 3 2" xfId="28871" xr:uid="{00000000-0005-0000-0000-0000F44C0000}"/>
    <cellStyle name="Comma 11 3 3" xfId="28629" xr:uid="{00000000-0005-0000-0000-0000F54C0000}"/>
    <cellStyle name="Comma 11 4" xfId="25887" xr:uid="{00000000-0005-0000-0000-0000F64C0000}"/>
    <cellStyle name="Comma 11 4 2" xfId="28872" xr:uid="{00000000-0005-0000-0000-0000F74C0000}"/>
    <cellStyle name="Comma 11 5" xfId="28630" xr:uid="{00000000-0005-0000-0000-0000F84C0000}"/>
    <cellStyle name="Comma 11 5 2" xfId="28873" xr:uid="{00000000-0005-0000-0000-0000F94C0000}"/>
    <cellStyle name="Comma 11 6" xfId="28631" xr:uid="{00000000-0005-0000-0000-0000FA4C0000}"/>
    <cellStyle name="Comma 11 6 2" xfId="28874" xr:uid="{00000000-0005-0000-0000-0000FB4C0000}"/>
    <cellStyle name="Comma 11 7" xfId="28632" xr:uid="{00000000-0005-0000-0000-0000FC4C0000}"/>
    <cellStyle name="Comma 11 7 2" xfId="28875" xr:uid="{00000000-0005-0000-0000-0000FD4C0000}"/>
    <cellStyle name="Comma 11 8" xfId="28633" xr:uid="{00000000-0005-0000-0000-0000FE4C0000}"/>
    <cellStyle name="Comma 11 8 2" xfId="28876" xr:uid="{00000000-0005-0000-0000-0000FF4C0000}"/>
    <cellStyle name="Comma 11 9" xfId="28634" xr:uid="{00000000-0005-0000-0000-0000004D0000}"/>
    <cellStyle name="Comma 11 9 2" xfId="28877" xr:uid="{00000000-0005-0000-0000-0000014D0000}"/>
    <cellStyle name="Comma 12" xfId="179" xr:uid="{00000000-0005-0000-0000-0000024D0000}"/>
    <cellStyle name="Comma 12 10" xfId="28635" xr:uid="{00000000-0005-0000-0000-0000034D0000}"/>
    <cellStyle name="Comma 12 10 2" xfId="28878" xr:uid="{00000000-0005-0000-0000-0000044D0000}"/>
    <cellStyle name="Comma 12 11" xfId="28636" xr:uid="{00000000-0005-0000-0000-0000054D0000}"/>
    <cellStyle name="Comma 12 11 2" xfId="28879" xr:uid="{00000000-0005-0000-0000-0000064D0000}"/>
    <cellStyle name="Comma 12 12" xfId="28637" xr:uid="{00000000-0005-0000-0000-0000074D0000}"/>
    <cellStyle name="Comma 12 12 2" xfId="28880" xr:uid="{00000000-0005-0000-0000-0000084D0000}"/>
    <cellStyle name="Comma 12 13" xfId="28638" xr:uid="{00000000-0005-0000-0000-0000094D0000}"/>
    <cellStyle name="Comma 12 13 2" xfId="28881" xr:uid="{00000000-0005-0000-0000-00000A4D0000}"/>
    <cellStyle name="Comma 12 2" xfId="25888" xr:uid="{00000000-0005-0000-0000-00000B4D0000}"/>
    <cellStyle name="Comma 12 2 2" xfId="28882" xr:uid="{00000000-0005-0000-0000-00000C4D0000}"/>
    <cellStyle name="Comma 12 3" xfId="28639" xr:uid="{00000000-0005-0000-0000-00000D4D0000}"/>
    <cellStyle name="Comma 12 3 2" xfId="28883" xr:uid="{00000000-0005-0000-0000-00000E4D0000}"/>
    <cellStyle name="Comma 12 4" xfId="28640" xr:uid="{00000000-0005-0000-0000-00000F4D0000}"/>
    <cellStyle name="Comma 12 4 2" xfId="28884" xr:uid="{00000000-0005-0000-0000-0000104D0000}"/>
    <cellStyle name="Comma 12 5" xfId="28641" xr:uid="{00000000-0005-0000-0000-0000114D0000}"/>
    <cellStyle name="Comma 12 5 2" xfId="28885" xr:uid="{00000000-0005-0000-0000-0000124D0000}"/>
    <cellStyle name="Comma 12 6" xfId="28642" xr:uid="{00000000-0005-0000-0000-0000134D0000}"/>
    <cellStyle name="Comma 12 6 2" xfId="28886" xr:uid="{00000000-0005-0000-0000-0000144D0000}"/>
    <cellStyle name="Comma 12 7" xfId="28643" xr:uid="{00000000-0005-0000-0000-0000154D0000}"/>
    <cellStyle name="Comma 12 7 2" xfId="28887" xr:uid="{00000000-0005-0000-0000-0000164D0000}"/>
    <cellStyle name="Comma 12 8" xfId="28644" xr:uid="{00000000-0005-0000-0000-0000174D0000}"/>
    <cellStyle name="Comma 12 8 2" xfId="28888" xr:uid="{00000000-0005-0000-0000-0000184D0000}"/>
    <cellStyle name="Comma 12 9" xfId="28645" xr:uid="{00000000-0005-0000-0000-0000194D0000}"/>
    <cellStyle name="Comma 12 9 2" xfId="28889" xr:uid="{00000000-0005-0000-0000-00001A4D0000}"/>
    <cellStyle name="Comma 13" xfId="180" xr:uid="{00000000-0005-0000-0000-00001B4D0000}"/>
    <cellStyle name="Comma 13 10" xfId="28646" xr:uid="{00000000-0005-0000-0000-00001C4D0000}"/>
    <cellStyle name="Comma 13 10 2" xfId="28890" xr:uid="{00000000-0005-0000-0000-00001D4D0000}"/>
    <cellStyle name="Comma 13 11" xfId="28647" xr:uid="{00000000-0005-0000-0000-00001E4D0000}"/>
    <cellStyle name="Comma 13 11 2" xfId="28891" xr:uid="{00000000-0005-0000-0000-00001F4D0000}"/>
    <cellStyle name="Comma 13 12" xfId="28648" xr:uid="{00000000-0005-0000-0000-0000204D0000}"/>
    <cellStyle name="Comma 13 12 2" xfId="28892" xr:uid="{00000000-0005-0000-0000-0000214D0000}"/>
    <cellStyle name="Comma 13 13" xfId="28649" xr:uid="{00000000-0005-0000-0000-0000224D0000}"/>
    <cellStyle name="Comma 13 13 2" xfId="28893" xr:uid="{00000000-0005-0000-0000-0000234D0000}"/>
    <cellStyle name="Comma 13 2" xfId="25889" xr:uid="{00000000-0005-0000-0000-0000244D0000}"/>
    <cellStyle name="Comma 13 2 2" xfId="28894" xr:uid="{00000000-0005-0000-0000-0000254D0000}"/>
    <cellStyle name="Comma 13 3" xfId="28650" xr:uid="{00000000-0005-0000-0000-0000264D0000}"/>
    <cellStyle name="Comma 13 3 2" xfId="28895" xr:uid="{00000000-0005-0000-0000-0000274D0000}"/>
    <cellStyle name="Comma 13 4" xfId="28651" xr:uid="{00000000-0005-0000-0000-0000284D0000}"/>
    <cellStyle name="Comma 13 4 2" xfId="28896" xr:uid="{00000000-0005-0000-0000-0000294D0000}"/>
    <cellStyle name="Comma 13 5" xfId="28652" xr:uid="{00000000-0005-0000-0000-00002A4D0000}"/>
    <cellStyle name="Comma 13 5 2" xfId="28897" xr:uid="{00000000-0005-0000-0000-00002B4D0000}"/>
    <cellStyle name="Comma 13 6" xfId="28653" xr:uid="{00000000-0005-0000-0000-00002C4D0000}"/>
    <cellStyle name="Comma 13 6 2" xfId="28898" xr:uid="{00000000-0005-0000-0000-00002D4D0000}"/>
    <cellStyle name="Comma 13 7" xfId="28654" xr:uid="{00000000-0005-0000-0000-00002E4D0000}"/>
    <cellStyle name="Comma 13 7 2" xfId="28899" xr:uid="{00000000-0005-0000-0000-00002F4D0000}"/>
    <cellStyle name="Comma 13 8" xfId="28655" xr:uid="{00000000-0005-0000-0000-0000304D0000}"/>
    <cellStyle name="Comma 13 8 2" xfId="28900" xr:uid="{00000000-0005-0000-0000-0000314D0000}"/>
    <cellStyle name="Comma 13 9" xfId="28656" xr:uid="{00000000-0005-0000-0000-0000324D0000}"/>
    <cellStyle name="Comma 13 9 2" xfId="28901" xr:uid="{00000000-0005-0000-0000-0000334D0000}"/>
    <cellStyle name="Comma 14" xfId="175" xr:uid="{00000000-0005-0000-0000-0000344D0000}"/>
    <cellStyle name="Comma 14 10" xfId="28657" xr:uid="{00000000-0005-0000-0000-0000354D0000}"/>
    <cellStyle name="Comma 14 10 2" xfId="28902" xr:uid="{00000000-0005-0000-0000-0000364D0000}"/>
    <cellStyle name="Comma 14 11" xfId="28658" xr:uid="{00000000-0005-0000-0000-0000374D0000}"/>
    <cellStyle name="Comma 14 11 2" xfId="28903" xr:uid="{00000000-0005-0000-0000-0000384D0000}"/>
    <cellStyle name="Comma 14 12" xfId="28659" xr:uid="{00000000-0005-0000-0000-0000394D0000}"/>
    <cellStyle name="Comma 14 12 2" xfId="28904" xr:uid="{00000000-0005-0000-0000-00003A4D0000}"/>
    <cellStyle name="Comma 14 13" xfId="28660" xr:uid="{00000000-0005-0000-0000-00003B4D0000}"/>
    <cellStyle name="Comma 14 13 2" xfId="28905" xr:uid="{00000000-0005-0000-0000-00003C4D0000}"/>
    <cellStyle name="Comma 14 2" xfId="25885" xr:uid="{00000000-0005-0000-0000-00003D4D0000}"/>
    <cellStyle name="Comma 14 2 2" xfId="28906" xr:uid="{00000000-0005-0000-0000-00003E4D0000}"/>
    <cellStyle name="Comma 14 3" xfId="28661" xr:uid="{00000000-0005-0000-0000-00003F4D0000}"/>
    <cellStyle name="Comma 14 3 2" xfId="28907" xr:uid="{00000000-0005-0000-0000-0000404D0000}"/>
    <cellStyle name="Comma 14 4" xfId="28662" xr:uid="{00000000-0005-0000-0000-0000414D0000}"/>
    <cellStyle name="Comma 14 4 2" xfId="28908" xr:uid="{00000000-0005-0000-0000-0000424D0000}"/>
    <cellStyle name="Comma 14 5" xfId="28663" xr:uid="{00000000-0005-0000-0000-0000434D0000}"/>
    <cellStyle name="Comma 14 5 2" xfId="28909" xr:uid="{00000000-0005-0000-0000-0000444D0000}"/>
    <cellStyle name="Comma 14 6" xfId="28664" xr:uid="{00000000-0005-0000-0000-0000454D0000}"/>
    <cellStyle name="Comma 14 6 2" xfId="28910" xr:uid="{00000000-0005-0000-0000-0000464D0000}"/>
    <cellStyle name="Comma 14 7" xfId="28665" xr:uid="{00000000-0005-0000-0000-0000474D0000}"/>
    <cellStyle name="Comma 14 7 2" xfId="28911" xr:uid="{00000000-0005-0000-0000-0000484D0000}"/>
    <cellStyle name="Comma 14 8" xfId="28666" xr:uid="{00000000-0005-0000-0000-0000494D0000}"/>
    <cellStyle name="Comma 14 8 2" xfId="28912" xr:uid="{00000000-0005-0000-0000-00004A4D0000}"/>
    <cellStyle name="Comma 14 9" xfId="28667" xr:uid="{00000000-0005-0000-0000-00004B4D0000}"/>
    <cellStyle name="Comma 14 9 2" xfId="28913" xr:uid="{00000000-0005-0000-0000-00004C4D0000}"/>
    <cellStyle name="Comma 15" xfId="181" xr:uid="{00000000-0005-0000-0000-00004D4D0000}"/>
    <cellStyle name="Comma 15 2" xfId="27900" xr:uid="{00000000-0005-0000-0000-00004E4D0000}"/>
    <cellStyle name="Comma 15 3" xfId="25890" xr:uid="{00000000-0005-0000-0000-00004F4D0000}"/>
    <cellStyle name="Comma 16" xfId="173" xr:uid="{00000000-0005-0000-0000-0000504D0000}"/>
    <cellStyle name="Comma 16 2" xfId="27903" xr:uid="{00000000-0005-0000-0000-0000514D0000}"/>
    <cellStyle name="Comma 16 3" xfId="25883" xr:uid="{00000000-0005-0000-0000-0000524D0000}"/>
    <cellStyle name="Comma 17" xfId="182" xr:uid="{00000000-0005-0000-0000-0000534D0000}"/>
    <cellStyle name="Comma 17 2" xfId="25891" xr:uid="{00000000-0005-0000-0000-0000544D0000}"/>
    <cellStyle name="Comma 18" xfId="174" xr:uid="{00000000-0005-0000-0000-0000554D0000}"/>
    <cellStyle name="Comma 18 2" xfId="27915" xr:uid="{00000000-0005-0000-0000-0000564D0000}"/>
    <cellStyle name="Comma 18 3" xfId="25884" xr:uid="{00000000-0005-0000-0000-0000574D0000}"/>
    <cellStyle name="Comma 19" xfId="283" xr:uid="{00000000-0005-0000-0000-0000584D0000}"/>
    <cellStyle name="Comma 19 2" xfId="25942" xr:uid="{00000000-0005-0000-0000-0000594D0000}"/>
    <cellStyle name="Comma 2" xfId="5" xr:uid="{00000000-0005-0000-0000-00005A4D0000}"/>
    <cellStyle name="Comma 2 10" xfId="25766" xr:uid="{00000000-0005-0000-0000-00005B4D0000}"/>
    <cellStyle name="Comma 2 2" xfId="21" xr:uid="{00000000-0005-0000-0000-00005C4D0000}"/>
    <cellStyle name="Comma 2 2 2" xfId="398" xr:uid="{00000000-0005-0000-0000-00005D4D0000}"/>
    <cellStyle name="Comma 2 2 2 2" xfId="637" xr:uid="{00000000-0005-0000-0000-00005E4D0000}"/>
    <cellStyle name="Comma 2 2 2 3" xfId="636" xr:uid="{00000000-0005-0000-0000-00005F4D0000}"/>
    <cellStyle name="Comma 2 2 2 4" xfId="25780" xr:uid="{00000000-0005-0000-0000-0000604D0000}"/>
    <cellStyle name="Comma 2 2 2 5" xfId="28915" xr:uid="{00000000-0005-0000-0000-0000614D0000}"/>
    <cellStyle name="Comma 2 2 3" xfId="374" xr:uid="{00000000-0005-0000-0000-0000624D0000}"/>
    <cellStyle name="Comma 2 2 3 2" xfId="638" xr:uid="{00000000-0005-0000-0000-0000634D0000}"/>
    <cellStyle name="Comma 2 2 3 3" xfId="25993" xr:uid="{00000000-0005-0000-0000-0000644D0000}"/>
    <cellStyle name="Comma 2 2 4" xfId="23898" xr:uid="{00000000-0005-0000-0000-0000654D0000}"/>
    <cellStyle name="Comma 2 2 5" xfId="25767" xr:uid="{00000000-0005-0000-0000-0000664D0000}"/>
    <cellStyle name="Comma 2 3" xfId="183" xr:uid="{00000000-0005-0000-0000-0000674D0000}"/>
    <cellStyle name="Comma 2 3 2" xfId="364" xr:uid="{00000000-0005-0000-0000-0000684D0000}"/>
    <cellStyle name="Comma 2 3 2 2" xfId="446" xr:uid="{00000000-0005-0000-0000-0000694D0000}"/>
    <cellStyle name="Comma 2 3 2 2 2" xfId="532" xr:uid="{00000000-0005-0000-0000-00006A4D0000}"/>
    <cellStyle name="Comma 2 3 2 2 2 2" xfId="13895" xr:uid="{00000000-0005-0000-0000-00006B4D0000}"/>
    <cellStyle name="Comma 2 3 2 2 3" xfId="13818" xr:uid="{00000000-0005-0000-0000-00006C4D0000}"/>
    <cellStyle name="Comma 2 3 2 3" xfId="495" xr:uid="{00000000-0005-0000-0000-00006D4D0000}"/>
    <cellStyle name="Comma 2 3 2 3 2" xfId="13858" xr:uid="{00000000-0005-0000-0000-00006E4D0000}"/>
    <cellStyle name="Comma 2 3 2 4" xfId="13774" xr:uid="{00000000-0005-0000-0000-00006F4D0000}"/>
    <cellStyle name="Comma 2 3 2 5" xfId="28916" xr:uid="{00000000-0005-0000-0000-0000704D0000}"/>
    <cellStyle name="Comma 2 3 3" xfId="426" xr:uid="{00000000-0005-0000-0000-0000714D0000}"/>
    <cellStyle name="Comma 2 3 3 2" xfId="517" xr:uid="{00000000-0005-0000-0000-0000724D0000}"/>
    <cellStyle name="Comma 2 3 3 2 2" xfId="13880" xr:uid="{00000000-0005-0000-0000-0000734D0000}"/>
    <cellStyle name="Comma 2 3 3 3" xfId="13803" xr:uid="{00000000-0005-0000-0000-0000744D0000}"/>
    <cellStyle name="Comma 2 3 4" xfId="480" xr:uid="{00000000-0005-0000-0000-0000754D0000}"/>
    <cellStyle name="Comma 2 3 4 2" xfId="13843" xr:uid="{00000000-0005-0000-0000-0000764D0000}"/>
    <cellStyle name="Comma 2 3 5" xfId="639" xr:uid="{00000000-0005-0000-0000-0000774D0000}"/>
    <cellStyle name="Comma 2 3 5 2" xfId="13907" xr:uid="{00000000-0005-0000-0000-0000784D0000}"/>
    <cellStyle name="Comma 2 3 6" xfId="13688" xr:uid="{00000000-0005-0000-0000-0000794D0000}"/>
    <cellStyle name="Comma 2 3 7" xfId="24067" xr:uid="{00000000-0005-0000-0000-00007A4D0000}"/>
    <cellStyle name="Comma 2 3 8" xfId="28668" xr:uid="{00000000-0005-0000-0000-00007B4D0000}"/>
    <cellStyle name="Comma 2 4" xfId="351" xr:uid="{00000000-0005-0000-0000-00007C4D0000}"/>
    <cellStyle name="Comma 2 4 2" xfId="25781" xr:uid="{00000000-0005-0000-0000-00007D4D0000}"/>
    <cellStyle name="Comma 2 4 2 2" xfId="28917" xr:uid="{00000000-0005-0000-0000-00007E4D0000}"/>
    <cellStyle name="Comma 2 4 3" xfId="25768" xr:uid="{00000000-0005-0000-0000-00007F4D0000}"/>
    <cellStyle name="Comma 2 4 4" xfId="27922" xr:uid="{00000000-0005-0000-0000-0000804D0000}"/>
    <cellStyle name="Comma 2 4 5" xfId="25988" xr:uid="{00000000-0005-0000-0000-0000814D0000}"/>
    <cellStyle name="Comma 2 5" xfId="373" xr:uid="{00000000-0005-0000-0000-0000824D0000}"/>
    <cellStyle name="Comma 2 5 2" xfId="25782" xr:uid="{00000000-0005-0000-0000-0000834D0000}"/>
    <cellStyle name="Comma 2 5 2 2" xfId="28918" xr:uid="{00000000-0005-0000-0000-0000844D0000}"/>
    <cellStyle name="Comma 2 5 3" xfId="25769" xr:uid="{00000000-0005-0000-0000-0000854D0000}"/>
    <cellStyle name="Comma 2 5 4" xfId="28669" xr:uid="{00000000-0005-0000-0000-0000864D0000}"/>
    <cellStyle name="Comma 2 6" xfId="635" xr:uid="{00000000-0005-0000-0000-0000874D0000}"/>
    <cellStyle name="Comma 2 6 2" xfId="13906" xr:uid="{00000000-0005-0000-0000-0000884D0000}"/>
    <cellStyle name="Comma 2 6 2 2" xfId="28919" xr:uid="{00000000-0005-0000-0000-0000894D0000}"/>
    <cellStyle name="Comma 2 6 3" xfId="25779" xr:uid="{00000000-0005-0000-0000-00008A4D0000}"/>
    <cellStyle name="Comma 2 7" xfId="2588" xr:uid="{00000000-0005-0000-0000-00008B4D0000}"/>
    <cellStyle name="Comma 2 7 2" xfId="28914" xr:uid="{00000000-0005-0000-0000-00008C4D0000}"/>
    <cellStyle name="Comma 2 8" xfId="13603" xr:uid="{00000000-0005-0000-0000-00008D4D0000}"/>
    <cellStyle name="Comma 2 8 2" xfId="26556" xr:uid="{00000000-0005-0000-0000-00008E4D0000}"/>
    <cellStyle name="Comma 2 9" xfId="12600" xr:uid="{00000000-0005-0000-0000-00008F4D0000}"/>
    <cellStyle name="Comma 20" xfId="282" xr:uid="{00000000-0005-0000-0000-0000904D0000}"/>
    <cellStyle name="Comma 20 2" xfId="27914" xr:uid="{00000000-0005-0000-0000-0000914D0000}"/>
    <cellStyle name="Comma 20 3" xfId="25941" xr:uid="{00000000-0005-0000-0000-0000924D0000}"/>
    <cellStyle name="Comma 21" xfId="290" xr:uid="{00000000-0005-0000-0000-0000934D0000}"/>
    <cellStyle name="Comma 21 2" xfId="369" xr:uid="{00000000-0005-0000-0000-0000944D0000}"/>
    <cellStyle name="Comma 21 2 2" xfId="25992" xr:uid="{00000000-0005-0000-0000-0000954D0000}"/>
    <cellStyle name="Comma 21 3" xfId="27913" xr:uid="{00000000-0005-0000-0000-0000964D0000}"/>
    <cellStyle name="Comma 21 4" xfId="25947" xr:uid="{00000000-0005-0000-0000-0000974D0000}"/>
    <cellStyle name="Comma 22" xfId="288" xr:uid="{00000000-0005-0000-0000-0000984D0000}"/>
    <cellStyle name="Comma 22 2" xfId="27912" xr:uid="{00000000-0005-0000-0000-0000994D0000}"/>
    <cellStyle name="Comma 22 3" xfId="25945" xr:uid="{00000000-0005-0000-0000-00009A4D0000}"/>
    <cellStyle name="Comma 23" xfId="291" xr:uid="{00000000-0005-0000-0000-00009B4D0000}"/>
    <cellStyle name="Comma 23 2" xfId="27911" xr:uid="{00000000-0005-0000-0000-00009C4D0000}"/>
    <cellStyle name="Comma 23 3" xfId="25948" xr:uid="{00000000-0005-0000-0000-00009D4D0000}"/>
    <cellStyle name="Comma 24" xfId="289" xr:uid="{00000000-0005-0000-0000-00009E4D0000}"/>
    <cellStyle name="Comma 24 2" xfId="27910" xr:uid="{00000000-0005-0000-0000-00009F4D0000}"/>
    <cellStyle name="Comma 24 3" xfId="25946" xr:uid="{00000000-0005-0000-0000-0000A04D0000}"/>
    <cellStyle name="Comma 25" xfId="301" xr:uid="{00000000-0005-0000-0000-0000A14D0000}"/>
    <cellStyle name="Comma 25 2" xfId="27902" xr:uid="{00000000-0005-0000-0000-0000A24D0000}"/>
    <cellStyle name="Comma 25 3" xfId="25954" xr:uid="{00000000-0005-0000-0000-0000A34D0000}"/>
    <cellStyle name="Comma 26" xfId="300" xr:uid="{00000000-0005-0000-0000-0000A44D0000}"/>
    <cellStyle name="Comma 26 2" xfId="27909" xr:uid="{00000000-0005-0000-0000-0000A54D0000}"/>
    <cellStyle name="Comma 26 3" xfId="25953" xr:uid="{00000000-0005-0000-0000-0000A64D0000}"/>
    <cellStyle name="Comma 27" xfId="312" xr:uid="{00000000-0005-0000-0000-0000A74D0000}"/>
    <cellStyle name="Comma 27 2" xfId="25962" xr:uid="{00000000-0005-0000-0000-0000A84D0000}"/>
    <cellStyle name="Comma 28" xfId="311" xr:uid="{00000000-0005-0000-0000-0000A94D0000}"/>
    <cellStyle name="Comma 28 2" xfId="25961" xr:uid="{00000000-0005-0000-0000-0000AA4D0000}"/>
    <cellStyle name="Comma 29" xfId="313" xr:uid="{00000000-0005-0000-0000-0000AB4D0000}"/>
    <cellStyle name="Comma 29 2" xfId="25963" xr:uid="{00000000-0005-0000-0000-0000AC4D0000}"/>
    <cellStyle name="Comma 3" xfId="10" xr:uid="{00000000-0005-0000-0000-0000AD4D0000}"/>
    <cellStyle name="Comma 3 10" xfId="23905" xr:uid="{00000000-0005-0000-0000-0000AE4D0000}"/>
    <cellStyle name="Comma 3 10 2" xfId="28920" xr:uid="{00000000-0005-0000-0000-0000AF4D0000}"/>
    <cellStyle name="Comma 3 10 3" xfId="28670" xr:uid="{00000000-0005-0000-0000-0000B04D0000}"/>
    <cellStyle name="Comma 3 11" xfId="25777" xr:uid="{00000000-0005-0000-0000-0000B14D0000}"/>
    <cellStyle name="Comma 3 11 2" xfId="28921" xr:uid="{00000000-0005-0000-0000-0000B24D0000}"/>
    <cellStyle name="Comma 3 11 3" xfId="28671" xr:uid="{00000000-0005-0000-0000-0000B34D0000}"/>
    <cellStyle name="Comma 3 12" xfId="25799" xr:uid="{00000000-0005-0000-0000-0000B44D0000}"/>
    <cellStyle name="Comma 3 12 2" xfId="28922" xr:uid="{00000000-0005-0000-0000-0000B54D0000}"/>
    <cellStyle name="Comma 3 13" xfId="28672" xr:uid="{00000000-0005-0000-0000-0000B64D0000}"/>
    <cellStyle name="Comma 3 13 2" xfId="28923" xr:uid="{00000000-0005-0000-0000-0000B74D0000}"/>
    <cellStyle name="Comma 3 14" xfId="30159" xr:uid="{00000000-0005-0000-0000-0000B84D0000}"/>
    <cellStyle name="Comma 3 2" xfId="22" xr:uid="{00000000-0005-0000-0000-0000B94D0000}"/>
    <cellStyle name="Comma 3 2 2" xfId="28924" xr:uid="{00000000-0005-0000-0000-0000BA4D0000}"/>
    <cellStyle name="Comma 3 2 3" xfId="28673" xr:uid="{00000000-0005-0000-0000-0000BB4D0000}"/>
    <cellStyle name="Comma 3 3" xfId="184" xr:uid="{00000000-0005-0000-0000-0000BC4D0000}"/>
    <cellStyle name="Comma 3 3 2" xfId="28925" xr:uid="{00000000-0005-0000-0000-0000BD4D0000}"/>
    <cellStyle name="Comma 3 3 3" xfId="28674" xr:uid="{00000000-0005-0000-0000-0000BE4D0000}"/>
    <cellStyle name="Comma 3 4" xfId="353" xr:uid="{00000000-0005-0000-0000-0000BF4D0000}"/>
    <cellStyle name="Comma 3 4 2" xfId="25990" xr:uid="{00000000-0005-0000-0000-0000C04D0000}"/>
    <cellStyle name="Comma 3 5" xfId="397" xr:uid="{00000000-0005-0000-0000-0000C14D0000}"/>
    <cellStyle name="Comma 3 5 2" xfId="26007" xr:uid="{00000000-0005-0000-0000-0000C24D0000}"/>
    <cellStyle name="Comma 3 6" xfId="375" xr:uid="{00000000-0005-0000-0000-0000C34D0000}"/>
    <cellStyle name="Comma 3 6 2" xfId="28926" xr:uid="{00000000-0005-0000-0000-0000C44D0000}"/>
    <cellStyle name="Comma 3 6 3" xfId="28675" xr:uid="{00000000-0005-0000-0000-0000C54D0000}"/>
    <cellStyle name="Comma 3 7" xfId="2589" xr:uid="{00000000-0005-0000-0000-0000C64D0000}"/>
    <cellStyle name="Comma 3 7 2" xfId="28927" xr:uid="{00000000-0005-0000-0000-0000C74D0000}"/>
    <cellStyle name="Comma 3 7 3" xfId="28676" xr:uid="{00000000-0005-0000-0000-0000C84D0000}"/>
    <cellStyle name="Comma 3 8" xfId="13605" xr:uid="{00000000-0005-0000-0000-0000C94D0000}"/>
    <cellStyle name="Comma 3 8 2" xfId="26558" xr:uid="{00000000-0005-0000-0000-0000CA4D0000}"/>
    <cellStyle name="Comma 3 9" xfId="13599" xr:uid="{00000000-0005-0000-0000-0000CB4D0000}"/>
    <cellStyle name="Comma 3 9 2" xfId="28928" xr:uid="{00000000-0005-0000-0000-0000CC4D0000}"/>
    <cellStyle name="Comma 3 9 3" xfId="28677" xr:uid="{00000000-0005-0000-0000-0000CD4D0000}"/>
    <cellStyle name="Comma 30" xfId="310" xr:uid="{00000000-0005-0000-0000-0000CE4D0000}"/>
    <cellStyle name="Comma 30 2" xfId="25960" xr:uid="{00000000-0005-0000-0000-0000CF4D0000}"/>
    <cellStyle name="Comma 31" xfId="314" xr:uid="{00000000-0005-0000-0000-0000D04D0000}"/>
    <cellStyle name="Comma 31 2" xfId="27916" xr:uid="{00000000-0005-0000-0000-0000D14D0000}"/>
    <cellStyle name="Comma 31 3" xfId="25964" xr:uid="{00000000-0005-0000-0000-0000D24D0000}"/>
    <cellStyle name="Comma 32" xfId="308" xr:uid="{00000000-0005-0000-0000-0000D34D0000}"/>
    <cellStyle name="Comma 32 2" xfId="27918" xr:uid="{00000000-0005-0000-0000-0000D44D0000}"/>
    <cellStyle name="Comma 32 3" xfId="25959" xr:uid="{00000000-0005-0000-0000-0000D54D0000}"/>
    <cellStyle name="Comma 33" xfId="315" xr:uid="{00000000-0005-0000-0000-0000D64D0000}"/>
    <cellStyle name="Comma 33 2" xfId="25965" xr:uid="{00000000-0005-0000-0000-0000D74D0000}"/>
    <cellStyle name="Comma 34" xfId="306" xr:uid="{00000000-0005-0000-0000-0000D84D0000}"/>
    <cellStyle name="Comma 34 2" xfId="27908" xr:uid="{00000000-0005-0000-0000-0000D94D0000}"/>
    <cellStyle name="Comma 34 3" xfId="25957" xr:uid="{00000000-0005-0000-0000-0000DA4D0000}"/>
    <cellStyle name="Comma 35" xfId="337" xr:uid="{00000000-0005-0000-0000-0000DB4D0000}"/>
    <cellStyle name="Comma 35 2" xfId="27917" xr:uid="{00000000-0005-0000-0000-0000DC4D0000}"/>
    <cellStyle name="Comma 35 3" xfId="25979" xr:uid="{00000000-0005-0000-0000-0000DD4D0000}"/>
    <cellStyle name="Comma 36" xfId="334" xr:uid="{00000000-0005-0000-0000-0000DE4D0000}"/>
    <cellStyle name="Comma 36 2" xfId="25976" xr:uid="{00000000-0005-0000-0000-0000DF4D0000}"/>
    <cellStyle name="Comma 37" xfId="338" xr:uid="{00000000-0005-0000-0000-0000E04D0000}"/>
    <cellStyle name="Comma 37 2" xfId="25980" xr:uid="{00000000-0005-0000-0000-0000E14D0000}"/>
    <cellStyle name="Comma 38" xfId="336" xr:uid="{00000000-0005-0000-0000-0000E24D0000}"/>
    <cellStyle name="Comma 38 2" xfId="25978" xr:uid="{00000000-0005-0000-0000-0000E34D0000}"/>
    <cellStyle name="Comma 39" xfId="394" xr:uid="{00000000-0005-0000-0000-0000E44D0000}"/>
    <cellStyle name="Comma 39 2" xfId="26004" xr:uid="{00000000-0005-0000-0000-0000E54D0000}"/>
    <cellStyle name="Comma 4" xfId="8" xr:uid="{00000000-0005-0000-0000-0000E64D0000}"/>
    <cellStyle name="Comma 4 10" xfId="28678" xr:uid="{00000000-0005-0000-0000-0000E74D0000}"/>
    <cellStyle name="Comma 4 10 2" xfId="28929" xr:uid="{00000000-0005-0000-0000-0000E84D0000}"/>
    <cellStyle name="Comma 4 11" xfId="28679" xr:uid="{00000000-0005-0000-0000-0000E94D0000}"/>
    <cellStyle name="Comma 4 11 2" xfId="28930" xr:uid="{00000000-0005-0000-0000-0000EA4D0000}"/>
    <cellStyle name="Comma 4 12" xfId="28680" xr:uid="{00000000-0005-0000-0000-0000EB4D0000}"/>
    <cellStyle name="Comma 4 12 2" xfId="28931" xr:uid="{00000000-0005-0000-0000-0000EC4D0000}"/>
    <cellStyle name="Comma 4 13" xfId="28681" xr:uid="{00000000-0005-0000-0000-0000ED4D0000}"/>
    <cellStyle name="Comma 4 13 2" xfId="28932" xr:uid="{00000000-0005-0000-0000-0000EE4D0000}"/>
    <cellStyle name="Comma 4 2" xfId="185" xr:uid="{00000000-0005-0000-0000-0000EF4D0000}"/>
    <cellStyle name="Comma 4 2 2" xfId="365" xr:uid="{00000000-0005-0000-0000-0000F04D0000}"/>
    <cellStyle name="Comma 4 2 2 2" xfId="447" xr:uid="{00000000-0005-0000-0000-0000F14D0000}"/>
    <cellStyle name="Comma 4 2 2 2 2" xfId="533" xr:uid="{00000000-0005-0000-0000-0000F24D0000}"/>
    <cellStyle name="Comma 4 2 2 2 2 2" xfId="13896" xr:uid="{00000000-0005-0000-0000-0000F34D0000}"/>
    <cellStyle name="Comma 4 2 2 2 3" xfId="13819" xr:uid="{00000000-0005-0000-0000-0000F44D0000}"/>
    <cellStyle name="Comma 4 2 2 3" xfId="496" xr:uid="{00000000-0005-0000-0000-0000F54D0000}"/>
    <cellStyle name="Comma 4 2 2 3 2" xfId="13859" xr:uid="{00000000-0005-0000-0000-0000F64D0000}"/>
    <cellStyle name="Comma 4 2 2 4" xfId="13775" xr:uid="{00000000-0005-0000-0000-0000F74D0000}"/>
    <cellStyle name="Comma 4 2 2 5" xfId="28933" xr:uid="{00000000-0005-0000-0000-0000F84D0000}"/>
    <cellStyle name="Comma 4 2 3" xfId="427" xr:uid="{00000000-0005-0000-0000-0000F94D0000}"/>
    <cellStyle name="Comma 4 2 3 2" xfId="518" xr:uid="{00000000-0005-0000-0000-0000FA4D0000}"/>
    <cellStyle name="Comma 4 2 3 2 2" xfId="13881" xr:uid="{00000000-0005-0000-0000-0000FB4D0000}"/>
    <cellStyle name="Comma 4 2 3 3" xfId="13804" xr:uid="{00000000-0005-0000-0000-0000FC4D0000}"/>
    <cellStyle name="Comma 4 2 4" xfId="481" xr:uid="{00000000-0005-0000-0000-0000FD4D0000}"/>
    <cellStyle name="Comma 4 2 4 2" xfId="13844" xr:uid="{00000000-0005-0000-0000-0000FE4D0000}"/>
    <cellStyle name="Comma 4 2 5" xfId="641" xr:uid="{00000000-0005-0000-0000-0000FF4D0000}"/>
    <cellStyle name="Comma 4 2 6" xfId="13689" xr:uid="{00000000-0005-0000-0000-0000004E0000}"/>
    <cellStyle name="Comma 4 2 7" xfId="24068" xr:uid="{00000000-0005-0000-0000-0000014E0000}"/>
    <cellStyle name="Comma 4 2 7 2" xfId="27055" xr:uid="{00000000-0005-0000-0000-0000024E0000}"/>
    <cellStyle name="Comma 4 3" xfId="352" xr:uid="{00000000-0005-0000-0000-0000034E0000}"/>
    <cellStyle name="Comma 4 3 2" xfId="25989" xr:uid="{00000000-0005-0000-0000-0000044E0000}"/>
    <cellStyle name="Comma 4 4" xfId="640" xr:uid="{00000000-0005-0000-0000-0000054E0000}"/>
    <cellStyle name="Comma 4 4 2" xfId="28934" xr:uid="{00000000-0005-0000-0000-0000064E0000}"/>
    <cellStyle name="Comma 4 4 3" xfId="28682" xr:uid="{00000000-0005-0000-0000-0000074E0000}"/>
    <cellStyle name="Comma 4 5" xfId="3619" xr:uid="{00000000-0005-0000-0000-0000084E0000}"/>
    <cellStyle name="Comma 4 5 2" xfId="28935" xr:uid="{00000000-0005-0000-0000-0000094E0000}"/>
    <cellStyle name="Comma 4 5 3" xfId="28683" xr:uid="{00000000-0005-0000-0000-00000A4E0000}"/>
    <cellStyle name="Comma 4 6" xfId="25790" xr:uid="{00000000-0005-0000-0000-00000B4E0000}"/>
    <cellStyle name="Comma 4 6 2" xfId="28936" xr:uid="{00000000-0005-0000-0000-00000C4E0000}"/>
    <cellStyle name="Comma 4 7" xfId="28684" xr:uid="{00000000-0005-0000-0000-00000D4E0000}"/>
    <cellStyle name="Comma 4 7 2" xfId="28937" xr:uid="{00000000-0005-0000-0000-00000E4E0000}"/>
    <cellStyle name="Comma 4 8" xfId="28685" xr:uid="{00000000-0005-0000-0000-00000F4E0000}"/>
    <cellStyle name="Comma 4 8 2" xfId="28938" xr:uid="{00000000-0005-0000-0000-0000104E0000}"/>
    <cellStyle name="Comma 4 9" xfId="28686" xr:uid="{00000000-0005-0000-0000-0000114E0000}"/>
    <cellStyle name="Comma 4 9 2" xfId="28939" xr:uid="{00000000-0005-0000-0000-0000124E0000}"/>
    <cellStyle name="Comma 40" xfId="371" xr:uid="{00000000-0005-0000-0000-0000134E0000}"/>
    <cellStyle name="Comma 40 2" xfId="501" xr:uid="{00000000-0005-0000-0000-0000144E0000}"/>
    <cellStyle name="Comma 40 2 2" xfId="13864" xr:uid="{00000000-0005-0000-0000-0000154E0000}"/>
    <cellStyle name="Comma 40 3" xfId="13780" xr:uid="{00000000-0005-0000-0000-0000164E0000}"/>
    <cellStyle name="Comma 41" xfId="391" xr:uid="{00000000-0005-0000-0000-0000174E0000}"/>
    <cellStyle name="Comma 41 2" xfId="505" xr:uid="{00000000-0005-0000-0000-0000184E0000}"/>
    <cellStyle name="Comma 41 2 2" xfId="13868" xr:uid="{00000000-0005-0000-0000-0000194E0000}"/>
    <cellStyle name="Comma 41 3" xfId="13786" xr:uid="{00000000-0005-0000-0000-00001A4E0000}"/>
    <cellStyle name="Comma 42" xfId="388" xr:uid="{00000000-0005-0000-0000-00001B4E0000}"/>
    <cellStyle name="Comma 42 2" xfId="504" xr:uid="{00000000-0005-0000-0000-00001C4E0000}"/>
    <cellStyle name="Comma 42 2 2" xfId="13867" xr:uid="{00000000-0005-0000-0000-00001D4E0000}"/>
    <cellStyle name="Comma 42 3" xfId="13784" xr:uid="{00000000-0005-0000-0000-00001E4E0000}"/>
    <cellStyle name="Comma 43" xfId="452" xr:uid="{00000000-0005-0000-0000-00001F4E0000}"/>
    <cellStyle name="Comma 43 2" xfId="538" xr:uid="{00000000-0005-0000-0000-0000204E0000}"/>
    <cellStyle name="Comma 43 2 2" xfId="13901" xr:uid="{00000000-0005-0000-0000-0000214E0000}"/>
    <cellStyle name="Comma 43 3" xfId="13824" xr:uid="{00000000-0005-0000-0000-0000224E0000}"/>
    <cellStyle name="Comma 44" xfId="13600" xr:uid="{00000000-0005-0000-0000-0000234E0000}"/>
    <cellStyle name="Comma 44 2" xfId="26553" xr:uid="{00000000-0005-0000-0000-0000244E0000}"/>
    <cellStyle name="Comma 45" xfId="23886" xr:uid="{00000000-0005-0000-0000-0000254E0000}"/>
    <cellStyle name="Comma 46" xfId="23891" xr:uid="{00000000-0005-0000-0000-0000264E0000}"/>
    <cellStyle name="Comma 47" xfId="23895" xr:uid="{00000000-0005-0000-0000-0000274E0000}"/>
    <cellStyle name="Comma 48" xfId="23899" xr:uid="{00000000-0005-0000-0000-0000284E0000}"/>
    <cellStyle name="Comma 49" xfId="2" xr:uid="{00000000-0005-0000-0000-0000294E0000}"/>
    <cellStyle name="Comma 49 2" xfId="25796" xr:uid="{00000000-0005-0000-0000-00002A4E0000}"/>
    <cellStyle name="Comma 5" xfId="23" xr:uid="{00000000-0005-0000-0000-00002B4E0000}"/>
    <cellStyle name="Comma 5 10" xfId="28687" xr:uid="{00000000-0005-0000-0000-00002C4E0000}"/>
    <cellStyle name="Comma 5 10 2" xfId="28940" xr:uid="{00000000-0005-0000-0000-00002D4E0000}"/>
    <cellStyle name="Comma 5 11" xfId="28688" xr:uid="{00000000-0005-0000-0000-00002E4E0000}"/>
    <cellStyle name="Comma 5 11 2" xfId="28941" xr:uid="{00000000-0005-0000-0000-00002F4E0000}"/>
    <cellStyle name="Comma 5 12" xfId="28689" xr:uid="{00000000-0005-0000-0000-0000304E0000}"/>
    <cellStyle name="Comma 5 12 2" xfId="28942" xr:uid="{00000000-0005-0000-0000-0000314E0000}"/>
    <cellStyle name="Comma 5 13" xfId="28690" xr:uid="{00000000-0005-0000-0000-0000324E0000}"/>
    <cellStyle name="Comma 5 13 2" xfId="28943" xr:uid="{00000000-0005-0000-0000-0000334E0000}"/>
    <cellStyle name="Comma 5 2" xfId="24069" xr:uid="{00000000-0005-0000-0000-0000344E0000}"/>
    <cellStyle name="Comma 5 2 2" xfId="28944" xr:uid="{00000000-0005-0000-0000-0000354E0000}"/>
    <cellStyle name="Comma 5 2 3" xfId="28691" xr:uid="{00000000-0005-0000-0000-0000364E0000}"/>
    <cellStyle name="Comma 5 3" xfId="28692" xr:uid="{00000000-0005-0000-0000-0000374E0000}"/>
    <cellStyle name="Comma 5 3 2" xfId="28945" xr:uid="{00000000-0005-0000-0000-0000384E0000}"/>
    <cellStyle name="Comma 5 4" xfId="28693" xr:uid="{00000000-0005-0000-0000-0000394E0000}"/>
    <cellStyle name="Comma 5 4 2" xfId="28946" xr:uid="{00000000-0005-0000-0000-00003A4E0000}"/>
    <cellStyle name="Comma 5 5" xfId="28694" xr:uid="{00000000-0005-0000-0000-00003B4E0000}"/>
    <cellStyle name="Comma 5 5 2" xfId="28947" xr:uid="{00000000-0005-0000-0000-00003C4E0000}"/>
    <cellStyle name="Comma 5 6" xfId="28695" xr:uid="{00000000-0005-0000-0000-00003D4E0000}"/>
    <cellStyle name="Comma 5 6 2" xfId="28948" xr:uid="{00000000-0005-0000-0000-00003E4E0000}"/>
    <cellStyle name="Comma 5 7" xfId="28696" xr:uid="{00000000-0005-0000-0000-00003F4E0000}"/>
    <cellStyle name="Comma 5 7 2" xfId="28949" xr:uid="{00000000-0005-0000-0000-0000404E0000}"/>
    <cellStyle name="Comma 5 8" xfId="28697" xr:uid="{00000000-0005-0000-0000-0000414E0000}"/>
    <cellStyle name="Comma 5 8 2" xfId="28950" xr:uid="{00000000-0005-0000-0000-0000424E0000}"/>
    <cellStyle name="Comma 5 9" xfId="28698" xr:uid="{00000000-0005-0000-0000-0000434E0000}"/>
    <cellStyle name="Comma 5 9 2" xfId="28951" xr:uid="{00000000-0005-0000-0000-0000444E0000}"/>
    <cellStyle name="Comma 50" xfId="25277" xr:uid="{00000000-0005-0000-0000-0000454E0000}"/>
    <cellStyle name="Comma 50 2" xfId="27432" xr:uid="{00000000-0005-0000-0000-0000464E0000}"/>
    <cellStyle name="Comma 51" xfId="25294" xr:uid="{00000000-0005-0000-0000-0000474E0000}"/>
    <cellStyle name="Comma 51 2" xfId="27449" xr:uid="{00000000-0005-0000-0000-0000484E0000}"/>
    <cellStyle name="Comma 52" xfId="25456" xr:uid="{00000000-0005-0000-0000-0000494E0000}"/>
    <cellStyle name="Comma 52 2" xfId="27609" xr:uid="{00000000-0005-0000-0000-00004A4E0000}"/>
    <cellStyle name="Comma 53" xfId="25747" xr:uid="{00000000-0005-0000-0000-00004B4E0000}"/>
    <cellStyle name="Comma 54" xfId="25753" xr:uid="{00000000-0005-0000-0000-00004C4E0000}"/>
    <cellStyle name="Comma 55" xfId="25754" xr:uid="{00000000-0005-0000-0000-00004D4E0000}"/>
    <cellStyle name="Comma 56" xfId="25759" xr:uid="{00000000-0005-0000-0000-00004E4E0000}"/>
    <cellStyle name="Comma 57" xfId="25760" xr:uid="{00000000-0005-0000-0000-00004F4E0000}"/>
    <cellStyle name="Comma 58" xfId="28613" xr:uid="{00000000-0005-0000-0000-0000504E0000}"/>
    <cellStyle name="Comma 59" xfId="28843" xr:uid="{00000000-0005-0000-0000-0000514E0000}"/>
    <cellStyle name="Comma 6" xfId="24" xr:uid="{00000000-0005-0000-0000-0000524E0000}"/>
    <cellStyle name="Comma 6 10" xfId="28699" xr:uid="{00000000-0005-0000-0000-0000534E0000}"/>
    <cellStyle name="Comma 6 10 2" xfId="28952" xr:uid="{00000000-0005-0000-0000-0000544E0000}"/>
    <cellStyle name="Comma 6 11" xfId="28700" xr:uid="{00000000-0005-0000-0000-0000554E0000}"/>
    <cellStyle name="Comma 6 11 2" xfId="28953" xr:uid="{00000000-0005-0000-0000-0000564E0000}"/>
    <cellStyle name="Comma 6 12" xfId="28701" xr:uid="{00000000-0005-0000-0000-0000574E0000}"/>
    <cellStyle name="Comma 6 12 2" xfId="28954" xr:uid="{00000000-0005-0000-0000-0000584E0000}"/>
    <cellStyle name="Comma 6 13" xfId="28702" xr:uid="{00000000-0005-0000-0000-0000594E0000}"/>
    <cellStyle name="Comma 6 13 2" xfId="28955" xr:uid="{00000000-0005-0000-0000-00005A4E0000}"/>
    <cellStyle name="Comma 6 2" xfId="399" xr:uid="{00000000-0005-0000-0000-00005B4E0000}"/>
    <cellStyle name="Comma 6 2 2" xfId="24319" xr:uid="{00000000-0005-0000-0000-00005C4E0000}"/>
    <cellStyle name="Comma 6 2 2 2" xfId="28956" xr:uid="{00000000-0005-0000-0000-00005D4E0000}"/>
    <cellStyle name="Comma 6 2 3" xfId="24783" xr:uid="{00000000-0005-0000-0000-00005E4E0000}"/>
    <cellStyle name="Comma 6 2 4" xfId="25150" xr:uid="{00000000-0005-0000-0000-00005F4E0000}"/>
    <cellStyle name="Comma 6 2 5" xfId="26008" xr:uid="{00000000-0005-0000-0000-0000604E0000}"/>
    <cellStyle name="Comma 6 3" xfId="376" xr:uid="{00000000-0005-0000-0000-0000614E0000}"/>
    <cellStyle name="Comma 6 3 2" xfId="28957" xr:uid="{00000000-0005-0000-0000-0000624E0000}"/>
    <cellStyle name="Comma 6 3 3" xfId="28703" xr:uid="{00000000-0005-0000-0000-0000634E0000}"/>
    <cellStyle name="Comma 6 4" xfId="23931" xr:uid="{00000000-0005-0000-0000-0000644E0000}"/>
    <cellStyle name="Comma 6 4 2" xfId="28958" xr:uid="{00000000-0005-0000-0000-0000654E0000}"/>
    <cellStyle name="Comma 6 4 3" xfId="28704" xr:uid="{00000000-0005-0000-0000-0000664E0000}"/>
    <cellStyle name="Comma 6 5" xfId="24558" xr:uid="{00000000-0005-0000-0000-0000674E0000}"/>
    <cellStyle name="Comma 6 5 2" xfId="28959" xr:uid="{00000000-0005-0000-0000-0000684E0000}"/>
    <cellStyle name="Comma 6 5 3" xfId="28705" xr:uid="{00000000-0005-0000-0000-0000694E0000}"/>
    <cellStyle name="Comma 6 6" xfId="24948" xr:uid="{00000000-0005-0000-0000-00006A4E0000}"/>
    <cellStyle name="Comma 6 6 2" xfId="28960" xr:uid="{00000000-0005-0000-0000-00006B4E0000}"/>
    <cellStyle name="Comma 6 6 3" xfId="28706" xr:uid="{00000000-0005-0000-0000-00006C4E0000}"/>
    <cellStyle name="Comma 6 7" xfId="25808" xr:uid="{00000000-0005-0000-0000-00006D4E0000}"/>
    <cellStyle name="Comma 6 7 2" xfId="28961" xr:uid="{00000000-0005-0000-0000-00006E4E0000}"/>
    <cellStyle name="Comma 6 8" xfId="28707" xr:uid="{00000000-0005-0000-0000-00006F4E0000}"/>
    <cellStyle name="Comma 6 8 2" xfId="28962" xr:uid="{00000000-0005-0000-0000-0000704E0000}"/>
    <cellStyle name="Comma 6 9" xfId="28708" xr:uid="{00000000-0005-0000-0000-0000714E0000}"/>
    <cellStyle name="Comma 6 9 2" xfId="28963" xr:uid="{00000000-0005-0000-0000-0000724E0000}"/>
    <cellStyle name="Comma 60" xfId="29172" xr:uid="{00000000-0005-0000-0000-0000734E0000}"/>
    <cellStyle name="Comma 61" xfId="29171" xr:uid="{00000000-0005-0000-0000-0000744E0000}"/>
    <cellStyle name="Comma 62" xfId="29169" xr:uid="{00000000-0005-0000-0000-0000754E0000}"/>
    <cellStyle name="Comma 63" xfId="29176" xr:uid="{00000000-0005-0000-0000-0000764E0000}"/>
    <cellStyle name="Comma 64" xfId="29179" xr:uid="{00000000-0005-0000-0000-0000774E0000}"/>
    <cellStyle name="Comma 65" xfId="29177" xr:uid="{00000000-0005-0000-0000-0000784E0000}"/>
    <cellStyle name="Comma 66" xfId="29178" xr:uid="{00000000-0005-0000-0000-0000794E0000}"/>
    <cellStyle name="Comma 7" xfId="186" xr:uid="{00000000-0005-0000-0000-00007A4E0000}"/>
    <cellStyle name="Comma 7 10" xfId="28709" xr:uid="{00000000-0005-0000-0000-00007B4E0000}"/>
    <cellStyle name="Comma 7 10 2" xfId="28964" xr:uid="{00000000-0005-0000-0000-00007C4E0000}"/>
    <cellStyle name="Comma 7 11" xfId="28710" xr:uid="{00000000-0005-0000-0000-00007D4E0000}"/>
    <cellStyle name="Comma 7 11 2" xfId="28965" xr:uid="{00000000-0005-0000-0000-00007E4E0000}"/>
    <cellStyle name="Comma 7 12" xfId="28711" xr:uid="{00000000-0005-0000-0000-00007F4E0000}"/>
    <cellStyle name="Comma 7 12 2" xfId="28966" xr:uid="{00000000-0005-0000-0000-0000804E0000}"/>
    <cellStyle name="Comma 7 13" xfId="28712" xr:uid="{00000000-0005-0000-0000-0000814E0000}"/>
    <cellStyle name="Comma 7 13 2" xfId="28967" xr:uid="{00000000-0005-0000-0000-0000824E0000}"/>
    <cellStyle name="Comma 7 2" xfId="642" xr:uid="{00000000-0005-0000-0000-0000834E0000}"/>
    <cellStyle name="Comma 7 2 2" xfId="24406" xr:uid="{00000000-0005-0000-0000-0000844E0000}"/>
    <cellStyle name="Comma 7 2 2 2" xfId="28968" xr:uid="{00000000-0005-0000-0000-0000854E0000}"/>
    <cellStyle name="Comma 7 2 3" xfId="24858" xr:uid="{00000000-0005-0000-0000-0000864E0000}"/>
    <cellStyle name="Comma 7 2 4" xfId="25223" xr:uid="{00000000-0005-0000-0000-0000874E0000}"/>
    <cellStyle name="Comma 7 2 5" xfId="28713" xr:uid="{00000000-0005-0000-0000-0000884E0000}"/>
    <cellStyle name="Comma 7 3" xfId="24070" xr:uid="{00000000-0005-0000-0000-0000894E0000}"/>
    <cellStyle name="Comma 7 3 2" xfId="28969" xr:uid="{00000000-0005-0000-0000-00008A4E0000}"/>
    <cellStyle name="Comma 7 3 3" xfId="28714" xr:uid="{00000000-0005-0000-0000-00008B4E0000}"/>
    <cellStyle name="Comma 7 4" xfId="24703" xr:uid="{00000000-0005-0000-0000-00008C4E0000}"/>
    <cellStyle name="Comma 7 4 2" xfId="28970" xr:uid="{00000000-0005-0000-0000-00008D4E0000}"/>
    <cellStyle name="Comma 7 4 3" xfId="28715" xr:uid="{00000000-0005-0000-0000-00008E4E0000}"/>
    <cellStyle name="Comma 7 5" xfId="25025" xr:uid="{00000000-0005-0000-0000-00008F4E0000}"/>
    <cellStyle name="Comma 7 5 2" xfId="28971" xr:uid="{00000000-0005-0000-0000-0000904E0000}"/>
    <cellStyle name="Comma 7 5 3" xfId="28716" xr:uid="{00000000-0005-0000-0000-0000914E0000}"/>
    <cellStyle name="Comma 7 6" xfId="25892" xr:uid="{00000000-0005-0000-0000-0000924E0000}"/>
    <cellStyle name="Comma 7 6 2" xfId="28972" xr:uid="{00000000-0005-0000-0000-0000934E0000}"/>
    <cellStyle name="Comma 7 7" xfId="28717" xr:uid="{00000000-0005-0000-0000-0000944E0000}"/>
    <cellStyle name="Comma 7 7 2" xfId="28973" xr:uid="{00000000-0005-0000-0000-0000954E0000}"/>
    <cellStyle name="Comma 7 8" xfId="28718" xr:uid="{00000000-0005-0000-0000-0000964E0000}"/>
    <cellStyle name="Comma 7 8 2" xfId="28974" xr:uid="{00000000-0005-0000-0000-0000974E0000}"/>
    <cellStyle name="Comma 7 9" xfId="28719" xr:uid="{00000000-0005-0000-0000-0000984E0000}"/>
    <cellStyle name="Comma 7 9 2" xfId="28975" xr:uid="{00000000-0005-0000-0000-0000994E0000}"/>
    <cellStyle name="Comma 8" xfId="187" xr:uid="{00000000-0005-0000-0000-00009A4E0000}"/>
    <cellStyle name="Comma 8 10" xfId="28720" xr:uid="{00000000-0005-0000-0000-00009B4E0000}"/>
    <cellStyle name="Comma 8 10 2" xfId="28976" xr:uid="{00000000-0005-0000-0000-00009C4E0000}"/>
    <cellStyle name="Comma 8 11" xfId="28721" xr:uid="{00000000-0005-0000-0000-00009D4E0000}"/>
    <cellStyle name="Comma 8 11 2" xfId="28977" xr:uid="{00000000-0005-0000-0000-00009E4E0000}"/>
    <cellStyle name="Comma 8 12" xfId="28722" xr:uid="{00000000-0005-0000-0000-00009F4E0000}"/>
    <cellStyle name="Comma 8 12 2" xfId="28978" xr:uid="{00000000-0005-0000-0000-0000A04E0000}"/>
    <cellStyle name="Comma 8 13" xfId="28723" xr:uid="{00000000-0005-0000-0000-0000A14E0000}"/>
    <cellStyle name="Comma 8 13 2" xfId="28979" xr:uid="{00000000-0005-0000-0000-0000A24E0000}"/>
    <cellStyle name="Comma 8 2" xfId="643" xr:uid="{00000000-0005-0000-0000-0000A34E0000}"/>
    <cellStyle name="Comma 8 2 2" xfId="13908" xr:uid="{00000000-0005-0000-0000-0000A44E0000}"/>
    <cellStyle name="Comma 8 2 2 2" xfId="28980" xr:uid="{00000000-0005-0000-0000-0000A54E0000}"/>
    <cellStyle name="Comma 8 2 3" xfId="24481" xr:uid="{00000000-0005-0000-0000-0000A64E0000}"/>
    <cellStyle name="Comma 8 2 4" xfId="24913" xr:uid="{00000000-0005-0000-0000-0000A74E0000}"/>
    <cellStyle name="Comma 8 2 5" xfId="25273" xr:uid="{00000000-0005-0000-0000-0000A84E0000}"/>
    <cellStyle name="Comma 8 2 6" xfId="28724" xr:uid="{00000000-0005-0000-0000-0000A94E0000}"/>
    <cellStyle name="Comma 8 3" xfId="24295" xr:uid="{00000000-0005-0000-0000-0000AA4E0000}"/>
    <cellStyle name="Comma 8 3 2" xfId="28981" xr:uid="{00000000-0005-0000-0000-0000AB4E0000}"/>
    <cellStyle name="Comma 8 3 3" xfId="28725" xr:uid="{00000000-0005-0000-0000-0000AC4E0000}"/>
    <cellStyle name="Comma 8 4" xfId="24776" xr:uid="{00000000-0005-0000-0000-0000AD4E0000}"/>
    <cellStyle name="Comma 8 4 2" xfId="28982" xr:uid="{00000000-0005-0000-0000-0000AE4E0000}"/>
    <cellStyle name="Comma 8 4 3" xfId="28726" xr:uid="{00000000-0005-0000-0000-0000AF4E0000}"/>
    <cellStyle name="Comma 8 5" xfId="25145" xr:uid="{00000000-0005-0000-0000-0000B04E0000}"/>
    <cellStyle name="Comma 8 5 2" xfId="28983" xr:uid="{00000000-0005-0000-0000-0000B14E0000}"/>
    <cellStyle name="Comma 8 5 3" xfId="28727" xr:uid="{00000000-0005-0000-0000-0000B24E0000}"/>
    <cellStyle name="Comma 8 6" xfId="25893" xr:uid="{00000000-0005-0000-0000-0000B34E0000}"/>
    <cellStyle name="Comma 8 6 2" xfId="28984" xr:uid="{00000000-0005-0000-0000-0000B44E0000}"/>
    <cellStyle name="Comma 8 7" xfId="28728" xr:uid="{00000000-0005-0000-0000-0000B54E0000}"/>
    <cellStyle name="Comma 8 7 2" xfId="28985" xr:uid="{00000000-0005-0000-0000-0000B64E0000}"/>
    <cellStyle name="Comma 8 8" xfId="28729" xr:uid="{00000000-0005-0000-0000-0000B74E0000}"/>
    <cellStyle name="Comma 8 8 2" xfId="28986" xr:uid="{00000000-0005-0000-0000-0000B84E0000}"/>
    <cellStyle name="Comma 8 9" xfId="28730" xr:uid="{00000000-0005-0000-0000-0000B94E0000}"/>
    <cellStyle name="Comma 8 9 2" xfId="28987" xr:uid="{00000000-0005-0000-0000-0000BA4E0000}"/>
    <cellStyle name="Comma 9" xfId="188" xr:uid="{00000000-0005-0000-0000-0000BB4E0000}"/>
    <cellStyle name="Comma 9 10" xfId="28731" xr:uid="{00000000-0005-0000-0000-0000BC4E0000}"/>
    <cellStyle name="Comma 9 10 2" xfId="28988" xr:uid="{00000000-0005-0000-0000-0000BD4E0000}"/>
    <cellStyle name="Comma 9 11" xfId="28732" xr:uid="{00000000-0005-0000-0000-0000BE4E0000}"/>
    <cellStyle name="Comma 9 11 2" xfId="28989" xr:uid="{00000000-0005-0000-0000-0000BF4E0000}"/>
    <cellStyle name="Comma 9 12" xfId="28733" xr:uid="{00000000-0005-0000-0000-0000C04E0000}"/>
    <cellStyle name="Comma 9 12 2" xfId="28990" xr:uid="{00000000-0005-0000-0000-0000C14E0000}"/>
    <cellStyle name="Comma 9 13" xfId="28734" xr:uid="{00000000-0005-0000-0000-0000C24E0000}"/>
    <cellStyle name="Comma 9 13 2" xfId="28991" xr:uid="{00000000-0005-0000-0000-0000C34E0000}"/>
    <cellStyle name="Comma 9 2" xfId="24482" xr:uid="{00000000-0005-0000-0000-0000C44E0000}"/>
    <cellStyle name="Comma 9 2 2" xfId="24914" xr:uid="{00000000-0005-0000-0000-0000C54E0000}"/>
    <cellStyle name="Comma 9 2 2 2" xfId="28992" xr:uid="{00000000-0005-0000-0000-0000C64E0000}"/>
    <cellStyle name="Comma 9 2 3" xfId="25274" xr:uid="{00000000-0005-0000-0000-0000C74E0000}"/>
    <cellStyle name="Comma 9 2 4" xfId="28735" xr:uid="{00000000-0005-0000-0000-0000C84E0000}"/>
    <cellStyle name="Comma 9 3" xfId="24296" xr:uid="{00000000-0005-0000-0000-0000C94E0000}"/>
    <cellStyle name="Comma 9 3 2" xfId="28993" xr:uid="{00000000-0005-0000-0000-0000CA4E0000}"/>
    <cellStyle name="Comma 9 3 3" xfId="28736" xr:uid="{00000000-0005-0000-0000-0000CB4E0000}"/>
    <cellStyle name="Comma 9 4" xfId="24777" xr:uid="{00000000-0005-0000-0000-0000CC4E0000}"/>
    <cellStyle name="Comma 9 4 2" xfId="28994" xr:uid="{00000000-0005-0000-0000-0000CD4E0000}"/>
    <cellStyle name="Comma 9 4 3" xfId="28737" xr:uid="{00000000-0005-0000-0000-0000CE4E0000}"/>
    <cellStyle name="Comma 9 5" xfId="25146" xr:uid="{00000000-0005-0000-0000-0000CF4E0000}"/>
    <cellStyle name="Comma 9 5 2" xfId="28995" xr:uid="{00000000-0005-0000-0000-0000D04E0000}"/>
    <cellStyle name="Comma 9 5 3" xfId="28738" xr:uid="{00000000-0005-0000-0000-0000D14E0000}"/>
    <cellStyle name="Comma 9 6" xfId="25894" xr:uid="{00000000-0005-0000-0000-0000D24E0000}"/>
    <cellStyle name="Comma 9 6 2" xfId="28996" xr:uid="{00000000-0005-0000-0000-0000D34E0000}"/>
    <cellStyle name="Comma 9 7" xfId="28739" xr:uid="{00000000-0005-0000-0000-0000D44E0000}"/>
    <cellStyle name="Comma 9 7 2" xfId="28997" xr:uid="{00000000-0005-0000-0000-0000D54E0000}"/>
    <cellStyle name="Comma 9 8" xfId="28740" xr:uid="{00000000-0005-0000-0000-0000D64E0000}"/>
    <cellStyle name="Comma 9 8 2" xfId="28998" xr:uid="{00000000-0005-0000-0000-0000D74E0000}"/>
    <cellStyle name="Comma 9 9" xfId="28741" xr:uid="{00000000-0005-0000-0000-0000D84E0000}"/>
    <cellStyle name="Comma 9 9 2" xfId="28999" xr:uid="{00000000-0005-0000-0000-0000D94E0000}"/>
    <cellStyle name="Comma0" xfId="25" xr:uid="{00000000-0005-0000-0000-0000DA4E0000}"/>
    <cellStyle name="Comma0 - Style3" xfId="26" xr:uid="{00000000-0005-0000-0000-0000DB4E0000}"/>
    <cellStyle name="Comma0 - Style4" xfId="27" xr:uid="{00000000-0005-0000-0000-0000DC4E0000}"/>
    <cellStyle name="Comma0 10" xfId="461" xr:uid="{00000000-0005-0000-0000-0000DD4E0000}"/>
    <cellStyle name="Comma0 10 2" xfId="26026" xr:uid="{00000000-0005-0000-0000-0000DE4E0000}"/>
    <cellStyle name="Comma0 11" xfId="24411" xr:uid="{00000000-0005-0000-0000-0000DF4E0000}"/>
    <cellStyle name="Comma0 11 2" xfId="27161" xr:uid="{00000000-0005-0000-0000-0000E04E0000}"/>
    <cellStyle name="Comma0 12" xfId="24399" xr:uid="{00000000-0005-0000-0000-0000E14E0000}"/>
    <cellStyle name="Comma0 12 2" xfId="27152" xr:uid="{00000000-0005-0000-0000-0000E24E0000}"/>
    <cellStyle name="Comma0 13" xfId="24503" xr:uid="{00000000-0005-0000-0000-0000E34E0000}"/>
    <cellStyle name="Comma0 13 2" xfId="27191" xr:uid="{00000000-0005-0000-0000-0000E44E0000}"/>
    <cellStyle name="Comma0 14" xfId="24400" xr:uid="{00000000-0005-0000-0000-0000E54E0000}"/>
    <cellStyle name="Comma0 14 2" xfId="27153" xr:uid="{00000000-0005-0000-0000-0000E64E0000}"/>
    <cellStyle name="Comma0 15" xfId="24496" xr:uid="{00000000-0005-0000-0000-0000E74E0000}"/>
    <cellStyle name="Comma0 15 2" xfId="27185" xr:uid="{00000000-0005-0000-0000-0000E84E0000}"/>
    <cellStyle name="Comma0 16" xfId="24474" xr:uid="{00000000-0005-0000-0000-0000E94E0000}"/>
    <cellStyle name="Comma0 16 2" xfId="27170" xr:uid="{00000000-0005-0000-0000-0000EA4E0000}"/>
    <cellStyle name="Comma0 17" xfId="24497" xr:uid="{00000000-0005-0000-0000-0000EB4E0000}"/>
    <cellStyle name="Comma0 17 2" xfId="27186" xr:uid="{00000000-0005-0000-0000-0000EC4E0000}"/>
    <cellStyle name="Comma0 18" xfId="24402" xr:uid="{00000000-0005-0000-0000-0000ED4E0000}"/>
    <cellStyle name="Comma0 18 2" xfId="27155" xr:uid="{00000000-0005-0000-0000-0000EE4E0000}"/>
    <cellStyle name="Comma0 19" xfId="24477" xr:uid="{00000000-0005-0000-0000-0000EF4E0000}"/>
    <cellStyle name="Comma0 19 2" xfId="27172" xr:uid="{00000000-0005-0000-0000-0000F04E0000}"/>
    <cellStyle name="Comma0 2" xfId="400" xr:uid="{00000000-0005-0000-0000-0000F14E0000}"/>
    <cellStyle name="Comma0 2 2" xfId="24072" xr:uid="{00000000-0005-0000-0000-0000F24E0000}"/>
    <cellStyle name="Comma0 2 2 2" xfId="27057" xr:uid="{00000000-0005-0000-0000-0000F34E0000}"/>
    <cellStyle name="Comma0 20" xfId="24508" xr:uid="{00000000-0005-0000-0000-0000F44E0000}"/>
    <cellStyle name="Comma0 20 2" xfId="27194" xr:uid="{00000000-0005-0000-0000-0000F54E0000}"/>
    <cellStyle name="Comma0 21" xfId="24509" xr:uid="{00000000-0005-0000-0000-0000F64E0000}"/>
    <cellStyle name="Comma0 21 2" xfId="27195" xr:uid="{00000000-0005-0000-0000-0000F74E0000}"/>
    <cellStyle name="Comma0 22" xfId="24510" xr:uid="{00000000-0005-0000-0000-0000F84E0000}"/>
    <cellStyle name="Comma0 22 2" xfId="27196" xr:uid="{00000000-0005-0000-0000-0000F94E0000}"/>
    <cellStyle name="Comma0 23" xfId="24512" xr:uid="{00000000-0005-0000-0000-0000FA4E0000}"/>
    <cellStyle name="Comma0 23 2" xfId="27198" xr:uid="{00000000-0005-0000-0000-0000FB4E0000}"/>
    <cellStyle name="Comma0 24" xfId="24513" xr:uid="{00000000-0005-0000-0000-0000FC4E0000}"/>
    <cellStyle name="Comma0 24 2" xfId="27199" xr:uid="{00000000-0005-0000-0000-0000FD4E0000}"/>
    <cellStyle name="Comma0 25" xfId="24514" xr:uid="{00000000-0005-0000-0000-0000FE4E0000}"/>
    <cellStyle name="Comma0 25 2" xfId="27200" xr:uid="{00000000-0005-0000-0000-0000FF4E0000}"/>
    <cellStyle name="Comma0 26" xfId="24515" xr:uid="{00000000-0005-0000-0000-0000004F0000}"/>
    <cellStyle name="Comma0 26 2" xfId="27201" xr:uid="{00000000-0005-0000-0000-0000014F0000}"/>
    <cellStyle name="Comma0 27" xfId="24516" xr:uid="{00000000-0005-0000-0000-0000024F0000}"/>
    <cellStyle name="Comma0 27 2" xfId="27202" xr:uid="{00000000-0005-0000-0000-0000034F0000}"/>
    <cellStyle name="Comma0 28" xfId="24517" xr:uid="{00000000-0005-0000-0000-0000044F0000}"/>
    <cellStyle name="Comma0 28 2" xfId="27203" xr:uid="{00000000-0005-0000-0000-0000054F0000}"/>
    <cellStyle name="Comma0 29" xfId="23909" xr:uid="{00000000-0005-0000-0000-0000064F0000}"/>
    <cellStyle name="Comma0 29 2" xfId="27034" xr:uid="{00000000-0005-0000-0000-0000074F0000}"/>
    <cellStyle name="Comma0 3" xfId="377" xr:uid="{00000000-0005-0000-0000-0000084F0000}"/>
    <cellStyle name="Comma0 3 2" xfId="24073" xr:uid="{00000000-0005-0000-0000-0000094F0000}"/>
    <cellStyle name="Comma0 3 2 2" xfId="27058" xr:uid="{00000000-0005-0000-0000-00000A4F0000}"/>
    <cellStyle name="Comma0 3 3" xfId="25994" xr:uid="{00000000-0005-0000-0000-00000B4F0000}"/>
    <cellStyle name="Comma0 30" xfId="23926" xr:uid="{00000000-0005-0000-0000-00000C4F0000}"/>
    <cellStyle name="Comma0 30 2" xfId="27040" xr:uid="{00000000-0005-0000-0000-00000D4F0000}"/>
    <cellStyle name="Comma0 31" xfId="24531" xr:uid="{00000000-0005-0000-0000-00000E4F0000}"/>
    <cellStyle name="Comma0 31 2" xfId="27210" xr:uid="{00000000-0005-0000-0000-00000F4F0000}"/>
    <cellStyle name="Comma0 32" xfId="24012" xr:uid="{00000000-0005-0000-0000-0000104F0000}"/>
    <cellStyle name="Comma0 32 2" xfId="27046" xr:uid="{00000000-0005-0000-0000-0000114F0000}"/>
    <cellStyle name="Comma0 33" xfId="24540" xr:uid="{00000000-0005-0000-0000-0000124F0000}"/>
    <cellStyle name="Comma0 33 2" xfId="27216" xr:uid="{00000000-0005-0000-0000-0000134F0000}"/>
    <cellStyle name="Comma0 34" xfId="24102" xr:uid="{00000000-0005-0000-0000-0000144F0000}"/>
    <cellStyle name="Comma0 34 2" xfId="27066" xr:uid="{00000000-0005-0000-0000-0000154F0000}"/>
    <cellStyle name="Comma0 35" xfId="24032" xr:uid="{00000000-0005-0000-0000-0000164F0000}"/>
    <cellStyle name="Comma0 35 2" xfId="27047" xr:uid="{00000000-0005-0000-0000-0000174F0000}"/>
    <cellStyle name="Comma0 36" xfId="24071" xr:uid="{00000000-0005-0000-0000-0000184F0000}"/>
    <cellStyle name="Comma0 36 2" xfId="27056" xr:uid="{00000000-0005-0000-0000-0000194F0000}"/>
    <cellStyle name="Comma0 37" xfId="24533" xr:uid="{00000000-0005-0000-0000-00001A4F0000}"/>
    <cellStyle name="Comma0 37 2" xfId="27211" xr:uid="{00000000-0005-0000-0000-00001B4F0000}"/>
    <cellStyle name="Comma0 38" xfId="24535" xr:uid="{00000000-0005-0000-0000-00001C4F0000}"/>
    <cellStyle name="Comma0 38 2" xfId="27213" xr:uid="{00000000-0005-0000-0000-00001D4F0000}"/>
    <cellStyle name="Comma0 39" xfId="24524" xr:uid="{00000000-0005-0000-0000-00001E4F0000}"/>
    <cellStyle name="Comma0 39 2" xfId="27205" xr:uid="{00000000-0005-0000-0000-00001F4F0000}"/>
    <cellStyle name="Comma0 4" xfId="435" xr:uid="{00000000-0005-0000-0000-0000204F0000}"/>
    <cellStyle name="Comma0 4 2" xfId="26017" xr:uid="{00000000-0005-0000-0000-0000214F0000}"/>
    <cellStyle name="Comma0 40" xfId="24547" xr:uid="{00000000-0005-0000-0000-0000224F0000}"/>
    <cellStyle name="Comma0 40 2" xfId="27220" xr:uid="{00000000-0005-0000-0000-0000234F0000}"/>
    <cellStyle name="Comma0 41" xfId="24773" xr:uid="{00000000-0005-0000-0000-0000244F0000}"/>
    <cellStyle name="Comma0 41 2" xfId="27314" xr:uid="{00000000-0005-0000-0000-0000254F0000}"/>
    <cellStyle name="Comma0 42" xfId="24922" xr:uid="{00000000-0005-0000-0000-0000264F0000}"/>
    <cellStyle name="Comma0 42 2" xfId="27331" xr:uid="{00000000-0005-0000-0000-0000274F0000}"/>
    <cellStyle name="Comma0 43" xfId="24687" xr:uid="{00000000-0005-0000-0000-0000284F0000}"/>
    <cellStyle name="Comma0 43 2" xfId="27277" xr:uid="{00000000-0005-0000-0000-0000294F0000}"/>
    <cellStyle name="Comma0 44" xfId="24702" xr:uid="{00000000-0005-0000-0000-00002A4F0000}"/>
    <cellStyle name="Comma0 44 2" xfId="27291" xr:uid="{00000000-0005-0000-0000-00002B4F0000}"/>
    <cellStyle name="Comma0 45" xfId="24934" xr:uid="{00000000-0005-0000-0000-00002C4F0000}"/>
    <cellStyle name="Comma0 45 2" xfId="27341" xr:uid="{00000000-0005-0000-0000-00002D4F0000}"/>
    <cellStyle name="Comma0 46" xfId="24765" xr:uid="{00000000-0005-0000-0000-00002E4F0000}"/>
    <cellStyle name="Comma0 46 2" xfId="27307" xr:uid="{00000000-0005-0000-0000-00002F4F0000}"/>
    <cellStyle name="Comma0 47" xfId="24938" xr:uid="{00000000-0005-0000-0000-0000304F0000}"/>
    <cellStyle name="Comma0 47 2" xfId="27343" xr:uid="{00000000-0005-0000-0000-0000314F0000}"/>
    <cellStyle name="Comma0 48" xfId="24706" xr:uid="{00000000-0005-0000-0000-0000324F0000}"/>
    <cellStyle name="Comma0 48 2" xfId="27293" xr:uid="{00000000-0005-0000-0000-0000334F0000}"/>
    <cellStyle name="Comma0 49" xfId="24766" xr:uid="{00000000-0005-0000-0000-0000344F0000}"/>
    <cellStyle name="Comma0 49 2" xfId="27308" xr:uid="{00000000-0005-0000-0000-0000354F0000}"/>
    <cellStyle name="Comma0 5" xfId="430" xr:uid="{00000000-0005-0000-0000-0000364F0000}"/>
    <cellStyle name="Comma0 5 2" xfId="26014" xr:uid="{00000000-0005-0000-0000-0000374F0000}"/>
    <cellStyle name="Comma0 50" xfId="24546" xr:uid="{00000000-0005-0000-0000-0000384F0000}"/>
    <cellStyle name="Comma0 50 2" xfId="27219" xr:uid="{00000000-0005-0000-0000-0000394F0000}"/>
    <cellStyle name="Comma0 51" xfId="24761" xr:uid="{00000000-0005-0000-0000-00003A4F0000}"/>
    <cellStyle name="Comma0 51 2" xfId="27306" xr:uid="{00000000-0005-0000-0000-00003B4F0000}"/>
    <cellStyle name="Comma0 52" xfId="24923" xr:uid="{00000000-0005-0000-0000-00003C4F0000}"/>
    <cellStyle name="Comma0 52 2" xfId="27332" xr:uid="{00000000-0005-0000-0000-00003D4F0000}"/>
    <cellStyle name="Comma0 53" xfId="24942" xr:uid="{00000000-0005-0000-0000-00003E4F0000}"/>
    <cellStyle name="Comma0 53 2" xfId="27346" xr:uid="{00000000-0005-0000-0000-00003F4F0000}"/>
    <cellStyle name="Comma0 6" xfId="433" xr:uid="{00000000-0005-0000-0000-0000404F0000}"/>
    <cellStyle name="Comma0 6 2" xfId="26015" xr:uid="{00000000-0005-0000-0000-0000414F0000}"/>
    <cellStyle name="Comma0 7" xfId="455" xr:uid="{00000000-0005-0000-0000-0000424F0000}"/>
    <cellStyle name="Comma0 7 2" xfId="26020" xr:uid="{00000000-0005-0000-0000-0000434F0000}"/>
    <cellStyle name="Comma0 8" xfId="463" xr:uid="{00000000-0005-0000-0000-0000444F0000}"/>
    <cellStyle name="Comma0 8 2" xfId="26028" xr:uid="{00000000-0005-0000-0000-0000454F0000}"/>
    <cellStyle name="Comma0 9" xfId="456" xr:uid="{00000000-0005-0000-0000-0000464F0000}"/>
    <cellStyle name="Comma0 9 2" xfId="26021" xr:uid="{00000000-0005-0000-0000-0000474F0000}"/>
    <cellStyle name="Comma0_3.7 Revenue Correcting - Dec09" xfId="349" xr:uid="{00000000-0005-0000-0000-0000484F0000}"/>
    <cellStyle name="Comma1 - Style1" xfId="28" xr:uid="{00000000-0005-0000-0000-0000494F0000}"/>
    <cellStyle name="Currency" xfId="25745" builtinId="4"/>
    <cellStyle name="Currency [1]" xfId="550" xr:uid="{00000000-0005-0000-0000-00004B4F0000}"/>
    <cellStyle name="Currency [1] 2" xfId="24074" xr:uid="{00000000-0005-0000-0000-00004C4F0000}"/>
    <cellStyle name="Currency [2]" xfId="551" xr:uid="{00000000-0005-0000-0000-00004D4F0000}"/>
    <cellStyle name="Currency [2] 2" xfId="24075" xr:uid="{00000000-0005-0000-0000-00004E4F0000}"/>
    <cellStyle name="Currency [3]" xfId="552" xr:uid="{00000000-0005-0000-0000-00004F4F0000}"/>
    <cellStyle name="Currency [3] 2" xfId="24076" xr:uid="{00000000-0005-0000-0000-0000504F0000}"/>
    <cellStyle name="Currency 10" xfId="24300" xr:uid="{00000000-0005-0000-0000-0000514F0000}"/>
    <cellStyle name="Currency 10 2" xfId="27136" xr:uid="{00000000-0005-0000-0000-0000524F0000}"/>
    <cellStyle name="Currency 11" xfId="24466" xr:uid="{00000000-0005-0000-0000-0000534F0000}"/>
    <cellStyle name="Currency 11 2" xfId="27167" xr:uid="{00000000-0005-0000-0000-0000544F0000}"/>
    <cellStyle name="Currency 12" xfId="3" xr:uid="{00000000-0005-0000-0000-0000554F0000}"/>
    <cellStyle name="Currency 12 2" xfId="25797" xr:uid="{00000000-0005-0000-0000-0000564F0000}"/>
    <cellStyle name="Currency 13" xfId="24305" xr:uid="{00000000-0005-0000-0000-0000574F0000}"/>
    <cellStyle name="Currency 13 2" xfId="27141" xr:uid="{00000000-0005-0000-0000-0000584F0000}"/>
    <cellStyle name="Currency 14" xfId="25278" xr:uid="{00000000-0005-0000-0000-0000594F0000}"/>
    <cellStyle name="Currency 14 2" xfId="27433" xr:uid="{00000000-0005-0000-0000-00005A4F0000}"/>
    <cellStyle name="Currency 15" xfId="25293" xr:uid="{00000000-0005-0000-0000-00005B4F0000}"/>
    <cellStyle name="Currency 15 2" xfId="27448" xr:uid="{00000000-0005-0000-0000-00005C4F0000}"/>
    <cellStyle name="Currency 16" xfId="24306" xr:uid="{00000000-0005-0000-0000-00005D4F0000}"/>
    <cellStyle name="Currency 16 2" xfId="27142" xr:uid="{00000000-0005-0000-0000-00005E4F0000}"/>
    <cellStyle name="Currency 17" xfId="24307" xr:uid="{00000000-0005-0000-0000-00005F4F0000}"/>
    <cellStyle name="Currency 17 2" xfId="27143" xr:uid="{00000000-0005-0000-0000-0000604F0000}"/>
    <cellStyle name="Currency 18" xfId="25457" xr:uid="{00000000-0005-0000-0000-0000614F0000}"/>
    <cellStyle name="Currency 18 2" xfId="27610" xr:uid="{00000000-0005-0000-0000-0000624F0000}"/>
    <cellStyle name="Currency 2" xfId="29" xr:uid="{00000000-0005-0000-0000-0000634F0000}"/>
    <cellStyle name="Currency 2 10" xfId="24077" xr:uid="{00000000-0005-0000-0000-0000644F0000}"/>
    <cellStyle name="Currency 2 11" xfId="25751" xr:uid="{00000000-0005-0000-0000-0000654F0000}"/>
    <cellStyle name="Currency 2 2" xfId="354" xr:uid="{00000000-0005-0000-0000-0000664F0000}"/>
    <cellStyle name="Currency 2 2 2" xfId="437" xr:uid="{00000000-0005-0000-0000-0000674F0000}"/>
    <cellStyle name="Currency 2 2 2 2" xfId="523" xr:uid="{00000000-0005-0000-0000-0000684F0000}"/>
    <cellStyle name="Currency 2 2 2 2 2" xfId="13886" xr:uid="{00000000-0005-0000-0000-0000694F0000}"/>
    <cellStyle name="Currency 2 2 2 3" xfId="13809" xr:uid="{00000000-0005-0000-0000-00006A4F0000}"/>
    <cellStyle name="Currency 2 2 3" xfId="486" xr:uid="{00000000-0005-0000-0000-00006B4F0000}"/>
    <cellStyle name="Currency 2 2 3 2" xfId="13849" xr:uid="{00000000-0005-0000-0000-00006C4F0000}"/>
    <cellStyle name="Currency 2 2 4" xfId="13764" xr:uid="{00000000-0005-0000-0000-00006D4F0000}"/>
    <cellStyle name="Currency 2 2 5" xfId="24078" xr:uid="{00000000-0005-0000-0000-00006E4F0000}"/>
    <cellStyle name="Currency 2 2 5 2" xfId="27059" xr:uid="{00000000-0005-0000-0000-00006F4F0000}"/>
    <cellStyle name="Currency 2 3" xfId="401" xr:uid="{00000000-0005-0000-0000-0000704F0000}"/>
    <cellStyle name="Currency 2 3 2" xfId="506" xr:uid="{00000000-0005-0000-0000-0000714F0000}"/>
    <cellStyle name="Currency 2 3 2 2" xfId="13869" xr:uid="{00000000-0005-0000-0000-0000724F0000}"/>
    <cellStyle name="Currency 2 3 3" xfId="13788" xr:uid="{00000000-0005-0000-0000-0000734F0000}"/>
    <cellStyle name="Currency 2 3 4" xfId="24079" xr:uid="{00000000-0005-0000-0000-0000744F0000}"/>
    <cellStyle name="Currency 2 3 4 2" xfId="27060" xr:uid="{00000000-0005-0000-0000-0000754F0000}"/>
    <cellStyle name="Currency 2 4" xfId="378" xr:uid="{00000000-0005-0000-0000-0000764F0000}"/>
    <cellStyle name="Currency 2 5" xfId="468" xr:uid="{00000000-0005-0000-0000-0000774F0000}"/>
    <cellStyle name="Currency 2 5 2" xfId="26031" xr:uid="{00000000-0005-0000-0000-0000784F0000}"/>
    <cellStyle name="Currency 2 6" xfId="471" xr:uid="{00000000-0005-0000-0000-0000794F0000}"/>
    <cellStyle name="Currency 2 6 2" xfId="13834" xr:uid="{00000000-0005-0000-0000-00007A4F0000}"/>
    <cellStyle name="Currency 2 7" xfId="644" xr:uid="{00000000-0005-0000-0000-00007B4F0000}"/>
    <cellStyle name="Currency 2 7 2" xfId="13909" xr:uid="{00000000-0005-0000-0000-00007C4F0000}"/>
    <cellStyle name="Currency 2 8" xfId="23896" xr:uid="{00000000-0005-0000-0000-00007D4F0000}"/>
    <cellStyle name="Currency 2 9" xfId="13606" xr:uid="{00000000-0005-0000-0000-00007E4F0000}"/>
    <cellStyle name="Currency 3" xfId="30" xr:uid="{00000000-0005-0000-0000-00007F4F0000}"/>
    <cellStyle name="Currency 3 2" xfId="402" xr:uid="{00000000-0005-0000-0000-0000804F0000}"/>
    <cellStyle name="Currency 3 2 2" xfId="24302" xr:uid="{00000000-0005-0000-0000-0000814F0000}"/>
    <cellStyle name="Currency 3 2 2 2" xfId="27138" xr:uid="{00000000-0005-0000-0000-0000824F0000}"/>
    <cellStyle name="Currency 3 3" xfId="379" xr:uid="{00000000-0005-0000-0000-0000834F0000}"/>
    <cellStyle name="Currency 3 3 2" xfId="25995" xr:uid="{00000000-0005-0000-0000-0000844F0000}"/>
    <cellStyle name="Currency 3 4" xfId="3620" xr:uid="{00000000-0005-0000-0000-0000854F0000}"/>
    <cellStyle name="Currency 3 5" xfId="24080" xr:uid="{00000000-0005-0000-0000-0000864F0000}"/>
    <cellStyle name="Currency 3 6" xfId="25791" xr:uid="{00000000-0005-0000-0000-0000874F0000}"/>
    <cellStyle name="Currency 4" xfId="168" xr:uid="{00000000-0005-0000-0000-0000884F0000}"/>
    <cellStyle name="Currency 4 2" xfId="25882" xr:uid="{00000000-0005-0000-0000-0000894F0000}"/>
    <cellStyle name="Currency 5" xfId="169" xr:uid="{00000000-0005-0000-0000-00008A4F0000}"/>
    <cellStyle name="Currency 5 2" xfId="360" xr:uid="{00000000-0005-0000-0000-00008B4F0000}"/>
    <cellStyle name="Currency 5 2 2" xfId="442" xr:uid="{00000000-0005-0000-0000-00008C4F0000}"/>
    <cellStyle name="Currency 5 2 2 2" xfId="528" xr:uid="{00000000-0005-0000-0000-00008D4F0000}"/>
    <cellStyle name="Currency 5 2 2 2 2" xfId="13891" xr:uid="{00000000-0005-0000-0000-00008E4F0000}"/>
    <cellStyle name="Currency 5 2 2 3" xfId="13814" xr:uid="{00000000-0005-0000-0000-00008F4F0000}"/>
    <cellStyle name="Currency 5 2 3" xfId="491" xr:uid="{00000000-0005-0000-0000-0000904F0000}"/>
    <cellStyle name="Currency 5 2 3 2" xfId="13854" xr:uid="{00000000-0005-0000-0000-0000914F0000}"/>
    <cellStyle name="Currency 5 2 4" xfId="13770" xr:uid="{00000000-0005-0000-0000-0000924F0000}"/>
    <cellStyle name="Currency 5 2 5" xfId="24303" xr:uid="{00000000-0005-0000-0000-0000934F0000}"/>
    <cellStyle name="Currency 5 2 5 2" xfId="27139" xr:uid="{00000000-0005-0000-0000-0000944F0000}"/>
    <cellStyle name="Currency 5 3" xfId="422" xr:uid="{00000000-0005-0000-0000-0000954F0000}"/>
    <cellStyle name="Currency 5 3 2" xfId="513" xr:uid="{00000000-0005-0000-0000-0000964F0000}"/>
    <cellStyle name="Currency 5 3 2 2" xfId="13876" xr:uid="{00000000-0005-0000-0000-0000974F0000}"/>
    <cellStyle name="Currency 5 3 3" xfId="13799" xr:uid="{00000000-0005-0000-0000-0000984F0000}"/>
    <cellStyle name="Currency 5 3 4" xfId="24407" xr:uid="{00000000-0005-0000-0000-0000994F0000}"/>
    <cellStyle name="Currency 5 3 5" xfId="24859" xr:uid="{00000000-0005-0000-0000-00009A4F0000}"/>
    <cellStyle name="Currency 5 3 6" xfId="25224" xr:uid="{00000000-0005-0000-0000-00009B4F0000}"/>
    <cellStyle name="Currency 5 4" xfId="476" xr:uid="{00000000-0005-0000-0000-00009C4F0000}"/>
    <cellStyle name="Currency 5 4 2" xfId="13839" xr:uid="{00000000-0005-0000-0000-00009D4F0000}"/>
    <cellStyle name="Currency 5 5" xfId="13684" xr:uid="{00000000-0005-0000-0000-00009E4F0000}"/>
    <cellStyle name="Currency 5 6" xfId="23903" xr:uid="{00000000-0005-0000-0000-00009F4F0000}"/>
    <cellStyle name="Currency 5 6 2" xfId="27032" xr:uid="{00000000-0005-0000-0000-0000A04F0000}"/>
    <cellStyle name="Currency 5 7" xfId="24081" xr:uid="{00000000-0005-0000-0000-0000A14F0000}"/>
    <cellStyle name="Currency 5 8" xfId="24707" xr:uid="{00000000-0005-0000-0000-0000A24F0000}"/>
    <cellStyle name="Currency 5 9" xfId="25026" xr:uid="{00000000-0005-0000-0000-0000A34F0000}"/>
    <cellStyle name="Currency 6" xfId="395" xr:uid="{00000000-0005-0000-0000-0000A44F0000}"/>
    <cellStyle name="Currency 6 2" xfId="24293" xr:uid="{00000000-0005-0000-0000-0000A54F0000}"/>
    <cellStyle name="Currency 6 3" xfId="26005" xr:uid="{00000000-0005-0000-0000-0000A64F0000}"/>
    <cellStyle name="Currency 7" xfId="2590" xr:uid="{00000000-0005-0000-0000-0000A74F0000}"/>
    <cellStyle name="Currency 7 2" xfId="24484" xr:uid="{00000000-0005-0000-0000-0000A84F0000}"/>
    <cellStyle name="Currency 7 2 2" xfId="24915" xr:uid="{00000000-0005-0000-0000-0000A94F0000}"/>
    <cellStyle name="Currency 7 2 3" xfId="25275" xr:uid="{00000000-0005-0000-0000-0000AA4F0000}"/>
    <cellStyle name="Currency 7 3" xfId="24297" xr:uid="{00000000-0005-0000-0000-0000AB4F0000}"/>
    <cellStyle name="Currency 7 4" xfId="24778" xr:uid="{00000000-0005-0000-0000-0000AC4F0000}"/>
    <cellStyle name="Currency 7 5" xfId="25147" xr:uid="{00000000-0005-0000-0000-0000AD4F0000}"/>
    <cellStyle name="Currency 7 6" xfId="26146" xr:uid="{00000000-0005-0000-0000-0000AE4F0000}"/>
    <cellStyle name="Currency 8" xfId="13601" xr:uid="{00000000-0005-0000-0000-0000AF4F0000}"/>
    <cellStyle name="Currency 8 2" xfId="23904" xr:uid="{00000000-0005-0000-0000-0000B04F0000}"/>
    <cellStyle name="Currency 8 2 2" xfId="27033" xr:uid="{00000000-0005-0000-0000-0000B14F0000}"/>
    <cellStyle name="Currency 8 3" xfId="26554" xr:uid="{00000000-0005-0000-0000-0000B24F0000}"/>
    <cellStyle name="Currency 9" xfId="23889" xr:uid="{00000000-0005-0000-0000-0000B34F0000}"/>
    <cellStyle name="Currency 9 2" xfId="24299" xr:uid="{00000000-0005-0000-0000-0000B44F0000}"/>
    <cellStyle name="Currency 9 2 2" xfId="27135" xr:uid="{00000000-0005-0000-0000-0000B54F0000}"/>
    <cellStyle name="Currency No Comma" xfId="31" xr:uid="{00000000-0005-0000-0000-0000B64F0000}"/>
    <cellStyle name="Currency(0)" xfId="32" xr:uid="{00000000-0005-0000-0000-0000B74F0000}"/>
    <cellStyle name="Currency0" xfId="33" xr:uid="{00000000-0005-0000-0000-0000B84F0000}"/>
    <cellStyle name="Currency0 2" xfId="403" xr:uid="{00000000-0005-0000-0000-0000B94F0000}"/>
    <cellStyle name="Currency0 2 2" xfId="24082" xr:uid="{00000000-0005-0000-0000-0000BA4F0000}"/>
    <cellStyle name="Currency0 2 2 2" xfId="27061" xr:uid="{00000000-0005-0000-0000-0000BB4F0000}"/>
    <cellStyle name="Currency0 3" xfId="380" xr:uid="{00000000-0005-0000-0000-0000BC4F0000}"/>
    <cellStyle name="Currency0 3 2" xfId="25996" xr:uid="{00000000-0005-0000-0000-0000BD4F0000}"/>
    <cellStyle name="Currency0 4" xfId="23910" xr:uid="{00000000-0005-0000-0000-0000BE4F0000}"/>
    <cellStyle name="Currency0 4 2" xfId="27035" xr:uid="{00000000-0005-0000-0000-0000BF4F0000}"/>
    <cellStyle name="Currsmall" xfId="553" xr:uid="{00000000-0005-0000-0000-0000C04F0000}"/>
    <cellStyle name="Data Link" xfId="554" xr:uid="{00000000-0005-0000-0000-0000C14F0000}"/>
    <cellStyle name="Date" xfId="34" xr:uid="{00000000-0005-0000-0000-0000C24F0000}"/>
    <cellStyle name="Date - Style3" xfId="35" xr:uid="{00000000-0005-0000-0000-0000C34F0000}"/>
    <cellStyle name="Date (mm/dd/yy)" xfId="555" xr:uid="{00000000-0005-0000-0000-0000C44F0000}"/>
    <cellStyle name="Date (mm/dd/yy) 2" xfId="26040" xr:uid="{00000000-0005-0000-0000-0000C54F0000}"/>
    <cellStyle name="Date (mm/yy)" xfId="556" xr:uid="{00000000-0005-0000-0000-0000C64F0000}"/>
    <cellStyle name="Date (mm/yy) 2" xfId="26041" xr:uid="{00000000-0005-0000-0000-0000C74F0000}"/>
    <cellStyle name="Date (mmm/yy)" xfId="557" xr:uid="{00000000-0005-0000-0000-0000C84F0000}"/>
    <cellStyle name="Date (mmm/yy) 2" xfId="26042" xr:uid="{00000000-0005-0000-0000-0000C94F0000}"/>
    <cellStyle name="Date (Mon, Tues, etc)" xfId="558" xr:uid="{00000000-0005-0000-0000-0000CA4F0000}"/>
    <cellStyle name="Date (Mon, Tues, etc) 2" xfId="26043" xr:uid="{00000000-0005-0000-0000-0000CB4F0000}"/>
    <cellStyle name="Date (Monday, Tuesday, etc)" xfId="559" xr:uid="{00000000-0005-0000-0000-0000CC4F0000}"/>
    <cellStyle name="Date (Monday, Tuesday, etc) 2" xfId="26044" xr:uid="{00000000-0005-0000-0000-0000CD4F0000}"/>
    <cellStyle name="Date 10" xfId="460" xr:uid="{00000000-0005-0000-0000-0000CE4F0000}"/>
    <cellStyle name="Date 10 2" xfId="26025" xr:uid="{00000000-0005-0000-0000-0000CF4F0000}"/>
    <cellStyle name="Date 11" xfId="24408" xr:uid="{00000000-0005-0000-0000-0000D04F0000}"/>
    <cellStyle name="Date 11 2" xfId="27159" xr:uid="{00000000-0005-0000-0000-0000D14F0000}"/>
    <cellStyle name="Date 12" xfId="24401" xr:uid="{00000000-0005-0000-0000-0000D24F0000}"/>
    <cellStyle name="Date 12 2" xfId="27154" xr:uid="{00000000-0005-0000-0000-0000D34F0000}"/>
    <cellStyle name="Date 13" xfId="24409" xr:uid="{00000000-0005-0000-0000-0000D44F0000}"/>
    <cellStyle name="Date 13 2" xfId="27160" xr:uid="{00000000-0005-0000-0000-0000D54F0000}"/>
    <cellStyle name="Date 14" xfId="24405" xr:uid="{00000000-0005-0000-0000-0000D64F0000}"/>
    <cellStyle name="Date 14 2" xfId="27158" xr:uid="{00000000-0005-0000-0000-0000D74F0000}"/>
    <cellStyle name="Date 15" xfId="24502" xr:uid="{00000000-0005-0000-0000-0000D84F0000}"/>
    <cellStyle name="Date 15 2" xfId="27190" xr:uid="{00000000-0005-0000-0000-0000D94F0000}"/>
    <cellStyle name="Date 16" xfId="24404" xr:uid="{00000000-0005-0000-0000-0000DA4F0000}"/>
    <cellStyle name="Date 16 2" xfId="27157" xr:uid="{00000000-0005-0000-0000-0000DB4F0000}"/>
    <cellStyle name="Date 17" xfId="24495" xr:uid="{00000000-0005-0000-0000-0000DC4F0000}"/>
    <cellStyle name="Date 17 2" xfId="27184" xr:uid="{00000000-0005-0000-0000-0000DD4F0000}"/>
    <cellStyle name="Date 18" xfId="24315" xr:uid="{00000000-0005-0000-0000-0000DE4F0000}"/>
    <cellStyle name="Date 18 2" xfId="27146" xr:uid="{00000000-0005-0000-0000-0000DF4F0000}"/>
    <cellStyle name="Date 19" xfId="24493" xr:uid="{00000000-0005-0000-0000-0000E04F0000}"/>
    <cellStyle name="Date 19 2" xfId="27182" xr:uid="{00000000-0005-0000-0000-0000E14F0000}"/>
    <cellStyle name="Date 2" xfId="404" xr:uid="{00000000-0005-0000-0000-0000E24F0000}"/>
    <cellStyle name="Date 2 2" xfId="24083" xr:uid="{00000000-0005-0000-0000-0000E34F0000}"/>
    <cellStyle name="Date 2 2 2" xfId="27062" xr:uid="{00000000-0005-0000-0000-0000E44F0000}"/>
    <cellStyle name="Date 20" xfId="24317" xr:uid="{00000000-0005-0000-0000-0000E54F0000}"/>
    <cellStyle name="Date 20 2" xfId="27147" xr:uid="{00000000-0005-0000-0000-0000E64F0000}"/>
    <cellStyle name="Date 21" xfId="24489" xr:uid="{00000000-0005-0000-0000-0000E74F0000}"/>
    <cellStyle name="Date 21 2" xfId="27179" xr:uid="{00000000-0005-0000-0000-0000E84F0000}"/>
    <cellStyle name="Date 22" xfId="24483" xr:uid="{00000000-0005-0000-0000-0000E94F0000}"/>
    <cellStyle name="Date 22 2" xfId="27175" xr:uid="{00000000-0005-0000-0000-0000EA4F0000}"/>
    <cellStyle name="Date 23" xfId="24491" xr:uid="{00000000-0005-0000-0000-0000EB4F0000}"/>
    <cellStyle name="Date 23 2" xfId="27181" xr:uid="{00000000-0005-0000-0000-0000EC4F0000}"/>
    <cellStyle name="Date 24" xfId="24403" xr:uid="{00000000-0005-0000-0000-0000ED4F0000}"/>
    <cellStyle name="Date 24 2" xfId="27156" xr:uid="{00000000-0005-0000-0000-0000EE4F0000}"/>
    <cellStyle name="Date 25" xfId="24488" xr:uid="{00000000-0005-0000-0000-0000EF4F0000}"/>
    <cellStyle name="Date 25 2" xfId="27178" xr:uid="{00000000-0005-0000-0000-0000F04F0000}"/>
    <cellStyle name="Date 26" xfId="24507" xr:uid="{00000000-0005-0000-0000-0000F14F0000}"/>
    <cellStyle name="Date 26 2" xfId="27193" xr:uid="{00000000-0005-0000-0000-0000F24F0000}"/>
    <cellStyle name="Date 27" xfId="23911" xr:uid="{00000000-0005-0000-0000-0000F34F0000}"/>
    <cellStyle name="Date 27 2" xfId="27036" xr:uid="{00000000-0005-0000-0000-0000F44F0000}"/>
    <cellStyle name="Date 28" xfId="23925" xr:uid="{00000000-0005-0000-0000-0000F54F0000}"/>
    <cellStyle name="Date 28 2" xfId="27039" xr:uid="{00000000-0005-0000-0000-0000F64F0000}"/>
    <cellStyle name="Date 29" xfId="24530" xr:uid="{00000000-0005-0000-0000-0000F74F0000}"/>
    <cellStyle name="Date 29 2" xfId="27209" xr:uid="{00000000-0005-0000-0000-0000F84F0000}"/>
    <cellStyle name="Date 3" xfId="381" xr:uid="{00000000-0005-0000-0000-0000F94F0000}"/>
    <cellStyle name="Date 3 2" xfId="25997" xr:uid="{00000000-0005-0000-0000-0000FA4F0000}"/>
    <cellStyle name="Date 30" xfId="24007" xr:uid="{00000000-0005-0000-0000-0000FB4F0000}"/>
    <cellStyle name="Date 30 2" xfId="27045" xr:uid="{00000000-0005-0000-0000-0000FC4F0000}"/>
    <cellStyle name="Date 31" xfId="24539" xr:uid="{00000000-0005-0000-0000-0000FD4F0000}"/>
    <cellStyle name="Date 31 2" xfId="27215" xr:uid="{00000000-0005-0000-0000-0000FE4F0000}"/>
    <cellStyle name="Date 32" xfId="24520" xr:uid="{00000000-0005-0000-0000-0000FF4F0000}"/>
    <cellStyle name="Date 32 2" xfId="27204" xr:uid="{00000000-0005-0000-0000-000000500000}"/>
    <cellStyle name="Date 33" xfId="24084" xr:uid="{00000000-0005-0000-0000-000001500000}"/>
    <cellStyle name="Date 33 2" xfId="27063" xr:uid="{00000000-0005-0000-0000-000002500000}"/>
    <cellStyle name="Date 34" xfId="24527" xr:uid="{00000000-0005-0000-0000-000003500000}"/>
    <cellStyle name="Date 34 2" xfId="27207" xr:uid="{00000000-0005-0000-0000-000004500000}"/>
    <cellStyle name="Date 35" xfId="24538" xr:uid="{00000000-0005-0000-0000-000005500000}"/>
    <cellStyle name="Date 35 2" xfId="27214" xr:uid="{00000000-0005-0000-0000-000006500000}"/>
    <cellStyle name="Date 36" xfId="24097" xr:uid="{00000000-0005-0000-0000-000007500000}"/>
    <cellStyle name="Date 36 2" xfId="27065" xr:uid="{00000000-0005-0000-0000-000008500000}"/>
    <cellStyle name="Date 37" xfId="24534" xr:uid="{00000000-0005-0000-0000-000009500000}"/>
    <cellStyle name="Date 37 2" xfId="27212" xr:uid="{00000000-0005-0000-0000-00000A500000}"/>
    <cellStyle name="Date 38" xfId="24548" xr:uid="{00000000-0005-0000-0000-00000B500000}"/>
    <cellStyle name="Date 38 2" xfId="27221" xr:uid="{00000000-0005-0000-0000-00000C500000}"/>
    <cellStyle name="Date 39" xfId="24772" xr:uid="{00000000-0005-0000-0000-00000D500000}"/>
    <cellStyle name="Date 39 2" xfId="27313" xr:uid="{00000000-0005-0000-0000-00000E500000}"/>
    <cellStyle name="Date 4" xfId="434" xr:uid="{00000000-0005-0000-0000-00000F500000}"/>
    <cellStyle name="Date 4 2" xfId="26016" xr:uid="{00000000-0005-0000-0000-000010500000}"/>
    <cellStyle name="Date 40" xfId="24635" xr:uid="{00000000-0005-0000-0000-000011500000}"/>
    <cellStyle name="Date 40 2" xfId="27229" xr:uid="{00000000-0005-0000-0000-000012500000}"/>
    <cellStyle name="Date 41" xfId="24916" xr:uid="{00000000-0005-0000-0000-000013500000}"/>
    <cellStyle name="Date 41 2" xfId="27327" xr:uid="{00000000-0005-0000-0000-000014500000}"/>
    <cellStyle name="Date 42" xfId="24932" xr:uid="{00000000-0005-0000-0000-000015500000}"/>
    <cellStyle name="Date 42 2" xfId="27339" xr:uid="{00000000-0005-0000-0000-000016500000}"/>
    <cellStyle name="Date 43" xfId="24856" xr:uid="{00000000-0005-0000-0000-000017500000}"/>
    <cellStyle name="Date 43 2" xfId="27317" xr:uid="{00000000-0005-0000-0000-000018500000}"/>
    <cellStyle name="Date 44" xfId="24760" xr:uid="{00000000-0005-0000-0000-000019500000}"/>
    <cellStyle name="Date 44 2" xfId="27305" xr:uid="{00000000-0005-0000-0000-00001A500000}"/>
    <cellStyle name="Date 45" xfId="24930" xr:uid="{00000000-0005-0000-0000-00001B500000}"/>
    <cellStyle name="Date 45 2" xfId="27338" xr:uid="{00000000-0005-0000-0000-00001C500000}"/>
    <cellStyle name="Date 46" xfId="24925" xr:uid="{00000000-0005-0000-0000-00001D500000}"/>
    <cellStyle name="Date 46 2" xfId="27334" xr:uid="{00000000-0005-0000-0000-00001E500000}"/>
    <cellStyle name="Date 47" xfId="24939" xr:uid="{00000000-0005-0000-0000-00001F500000}"/>
    <cellStyle name="Date 47 2" xfId="27344" xr:uid="{00000000-0005-0000-0000-000020500000}"/>
    <cellStyle name="Date 48" xfId="24921" xr:uid="{00000000-0005-0000-0000-000021500000}"/>
    <cellStyle name="Date 48 2" xfId="27330" xr:uid="{00000000-0005-0000-0000-000022500000}"/>
    <cellStyle name="Date 49" xfId="24928" xr:uid="{00000000-0005-0000-0000-000023500000}"/>
    <cellStyle name="Date 49 2" xfId="27337" xr:uid="{00000000-0005-0000-0000-000024500000}"/>
    <cellStyle name="Date 5" xfId="436" xr:uid="{00000000-0005-0000-0000-000025500000}"/>
    <cellStyle name="Date 5 2" xfId="26018" xr:uid="{00000000-0005-0000-0000-000026500000}"/>
    <cellStyle name="Date 50" xfId="24908" xr:uid="{00000000-0005-0000-0000-000027500000}"/>
    <cellStyle name="Date 50 2" xfId="27326" xr:uid="{00000000-0005-0000-0000-000028500000}"/>
    <cellStyle name="Date 51" xfId="24943" xr:uid="{00000000-0005-0000-0000-000029500000}"/>
    <cellStyle name="Date 51 2" xfId="27347" xr:uid="{00000000-0005-0000-0000-00002A500000}"/>
    <cellStyle name="Date 6" xfId="389" xr:uid="{00000000-0005-0000-0000-00002B500000}"/>
    <cellStyle name="Date 6 2" xfId="26000" xr:uid="{00000000-0005-0000-0000-00002C500000}"/>
    <cellStyle name="Date 7" xfId="457" xr:uid="{00000000-0005-0000-0000-00002D500000}"/>
    <cellStyle name="Date 7 2" xfId="26022" xr:uid="{00000000-0005-0000-0000-00002E500000}"/>
    <cellStyle name="Date 8" xfId="462" xr:uid="{00000000-0005-0000-0000-00002F500000}"/>
    <cellStyle name="Date 8 2" xfId="26027" xr:uid="{00000000-0005-0000-0000-000030500000}"/>
    <cellStyle name="Date 9" xfId="458" xr:uid="{00000000-0005-0000-0000-000031500000}"/>
    <cellStyle name="Date 9 2" xfId="26023" xr:uid="{00000000-0005-0000-0000-000032500000}"/>
    <cellStyle name="Date_2002SavingsIdeasSummary" xfId="560" xr:uid="{00000000-0005-0000-0000-000033500000}"/>
    <cellStyle name="Emphasis 1" xfId="24085" xr:uid="{00000000-0005-0000-0000-000034500000}"/>
    <cellStyle name="Emphasis 2" xfId="24086" xr:uid="{00000000-0005-0000-0000-000035500000}"/>
    <cellStyle name="Emphasis 3" xfId="24087" xr:uid="{00000000-0005-0000-0000-000036500000}"/>
    <cellStyle name="Explanatory Text 10" xfId="2591" xr:uid="{00000000-0005-0000-0000-000037500000}"/>
    <cellStyle name="Explanatory Text 11" xfId="2592" xr:uid="{00000000-0005-0000-0000-000038500000}"/>
    <cellStyle name="Explanatory Text 12" xfId="2593" xr:uid="{00000000-0005-0000-0000-000039500000}"/>
    <cellStyle name="Explanatory Text 13" xfId="2594" xr:uid="{00000000-0005-0000-0000-00003A500000}"/>
    <cellStyle name="Explanatory Text 14" xfId="2595" xr:uid="{00000000-0005-0000-0000-00003B500000}"/>
    <cellStyle name="Explanatory Text 15" xfId="2596" xr:uid="{00000000-0005-0000-0000-00003C500000}"/>
    <cellStyle name="Explanatory Text 16" xfId="2597" xr:uid="{00000000-0005-0000-0000-00003D500000}"/>
    <cellStyle name="Explanatory Text 17" xfId="2598" xr:uid="{00000000-0005-0000-0000-00003E500000}"/>
    <cellStyle name="Explanatory Text 18" xfId="2599" xr:uid="{00000000-0005-0000-0000-00003F500000}"/>
    <cellStyle name="Explanatory Text 19" xfId="2600" xr:uid="{00000000-0005-0000-0000-000040500000}"/>
    <cellStyle name="Explanatory Text 2" xfId="2601" xr:uid="{00000000-0005-0000-0000-000041500000}"/>
    <cellStyle name="Explanatory Text 20" xfId="2602" xr:uid="{00000000-0005-0000-0000-000042500000}"/>
    <cellStyle name="Explanatory Text 21" xfId="2603" xr:uid="{00000000-0005-0000-0000-000043500000}"/>
    <cellStyle name="Explanatory Text 22" xfId="2604" xr:uid="{00000000-0005-0000-0000-000044500000}"/>
    <cellStyle name="Explanatory Text 23" xfId="2605" xr:uid="{00000000-0005-0000-0000-000045500000}"/>
    <cellStyle name="Explanatory Text 24" xfId="2606" xr:uid="{00000000-0005-0000-0000-000046500000}"/>
    <cellStyle name="Explanatory Text 25" xfId="2607" xr:uid="{00000000-0005-0000-0000-000047500000}"/>
    <cellStyle name="Explanatory Text 26" xfId="2608" xr:uid="{00000000-0005-0000-0000-000048500000}"/>
    <cellStyle name="Explanatory Text 27" xfId="2609" xr:uid="{00000000-0005-0000-0000-000049500000}"/>
    <cellStyle name="Explanatory Text 28" xfId="2610" xr:uid="{00000000-0005-0000-0000-00004A500000}"/>
    <cellStyle name="Explanatory Text 29" xfId="2611" xr:uid="{00000000-0005-0000-0000-00004B500000}"/>
    <cellStyle name="Explanatory Text 3" xfId="2612" xr:uid="{00000000-0005-0000-0000-00004C500000}"/>
    <cellStyle name="Explanatory Text 30" xfId="2613" xr:uid="{00000000-0005-0000-0000-00004D500000}"/>
    <cellStyle name="Explanatory Text 31" xfId="2614" xr:uid="{00000000-0005-0000-0000-00004E500000}"/>
    <cellStyle name="Explanatory Text 32" xfId="2615" xr:uid="{00000000-0005-0000-0000-00004F500000}"/>
    <cellStyle name="Explanatory Text 33" xfId="2616" xr:uid="{00000000-0005-0000-0000-000050500000}"/>
    <cellStyle name="Explanatory Text 34" xfId="2617" xr:uid="{00000000-0005-0000-0000-000051500000}"/>
    <cellStyle name="Explanatory Text 35" xfId="2618" xr:uid="{00000000-0005-0000-0000-000052500000}"/>
    <cellStyle name="Explanatory Text 36" xfId="2619" xr:uid="{00000000-0005-0000-0000-000053500000}"/>
    <cellStyle name="Explanatory Text 37" xfId="2620" xr:uid="{00000000-0005-0000-0000-000054500000}"/>
    <cellStyle name="Explanatory Text 38" xfId="2621" xr:uid="{00000000-0005-0000-0000-000055500000}"/>
    <cellStyle name="Explanatory Text 39" xfId="2622" xr:uid="{00000000-0005-0000-0000-000056500000}"/>
    <cellStyle name="Explanatory Text 4" xfId="2623" xr:uid="{00000000-0005-0000-0000-000057500000}"/>
    <cellStyle name="Explanatory Text 40" xfId="2624" xr:uid="{00000000-0005-0000-0000-000058500000}"/>
    <cellStyle name="Explanatory Text 41" xfId="2625" xr:uid="{00000000-0005-0000-0000-000059500000}"/>
    <cellStyle name="Explanatory Text 42" xfId="2626" xr:uid="{00000000-0005-0000-0000-00005A500000}"/>
    <cellStyle name="Explanatory Text 43" xfId="2627" xr:uid="{00000000-0005-0000-0000-00005B500000}"/>
    <cellStyle name="Explanatory Text 44" xfId="2628" xr:uid="{00000000-0005-0000-0000-00005C500000}"/>
    <cellStyle name="Explanatory Text 45" xfId="2629" xr:uid="{00000000-0005-0000-0000-00005D500000}"/>
    <cellStyle name="Explanatory Text 46" xfId="2630" xr:uid="{00000000-0005-0000-0000-00005E500000}"/>
    <cellStyle name="Explanatory Text 47" xfId="2631" xr:uid="{00000000-0005-0000-0000-00005F500000}"/>
    <cellStyle name="Explanatory Text 48" xfId="2632" xr:uid="{00000000-0005-0000-0000-000060500000}"/>
    <cellStyle name="Explanatory Text 49" xfId="2633" xr:uid="{00000000-0005-0000-0000-000061500000}"/>
    <cellStyle name="Explanatory Text 5" xfId="2634" xr:uid="{00000000-0005-0000-0000-000062500000}"/>
    <cellStyle name="Explanatory Text 50" xfId="2635" xr:uid="{00000000-0005-0000-0000-000063500000}"/>
    <cellStyle name="Explanatory Text 51" xfId="2636" xr:uid="{00000000-0005-0000-0000-000064500000}"/>
    <cellStyle name="Explanatory Text 52" xfId="2637" xr:uid="{00000000-0005-0000-0000-000065500000}"/>
    <cellStyle name="Explanatory Text 53" xfId="2638" xr:uid="{00000000-0005-0000-0000-000066500000}"/>
    <cellStyle name="Explanatory Text 54" xfId="2639" xr:uid="{00000000-0005-0000-0000-000067500000}"/>
    <cellStyle name="Explanatory Text 55" xfId="2640" xr:uid="{00000000-0005-0000-0000-000068500000}"/>
    <cellStyle name="Explanatory Text 56" xfId="2641" xr:uid="{00000000-0005-0000-0000-000069500000}"/>
    <cellStyle name="Explanatory Text 57" xfId="2642" xr:uid="{00000000-0005-0000-0000-00006A500000}"/>
    <cellStyle name="Explanatory Text 58" xfId="2643" xr:uid="{00000000-0005-0000-0000-00006B500000}"/>
    <cellStyle name="Explanatory Text 59" xfId="2644" xr:uid="{00000000-0005-0000-0000-00006C500000}"/>
    <cellStyle name="Explanatory Text 6" xfId="2645" xr:uid="{00000000-0005-0000-0000-00006D500000}"/>
    <cellStyle name="Explanatory Text 60" xfId="2646" xr:uid="{00000000-0005-0000-0000-00006E500000}"/>
    <cellStyle name="Explanatory Text 61" xfId="2647" xr:uid="{00000000-0005-0000-0000-00006F500000}"/>
    <cellStyle name="Explanatory Text 62" xfId="2648" xr:uid="{00000000-0005-0000-0000-000070500000}"/>
    <cellStyle name="Explanatory Text 63" xfId="2649" xr:uid="{00000000-0005-0000-0000-000071500000}"/>
    <cellStyle name="Explanatory Text 64" xfId="2650" xr:uid="{00000000-0005-0000-0000-000072500000}"/>
    <cellStyle name="Explanatory Text 65" xfId="2651" xr:uid="{00000000-0005-0000-0000-000073500000}"/>
    <cellStyle name="Explanatory Text 66" xfId="2652" xr:uid="{00000000-0005-0000-0000-000074500000}"/>
    <cellStyle name="Explanatory Text 67" xfId="2653" xr:uid="{00000000-0005-0000-0000-000075500000}"/>
    <cellStyle name="Explanatory Text 68" xfId="2654" xr:uid="{00000000-0005-0000-0000-000076500000}"/>
    <cellStyle name="Explanatory Text 69" xfId="2655" xr:uid="{00000000-0005-0000-0000-000077500000}"/>
    <cellStyle name="Explanatory Text 7" xfId="2656" xr:uid="{00000000-0005-0000-0000-000078500000}"/>
    <cellStyle name="Explanatory Text 70" xfId="2657" xr:uid="{00000000-0005-0000-0000-000079500000}"/>
    <cellStyle name="Explanatory Text 71" xfId="2658" xr:uid="{00000000-0005-0000-0000-00007A500000}"/>
    <cellStyle name="Explanatory Text 72" xfId="2659" xr:uid="{00000000-0005-0000-0000-00007B500000}"/>
    <cellStyle name="Explanatory Text 8" xfId="2660" xr:uid="{00000000-0005-0000-0000-00007C500000}"/>
    <cellStyle name="Explanatory Text 9" xfId="2661" xr:uid="{00000000-0005-0000-0000-00007D500000}"/>
    <cellStyle name="F2" xfId="561" xr:uid="{00000000-0005-0000-0000-00007E500000}"/>
    <cellStyle name="F2 2" xfId="24088" xr:uid="{00000000-0005-0000-0000-00007F500000}"/>
    <cellStyle name="F2 3" xfId="23912" xr:uid="{00000000-0005-0000-0000-000080500000}"/>
    <cellStyle name="F3" xfId="562" xr:uid="{00000000-0005-0000-0000-000081500000}"/>
    <cellStyle name="F3 2" xfId="24089" xr:uid="{00000000-0005-0000-0000-000082500000}"/>
    <cellStyle name="F3 3" xfId="23913" xr:uid="{00000000-0005-0000-0000-000083500000}"/>
    <cellStyle name="F4" xfId="563" xr:uid="{00000000-0005-0000-0000-000084500000}"/>
    <cellStyle name="F4 2" xfId="24090" xr:uid="{00000000-0005-0000-0000-000085500000}"/>
    <cellStyle name="F4 3" xfId="23914" xr:uid="{00000000-0005-0000-0000-000086500000}"/>
    <cellStyle name="F5" xfId="564" xr:uid="{00000000-0005-0000-0000-000087500000}"/>
    <cellStyle name="F5 2" xfId="24091" xr:uid="{00000000-0005-0000-0000-000088500000}"/>
    <cellStyle name="F5 3" xfId="23915" xr:uid="{00000000-0005-0000-0000-000089500000}"/>
    <cellStyle name="F6" xfId="565" xr:uid="{00000000-0005-0000-0000-00008A500000}"/>
    <cellStyle name="F6 2" xfId="24092" xr:uid="{00000000-0005-0000-0000-00008B500000}"/>
    <cellStyle name="F6 3" xfId="23916" xr:uid="{00000000-0005-0000-0000-00008C500000}"/>
    <cellStyle name="F7" xfId="566" xr:uid="{00000000-0005-0000-0000-00008D500000}"/>
    <cellStyle name="F7 2" xfId="24093" xr:uid="{00000000-0005-0000-0000-00008E500000}"/>
    <cellStyle name="F7 3" xfId="23917" xr:uid="{00000000-0005-0000-0000-00008F500000}"/>
    <cellStyle name="F8" xfId="567" xr:uid="{00000000-0005-0000-0000-000090500000}"/>
    <cellStyle name="F8 2" xfId="24094" xr:uid="{00000000-0005-0000-0000-000091500000}"/>
    <cellStyle name="F8 3" xfId="23918" xr:uid="{00000000-0005-0000-0000-000092500000}"/>
    <cellStyle name="Fixed" xfId="36" xr:uid="{00000000-0005-0000-0000-000093500000}"/>
    <cellStyle name="Fixed 2" xfId="405" xr:uid="{00000000-0005-0000-0000-000094500000}"/>
    <cellStyle name="Fixed 2 2" xfId="24095" xr:uid="{00000000-0005-0000-0000-000095500000}"/>
    <cellStyle name="Fixed 2 2 2" xfId="27064" xr:uid="{00000000-0005-0000-0000-000096500000}"/>
    <cellStyle name="Fixed 3" xfId="382" xr:uid="{00000000-0005-0000-0000-000097500000}"/>
    <cellStyle name="Fixed 3 2" xfId="25998" xr:uid="{00000000-0005-0000-0000-000098500000}"/>
    <cellStyle name="Fixed 4" xfId="23919" xr:uid="{00000000-0005-0000-0000-000099500000}"/>
    <cellStyle name="Fixed 4 2" xfId="27037" xr:uid="{00000000-0005-0000-0000-00009A500000}"/>
    <cellStyle name="Fixlong" xfId="568" xr:uid="{00000000-0005-0000-0000-00009B500000}"/>
    <cellStyle name="Followed Hyperlink" xfId="4621" builtinId="9" customBuiltin="1"/>
    <cellStyle name="Followed Hyperlink 2" xfId="2662" xr:uid="{00000000-0005-0000-0000-00009D500000}"/>
    <cellStyle name="Followed Hyperlink 3" xfId="2663" xr:uid="{00000000-0005-0000-0000-00009E500000}"/>
    <cellStyle name="Formula" xfId="569" xr:uid="{00000000-0005-0000-0000-00009F500000}"/>
    <cellStyle name="Formula 2" xfId="24096" xr:uid="{00000000-0005-0000-0000-0000A0500000}"/>
    <cellStyle name="Formula 2 2" xfId="24774" xr:uid="{00000000-0005-0000-0000-0000A1500000}"/>
    <cellStyle name="Formula 3" xfId="24861" xr:uid="{00000000-0005-0000-0000-0000A2500000}"/>
    <cellStyle name="General" xfId="37" xr:uid="{00000000-0005-0000-0000-0000A3500000}"/>
    <cellStyle name="Good 10" xfId="2664" xr:uid="{00000000-0005-0000-0000-0000A4500000}"/>
    <cellStyle name="Good 11" xfId="2665" xr:uid="{00000000-0005-0000-0000-0000A5500000}"/>
    <cellStyle name="Good 12" xfId="2666" xr:uid="{00000000-0005-0000-0000-0000A6500000}"/>
    <cellStyle name="Good 13" xfId="2667" xr:uid="{00000000-0005-0000-0000-0000A7500000}"/>
    <cellStyle name="Good 14" xfId="2668" xr:uid="{00000000-0005-0000-0000-0000A8500000}"/>
    <cellStyle name="Good 15" xfId="2669" xr:uid="{00000000-0005-0000-0000-0000A9500000}"/>
    <cellStyle name="Good 16" xfId="2670" xr:uid="{00000000-0005-0000-0000-0000AA500000}"/>
    <cellStyle name="Good 17" xfId="2671" xr:uid="{00000000-0005-0000-0000-0000AB500000}"/>
    <cellStyle name="Good 18" xfId="2672" xr:uid="{00000000-0005-0000-0000-0000AC500000}"/>
    <cellStyle name="Good 19" xfId="2673" xr:uid="{00000000-0005-0000-0000-0000AD500000}"/>
    <cellStyle name="Good 2" xfId="2674" xr:uid="{00000000-0005-0000-0000-0000AE500000}"/>
    <cellStyle name="Good 2 2" xfId="24099" xr:uid="{00000000-0005-0000-0000-0000AF500000}"/>
    <cellStyle name="Good 2 3" xfId="24098" xr:uid="{00000000-0005-0000-0000-0000B0500000}"/>
    <cellStyle name="Good 20" xfId="2675" xr:uid="{00000000-0005-0000-0000-0000B1500000}"/>
    <cellStyle name="Good 21" xfId="2676" xr:uid="{00000000-0005-0000-0000-0000B2500000}"/>
    <cellStyle name="Good 22" xfId="2677" xr:uid="{00000000-0005-0000-0000-0000B3500000}"/>
    <cellStyle name="Good 23" xfId="2678" xr:uid="{00000000-0005-0000-0000-0000B4500000}"/>
    <cellStyle name="Good 24" xfId="2679" xr:uid="{00000000-0005-0000-0000-0000B5500000}"/>
    <cellStyle name="Good 25" xfId="2680" xr:uid="{00000000-0005-0000-0000-0000B6500000}"/>
    <cellStyle name="Good 26" xfId="2681" xr:uid="{00000000-0005-0000-0000-0000B7500000}"/>
    <cellStyle name="Good 27" xfId="2682" xr:uid="{00000000-0005-0000-0000-0000B8500000}"/>
    <cellStyle name="Good 28" xfId="2683" xr:uid="{00000000-0005-0000-0000-0000B9500000}"/>
    <cellStyle name="Good 29" xfId="2684" xr:uid="{00000000-0005-0000-0000-0000BA500000}"/>
    <cellStyle name="Good 3" xfId="2685" xr:uid="{00000000-0005-0000-0000-0000BB500000}"/>
    <cellStyle name="Good 3 2" xfId="24100" xr:uid="{00000000-0005-0000-0000-0000BC500000}"/>
    <cellStyle name="Good 30" xfId="2686" xr:uid="{00000000-0005-0000-0000-0000BD500000}"/>
    <cellStyle name="Good 31" xfId="2687" xr:uid="{00000000-0005-0000-0000-0000BE500000}"/>
    <cellStyle name="Good 32" xfId="2688" xr:uid="{00000000-0005-0000-0000-0000BF500000}"/>
    <cellStyle name="Good 33" xfId="2689" xr:uid="{00000000-0005-0000-0000-0000C0500000}"/>
    <cellStyle name="Good 34" xfId="2690" xr:uid="{00000000-0005-0000-0000-0000C1500000}"/>
    <cellStyle name="Good 35" xfId="2691" xr:uid="{00000000-0005-0000-0000-0000C2500000}"/>
    <cellStyle name="Good 36" xfId="2692" xr:uid="{00000000-0005-0000-0000-0000C3500000}"/>
    <cellStyle name="Good 37" xfId="2693" xr:uid="{00000000-0005-0000-0000-0000C4500000}"/>
    <cellStyle name="Good 38" xfId="2694" xr:uid="{00000000-0005-0000-0000-0000C5500000}"/>
    <cellStyle name="Good 39" xfId="2695" xr:uid="{00000000-0005-0000-0000-0000C6500000}"/>
    <cellStyle name="Good 4" xfId="2696" xr:uid="{00000000-0005-0000-0000-0000C7500000}"/>
    <cellStyle name="Good 4 2" xfId="24101" xr:uid="{00000000-0005-0000-0000-0000C8500000}"/>
    <cellStyle name="Good 40" xfId="2697" xr:uid="{00000000-0005-0000-0000-0000C9500000}"/>
    <cellStyle name="Good 41" xfId="2698" xr:uid="{00000000-0005-0000-0000-0000CA500000}"/>
    <cellStyle name="Good 42" xfId="2699" xr:uid="{00000000-0005-0000-0000-0000CB500000}"/>
    <cellStyle name="Good 43" xfId="2700" xr:uid="{00000000-0005-0000-0000-0000CC500000}"/>
    <cellStyle name="Good 44" xfId="2701" xr:uid="{00000000-0005-0000-0000-0000CD500000}"/>
    <cellStyle name="Good 45" xfId="2702" xr:uid="{00000000-0005-0000-0000-0000CE500000}"/>
    <cellStyle name="Good 46" xfId="2703" xr:uid="{00000000-0005-0000-0000-0000CF500000}"/>
    <cellStyle name="Good 47" xfId="2704" xr:uid="{00000000-0005-0000-0000-0000D0500000}"/>
    <cellStyle name="Good 48" xfId="2705" xr:uid="{00000000-0005-0000-0000-0000D1500000}"/>
    <cellStyle name="Good 49" xfId="2706" xr:uid="{00000000-0005-0000-0000-0000D2500000}"/>
    <cellStyle name="Good 5" xfId="2707" xr:uid="{00000000-0005-0000-0000-0000D3500000}"/>
    <cellStyle name="Good 50" xfId="2708" xr:uid="{00000000-0005-0000-0000-0000D4500000}"/>
    <cellStyle name="Good 51" xfId="2709" xr:uid="{00000000-0005-0000-0000-0000D5500000}"/>
    <cellStyle name="Good 52" xfId="2710" xr:uid="{00000000-0005-0000-0000-0000D6500000}"/>
    <cellStyle name="Good 53" xfId="2711" xr:uid="{00000000-0005-0000-0000-0000D7500000}"/>
    <cellStyle name="Good 54" xfId="2712" xr:uid="{00000000-0005-0000-0000-0000D8500000}"/>
    <cellStyle name="Good 55" xfId="2713" xr:uid="{00000000-0005-0000-0000-0000D9500000}"/>
    <cellStyle name="Good 56" xfId="2714" xr:uid="{00000000-0005-0000-0000-0000DA500000}"/>
    <cellStyle name="Good 57" xfId="2715" xr:uid="{00000000-0005-0000-0000-0000DB500000}"/>
    <cellStyle name="Good 58" xfId="2716" xr:uid="{00000000-0005-0000-0000-0000DC500000}"/>
    <cellStyle name="Good 59" xfId="2717" xr:uid="{00000000-0005-0000-0000-0000DD500000}"/>
    <cellStyle name="Good 6" xfId="2718" xr:uid="{00000000-0005-0000-0000-0000DE500000}"/>
    <cellStyle name="Good 60" xfId="2719" xr:uid="{00000000-0005-0000-0000-0000DF500000}"/>
    <cellStyle name="Good 61" xfId="2720" xr:uid="{00000000-0005-0000-0000-0000E0500000}"/>
    <cellStyle name="Good 62" xfId="2721" xr:uid="{00000000-0005-0000-0000-0000E1500000}"/>
    <cellStyle name="Good 63" xfId="2722" xr:uid="{00000000-0005-0000-0000-0000E2500000}"/>
    <cellStyle name="Good 64" xfId="2723" xr:uid="{00000000-0005-0000-0000-0000E3500000}"/>
    <cellStyle name="Good 65" xfId="2724" xr:uid="{00000000-0005-0000-0000-0000E4500000}"/>
    <cellStyle name="Good 66" xfId="2725" xr:uid="{00000000-0005-0000-0000-0000E5500000}"/>
    <cellStyle name="Good 67" xfId="2726" xr:uid="{00000000-0005-0000-0000-0000E6500000}"/>
    <cellStyle name="Good 68" xfId="2727" xr:uid="{00000000-0005-0000-0000-0000E7500000}"/>
    <cellStyle name="Good 69" xfId="2728" xr:uid="{00000000-0005-0000-0000-0000E8500000}"/>
    <cellStyle name="Good 7" xfId="2729" xr:uid="{00000000-0005-0000-0000-0000E9500000}"/>
    <cellStyle name="Good 70" xfId="2730" xr:uid="{00000000-0005-0000-0000-0000EA500000}"/>
    <cellStyle name="Good 71" xfId="2731" xr:uid="{00000000-0005-0000-0000-0000EB500000}"/>
    <cellStyle name="Good 72" xfId="2732" xr:uid="{00000000-0005-0000-0000-0000EC500000}"/>
    <cellStyle name="Good 8" xfId="2733" xr:uid="{00000000-0005-0000-0000-0000ED500000}"/>
    <cellStyle name="Good 9" xfId="2734" xr:uid="{00000000-0005-0000-0000-0000EE500000}"/>
    <cellStyle name="Grey" xfId="38" xr:uid="{00000000-0005-0000-0000-0000EF500000}"/>
    <cellStyle name="header" xfId="39" xr:uid="{00000000-0005-0000-0000-0000F0500000}"/>
    <cellStyle name="Header1" xfId="40" xr:uid="{00000000-0005-0000-0000-0000F1500000}"/>
    <cellStyle name="Header1 2" xfId="25809" xr:uid="{00000000-0005-0000-0000-0000F2500000}"/>
    <cellStyle name="Header2" xfId="41" xr:uid="{00000000-0005-0000-0000-0000F3500000}"/>
    <cellStyle name="Header2 2" xfId="383" xr:uid="{00000000-0005-0000-0000-0000F4500000}"/>
    <cellStyle name="Header2 2 2" xfId="13782" xr:uid="{00000000-0005-0000-0000-0000F5500000}"/>
    <cellStyle name="Header2 2 2 2" xfId="25376" xr:uid="{00000000-0005-0000-0000-0000F6500000}"/>
    <cellStyle name="Header2 2 2 2 2" xfId="27530" xr:uid="{00000000-0005-0000-0000-0000F7500000}"/>
    <cellStyle name="Header2 2 2 2 2 2" xfId="32121" xr:uid="{C3B619B0-DC07-42E4-AA2E-9B018473B9F6}"/>
    <cellStyle name="Header2 2 2 2 3" xfId="29204" xr:uid="{00000000-0005-0000-0000-0000F8500000}"/>
    <cellStyle name="Header2 2 2 2 3 2" xfId="33187" xr:uid="{C2F66E54-A1E3-4C20-8A38-B7660639992D}"/>
    <cellStyle name="Header2 2 2 2 4" xfId="26314" xr:uid="{00000000-0005-0000-0000-0000F9500000}"/>
    <cellStyle name="Header2 2 2 2 4 2" xfId="31102" xr:uid="{4639B527-5D2E-4F98-A3F2-114D2F736E4C}"/>
    <cellStyle name="Header2 2 2 2 5" xfId="29362" xr:uid="{00000000-0005-0000-0000-0000FA500000}"/>
    <cellStyle name="Header2 2 2 2 6" xfId="30534" xr:uid="{1D05195A-62B3-43C6-A054-0E815CB92EAA}"/>
    <cellStyle name="Header2 2 2 3" xfId="29363" xr:uid="{00000000-0005-0000-0000-0000FB500000}"/>
    <cellStyle name="Header2 2 3" xfId="25280" xr:uid="{00000000-0005-0000-0000-0000FC500000}"/>
    <cellStyle name="Header2 2 3 2" xfId="27435" xr:uid="{00000000-0005-0000-0000-0000FD500000}"/>
    <cellStyle name="Header2 2 3 2 2" xfId="32030" xr:uid="{AC57F2A6-6527-4364-B8D8-D3A76DA1AFCF}"/>
    <cellStyle name="Header2 2 3 3" xfId="29186" xr:uid="{00000000-0005-0000-0000-0000FE500000}"/>
    <cellStyle name="Header2 2 3 3 2" xfId="33169" xr:uid="{D2BB6EC0-4099-4954-93FA-71AADF8AFB68}"/>
    <cellStyle name="Header2 2 3 4" xfId="26735" xr:uid="{00000000-0005-0000-0000-0000FF500000}"/>
    <cellStyle name="Header2 2 3 4 2" xfId="31496" xr:uid="{B3C7266E-46D2-46F3-A995-9EC2D975A107}"/>
    <cellStyle name="Header2 2 3 5" xfId="29361" xr:uid="{00000000-0005-0000-0000-000000510000}"/>
    <cellStyle name="Header2 2 3 6" xfId="30443" xr:uid="{6F8C5E05-49B9-4CBB-86A3-06197E626730}"/>
    <cellStyle name="Header2 2 4" xfId="29364" xr:uid="{00000000-0005-0000-0000-000001510000}"/>
    <cellStyle name="Header2 3" xfId="13607" xr:uid="{00000000-0005-0000-0000-000002510000}"/>
    <cellStyle name="Header2 3 2" xfId="25374" xr:uid="{00000000-0005-0000-0000-000003510000}"/>
    <cellStyle name="Header2 3 2 2" xfId="27528" xr:uid="{00000000-0005-0000-0000-000004510000}"/>
    <cellStyle name="Header2 3 2 2 2" xfId="32119" xr:uid="{0E0B95F6-27AD-450B-A1CA-C42EF0782D06}"/>
    <cellStyle name="Header2 3 2 3" xfId="29203" xr:uid="{00000000-0005-0000-0000-000005510000}"/>
    <cellStyle name="Header2 3 2 3 2" xfId="33186" xr:uid="{5B9D6D85-F64D-4449-9137-B04F29364A0B}"/>
    <cellStyle name="Header2 3 2 4" xfId="26953" xr:uid="{00000000-0005-0000-0000-000006510000}"/>
    <cellStyle name="Header2 3 2 4 2" xfId="31714" xr:uid="{5EC27C91-0051-4B63-A55A-4DE9120A926E}"/>
    <cellStyle name="Header2 3 2 5" xfId="29359" xr:uid="{00000000-0005-0000-0000-000007510000}"/>
    <cellStyle name="Header2 3 2 6" xfId="30532" xr:uid="{09954C51-BEC0-417A-B083-5782043466BD}"/>
    <cellStyle name="Header2 3 3" xfId="29360" xr:uid="{00000000-0005-0000-0000-000008510000}"/>
    <cellStyle name="Header2 4" xfId="24857" xr:uid="{00000000-0005-0000-0000-000009510000}"/>
    <cellStyle name="Header2 4 2" xfId="27318" xr:uid="{00000000-0005-0000-0000-00000A510000}"/>
    <cellStyle name="Header2 4 2 2" xfId="31937" xr:uid="{82CFEE61-3D7F-434F-8FF3-D49180B080D8}"/>
    <cellStyle name="Header2 4 3" xfId="26315" xr:uid="{00000000-0005-0000-0000-00000B510000}"/>
    <cellStyle name="Header2 4 3 2" xfId="31103" xr:uid="{F01EA148-9022-420A-B4B4-33EBD074D626}"/>
    <cellStyle name="Header2 4 4" xfId="26952" xr:uid="{00000000-0005-0000-0000-00000C510000}"/>
    <cellStyle name="Header2 4 4 2" xfId="31713" xr:uid="{3D47D7A6-1281-4E4A-BB5F-8A4A17244B69}"/>
    <cellStyle name="Header2 4 5" xfId="29404" xr:uid="{00000000-0005-0000-0000-00000D510000}"/>
    <cellStyle name="Header2 4 5 2" xfId="33347" xr:uid="{BEB23629-7218-4220-8871-F6BDF3D3031C}"/>
    <cellStyle name="Header2 4 6" xfId="29358" xr:uid="{00000000-0005-0000-0000-00000E510000}"/>
    <cellStyle name="Header2 5" xfId="29365" xr:uid="{00000000-0005-0000-0000-00000F510000}"/>
    <cellStyle name="Heading 1 10" xfId="2735" xr:uid="{00000000-0005-0000-0000-000010510000}"/>
    <cellStyle name="Heading 1 11" xfId="2736" xr:uid="{00000000-0005-0000-0000-000011510000}"/>
    <cellStyle name="Heading 1 12" xfId="2737" xr:uid="{00000000-0005-0000-0000-000012510000}"/>
    <cellStyle name="Heading 1 13" xfId="2738" xr:uid="{00000000-0005-0000-0000-000013510000}"/>
    <cellStyle name="Heading 1 14" xfId="2739" xr:uid="{00000000-0005-0000-0000-000014510000}"/>
    <cellStyle name="Heading 1 15" xfId="2740" xr:uid="{00000000-0005-0000-0000-000015510000}"/>
    <cellStyle name="Heading 1 16" xfId="2741" xr:uid="{00000000-0005-0000-0000-000016510000}"/>
    <cellStyle name="Heading 1 17" xfId="2742" xr:uid="{00000000-0005-0000-0000-000017510000}"/>
    <cellStyle name="Heading 1 18" xfId="2743" xr:uid="{00000000-0005-0000-0000-000018510000}"/>
    <cellStyle name="Heading 1 19" xfId="2744" xr:uid="{00000000-0005-0000-0000-000019510000}"/>
    <cellStyle name="Heading 1 2" xfId="42" xr:uid="{00000000-0005-0000-0000-00001A510000}"/>
    <cellStyle name="Heading 1 2 2" xfId="2745" xr:uid="{00000000-0005-0000-0000-00001B510000}"/>
    <cellStyle name="Heading 1 2 2 2" xfId="24104" xr:uid="{00000000-0005-0000-0000-00001C510000}"/>
    <cellStyle name="Heading 1 2 3" xfId="13608" xr:uid="{00000000-0005-0000-0000-00001D510000}"/>
    <cellStyle name="Heading 1 2 4" xfId="24103" xr:uid="{00000000-0005-0000-0000-00001E510000}"/>
    <cellStyle name="Heading 1 20" xfId="2746" xr:uid="{00000000-0005-0000-0000-00001F510000}"/>
    <cellStyle name="Heading 1 21" xfId="2747" xr:uid="{00000000-0005-0000-0000-000020510000}"/>
    <cellStyle name="Heading 1 22" xfId="2748" xr:uid="{00000000-0005-0000-0000-000021510000}"/>
    <cellStyle name="Heading 1 23" xfId="2749" xr:uid="{00000000-0005-0000-0000-000022510000}"/>
    <cellStyle name="Heading 1 24" xfId="2750" xr:uid="{00000000-0005-0000-0000-000023510000}"/>
    <cellStyle name="Heading 1 25" xfId="2751" xr:uid="{00000000-0005-0000-0000-000024510000}"/>
    <cellStyle name="Heading 1 26" xfId="2752" xr:uid="{00000000-0005-0000-0000-000025510000}"/>
    <cellStyle name="Heading 1 27" xfId="2753" xr:uid="{00000000-0005-0000-0000-000026510000}"/>
    <cellStyle name="Heading 1 28" xfId="2754" xr:uid="{00000000-0005-0000-0000-000027510000}"/>
    <cellStyle name="Heading 1 29" xfId="2755" xr:uid="{00000000-0005-0000-0000-000028510000}"/>
    <cellStyle name="Heading 1 3" xfId="2756" xr:uid="{00000000-0005-0000-0000-000029510000}"/>
    <cellStyle name="Heading 1 3 2" xfId="24105" xr:uid="{00000000-0005-0000-0000-00002A510000}"/>
    <cellStyle name="Heading 1 30" xfId="2757" xr:uid="{00000000-0005-0000-0000-00002B510000}"/>
    <cellStyle name="Heading 1 31" xfId="2758" xr:uid="{00000000-0005-0000-0000-00002C510000}"/>
    <cellStyle name="Heading 1 32" xfId="2759" xr:uid="{00000000-0005-0000-0000-00002D510000}"/>
    <cellStyle name="Heading 1 33" xfId="2760" xr:uid="{00000000-0005-0000-0000-00002E510000}"/>
    <cellStyle name="Heading 1 34" xfId="2761" xr:uid="{00000000-0005-0000-0000-00002F510000}"/>
    <cellStyle name="Heading 1 35" xfId="2762" xr:uid="{00000000-0005-0000-0000-000030510000}"/>
    <cellStyle name="Heading 1 36" xfId="2763" xr:uid="{00000000-0005-0000-0000-000031510000}"/>
    <cellStyle name="Heading 1 37" xfId="2764" xr:uid="{00000000-0005-0000-0000-000032510000}"/>
    <cellStyle name="Heading 1 38" xfId="2765" xr:uid="{00000000-0005-0000-0000-000033510000}"/>
    <cellStyle name="Heading 1 39" xfId="2766" xr:uid="{00000000-0005-0000-0000-000034510000}"/>
    <cellStyle name="Heading 1 4" xfId="2767" xr:uid="{00000000-0005-0000-0000-000035510000}"/>
    <cellStyle name="Heading 1 4 2" xfId="24106" xr:uid="{00000000-0005-0000-0000-000036510000}"/>
    <cellStyle name="Heading 1 40" xfId="2768" xr:uid="{00000000-0005-0000-0000-000037510000}"/>
    <cellStyle name="Heading 1 41" xfId="2769" xr:uid="{00000000-0005-0000-0000-000038510000}"/>
    <cellStyle name="Heading 1 42" xfId="2770" xr:uid="{00000000-0005-0000-0000-000039510000}"/>
    <cellStyle name="Heading 1 43" xfId="2771" xr:uid="{00000000-0005-0000-0000-00003A510000}"/>
    <cellStyle name="Heading 1 44" xfId="2772" xr:uid="{00000000-0005-0000-0000-00003B510000}"/>
    <cellStyle name="Heading 1 45" xfId="2773" xr:uid="{00000000-0005-0000-0000-00003C510000}"/>
    <cellStyle name="Heading 1 46" xfId="2774" xr:uid="{00000000-0005-0000-0000-00003D510000}"/>
    <cellStyle name="Heading 1 47" xfId="2775" xr:uid="{00000000-0005-0000-0000-00003E510000}"/>
    <cellStyle name="Heading 1 48" xfId="2776" xr:uid="{00000000-0005-0000-0000-00003F510000}"/>
    <cellStyle name="Heading 1 49" xfId="2777" xr:uid="{00000000-0005-0000-0000-000040510000}"/>
    <cellStyle name="Heading 1 5" xfId="2778" xr:uid="{00000000-0005-0000-0000-000041510000}"/>
    <cellStyle name="Heading 1 50" xfId="2779" xr:uid="{00000000-0005-0000-0000-000042510000}"/>
    <cellStyle name="Heading 1 51" xfId="2780" xr:uid="{00000000-0005-0000-0000-000043510000}"/>
    <cellStyle name="Heading 1 52" xfId="2781" xr:uid="{00000000-0005-0000-0000-000044510000}"/>
    <cellStyle name="Heading 1 53" xfId="2782" xr:uid="{00000000-0005-0000-0000-000045510000}"/>
    <cellStyle name="Heading 1 54" xfId="2783" xr:uid="{00000000-0005-0000-0000-000046510000}"/>
    <cellStyle name="Heading 1 55" xfId="2784" xr:uid="{00000000-0005-0000-0000-000047510000}"/>
    <cellStyle name="Heading 1 56" xfId="2785" xr:uid="{00000000-0005-0000-0000-000048510000}"/>
    <cellStyle name="Heading 1 57" xfId="2786" xr:uid="{00000000-0005-0000-0000-000049510000}"/>
    <cellStyle name="Heading 1 58" xfId="2787" xr:uid="{00000000-0005-0000-0000-00004A510000}"/>
    <cellStyle name="Heading 1 59" xfId="2788" xr:uid="{00000000-0005-0000-0000-00004B510000}"/>
    <cellStyle name="Heading 1 6" xfId="2789" xr:uid="{00000000-0005-0000-0000-00004C510000}"/>
    <cellStyle name="Heading 1 60" xfId="2790" xr:uid="{00000000-0005-0000-0000-00004D510000}"/>
    <cellStyle name="Heading 1 61" xfId="2791" xr:uid="{00000000-0005-0000-0000-00004E510000}"/>
    <cellStyle name="Heading 1 62" xfId="2792" xr:uid="{00000000-0005-0000-0000-00004F510000}"/>
    <cellStyle name="Heading 1 63" xfId="2793" xr:uid="{00000000-0005-0000-0000-000050510000}"/>
    <cellStyle name="Heading 1 64" xfId="2794" xr:uid="{00000000-0005-0000-0000-000051510000}"/>
    <cellStyle name="Heading 1 65" xfId="2795" xr:uid="{00000000-0005-0000-0000-000052510000}"/>
    <cellStyle name="Heading 1 66" xfId="2796" xr:uid="{00000000-0005-0000-0000-000053510000}"/>
    <cellStyle name="Heading 1 67" xfId="2797" xr:uid="{00000000-0005-0000-0000-000054510000}"/>
    <cellStyle name="Heading 1 68" xfId="2798" xr:uid="{00000000-0005-0000-0000-000055510000}"/>
    <cellStyle name="Heading 1 69" xfId="2799" xr:uid="{00000000-0005-0000-0000-000056510000}"/>
    <cellStyle name="Heading 1 7" xfId="2800" xr:uid="{00000000-0005-0000-0000-000057510000}"/>
    <cellStyle name="Heading 1 70" xfId="2801" xr:uid="{00000000-0005-0000-0000-000058510000}"/>
    <cellStyle name="Heading 1 71" xfId="2802" xr:uid="{00000000-0005-0000-0000-000059510000}"/>
    <cellStyle name="Heading 1 72" xfId="2803" xr:uid="{00000000-0005-0000-0000-00005A510000}"/>
    <cellStyle name="Heading 1 73" xfId="23920" xr:uid="{00000000-0005-0000-0000-00005B510000}"/>
    <cellStyle name="Heading 1 8" xfId="2804" xr:uid="{00000000-0005-0000-0000-00005C510000}"/>
    <cellStyle name="Heading 1 9" xfId="2805" xr:uid="{00000000-0005-0000-0000-00005D510000}"/>
    <cellStyle name="Heading 2 10" xfId="2806" xr:uid="{00000000-0005-0000-0000-00005E510000}"/>
    <cellStyle name="Heading 2 11" xfId="2807" xr:uid="{00000000-0005-0000-0000-00005F510000}"/>
    <cellStyle name="Heading 2 12" xfId="2808" xr:uid="{00000000-0005-0000-0000-000060510000}"/>
    <cellStyle name="Heading 2 13" xfId="2809" xr:uid="{00000000-0005-0000-0000-000061510000}"/>
    <cellStyle name="Heading 2 14" xfId="2810" xr:uid="{00000000-0005-0000-0000-000062510000}"/>
    <cellStyle name="Heading 2 15" xfId="2811" xr:uid="{00000000-0005-0000-0000-000063510000}"/>
    <cellStyle name="Heading 2 16" xfId="2812" xr:uid="{00000000-0005-0000-0000-000064510000}"/>
    <cellStyle name="Heading 2 17" xfId="2813" xr:uid="{00000000-0005-0000-0000-000065510000}"/>
    <cellStyle name="Heading 2 18" xfId="2814" xr:uid="{00000000-0005-0000-0000-000066510000}"/>
    <cellStyle name="Heading 2 19" xfId="2815" xr:uid="{00000000-0005-0000-0000-000067510000}"/>
    <cellStyle name="Heading 2 2" xfId="43" xr:uid="{00000000-0005-0000-0000-000068510000}"/>
    <cellStyle name="Heading 2 2 2" xfId="2816" xr:uid="{00000000-0005-0000-0000-000069510000}"/>
    <cellStyle name="Heading 2 2 2 2" xfId="24108" xr:uid="{00000000-0005-0000-0000-00006A510000}"/>
    <cellStyle name="Heading 2 2 3" xfId="13609" xr:uid="{00000000-0005-0000-0000-00006B510000}"/>
    <cellStyle name="Heading 2 2 4" xfId="24107" xr:uid="{00000000-0005-0000-0000-00006C510000}"/>
    <cellStyle name="Heading 2 20" xfId="2817" xr:uid="{00000000-0005-0000-0000-00006D510000}"/>
    <cellStyle name="Heading 2 21" xfId="2818" xr:uid="{00000000-0005-0000-0000-00006E510000}"/>
    <cellStyle name="Heading 2 22" xfId="2819" xr:uid="{00000000-0005-0000-0000-00006F510000}"/>
    <cellStyle name="Heading 2 23" xfId="2820" xr:uid="{00000000-0005-0000-0000-000070510000}"/>
    <cellStyle name="Heading 2 24" xfId="2821" xr:uid="{00000000-0005-0000-0000-000071510000}"/>
    <cellStyle name="Heading 2 25" xfId="2822" xr:uid="{00000000-0005-0000-0000-000072510000}"/>
    <cellStyle name="Heading 2 26" xfId="2823" xr:uid="{00000000-0005-0000-0000-000073510000}"/>
    <cellStyle name="Heading 2 27" xfId="2824" xr:uid="{00000000-0005-0000-0000-000074510000}"/>
    <cellStyle name="Heading 2 28" xfId="2825" xr:uid="{00000000-0005-0000-0000-000075510000}"/>
    <cellStyle name="Heading 2 29" xfId="2826" xr:uid="{00000000-0005-0000-0000-000076510000}"/>
    <cellStyle name="Heading 2 3" xfId="2827" xr:uid="{00000000-0005-0000-0000-000077510000}"/>
    <cellStyle name="Heading 2 3 2" xfId="24109" xr:uid="{00000000-0005-0000-0000-000078510000}"/>
    <cellStyle name="Heading 2 30" xfId="2828" xr:uid="{00000000-0005-0000-0000-000079510000}"/>
    <cellStyle name="Heading 2 31" xfId="2829" xr:uid="{00000000-0005-0000-0000-00007A510000}"/>
    <cellStyle name="Heading 2 32" xfId="2830" xr:uid="{00000000-0005-0000-0000-00007B510000}"/>
    <cellStyle name="Heading 2 33" xfId="2831" xr:uid="{00000000-0005-0000-0000-00007C510000}"/>
    <cellStyle name="Heading 2 34" xfId="2832" xr:uid="{00000000-0005-0000-0000-00007D510000}"/>
    <cellStyle name="Heading 2 35" xfId="2833" xr:uid="{00000000-0005-0000-0000-00007E510000}"/>
    <cellStyle name="Heading 2 36" xfId="2834" xr:uid="{00000000-0005-0000-0000-00007F510000}"/>
    <cellStyle name="Heading 2 37" xfId="2835" xr:uid="{00000000-0005-0000-0000-000080510000}"/>
    <cellStyle name="Heading 2 38" xfId="2836" xr:uid="{00000000-0005-0000-0000-000081510000}"/>
    <cellStyle name="Heading 2 39" xfId="2837" xr:uid="{00000000-0005-0000-0000-000082510000}"/>
    <cellStyle name="Heading 2 4" xfId="2838" xr:uid="{00000000-0005-0000-0000-000083510000}"/>
    <cellStyle name="Heading 2 4 2" xfId="24110" xr:uid="{00000000-0005-0000-0000-000084510000}"/>
    <cellStyle name="Heading 2 40" xfId="2839" xr:uid="{00000000-0005-0000-0000-000085510000}"/>
    <cellStyle name="Heading 2 41" xfId="2840" xr:uid="{00000000-0005-0000-0000-000086510000}"/>
    <cellStyle name="Heading 2 42" xfId="2841" xr:uid="{00000000-0005-0000-0000-000087510000}"/>
    <cellStyle name="Heading 2 43" xfId="2842" xr:uid="{00000000-0005-0000-0000-000088510000}"/>
    <cellStyle name="Heading 2 44" xfId="2843" xr:uid="{00000000-0005-0000-0000-000089510000}"/>
    <cellStyle name="Heading 2 45" xfId="2844" xr:uid="{00000000-0005-0000-0000-00008A510000}"/>
    <cellStyle name="Heading 2 46" xfId="2845" xr:uid="{00000000-0005-0000-0000-00008B510000}"/>
    <cellStyle name="Heading 2 47" xfId="2846" xr:uid="{00000000-0005-0000-0000-00008C510000}"/>
    <cellStyle name="Heading 2 48" xfId="2847" xr:uid="{00000000-0005-0000-0000-00008D510000}"/>
    <cellStyle name="Heading 2 49" xfId="2848" xr:uid="{00000000-0005-0000-0000-00008E510000}"/>
    <cellStyle name="Heading 2 5" xfId="2849" xr:uid="{00000000-0005-0000-0000-00008F510000}"/>
    <cellStyle name="Heading 2 50" xfId="2850" xr:uid="{00000000-0005-0000-0000-000090510000}"/>
    <cellStyle name="Heading 2 51" xfId="2851" xr:uid="{00000000-0005-0000-0000-000091510000}"/>
    <cellStyle name="Heading 2 52" xfId="2852" xr:uid="{00000000-0005-0000-0000-000092510000}"/>
    <cellStyle name="Heading 2 53" xfId="2853" xr:uid="{00000000-0005-0000-0000-000093510000}"/>
    <cellStyle name="Heading 2 54" xfId="2854" xr:uid="{00000000-0005-0000-0000-000094510000}"/>
    <cellStyle name="Heading 2 55" xfId="2855" xr:uid="{00000000-0005-0000-0000-000095510000}"/>
    <cellStyle name="Heading 2 56" xfId="2856" xr:uid="{00000000-0005-0000-0000-000096510000}"/>
    <cellStyle name="Heading 2 57" xfId="2857" xr:uid="{00000000-0005-0000-0000-000097510000}"/>
    <cellStyle name="Heading 2 58" xfId="2858" xr:uid="{00000000-0005-0000-0000-000098510000}"/>
    <cellStyle name="Heading 2 59" xfId="2859" xr:uid="{00000000-0005-0000-0000-000099510000}"/>
    <cellStyle name="Heading 2 6" xfId="2860" xr:uid="{00000000-0005-0000-0000-00009A510000}"/>
    <cellStyle name="Heading 2 60" xfId="2861" xr:uid="{00000000-0005-0000-0000-00009B510000}"/>
    <cellStyle name="Heading 2 61" xfId="2862" xr:uid="{00000000-0005-0000-0000-00009C510000}"/>
    <cellStyle name="Heading 2 62" xfId="2863" xr:uid="{00000000-0005-0000-0000-00009D510000}"/>
    <cellStyle name="Heading 2 63" xfId="2864" xr:uid="{00000000-0005-0000-0000-00009E510000}"/>
    <cellStyle name="Heading 2 64" xfId="2865" xr:uid="{00000000-0005-0000-0000-00009F510000}"/>
    <cellStyle name="Heading 2 65" xfId="2866" xr:uid="{00000000-0005-0000-0000-0000A0510000}"/>
    <cellStyle name="Heading 2 66" xfId="2867" xr:uid="{00000000-0005-0000-0000-0000A1510000}"/>
    <cellStyle name="Heading 2 67" xfId="2868" xr:uid="{00000000-0005-0000-0000-0000A2510000}"/>
    <cellStyle name="Heading 2 68" xfId="2869" xr:uid="{00000000-0005-0000-0000-0000A3510000}"/>
    <cellStyle name="Heading 2 69" xfId="2870" xr:uid="{00000000-0005-0000-0000-0000A4510000}"/>
    <cellStyle name="Heading 2 7" xfId="2871" xr:uid="{00000000-0005-0000-0000-0000A5510000}"/>
    <cellStyle name="Heading 2 70" xfId="2872" xr:uid="{00000000-0005-0000-0000-0000A6510000}"/>
    <cellStyle name="Heading 2 71" xfId="2873" xr:uid="{00000000-0005-0000-0000-0000A7510000}"/>
    <cellStyle name="Heading 2 72" xfId="2874" xr:uid="{00000000-0005-0000-0000-0000A8510000}"/>
    <cellStyle name="Heading 2 73" xfId="23921" xr:uid="{00000000-0005-0000-0000-0000A9510000}"/>
    <cellStyle name="Heading 2 8" xfId="2875" xr:uid="{00000000-0005-0000-0000-0000AA510000}"/>
    <cellStyle name="Heading 2 9" xfId="2876" xr:uid="{00000000-0005-0000-0000-0000AB510000}"/>
    <cellStyle name="Heading 3 10" xfId="2877" xr:uid="{00000000-0005-0000-0000-0000AC510000}"/>
    <cellStyle name="Heading 3 11" xfId="2878" xr:uid="{00000000-0005-0000-0000-0000AD510000}"/>
    <cellStyle name="Heading 3 12" xfId="2879" xr:uid="{00000000-0005-0000-0000-0000AE510000}"/>
    <cellStyle name="Heading 3 13" xfId="2880" xr:uid="{00000000-0005-0000-0000-0000AF510000}"/>
    <cellStyle name="Heading 3 14" xfId="2881" xr:uid="{00000000-0005-0000-0000-0000B0510000}"/>
    <cellStyle name="Heading 3 15" xfId="2882" xr:uid="{00000000-0005-0000-0000-0000B1510000}"/>
    <cellStyle name="Heading 3 16" xfId="2883" xr:uid="{00000000-0005-0000-0000-0000B2510000}"/>
    <cellStyle name="Heading 3 17" xfId="2884" xr:uid="{00000000-0005-0000-0000-0000B3510000}"/>
    <cellStyle name="Heading 3 18" xfId="2885" xr:uid="{00000000-0005-0000-0000-0000B4510000}"/>
    <cellStyle name="Heading 3 19" xfId="2886" xr:uid="{00000000-0005-0000-0000-0000B5510000}"/>
    <cellStyle name="Heading 3 2" xfId="2887" xr:uid="{00000000-0005-0000-0000-0000B6510000}"/>
    <cellStyle name="Heading 3 2 2" xfId="24112" xr:uid="{00000000-0005-0000-0000-0000B7510000}"/>
    <cellStyle name="Heading 3 2 3" xfId="24111" xr:uid="{00000000-0005-0000-0000-0000B8510000}"/>
    <cellStyle name="Heading 3 20" xfId="2888" xr:uid="{00000000-0005-0000-0000-0000B9510000}"/>
    <cellStyle name="Heading 3 21" xfId="2889" xr:uid="{00000000-0005-0000-0000-0000BA510000}"/>
    <cellStyle name="Heading 3 22" xfId="2890" xr:uid="{00000000-0005-0000-0000-0000BB510000}"/>
    <cellStyle name="Heading 3 23" xfId="2891" xr:uid="{00000000-0005-0000-0000-0000BC510000}"/>
    <cellStyle name="Heading 3 24" xfId="2892" xr:uid="{00000000-0005-0000-0000-0000BD510000}"/>
    <cellStyle name="Heading 3 25" xfId="2893" xr:uid="{00000000-0005-0000-0000-0000BE510000}"/>
    <cellStyle name="Heading 3 26" xfId="2894" xr:uid="{00000000-0005-0000-0000-0000BF510000}"/>
    <cellStyle name="Heading 3 27" xfId="2895" xr:uid="{00000000-0005-0000-0000-0000C0510000}"/>
    <cellStyle name="Heading 3 28" xfId="2896" xr:uid="{00000000-0005-0000-0000-0000C1510000}"/>
    <cellStyle name="Heading 3 29" xfId="2897" xr:uid="{00000000-0005-0000-0000-0000C2510000}"/>
    <cellStyle name="Heading 3 3" xfId="2898" xr:uid="{00000000-0005-0000-0000-0000C3510000}"/>
    <cellStyle name="Heading 3 3 2" xfId="24113" xr:uid="{00000000-0005-0000-0000-0000C4510000}"/>
    <cellStyle name="Heading 3 30" xfId="2899" xr:uid="{00000000-0005-0000-0000-0000C5510000}"/>
    <cellStyle name="Heading 3 31" xfId="2900" xr:uid="{00000000-0005-0000-0000-0000C6510000}"/>
    <cellStyle name="Heading 3 32" xfId="2901" xr:uid="{00000000-0005-0000-0000-0000C7510000}"/>
    <cellStyle name="Heading 3 33" xfId="2902" xr:uid="{00000000-0005-0000-0000-0000C8510000}"/>
    <cellStyle name="Heading 3 34" xfId="2903" xr:uid="{00000000-0005-0000-0000-0000C9510000}"/>
    <cellStyle name="Heading 3 35" xfId="2904" xr:uid="{00000000-0005-0000-0000-0000CA510000}"/>
    <cellStyle name="Heading 3 36" xfId="2905" xr:uid="{00000000-0005-0000-0000-0000CB510000}"/>
    <cellStyle name="Heading 3 37" xfId="2906" xr:uid="{00000000-0005-0000-0000-0000CC510000}"/>
    <cellStyle name="Heading 3 38" xfId="2907" xr:uid="{00000000-0005-0000-0000-0000CD510000}"/>
    <cellStyle name="Heading 3 39" xfId="2908" xr:uid="{00000000-0005-0000-0000-0000CE510000}"/>
    <cellStyle name="Heading 3 4" xfId="2909" xr:uid="{00000000-0005-0000-0000-0000CF510000}"/>
    <cellStyle name="Heading 3 4 2" xfId="24114" xr:uid="{00000000-0005-0000-0000-0000D0510000}"/>
    <cellStyle name="Heading 3 40" xfId="2910" xr:uid="{00000000-0005-0000-0000-0000D1510000}"/>
    <cellStyle name="Heading 3 41" xfId="2911" xr:uid="{00000000-0005-0000-0000-0000D2510000}"/>
    <cellStyle name="Heading 3 42" xfId="2912" xr:uid="{00000000-0005-0000-0000-0000D3510000}"/>
    <cellStyle name="Heading 3 43" xfId="2913" xr:uid="{00000000-0005-0000-0000-0000D4510000}"/>
    <cellStyle name="Heading 3 44" xfId="2914" xr:uid="{00000000-0005-0000-0000-0000D5510000}"/>
    <cellStyle name="Heading 3 45" xfId="2915" xr:uid="{00000000-0005-0000-0000-0000D6510000}"/>
    <cellStyle name="Heading 3 46" xfId="2916" xr:uid="{00000000-0005-0000-0000-0000D7510000}"/>
    <cellStyle name="Heading 3 47" xfId="2917" xr:uid="{00000000-0005-0000-0000-0000D8510000}"/>
    <cellStyle name="Heading 3 48" xfId="2918" xr:uid="{00000000-0005-0000-0000-0000D9510000}"/>
    <cellStyle name="Heading 3 49" xfId="2919" xr:uid="{00000000-0005-0000-0000-0000DA510000}"/>
    <cellStyle name="Heading 3 5" xfId="2920" xr:uid="{00000000-0005-0000-0000-0000DB510000}"/>
    <cellStyle name="Heading 3 50" xfId="2921" xr:uid="{00000000-0005-0000-0000-0000DC510000}"/>
    <cellStyle name="Heading 3 51" xfId="2922" xr:uid="{00000000-0005-0000-0000-0000DD510000}"/>
    <cellStyle name="Heading 3 52" xfId="2923" xr:uid="{00000000-0005-0000-0000-0000DE510000}"/>
    <cellStyle name="Heading 3 53" xfId="2924" xr:uid="{00000000-0005-0000-0000-0000DF510000}"/>
    <cellStyle name="Heading 3 54" xfId="2925" xr:uid="{00000000-0005-0000-0000-0000E0510000}"/>
    <cellStyle name="Heading 3 55" xfId="2926" xr:uid="{00000000-0005-0000-0000-0000E1510000}"/>
    <cellStyle name="Heading 3 56" xfId="2927" xr:uid="{00000000-0005-0000-0000-0000E2510000}"/>
    <cellStyle name="Heading 3 57" xfId="2928" xr:uid="{00000000-0005-0000-0000-0000E3510000}"/>
    <cellStyle name="Heading 3 58" xfId="2929" xr:uid="{00000000-0005-0000-0000-0000E4510000}"/>
    <cellStyle name="Heading 3 59" xfId="2930" xr:uid="{00000000-0005-0000-0000-0000E5510000}"/>
    <cellStyle name="Heading 3 6" xfId="2931" xr:uid="{00000000-0005-0000-0000-0000E6510000}"/>
    <cellStyle name="Heading 3 60" xfId="2932" xr:uid="{00000000-0005-0000-0000-0000E7510000}"/>
    <cellStyle name="Heading 3 61" xfId="2933" xr:uid="{00000000-0005-0000-0000-0000E8510000}"/>
    <cellStyle name="Heading 3 62" xfId="2934" xr:uid="{00000000-0005-0000-0000-0000E9510000}"/>
    <cellStyle name="Heading 3 63" xfId="2935" xr:uid="{00000000-0005-0000-0000-0000EA510000}"/>
    <cellStyle name="Heading 3 64" xfId="2936" xr:uid="{00000000-0005-0000-0000-0000EB510000}"/>
    <cellStyle name="Heading 3 65" xfId="2937" xr:uid="{00000000-0005-0000-0000-0000EC510000}"/>
    <cellStyle name="Heading 3 66" xfId="2938" xr:uid="{00000000-0005-0000-0000-0000ED510000}"/>
    <cellStyle name="Heading 3 67" xfId="2939" xr:uid="{00000000-0005-0000-0000-0000EE510000}"/>
    <cellStyle name="Heading 3 68" xfId="2940" xr:uid="{00000000-0005-0000-0000-0000EF510000}"/>
    <cellStyle name="Heading 3 69" xfId="2941" xr:uid="{00000000-0005-0000-0000-0000F0510000}"/>
    <cellStyle name="Heading 3 7" xfId="2942" xr:uid="{00000000-0005-0000-0000-0000F1510000}"/>
    <cellStyle name="Heading 3 70" xfId="2943" xr:uid="{00000000-0005-0000-0000-0000F2510000}"/>
    <cellStyle name="Heading 3 71" xfId="2944" xr:uid="{00000000-0005-0000-0000-0000F3510000}"/>
    <cellStyle name="Heading 3 72" xfId="2945" xr:uid="{00000000-0005-0000-0000-0000F4510000}"/>
    <cellStyle name="Heading 3 8" xfId="2946" xr:uid="{00000000-0005-0000-0000-0000F5510000}"/>
    <cellStyle name="Heading 3 9" xfId="2947" xr:uid="{00000000-0005-0000-0000-0000F6510000}"/>
    <cellStyle name="Heading 4 10" xfId="2948" xr:uid="{00000000-0005-0000-0000-0000F7510000}"/>
    <cellStyle name="Heading 4 11" xfId="2949" xr:uid="{00000000-0005-0000-0000-0000F8510000}"/>
    <cellStyle name="Heading 4 12" xfId="2950" xr:uid="{00000000-0005-0000-0000-0000F9510000}"/>
    <cellStyle name="Heading 4 13" xfId="2951" xr:uid="{00000000-0005-0000-0000-0000FA510000}"/>
    <cellStyle name="Heading 4 14" xfId="2952" xr:uid="{00000000-0005-0000-0000-0000FB510000}"/>
    <cellStyle name="Heading 4 15" xfId="2953" xr:uid="{00000000-0005-0000-0000-0000FC510000}"/>
    <cellStyle name="Heading 4 16" xfId="2954" xr:uid="{00000000-0005-0000-0000-0000FD510000}"/>
    <cellStyle name="Heading 4 17" xfId="2955" xr:uid="{00000000-0005-0000-0000-0000FE510000}"/>
    <cellStyle name="Heading 4 18" xfId="2956" xr:uid="{00000000-0005-0000-0000-0000FF510000}"/>
    <cellStyle name="Heading 4 19" xfId="2957" xr:uid="{00000000-0005-0000-0000-000000520000}"/>
    <cellStyle name="Heading 4 2" xfId="2958" xr:uid="{00000000-0005-0000-0000-000001520000}"/>
    <cellStyle name="Heading 4 2 2" xfId="24116" xr:uid="{00000000-0005-0000-0000-000002520000}"/>
    <cellStyle name="Heading 4 2 3" xfId="24115" xr:uid="{00000000-0005-0000-0000-000003520000}"/>
    <cellStyle name="Heading 4 20" xfId="2959" xr:uid="{00000000-0005-0000-0000-000004520000}"/>
    <cellStyle name="Heading 4 21" xfId="2960" xr:uid="{00000000-0005-0000-0000-000005520000}"/>
    <cellStyle name="Heading 4 22" xfId="2961" xr:uid="{00000000-0005-0000-0000-000006520000}"/>
    <cellStyle name="Heading 4 23" xfId="2962" xr:uid="{00000000-0005-0000-0000-000007520000}"/>
    <cellStyle name="Heading 4 24" xfId="2963" xr:uid="{00000000-0005-0000-0000-000008520000}"/>
    <cellStyle name="Heading 4 25" xfId="2964" xr:uid="{00000000-0005-0000-0000-000009520000}"/>
    <cellStyle name="Heading 4 26" xfId="2965" xr:uid="{00000000-0005-0000-0000-00000A520000}"/>
    <cellStyle name="Heading 4 27" xfId="2966" xr:uid="{00000000-0005-0000-0000-00000B520000}"/>
    <cellStyle name="Heading 4 28" xfId="2967" xr:uid="{00000000-0005-0000-0000-00000C520000}"/>
    <cellStyle name="Heading 4 29" xfId="2968" xr:uid="{00000000-0005-0000-0000-00000D520000}"/>
    <cellStyle name="Heading 4 3" xfId="2969" xr:uid="{00000000-0005-0000-0000-00000E520000}"/>
    <cellStyle name="Heading 4 3 2" xfId="24117" xr:uid="{00000000-0005-0000-0000-00000F520000}"/>
    <cellStyle name="Heading 4 30" xfId="2970" xr:uid="{00000000-0005-0000-0000-000010520000}"/>
    <cellStyle name="Heading 4 31" xfId="2971" xr:uid="{00000000-0005-0000-0000-000011520000}"/>
    <cellStyle name="Heading 4 32" xfId="2972" xr:uid="{00000000-0005-0000-0000-000012520000}"/>
    <cellStyle name="Heading 4 33" xfId="2973" xr:uid="{00000000-0005-0000-0000-000013520000}"/>
    <cellStyle name="Heading 4 34" xfId="2974" xr:uid="{00000000-0005-0000-0000-000014520000}"/>
    <cellStyle name="Heading 4 35" xfId="2975" xr:uid="{00000000-0005-0000-0000-000015520000}"/>
    <cellStyle name="Heading 4 36" xfId="2976" xr:uid="{00000000-0005-0000-0000-000016520000}"/>
    <cellStyle name="Heading 4 37" xfId="2977" xr:uid="{00000000-0005-0000-0000-000017520000}"/>
    <cellStyle name="Heading 4 38" xfId="2978" xr:uid="{00000000-0005-0000-0000-000018520000}"/>
    <cellStyle name="Heading 4 39" xfId="2979" xr:uid="{00000000-0005-0000-0000-000019520000}"/>
    <cellStyle name="Heading 4 4" xfId="2980" xr:uid="{00000000-0005-0000-0000-00001A520000}"/>
    <cellStyle name="Heading 4 4 2" xfId="24118" xr:uid="{00000000-0005-0000-0000-00001B520000}"/>
    <cellStyle name="Heading 4 40" xfId="2981" xr:uid="{00000000-0005-0000-0000-00001C520000}"/>
    <cellStyle name="Heading 4 41" xfId="2982" xr:uid="{00000000-0005-0000-0000-00001D520000}"/>
    <cellStyle name="Heading 4 42" xfId="2983" xr:uid="{00000000-0005-0000-0000-00001E520000}"/>
    <cellStyle name="Heading 4 43" xfId="2984" xr:uid="{00000000-0005-0000-0000-00001F520000}"/>
    <cellStyle name="Heading 4 44" xfId="2985" xr:uid="{00000000-0005-0000-0000-000020520000}"/>
    <cellStyle name="Heading 4 45" xfId="2986" xr:uid="{00000000-0005-0000-0000-000021520000}"/>
    <cellStyle name="Heading 4 46" xfId="2987" xr:uid="{00000000-0005-0000-0000-000022520000}"/>
    <cellStyle name="Heading 4 47" xfId="2988" xr:uid="{00000000-0005-0000-0000-000023520000}"/>
    <cellStyle name="Heading 4 48" xfId="2989" xr:uid="{00000000-0005-0000-0000-000024520000}"/>
    <cellStyle name="Heading 4 49" xfId="2990" xr:uid="{00000000-0005-0000-0000-000025520000}"/>
    <cellStyle name="Heading 4 5" xfId="2991" xr:uid="{00000000-0005-0000-0000-000026520000}"/>
    <cellStyle name="Heading 4 50" xfId="2992" xr:uid="{00000000-0005-0000-0000-000027520000}"/>
    <cellStyle name="Heading 4 51" xfId="2993" xr:uid="{00000000-0005-0000-0000-000028520000}"/>
    <cellStyle name="Heading 4 52" xfId="2994" xr:uid="{00000000-0005-0000-0000-000029520000}"/>
    <cellStyle name="Heading 4 53" xfId="2995" xr:uid="{00000000-0005-0000-0000-00002A520000}"/>
    <cellStyle name="Heading 4 54" xfId="2996" xr:uid="{00000000-0005-0000-0000-00002B520000}"/>
    <cellStyle name="Heading 4 55" xfId="2997" xr:uid="{00000000-0005-0000-0000-00002C520000}"/>
    <cellStyle name="Heading 4 56" xfId="2998" xr:uid="{00000000-0005-0000-0000-00002D520000}"/>
    <cellStyle name="Heading 4 57" xfId="2999" xr:uid="{00000000-0005-0000-0000-00002E520000}"/>
    <cellStyle name="Heading 4 58" xfId="3000" xr:uid="{00000000-0005-0000-0000-00002F520000}"/>
    <cellStyle name="Heading 4 59" xfId="3001" xr:uid="{00000000-0005-0000-0000-000030520000}"/>
    <cellStyle name="Heading 4 6" xfId="3002" xr:uid="{00000000-0005-0000-0000-000031520000}"/>
    <cellStyle name="Heading 4 60" xfId="3003" xr:uid="{00000000-0005-0000-0000-000032520000}"/>
    <cellStyle name="Heading 4 61" xfId="3004" xr:uid="{00000000-0005-0000-0000-000033520000}"/>
    <cellStyle name="Heading 4 62" xfId="3005" xr:uid="{00000000-0005-0000-0000-000034520000}"/>
    <cellStyle name="Heading 4 63" xfId="3006" xr:uid="{00000000-0005-0000-0000-000035520000}"/>
    <cellStyle name="Heading 4 64" xfId="3007" xr:uid="{00000000-0005-0000-0000-000036520000}"/>
    <cellStyle name="Heading 4 65" xfId="3008" xr:uid="{00000000-0005-0000-0000-000037520000}"/>
    <cellStyle name="Heading 4 66" xfId="3009" xr:uid="{00000000-0005-0000-0000-000038520000}"/>
    <cellStyle name="Heading 4 67" xfId="3010" xr:uid="{00000000-0005-0000-0000-000039520000}"/>
    <cellStyle name="Heading 4 68" xfId="3011" xr:uid="{00000000-0005-0000-0000-00003A520000}"/>
    <cellStyle name="Heading 4 69" xfId="3012" xr:uid="{00000000-0005-0000-0000-00003B520000}"/>
    <cellStyle name="Heading 4 7" xfId="3013" xr:uid="{00000000-0005-0000-0000-00003C520000}"/>
    <cellStyle name="Heading 4 70" xfId="3014" xr:uid="{00000000-0005-0000-0000-00003D520000}"/>
    <cellStyle name="Heading 4 71" xfId="3015" xr:uid="{00000000-0005-0000-0000-00003E520000}"/>
    <cellStyle name="Heading 4 72" xfId="3016" xr:uid="{00000000-0005-0000-0000-00003F520000}"/>
    <cellStyle name="Heading 4 8" xfId="3017" xr:uid="{00000000-0005-0000-0000-000040520000}"/>
    <cellStyle name="Heading 4 9" xfId="3018" xr:uid="{00000000-0005-0000-0000-000041520000}"/>
    <cellStyle name="HEADING1" xfId="570" xr:uid="{00000000-0005-0000-0000-000042520000}"/>
    <cellStyle name="HEADING2" xfId="571" xr:uid="{00000000-0005-0000-0000-000043520000}"/>
    <cellStyle name="HEADING2 2" xfId="24119" xr:uid="{00000000-0005-0000-0000-000044520000}"/>
    <cellStyle name="Hyperlink" xfId="4620" builtinId="8" customBuiltin="1"/>
    <cellStyle name="Hyperlink 2" xfId="645" xr:uid="{00000000-0005-0000-0000-000046520000}"/>
    <cellStyle name="Hyperlink 2 2" xfId="3019" xr:uid="{00000000-0005-0000-0000-000047520000}"/>
    <cellStyle name="Hyperlink 3" xfId="3020" xr:uid="{00000000-0005-0000-0000-000048520000}"/>
    <cellStyle name="Hyperlink 4" xfId="23892" xr:uid="{00000000-0005-0000-0000-000049520000}"/>
    <cellStyle name="Input [yellow]" xfId="44" xr:uid="{00000000-0005-0000-0000-00004A520000}"/>
    <cellStyle name="Input [yellow] 2" xfId="24553" xr:uid="{00000000-0005-0000-0000-00004B520000}"/>
    <cellStyle name="Input 10" xfId="189" xr:uid="{00000000-0005-0000-0000-00004C520000}"/>
    <cellStyle name="Input 10 2" xfId="3021" xr:uid="{00000000-0005-0000-0000-00004D520000}"/>
    <cellStyle name="Input 10 3" xfId="13690" xr:uid="{00000000-0005-0000-0000-00004E520000}"/>
    <cellStyle name="Input 11" xfId="190" xr:uid="{00000000-0005-0000-0000-00004F520000}"/>
    <cellStyle name="Input 11 2" xfId="3022" xr:uid="{00000000-0005-0000-0000-000050520000}"/>
    <cellStyle name="Input 11 3" xfId="13691" xr:uid="{00000000-0005-0000-0000-000051520000}"/>
    <cellStyle name="Input 12" xfId="191" xr:uid="{00000000-0005-0000-0000-000052520000}"/>
    <cellStyle name="Input 12 2" xfId="3023" xr:uid="{00000000-0005-0000-0000-000053520000}"/>
    <cellStyle name="Input 12 3" xfId="13692" xr:uid="{00000000-0005-0000-0000-000054520000}"/>
    <cellStyle name="Input 13" xfId="192" xr:uid="{00000000-0005-0000-0000-000055520000}"/>
    <cellStyle name="Input 13 2" xfId="3024" xr:uid="{00000000-0005-0000-0000-000056520000}"/>
    <cellStyle name="Input 13 3" xfId="13693" xr:uid="{00000000-0005-0000-0000-000057520000}"/>
    <cellStyle name="Input 14" xfId="193" xr:uid="{00000000-0005-0000-0000-000058520000}"/>
    <cellStyle name="Input 14 2" xfId="3025" xr:uid="{00000000-0005-0000-0000-000059520000}"/>
    <cellStyle name="Input 14 3" xfId="13694" xr:uid="{00000000-0005-0000-0000-00005A520000}"/>
    <cellStyle name="Input 15" xfId="284" xr:uid="{00000000-0005-0000-0000-00005B520000}"/>
    <cellStyle name="Input 15 2" xfId="3026" xr:uid="{00000000-0005-0000-0000-00005C520000}"/>
    <cellStyle name="Input 15 3" xfId="13737" xr:uid="{00000000-0005-0000-0000-00005D520000}"/>
    <cellStyle name="Input 16" xfId="285" xr:uid="{00000000-0005-0000-0000-00005E520000}"/>
    <cellStyle name="Input 16 2" xfId="3027" xr:uid="{00000000-0005-0000-0000-00005F520000}"/>
    <cellStyle name="Input 16 3" xfId="13738" xr:uid="{00000000-0005-0000-0000-000060520000}"/>
    <cellStyle name="Input 17" xfId="292" xr:uid="{00000000-0005-0000-0000-000061520000}"/>
    <cellStyle name="Input 17 2" xfId="3028" xr:uid="{00000000-0005-0000-0000-000062520000}"/>
    <cellStyle name="Input 17 3" xfId="13739" xr:uid="{00000000-0005-0000-0000-000063520000}"/>
    <cellStyle name="Input 18" xfId="293" xr:uid="{00000000-0005-0000-0000-000064520000}"/>
    <cellStyle name="Input 18 2" xfId="3029" xr:uid="{00000000-0005-0000-0000-000065520000}"/>
    <cellStyle name="Input 18 3" xfId="13740" xr:uid="{00000000-0005-0000-0000-000066520000}"/>
    <cellStyle name="Input 19" xfId="294" xr:uid="{00000000-0005-0000-0000-000067520000}"/>
    <cellStyle name="Input 19 2" xfId="3030" xr:uid="{00000000-0005-0000-0000-000068520000}"/>
    <cellStyle name="Input 19 3" xfId="13741" xr:uid="{00000000-0005-0000-0000-000069520000}"/>
    <cellStyle name="Input 2" xfId="45" xr:uid="{00000000-0005-0000-0000-00006A520000}"/>
    <cellStyle name="Input 2 2" xfId="3031" xr:uid="{00000000-0005-0000-0000-00006B520000}"/>
    <cellStyle name="Input 2 2 2" xfId="24121" xr:uid="{00000000-0005-0000-0000-00006C520000}"/>
    <cellStyle name="Input 2 2 2 2" xfId="25560" xr:uid="{00000000-0005-0000-0000-00006D520000}"/>
    <cellStyle name="Input 2 2 2 2 2" xfId="27713" xr:uid="{00000000-0005-0000-0000-00006E520000}"/>
    <cellStyle name="Input 2 2 2 2 2 2" xfId="32300" xr:uid="{DEA2D1D5-199E-48CA-A0DB-B513A9775CCE}"/>
    <cellStyle name="Input 2 2 2 2 3" xfId="29228" xr:uid="{00000000-0005-0000-0000-00006F520000}"/>
    <cellStyle name="Input 2 2 2 2 3 2" xfId="33211" xr:uid="{B04B477A-67A8-4A5B-BAF9-D885E02499ED}"/>
    <cellStyle name="Input 2 2 2 2 4" xfId="26097" xr:uid="{00000000-0005-0000-0000-000070520000}"/>
    <cellStyle name="Input 2 2 2 2 4 2" xfId="30887" xr:uid="{B109BE65-4712-4529-B976-DB09ED88CF8A}"/>
    <cellStyle name="Input 2 2 2 2 5" xfId="29355" xr:uid="{00000000-0005-0000-0000-000071520000}"/>
    <cellStyle name="Input 2 2 2 2 5 2" xfId="33311" xr:uid="{9C3CF01C-5325-4230-946D-CFEC6DF56141}"/>
    <cellStyle name="Input 2 2 2 2 6" xfId="30617" xr:uid="{BFBE8EEA-6541-44C2-B770-1BDE6C949BEE}"/>
    <cellStyle name="Input 2 2 2 3" xfId="27068" xr:uid="{00000000-0005-0000-0000-000072520000}"/>
    <cellStyle name="Input 2 2 2 3 2" xfId="31801" xr:uid="{7E461B77-A311-4934-9C3C-43910E96F261}"/>
    <cellStyle name="Input 2 2 2 4" xfId="26796" xr:uid="{00000000-0005-0000-0000-000073520000}"/>
    <cellStyle name="Input 2 2 2 4 2" xfId="31557" xr:uid="{95C4C1D9-07F4-4568-BB07-EFB490918427}"/>
    <cellStyle name="Input 2 2 2 5" xfId="27324" xr:uid="{00000000-0005-0000-0000-000074520000}"/>
    <cellStyle name="Input 2 2 2 5 2" xfId="31943" xr:uid="{4DFCC6AC-5BCB-4622-9B2C-D5AEEACC4971}"/>
    <cellStyle name="Input 2 2 2 6" xfId="29356" xr:uid="{00000000-0005-0000-0000-000075520000}"/>
    <cellStyle name="Input 2 2 2 6 2" xfId="33312" xr:uid="{133058CB-2289-4180-83BF-A6B001240682}"/>
    <cellStyle name="Input 2 2 2 7" xfId="30262" xr:uid="{0BCB8DDA-0ACA-41C2-8742-BA203BBE6B36}"/>
    <cellStyle name="Input 2 2 3" xfId="24710" xr:uid="{00000000-0005-0000-0000-000076520000}"/>
    <cellStyle name="Input 2 2 3 2" xfId="25356" xr:uid="{00000000-0005-0000-0000-000077520000}"/>
    <cellStyle name="Input 2 2 3 2 2" xfId="27510" xr:uid="{00000000-0005-0000-0000-000078520000}"/>
    <cellStyle name="Input 2 2 3 2 2 2" xfId="32101" xr:uid="{A0313D1B-7297-4813-8187-DF3881D2DA4A}"/>
    <cellStyle name="Input 2 2 3 2 3" xfId="29199" xr:uid="{00000000-0005-0000-0000-000079520000}"/>
    <cellStyle name="Input 2 2 3 2 3 2" xfId="33182" xr:uid="{3A1E0125-B66D-4725-AFE8-A4156A219724}"/>
    <cellStyle name="Input 2 2 3 2 4" xfId="26713" xr:uid="{00000000-0005-0000-0000-00007A520000}"/>
    <cellStyle name="Input 2 2 3 2 4 2" xfId="31475" xr:uid="{7CD6E85F-40CE-49CD-AFFF-E70E73E10EAD}"/>
    <cellStyle name="Input 2 2 3 2 5" xfId="29353" xr:uid="{00000000-0005-0000-0000-00007B520000}"/>
    <cellStyle name="Input 2 2 3 2 5 2" xfId="33309" xr:uid="{C7320FA5-4AEF-47C5-8CE4-E926F3C9CE12}"/>
    <cellStyle name="Input 2 2 3 2 6" xfId="30514" xr:uid="{DCE24F50-9276-46EC-B930-E24A00BF8D1C}"/>
    <cellStyle name="Input 2 2 3 3" xfId="25662" xr:uid="{00000000-0005-0000-0000-00007C520000}"/>
    <cellStyle name="Input 2 2 3 3 2" xfId="27815" xr:uid="{00000000-0005-0000-0000-00007D520000}"/>
    <cellStyle name="Input 2 2 3 3 2 2" xfId="32402" xr:uid="{0CA1B413-17A3-460B-8285-9157B99C7B63}"/>
    <cellStyle name="Input 2 2 3 3 3" xfId="29242" xr:uid="{00000000-0005-0000-0000-00007E520000}"/>
    <cellStyle name="Input 2 2 3 3 3 2" xfId="33224" xr:uid="{A0B0A56B-4143-4E83-822D-A4A74806F409}"/>
    <cellStyle name="Input 2 2 3 3 4" xfId="26954" xr:uid="{00000000-0005-0000-0000-00007F520000}"/>
    <cellStyle name="Input 2 2 3 3 4 2" xfId="31715" xr:uid="{99E4D923-DEF0-439B-89CE-4EDB2821EEA8}"/>
    <cellStyle name="Input 2 2 3 3 5" xfId="29352" xr:uid="{00000000-0005-0000-0000-000080520000}"/>
    <cellStyle name="Input 2 2 3 3 5 2" xfId="33308" xr:uid="{81ABE99A-C2F5-41E7-B400-A098F44E4612}"/>
    <cellStyle name="Input 2 2 3 3 6" xfId="30656" xr:uid="{16896517-7BA3-4675-9EA6-06F1AC3E99C8}"/>
    <cellStyle name="Input 2 2 3 4" xfId="27295" xr:uid="{00000000-0005-0000-0000-000081520000}"/>
    <cellStyle name="Input 2 2 3 4 2" xfId="31924" xr:uid="{5F25D721-1B10-4712-B609-3982A858B093}"/>
    <cellStyle name="Input 2 2 3 5" xfId="26038" xr:uid="{00000000-0005-0000-0000-000082520000}"/>
    <cellStyle name="Input 2 2 3 5 2" xfId="30839" xr:uid="{A9960FBB-36FD-4E20-9596-57038B673E55}"/>
    <cellStyle name="Input 2 2 3 6" xfId="26143" xr:uid="{00000000-0005-0000-0000-000083520000}"/>
    <cellStyle name="Input 2 2 3 6 2" xfId="30933" xr:uid="{C4F499B5-2B02-4389-91F5-30A5688CCF6D}"/>
    <cellStyle name="Input 2 2 3 7" xfId="29354" xr:uid="{00000000-0005-0000-0000-000084520000}"/>
    <cellStyle name="Input 2 2 3 7 2" xfId="33310" xr:uid="{FA0C7424-CDDD-4A07-B67B-5F3FCC98AB21}"/>
    <cellStyle name="Input 2 2 3 8" xfId="30364" xr:uid="{1D83FA6D-C027-4B1E-811A-477D6A3E2A72}"/>
    <cellStyle name="Input 2 2 4" xfId="25028" xr:uid="{00000000-0005-0000-0000-000085520000}"/>
    <cellStyle name="Input 2 2 4 2" xfId="25368" xr:uid="{00000000-0005-0000-0000-000086520000}"/>
    <cellStyle name="Input 2 2 4 2 2" xfId="27522" xr:uid="{00000000-0005-0000-0000-000087520000}"/>
    <cellStyle name="Input 2 2 4 2 2 2" xfId="32113" xr:uid="{C91D4BD8-606A-43A7-99DB-0604BBA0D8C6}"/>
    <cellStyle name="Input 2 2 4 2 3" xfId="29201" xr:uid="{00000000-0005-0000-0000-000088520000}"/>
    <cellStyle name="Input 2 2 4 2 3 2" xfId="33184" xr:uid="{5F13D847-9897-4A22-B67E-7637E22EAD3B}"/>
    <cellStyle name="Input 2 2 4 2 4" xfId="26536" xr:uid="{00000000-0005-0000-0000-000089520000}"/>
    <cellStyle name="Input 2 2 4 2 4 2" xfId="31323" xr:uid="{3293237A-DA33-4389-A332-4C597C3E8402}"/>
    <cellStyle name="Input 2 2 4 2 5" xfId="29350" xr:uid="{00000000-0005-0000-0000-00008A520000}"/>
    <cellStyle name="Input 2 2 4 2 5 2" xfId="33306" xr:uid="{735608FB-094D-424C-94BD-D78B25ED86E7}"/>
    <cellStyle name="Input 2 2 4 2 6" xfId="30526" xr:uid="{36522225-C871-47DD-B0E5-9346439AB56D}"/>
    <cellStyle name="Input 2 2 4 3" xfId="25673" xr:uid="{00000000-0005-0000-0000-00008B520000}"/>
    <cellStyle name="Input 2 2 4 3 2" xfId="27826" xr:uid="{00000000-0005-0000-0000-00008C520000}"/>
    <cellStyle name="Input 2 2 4 3 2 2" xfId="32413" xr:uid="{6487B191-648A-47EF-8A70-E6E63FFD29E0}"/>
    <cellStyle name="Input 2 2 4 3 3" xfId="29253" xr:uid="{00000000-0005-0000-0000-00008D520000}"/>
    <cellStyle name="Input 2 2 4 3 3 2" xfId="33235" xr:uid="{C7FC3181-CE11-4178-BB07-9601F16DA8EF}"/>
    <cellStyle name="Input 2 2 4 3 4" xfId="27428" xr:uid="{00000000-0005-0000-0000-00008E520000}"/>
    <cellStyle name="Input 2 2 4 3 4 2" xfId="32026" xr:uid="{3A00AA27-F5D1-4583-A4F0-13D8997BF157}"/>
    <cellStyle name="Input 2 2 4 3 5" xfId="29349" xr:uid="{00000000-0005-0000-0000-00008F520000}"/>
    <cellStyle name="Input 2 2 4 3 5 2" xfId="33305" xr:uid="{1EFBD8C1-9036-4EF5-8065-FCE76B4834B3}"/>
    <cellStyle name="Input 2 2 4 3 6" xfId="30667" xr:uid="{1915A571-A1C9-4B81-BFD3-B7CD704BFCB9}"/>
    <cellStyle name="Input 2 2 4 4" xfId="27356" xr:uid="{00000000-0005-0000-0000-000090520000}"/>
    <cellStyle name="Input 2 2 4 4 2" xfId="31954" xr:uid="{C5CFA7BA-698D-4B9E-B679-00C73229E2CB}"/>
    <cellStyle name="Input 2 2 4 5" xfId="26193" xr:uid="{00000000-0005-0000-0000-000091520000}"/>
    <cellStyle name="Input 2 2 4 5 2" xfId="30981" xr:uid="{E9A45585-B266-430D-8BC3-0AED55736E98}"/>
    <cellStyle name="Input 2 2 4 6" xfId="26544" xr:uid="{00000000-0005-0000-0000-000092520000}"/>
    <cellStyle name="Input 2 2 4 6 2" xfId="31331" xr:uid="{55855F09-CB8F-4BFF-A4ED-B7CA22461897}"/>
    <cellStyle name="Input 2 2 4 7" xfId="29351" xr:uid="{00000000-0005-0000-0000-000093520000}"/>
    <cellStyle name="Input 2 2 4 7 2" xfId="33307" xr:uid="{433B46DA-A25E-462F-9AE9-B9810E9014E7}"/>
    <cellStyle name="Input 2 2 4 8" xfId="30375" xr:uid="{5418D3A4-7580-47B9-A3FF-AD83428849E6}"/>
    <cellStyle name="Input 2 3" xfId="13610" xr:uid="{00000000-0005-0000-0000-000094520000}"/>
    <cellStyle name="Input 2 4" xfId="24120" xr:uid="{00000000-0005-0000-0000-000095520000}"/>
    <cellStyle name="Input 2 4 2" xfId="25559" xr:uid="{00000000-0005-0000-0000-000096520000}"/>
    <cellStyle name="Input 2 4 2 2" xfId="27712" xr:uid="{00000000-0005-0000-0000-000097520000}"/>
    <cellStyle name="Input 2 4 2 2 2" xfId="32299" xr:uid="{D1A9F778-B7C5-4FB9-8087-66C34CC4364E}"/>
    <cellStyle name="Input 2 4 2 3" xfId="29227" xr:uid="{00000000-0005-0000-0000-000098520000}"/>
    <cellStyle name="Input 2 4 2 3 2" xfId="33210" xr:uid="{6E0D8B2D-7C7F-41B2-9ADD-896FCBFEB2D9}"/>
    <cellStyle name="Input 2 4 2 4" xfId="27004" xr:uid="{00000000-0005-0000-0000-000099520000}"/>
    <cellStyle name="Input 2 4 2 4 2" xfId="31764" xr:uid="{EF3A1B28-0DB0-4B92-91B5-330902F02C45}"/>
    <cellStyle name="Input 2 4 2 5" xfId="29347" xr:uid="{00000000-0005-0000-0000-00009A520000}"/>
    <cellStyle name="Input 2 4 2 5 2" xfId="33303" xr:uid="{FB1B48CC-AF9B-4F2D-AB96-3F8957756894}"/>
    <cellStyle name="Input 2 4 2 6" xfId="30616" xr:uid="{B40FDEA0-8303-4956-8460-55DE1807072C}"/>
    <cellStyle name="Input 2 4 3" xfId="27067" xr:uid="{00000000-0005-0000-0000-00009B520000}"/>
    <cellStyle name="Input 2 4 3 2" xfId="31800" xr:uid="{7721FA45-A001-4BE5-8DE9-1FC1997F6AB6}"/>
    <cellStyle name="Input 2 4 4" xfId="26272" xr:uid="{00000000-0005-0000-0000-00009C520000}"/>
    <cellStyle name="Input 2 4 4 2" xfId="31060" xr:uid="{AA08323D-F021-483B-B751-D6A3F30394CC}"/>
    <cellStyle name="Input 2 4 5" xfId="26322" xr:uid="{00000000-0005-0000-0000-00009D520000}"/>
    <cellStyle name="Input 2 4 5 2" xfId="31110" xr:uid="{923598D2-5E15-45B9-A526-8ED30F8D768D}"/>
    <cellStyle name="Input 2 4 6" xfId="29348" xr:uid="{00000000-0005-0000-0000-00009E520000}"/>
    <cellStyle name="Input 2 4 6 2" xfId="33304" xr:uid="{8A0B3D24-CCC7-4D53-95DE-E91C392A7B8E}"/>
    <cellStyle name="Input 2 4 7" xfId="30261" xr:uid="{E707517C-CE5B-4D1D-B03F-52A2F441A067}"/>
    <cellStyle name="Input 2 5" xfId="24709" xr:uid="{00000000-0005-0000-0000-00009F520000}"/>
    <cellStyle name="Input 2 5 2" xfId="25439" xr:uid="{00000000-0005-0000-0000-0000A0520000}"/>
    <cellStyle name="Input 2 5 2 2" xfId="27593" xr:uid="{00000000-0005-0000-0000-0000A1520000}"/>
    <cellStyle name="Input 2 5 2 2 2" xfId="32184" xr:uid="{5BB2B5BD-4AB4-4E69-990C-6AA34077698F}"/>
    <cellStyle name="Input 2 5 2 3" xfId="29212" xr:uid="{00000000-0005-0000-0000-0000A2520000}"/>
    <cellStyle name="Input 2 5 2 3 2" xfId="33195" xr:uid="{87EDA0D4-C745-470F-BE1D-131F33AB05C7}"/>
    <cellStyle name="Input 2 5 2 4" xfId="26974" xr:uid="{00000000-0005-0000-0000-0000A3520000}"/>
    <cellStyle name="Input 2 5 2 4 2" xfId="31735" xr:uid="{31B1362A-E0BA-4C83-B6B4-D182AAEF943D}"/>
    <cellStyle name="Input 2 5 2 5" xfId="29345" xr:uid="{00000000-0005-0000-0000-0000A4520000}"/>
    <cellStyle name="Input 2 5 2 5 2" xfId="33301" xr:uid="{7A76B636-B932-4298-9645-47BE108FEEE1}"/>
    <cellStyle name="Input 2 5 2 6" xfId="30597" xr:uid="{7415661F-9239-4950-B80E-18709865A38F}"/>
    <cellStyle name="Input 2 5 3" xfId="25661" xr:uid="{00000000-0005-0000-0000-0000A5520000}"/>
    <cellStyle name="Input 2 5 3 2" xfId="27814" xr:uid="{00000000-0005-0000-0000-0000A6520000}"/>
    <cellStyle name="Input 2 5 3 2 2" xfId="32401" xr:uid="{9E5F11BB-B96A-495B-8795-A31B46D47E3D}"/>
    <cellStyle name="Input 2 5 3 3" xfId="29241" xr:uid="{00000000-0005-0000-0000-0000A7520000}"/>
    <cellStyle name="Input 2 5 3 3 2" xfId="33223" xr:uid="{6CC98C51-27A5-4523-B992-85AC5E60F363}"/>
    <cellStyle name="Input 2 5 3 4" xfId="26916" xr:uid="{00000000-0005-0000-0000-0000A8520000}"/>
    <cellStyle name="Input 2 5 3 4 2" xfId="31677" xr:uid="{AD2A09C2-67EC-4DA9-A562-03F38577B11B}"/>
    <cellStyle name="Input 2 5 3 5" xfId="29344" xr:uid="{00000000-0005-0000-0000-0000A9520000}"/>
    <cellStyle name="Input 2 5 3 5 2" xfId="33300" xr:uid="{346696C3-9588-48C1-9314-68E023406BFF}"/>
    <cellStyle name="Input 2 5 3 6" xfId="30655" xr:uid="{552BAE60-52DF-4955-B9D3-968B258058BA}"/>
    <cellStyle name="Input 2 5 4" xfId="27294" xr:uid="{00000000-0005-0000-0000-0000AA520000}"/>
    <cellStyle name="Input 2 5 4 2" xfId="31923" xr:uid="{70824F6A-F7DF-4A02-9F58-31FE177D5B7F}"/>
    <cellStyle name="Input 2 5 5" xfId="26673" xr:uid="{00000000-0005-0000-0000-0000AB520000}"/>
    <cellStyle name="Input 2 5 5 2" xfId="31441" xr:uid="{45C1AD18-1CDF-4EA3-BFC2-0E1D29D9632C}"/>
    <cellStyle name="Input 2 5 6" xfId="26283" xr:uid="{00000000-0005-0000-0000-0000AC520000}"/>
    <cellStyle name="Input 2 5 6 2" xfId="31071" xr:uid="{E6414BC8-4C8A-4E6F-9B26-2B3E9A047C70}"/>
    <cellStyle name="Input 2 5 7" xfId="29346" xr:uid="{00000000-0005-0000-0000-0000AD520000}"/>
    <cellStyle name="Input 2 5 7 2" xfId="33302" xr:uid="{9E1139AD-BA38-4916-96C9-F3F10826B6D7}"/>
    <cellStyle name="Input 2 5 8" xfId="30363" xr:uid="{17833192-E91B-480A-9D4F-40999972B5BE}"/>
    <cellStyle name="Input 2 6" xfId="25027" xr:uid="{00000000-0005-0000-0000-0000AE520000}"/>
    <cellStyle name="Input 2 6 2" xfId="25285" xr:uid="{00000000-0005-0000-0000-0000AF520000}"/>
    <cellStyle name="Input 2 6 2 2" xfId="27440" xr:uid="{00000000-0005-0000-0000-0000B0520000}"/>
    <cellStyle name="Input 2 6 2 2 2" xfId="32035" xr:uid="{E700BDEB-E790-4B05-AC58-9B909AA1C6F2}"/>
    <cellStyle name="Input 2 6 2 3" xfId="29187" xr:uid="{00000000-0005-0000-0000-0000B1520000}"/>
    <cellStyle name="Input 2 6 2 3 2" xfId="33170" xr:uid="{8FFAA850-CD61-404E-87C2-EDECB3AA2F11}"/>
    <cellStyle name="Input 2 6 2 4" xfId="26415" xr:uid="{00000000-0005-0000-0000-0000B2520000}"/>
    <cellStyle name="Input 2 6 2 4 2" xfId="31203" xr:uid="{0EEB58C7-8BAB-4243-BB7E-7E5178F0132A}"/>
    <cellStyle name="Input 2 6 2 5" xfId="29342" xr:uid="{00000000-0005-0000-0000-0000B3520000}"/>
    <cellStyle name="Input 2 6 2 5 2" xfId="33298" xr:uid="{422A13E5-D6E0-4ADD-8BBF-2AE7BE0DC22F}"/>
    <cellStyle name="Input 2 6 2 6" xfId="30448" xr:uid="{2648E5B0-1BAA-4CD5-B023-FB3AB3587A72}"/>
    <cellStyle name="Input 2 6 3" xfId="25672" xr:uid="{00000000-0005-0000-0000-0000B4520000}"/>
    <cellStyle name="Input 2 6 3 2" xfId="27825" xr:uid="{00000000-0005-0000-0000-0000B5520000}"/>
    <cellStyle name="Input 2 6 3 2 2" xfId="32412" xr:uid="{B94292EC-7BC6-4335-AECF-39C181E07332}"/>
    <cellStyle name="Input 2 6 3 3" xfId="29252" xr:uid="{00000000-0005-0000-0000-0000B6520000}"/>
    <cellStyle name="Input 2 6 3 3 2" xfId="33234" xr:uid="{F4A78A2E-278D-4C0A-9D21-4581E3E03710}"/>
    <cellStyle name="Input 2 6 3 4" xfId="26307" xr:uid="{00000000-0005-0000-0000-0000B7520000}"/>
    <cellStyle name="Input 2 6 3 4 2" xfId="31095" xr:uid="{1A950E0D-EA5E-4763-BE00-9D102F03609D}"/>
    <cellStyle name="Input 2 6 3 5" xfId="29341" xr:uid="{00000000-0005-0000-0000-0000B8520000}"/>
    <cellStyle name="Input 2 6 3 5 2" xfId="33297" xr:uid="{F92B8533-F057-47D1-BB76-3105334961E7}"/>
    <cellStyle name="Input 2 6 3 6" xfId="30666" xr:uid="{5B83E03A-D9AD-411D-9E45-F25C21B3D7FB}"/>
    <cellStyle name="Input 2 6 4" xfId="27355" xr:uid="{00000000-0005-0000-0000-0000B9520000}"/>
    <cellStyle name="Input 2 6 4 2" xfId="31953" xr:uid="{4AE862CF-1F5A-4D02-B1A7-4F1281C95743}"/>
    <cellStyle name="Input 2 6 5" xfId="27134" xr:uid="{00000000-0005-0000-0000-0000BA520000}"/>
    <cellStyle name="Input 2 6 5 2" xfId="31848" xr:uid="{12AB2457-5B4B-4CED-91E7-95DB6340BCCF}"/>
    <cellStyle name="Input 2 6 6" xfId="26082" xr:uid="{00000000-0005-0000-0000-0000BB520000}"/>
    <cellStyle name="Input 2 6 6 2" xfId="30872" xr:uid="{05C02FF8-C50A-4BBC-BD83-8657B76320D6}"/>
    <cellStyle name="Input 2 6 7" xfId="29343" xr:uid="{00000000-0005-0000-0000-0000BC520000}"/>
    <cellStyle name="Input 2 6 7 2" xfId="33299" xr:uid="{100FC168-FF29-4586-B1EC-4DFC0E1C4A5A}"/>
    <cellStyle name="Input 2 6 8" xfId="30374" xr:uid="{AFBB2A88-41FA-4F53-A856-199FD478F98B}"/>
    <cellStyle name="Input 20" xfId="295" xr:uid="{00000000-0005-0000-0000-0000BD520000}"/>
    <cellStyle name="Input 20 2" xfId="3032" xr:uid="{00000000-0005-0000-0000-0000BE520000}"/>
    <cellStyle name="Input 20 3" xfId="13742" xr:uid="{00000000-0005-0000-0000-0000BF520000}"/>
    <cellStyle name="Input 21" xfId="302" xr:uid="{00000000-0005-0000-0000-0000C0520000}"/>
    <cellStyle name="Input 21 2" xfId="3033" xr:uid="{00000000-0005-0000-0000-0000C1520000}"/>
    <cellStyle name="Input 21 3" xfId="13743" xr:uid="{00000000-0005-0000-0000-0000C2520000}"/>
    <cellStyle name="Input 22" xfId="303" xr:uid="{00000000-0005-0000-0000-0000C3520000}"/>
    <cellStyle name="Input 22 2" xfId="3034" xr:uid="{00000000-0005-0000-0000-0000C4520000}"/>
    <cellStyle name="Input 22 3" xfId="13744" xr:uid="{00000000-0005-0000-0000-0000C5520000}"/>
    <cellStyle name="Input 23" xfId="316" xr:uid="{00000000-0005-0000-0000-0000C6520000}"/>
    <cellStyle name="Input 23 2" xfId="3035" xr:uid="{00000000-0005-0000-0000-0000C7520000}"/>
    <cellStyle name="Input 23 3" xfId="13747" xr:uid="{00000000-0005-0000-0000-0000C8520000}"/>
    <cellStyle name="Input 24" xfId="317" xr:uid="{00000000-0005-0000-0000-0000C9520000}"/>
    <cellStyle name="Input 24 2" xfId="3036" xr:uid="{00000000-0005-0000-0000-0000CA520000}"/>
    <cellStyle name="Input 24 3" xfId="13748" xr:uid="{00000000-0005-0000-0000-0000CB520000}"/>
    <cellStyle name="Input 25" xfId="318" xr:uid="{00000000-0005-0000-0000-0000CC520000}"/>
    <cellStyle name="Input 25 2" xfId="3037" xr:uid="{00000000-0005-0000-0000-0000CD520000}"/>
    <cellStyle name="Input 25 3" xfId="13749" xr:uid="{00000000-0005-0000-0000-0000CE520000}"/>
    <cellStyle name="Input 26" xfId="319" xr:uid="{00000000-0005-0000-0000-0000CF520000}"/>
    <cellStyle name="Input 26 2" xfId="3038" xr:uid="{00000000-0005-0000-0000-0000D0520000}"/>
    <cellStyle name="Input 26 3" xfId="13750" xr:uid="{00000000-0005-0000-0000-0000D1520000}"/>
    <cellStyle name="Input 27" xfId="320" xr:uid="{00000000-0005-0000-0000-0000D2520000}"/>
    <cellStyle name="Input 27 2" xfId="3039" xr:uid="{00000000-0005-0000-0000-0000D3520000}"/>
    <cellStyle name="Input 27 3" xfId="13751" xr:uid="{00000000-0005-0000-0000-0000D4520000}"/>
    <cellStyle name="Input 28" xfId="321" xr:uid="{00000000-0005-0000-0000-0000D5520000}"/>
    <cellStyle name="Input 28 2" xfId="3040" xr:uid="{00000000-0005-0000-0000-0000D6520000}"/>
    <cellStyle name="Input 28 3" xfId="13752" xr:uid="{00000000-0005-0000-0000-0000D7520000}"/>
    <cellStyle name="Input 29" xfId="322" xr:uid="{00000000-0005-0000-0000-0000D8520000}"/>
    <cellStyle name="Input 29 2" xfId="3041" xr:uid="{00000000-0005-0000-0000-0000D9520000}"/>
    <cellStyle name="Input 29 3" xfId="13753" xr:uid="{00000000-0005-0000-0000-0000DA520000}"/>
    <cellStyle name="Input 3" xfId="194" xr:uid="{00000000-0005-0000-0000-0000DB520000}"/>
    <cellStyle name="Input 3 2" xfId="3042" xr:uid="{00000000-0005-0000-0000-0000DC520000}"/>
    <cellStyle name="Input 3 3" xfId="13695" xr:uid="{00000000-0005-0000-0000-0000DD520000}"/>
    <cellStyle name="Input 3 4" xfId="24122" xr:uid="{00000000-0005-0000-0000-0000DE520000}"/>
    <cellStyle name="Input 3 4 2" xfId="25561" xr:uid="{00000000-0005-0000-0000-0000DF520000}"/>
    <cellStyle name="Input 3 4 2 2" xfId="27714" xr:uid="{00000000-0005-0000-0000-0000E0520000}"/>
    <cellStyle name="Input 3 4 2 2 2" xfId="32301" xr:uid="{6E23F5EC-513C-4D59-AD8D-D3B93B4AFD5C}"/>
    <cellStyle name="Input 3 4 2 3" xfId="29229" xr:uid="{00000000-0005-0000-0000-0000E1520000}"/>
    <cellStyle name="Input 3 4 2 3 2" xfId="33212" xr:uid="{E162EF87-FEEE-4A48-A2F4-BA005722565C}"/>
    <cellStyle name="Input 3 4 2 4" xfId="26770" xr:uid="{00000000-0005-0000-0000-0000E2520000}"/>
    <cellStyle name="Input 3 4 2 4 2" xfId="31531" xr:uid="{4D94989F-EC26-4ABA-A5D3-8CEA6B0D9456}"/>
    <cellStyle name="Input 3 4 2 5" xfId="29339" xr:uid="{00000000-0005-0000-0000-0000E3520000}"/>
    <cellStyle name="Input 3 4 2 5 2" xfId="33295" xr:uid="{866F3327-B456-4E21-A19D-AEF6CA60ABE3}"/>
    <cellStyle name="Input 3 4 2 6" xfId="30618" xr:uid="{A8FCCB5A-1F61-4E31-A8D2-95200B37010B}"/>
    <cellStyle name="Input 3 4 3" xfId="27069" xr:uid="{00000000-0005-0000-0000-0000E4520000}"/>
    <cellStyle name="Input 3 4 3 2" xfId="31802" xr:uid="{A125AC63-A9EE-41DE-9BD1-46BF316AD0A5}"/>
    <cellStyle name="Input 3 4 4" xfId="26717" xr:uid="{00000000-0005-0000-0000-0000E5520000}"/>
    <cellStyle name="Input 3 4 4 2" xfId="31479" xr:uid="{37D5CB7B-EE79-4F2A-B1D2-3F299DBCEBED}"/>
    <cellStyle name="Input 3 4 5" xfId="26292" xr:uid="{00000000-0005-0000-0000-0000E6520000}"/>
    <cellStyle name="Input 3 4 5 2" xfId="31080" xr:uid="{CB946FDF-8694-4FE7-9FF7-2089DECD88C6}"/>
    <cellStyle name="Input 3 4 6" xfId="29340" xr:uid="{00000000-0005-0000-0000-0000E7520000}"/>
    <cellStyle name="Input 3 4 6 2" xfId="33296" xr:uid="{3577AE6F-ED7B-47A3-8625-3583A588D619}"/>
    <cellStyle name="Input 3 4 7" xfId="30263" xr:uid="{9739CE83-9659-4DD5-A29C-02A263AC56B4}"/>
    <cellStyle name="Input 3 5" xfId="24711" xr:uid="{00000000-0005-0000-0000-0000E8520000}"/>
    <cellStyle name="Input 3 5 2" xfId="25390" xr:uid="{00000000-0005-0000-0000-0000E9520000}"/>
    <cellStyle name="Input 3 5 2 2" xfId="27544" xr:uid="{00000000-0005-0000-0000-0000EA520000}"/>
    <cellStyle name="Input 3 5 2 2 2" xfId="32135" xr:uid="{EA1E8058-75A5-4582-893B-D3203D51F000}"/>
    <cellStyle name="Input 3 5 2 3" xfId="29207" xr:uid="{00000000-0005-0000-0000-0000EB520000}"/>
    <cellStyle name="Input 3 5 2 3 2" xfId="33190" xr:uid="{A69C41E3-D08A-427A-97C4-9C54BF273EDF}"/>
    <cellStyle name="Input 3 5 2 4" xfId="27162" xr:uid="{00000000-0005-0000-0000-0000EC520000}"/>
    <cellStyle name="Input 3 5 2 4 2" xfId="31853" xr:uid="{67843EBB-98DB-4552-9D34-A127669A1A25}"/>
    <cellStyle name="Input 3 5 2 5" xfId="29337" xr:uid="{00000000-0005-0000-0000-0000ED520000}"/>
    <cellStyle name="Input 3 5 2 5 2" xfId="33293" xr:uid="{1103E0F6-184A-48DA-A05F-89EF07426AFA}"/>
    <cellStyle name="Input 3 5 2 6" xfId="30548" xr:uid="{2A090ED8-8131-44B8-A289-F9F419761521}"/>
    <cellStyle name="Input 3 5 3" xfId="25663" xr:uid="{00000000-0005-0000-0000-0000EE520000}"/>
    <cellStyle name="Input 3 5 3 2" xfId="27816" xr:uid="{00000000-0005-0000-0000-0000EF520000}"/>
    <cellStyle name="Input 3 5 3 2 2" xfId="32403" xr:uid="{1B1E0633-749B-4DFA-8F34-F63FAF7AEA30}"/>
    <cellStyle name="Input 3 5 3 3" xfId="29243" xr:uid="{00000000-0005-0000-0000-0000F0520000}"/>
    <cellStyle name="Input 3 5 3 3 2" xfId="33225" xr:uid="{AAD34447-89FB-48E9-A74D-CFD33B3189DF}"/>
    <cellStyle name="Input 3 5 3 4" xfId="26710" xr:uid="{00000000-0005-0000-0000-0000F1520000}"/>
    <cellStyle name="Input 3 5 3 4 2" xfId="31472" xr:uid="{93143187-349A-4759-BC4F-53B76002E818}"/>
    <cellStyle name="Input 3 5 3 5" xfId="29336" xr:uid="{00000000-0005-0000-0000-0000F2520000}"/>
    <cellStyle name="Input 3 5 3 5 2" xfId="33292" xr:uid="{7ED6891E-6AB3-4E0D-A22D-27156C617EE9}"/>
    <cellStyle name="Input 3 5 3 6" xfId="30657" xr:uid="{88375DD6-53E9-4A55-BCCF-344EB6F243E1}"/>
    <cellStyle name="Input 3 5 4" xfId="27296" xr:uid="{00000000-0005-0000-0000-0000F3520000}"/>
    <cellStyle name="Input 3 5 4 2" xfId="31925" xr:uid="{AAF78B55-887E-4732-858F-11C071F04D12}"/>
    <cellStyle name="Input 3 5 5" xfId="26683" xr:uid="{00000000-0005-0000-0000-0000F4520000}"/>
    <cellStyle name="Input 3 5 5 2" xfId="31446" xr:uid="{3DD51965-0292-40FB-934D-83EBA31EEE98}"/>
    <cellStyle name="Input 3 5 6" xfId="26215" xr:uid="{00000000-0005-0000-0000-0000F5520000}"/>
    <cellStyle name="Input 3 5 6 2" xfId="31003" xr:uid="{09C222D4-131E-4ACA-9BD8-CA09E82DAC07}"/>
    <cellStyle name="Input 3 5 7" xfId="29338" xr:uid="{00000000-0005-0000-0000-0000F6520000}"/>
    <cellStyle name="Input 3 5 7 2" xfId="33294" xr:uid="{85F5CD05-09AD-4A71-845D-E427633ACDA9}"/>
    <cellStyle name="Input 3 5 8" xfId="30365" xr:uid="{3CD0362C-D6C9-4A0B-8EA2-C44952FDEABF}"/>
    <cellStyle name="Input 3 6" xfId="25029" xr:uid="{00000000-0005-0000-0000-0000F7520000}"/>
    <cellStyle name="Input 3 6 2" xfId="25382" xr:uid="{00000000-0005-0000-0000-0000F8520000}"/>
    <cellStyle name="Input 3 6 2 2" xfId="27536" xr:uid="{00000000-0005-0000-0000-0000F9520000}"/>
    <cellStyle name="Input 3 6 2 2 2" xfId="32127" xr:uid="{E31BC8A2-08AB-45D3-8161-E024CAA8EC71}"/>
    <cellStyle name="Input 3 6 2 3" xfId="29205" xr:uid="{00000000-0005-0000-0000-0000FA520000}"/>
    <cellStyle name="Input 3 6 2 3 2" xfId="33188" xr:uid="{634AB881-CA41-4006-BCC9-7AC3E16E935D}"/>
    <cellStyle name="Input 3 6 2 4" xfId="26949" xr:uid="{00000000-0005-0000-0000-0000FB520000}"/>
    <cellStyle name="Input 3 6 2 4 2" xfId="31710" xr:uid="{8BE9D352-97BA-4813-AD2F-C50A93132CFC}"/>
    <cellStyle name="Input 3 6 2 5" xfId="29334" xr:uid="{00000000-0005-0000-0000-0000FC520000}"/>
    <cellStyle name="Input 3 6 2 5 2" xfId="33290" xr:uid="{AC09C109-1572-43ED-B9C2-B55893BF3DCD}"/>
    <cellStyle name="Input 3 6 2 6" xfId="30540" xr:uid="{975DEB3E-45C7-4AB9-88D8-81FD138CFCC4}"/>
    <cellStyle name="Input 3 6 3" xfId="25674" xr:uid="{00000000-0005-0000-0000-0000FD520000}"/>
    <cellStyle name="Input 3 6 3 2" xfId="27827" xr:uid="{00000000-0005-0000-0000-0000FE520000}"/>
    <cellStyle name="Input 3 6 3 2 2" xfId="32414" xr:uid="{269B84FB-3DB4-48B2-99C6-479E85C9FF7F}"/>
    <cellStyle name="Input 3 6 3 3" xfId="29254" xr:uid="{00000000-0005-0000-0000-0000FF520000}"/>
    <cellStyle name="Input 3 6 3 3 2" xfId="33236" xr:uid="{03CB5E48-2A58-488C-AFFD-640C6E6C1EC5}"/>
    <cellStyle name="Input 3 6 3 4" xfId="26984" xr:uid="{00000000-0005-0000-0000-000000530000}"/>
    <cellStyle name="Input 3 6 3 4 2" xfId="31745" xr:uid="{CE23C582-41A1-4D17-88BE-2A97E2EA2C7E}"/>
    <cellStyle name="Input 3 6 3 5" xfId="29333" xr:uid="{00000000-0005-0000-0000-000001530000}"/>
    <cellStyle name="Input 3 6 3 5 2" xfId="33289" xr:uid="{62300809-9220-47B5-9704-5C3E5082ED5A}"/>
    <cellStyle name="Input 3 6 3 6" xfId="30668" xr:uid="{DEA6DB75-E682-4802-9058-BD6207F2F736}"/>
    <cellStyle name="Input 3 6 4" xfId="27357" xr:uid="{00000000-0005-0000-0000-000002530000}"/>
    <cellStyle name="Input 3 6 4 2" xfId="31955" xr:uid="{01546079-5209-40CE-B341-16DD8A79E68D}"/>
    <cellStyle name="Input 3 6 5" xfId="26194" xr:uid="{00000000-0005-0000-0000-000003530000}"/>
    <cellStyle name="Input 3 6 5 2" xfId="30982" xr:uid="{6080B1F0-6E6B-4E6E-9356-CEAF10DBCC46}"/>
    <cellStyle name="Input 3 6 6" xfId="26729" xr:uid="{00000000-0005-0000-0000-000004530000}"/>
    <cellStyle name="Input 3 6 6 2" xfId="31490" xr:uid="{49D03351-7551-4FFE-8735-4E8D0BC6E4A2}"/>
    <cellStyle name="Input 3 6 7" xfId="29335" xr:uid="{00000000-0005-0000-0000-000005530000}"/>
    <cellStyle name="Input 3 6 7 2" xfId="33291" xr:uid="{C4853979-678D-4761-8389-532AA084EDBC}"/>
    <cellStyle name="Input 3 6 8" xfId="30376" xr:uid="{0D6E5B60-A9B6-4528-B859-2219A1D7B027}"/>
    <cellStyle name="Input 30" xfId="323" xr:uid="{00000000-0005-0000-0000-000006530000}"/>
    <cellStyle name="Input 30 2" xfId="3043" xr:uid="{00000000-0005-0000-0000-000007530000}"/>
    <cellStyle name="Input 30 3" xfId="13754" xr:uid="{00000000-0005-0000-0000-000008530000}"/>
    <cellStyle name="Input 31" xfId="339" xr:uid="{00000000-0005-0000-0000-000009530000}"/>
    <cellStyle name="Input 31 2" xfId="3044" xr:uid="{00000000-0005-0000-0000-00000A530000}"/>
    <cellStyle name="Input 31 3" xfId="13758" xr:uid="{00000000-0005-0000-0000-00000B530000}"/>
    <cellStyle name="Input 32" xfId="340" xr:uid="{00000000-0005-0000-0000-00000C530000}"/>
    <cellStyle name="Input 32 2" xfId="3045" xr:uid="{00000000-0005-0000-0000-00000D530000}"/>
    <cellStyle name="Input 32 3" xfId="13759" xr:uid="{00000000-0005-0000-0000-00000E530000}"/>
    <cellStyle name="Input 33" xfId="341" xr:uid="{00000000-0005-0000-0000-00000F530000}"/>
    <cellStyle name="Input 33 2" xfId="3046" xr:uid="{00000000-0005-0000-0000-000010530000}"/>
    <cellStyle name="Input 33 3" xfId="13760" xr:uid="{00000000-0005-0000-0000-000011530000}"/>
    <cellStyle name="Input 34" xfId="342" xr:uid="{00000000-0005-0000-0000-000012530000}"/>
    <cellStyle name="Input 34 2" xfId="3047" xr:uid="{00000000-0005-0000-0000-000013530000}"/>
    <cellStyle name="Input 34 3" xfId="13761" xr:uid="{00000000-0005-0000-0000-000014530000}"/>
    <cellStyle name="Input 35" xfId="3048" xr:uid="{00000000-0005-0000-0000-000015530000}"/>
    <cellStyle name="Input 36" xfId="3049" xr:uid="{00000000-0005-0000-0000-000016530000}"/>
    <cellStyle name="Input 37" xfId="3050" xr:uid="{00000000-0005-0000-0000-000017530000}"/>
    <cellStyle name="Input 38" xfId="3051" xr:uid="{00000000-0005-0000-0000-000018530000}"/>
    <cellStyle name="Input 39" xfId="3052" xr:uid="{00000000-0005-0000-0000-000019530000}"/>
    <cellStyle name="Input 4" xfId="195" xr:uid="{00000000-0005-0000-0000-00001A530000}"/>
    <cellStyle name="Input 4 2" xfId="3053" xr:uid="{00000000-0005-0000-0000-00001B530000}"/>
    <cellStyle name="Input 4 3" xfId="13696" xr:uid="{00000000-0005-0000-0000-00001C530000}"/>
    <cellStyle name="Input 4 4" xfId="24123" xr:uid="{00000000-0005-0000-0000-00001D530000}"/>
    <cellStyle name="Input 4 4 2" xfId="25562" xr:uid="{00000000-0005-0000-0000-00001E530000}"/>
    <cellStyle name="Input 4 4 2 2" xfId="27715" xr:uid="{00000000-0005-0000-0000-00001F530000}"/>
    <cellStyle name="Input 4 4 2 2 2" xfId="32302" xr:uid="{AD9383F4-0CAD-4EF2-965A-78BF30AB7329}"/>
    <cellStyle name="Input 4 4 2 3" xfId="29230" xr:uid="{00000000-0005-0000-0000-000020530000}"/>
    <cellStyle name="Input 4 4 2 3 2" xfId="33213" xr:uid="{AC0A2D11-F218-442C-B9D8-FF5F675A1F42}"/>
    <cellStyle name="Input 4 4 2 4" xfId="26159" xr:uid="{00000000-0005-0000-0000-000021530000}"/>
    <cellStyle name="Input 4 4 2 4 2" xfId="30948" xr:uid="{02D13495-9FA8-413C-BF5A-BE9D5EE011B5}"/>
    <cellStyle name="Input 4 4 2 5" xfId="29331" xr:uid="{00000000-0005-0000-0000-000022530000}"/>
    <cellStyle name="Input 4 4 2 5 2" xfId="33287" xr:uid="{29989921-EBA1-440B-8024-F26209036A54}"/>
    <cellStyle name="Input 4 4 2 6" xfId="30619" xr:uid="{292B09CF-C0B4-42A9-8820-EB8ABD5FF17D}"/>
    <cellStyle name="Input 4 4 3" xfId="27070" xr:uid="{00000000-0005-0000-0000-000023530000}"/>
    <cellStyle name="Input 4 4 3 2" xfId="31803" xr:uid="{234973DF-C1C3-4BF6-9691-486D15CD9DAE}"/>
    <cellStyle name="Input 4 4 4" xfId="26551" xr:uid="{00000000-0005-0000-0000-000024530000}"/>
    <cellStyle name="Input 4 4 4 2" xfId="31338" xr:uid="{1FD9942E-4190-4844-82F2-B959B75B6822}"/>
    <cellStyle name="Input 4 4 5" xfId="26842" xr:uid="{00000000-0005-0000-0000-000025530000}"/>
    <cellStyle name="Input 4 4 5 2" xfId="31603" xr:uid="{A220F3F2-21DA-46BE-B70D-51D351352EEF}"/>
    <cellStyle name="Input 4 4 6" xfId="29332" xr:uid="{00000000-0005-0000-0000-000026530000}"/>
    <cellStyle name="Input 4 4 6 2" xfId="33288" xr:uid="{74CA933B-CC88-4E70-B4BD-04F353F88B64}"/>
    <cellStyle name="Input 4 4 7" xfId="30264" xr:uid="{E521E43A-B0BB-4F35-B3CC-6E2FC8CA4FBC}"/>
    <cellStyle name="Input 4 5" xfId="24712" xr:uid="{00000000-0005-0000-0000-000027530000}"/>
    <cellStyle name="Input 4 5 2" xfId="25404" xr:uid="{00000000-0005-0000-0000-000028530000}"/>
    <cellStyle name="Input 4 5 2 2" xfId="27558" xr:uid="{00000000-0005-0000-0000-000029530000}"/>
    <cellStyle name="Input 4 5 2 2 2" xfId="32149" xr:uid="{361E3422-0ED0-49A3-B155-C64B3C6A945F}"/>
    <cellStyle name="Input 4 5 2 3" xfId="29210" xr:uid="{00000000-0005-0000-0000-00002A530000}"/>
    <cellStyle name="Input 4 5 2 3 2" xfId="33193" xr:uid="{F52C6C50-09E6-481E-B030-B701B758964E}"/>
    <cellStyle name="Input 4 5 2 4" xfId="26258" xr:uid="{00000000-0005-0000-0000-00002B530000}"/>
    <cellStyle name="Input 4 5 2 4 2" xfId="31046" xr:uid="{58C69855-BE3D-4551-B524-8F3A1AACDAFE}"/>
    <cellStyle name="Input 4 5 2 5" xfId="29329" xr:uid="{00000000-0005-0000-0000-00002C530000}"/>
    <cellStyle name="Input 4 5 2 5 2" xfId="33285" xr:uid="{E50134C1-5398-4EEF-92DF-8536AB476855}"/>
    <cellStyle name="Input 4 5 2 6" xfId="30562" xr:uid="{9DB2E606-64BC-441D-959B-0C351AD4E5E5}"/>
    <cellStyle name="Input 4 5 3" xfId="25664" xr:uid="{00000000-0005-0000-0000-00002D530000}"/>
    <cellStyle name="Input 4 5 3 2" xfId="27817" xr:uid="{00000000-0005-0000-0000-00002E530000}"/>
    <cellStyle name="Input 4 5 3 2 2" xfId="32404" xr:uid="{97A9A552-3755-4EDD-AC42-E4B0037F2B74}"/>
    <cellStyle name="Input 4 5 3 3" xfId="29244" xr:uid="{00000000-0005-0000-0000-00002F530000}"/>
    <cellStyle name="Input 4 5 3 3 2" xfId="33226" xr:uid="{721CD8CB-90E4-4745-AF32-38BC72D4072D}"/>
    <cellStyle name="Input 4 5 3 4" xfId="26694" xr:uid="{00000000-0005-0000-0000-000030530000}"/>
    <cellStyle name="Input 4 5 3 4 2" xfId="31456" xr:uid="{651D5E28-C38C-45D4-8546-81AF4F93749D}"/>
    <cellStyle name="Input 4 5 3 5" xfId="29328" xr:uid="{00000000-0005-0000-0000-000031530000}"/>
    <cellStyle name="Input 4 5 3 5 2" xfId="33284" xr:uid="{F0F2360A-24D1-40A6-AF56-8A6D185B347E}"/>
    <cellStyle name="Input 4 5 3 6" xfId="30658" xr:uid="{147F26AE-F437-4E92-B9C7-EDB9331E6ACD}"/>
    <cellStyle name="Input 4 5 4" xfId="27297" xr:uid="{00000000-0005-0000-0000-000032530000}"/>
    <cellStyle name="Input 4 5 4 2" xfId="31926" xr:uid="{9F660A37-99AF-48B3-BE06-EA1B8383F4B2}"/>
    <cellStyle name="Input 4 5 5" xfId="26665" xr:uid="{00000000-0005-0000-0000-000033530000}"/>
    <cellStyle name="Input 4 5 5 2" xfId="31434" xr:uid="{0F35B2AF-FF29-4ECE-9F1A-A05EF78A2067}"/>
    <cellStyle name="Input 4 5 6" xfId="27027" xr:uid="{00000000-0005-0000-0000-000034530000}"/>
    <cellStyle name="Input 4 5 6 2" xfId="31787" xr:uid="{E8A15901-586B-434D-AE3A-92DCC4D424A0}"/>
    <cellStyle name="Input 4 5 7" xfId="29330" xr:uid="{00000000-0005-0000-0000-000035530000}"/>
    <cellStyle name="Input 4 5 7 2" xfId="33286" xr:uid="{A8A71B7B-6B5E-4DA1-841E-DEC26C100AD4}"/>
    <cellStyle name="Input 4 5 8" xfId="30366" xr:uid="{0AF9FB74-C4A5-48E0-882E-11F864C356CC}"/>
    <cellStyle name="Input 4 6" xfId="25030" xr:uid="{00000000-0005-0000-0000-000036530000}"/>
    <cellStyle name="Input 4 6 2" xfId="25397" xr:uid="{00000000-0005-0000-0000-000037530000}"/>
    <cellStyle name="Input 4 6 2 2" xfId="27551" xr:uid="{00000000-0005-0000-0000-000038530000}"/>
    <cellStyle name="Input 4 6 2 2 2" xfId="32142" xr:uid="{5F05A1A7-BAD8-46D6-8CDA-532098FE6BB8}"/>
    <cellStyle name="Input 4 6 2 3" xfId="29208" xr:uid="{00000000-0005-0000-0000-000039530000}"/>
    <cellStyle name="Input 4 6 2 3 2" xfId="33191" xr:uid="{7D168F9B-BC40-4929-A88D-ECD7C661A83D}"/>
    <cellStyle name="Input 4 6 2 4" xfId="26908" xr:uid="{00000000-0005-0000-0000-00003A530000}"/>
    <cellStyle name="Input 4 6 2 4 2" xfId="31669" xr:uid="{DD163B9F-3B4F-47BF-97C5-ED049997C0B7}"/>
    <cellStyle name="Input 4 6 2 5" xfId="29326" xr:uid="{00000000-0005-0000-0000-00003B530000}"/>
    <cellStyle name="Input 4 6 2 5 2" xfId="33282" xr:uid="{D005D653-090D-4BC8-8553-80FF809D8BFA}"/>
    <cellStyle name="Input 4 6 2 6" xfId="30555" xr:uid="{30622848-1D74-45B2-92D5-946668B8ABB3}"/>
    <cellStyle name="Input 4 6 3" xfId="25675" xr:uid="{00000000-0005-0000-0000-00003C530000}"/>
    <cellStyle name="Input 4 6 3 2" xfId="27828" xr:uid="{00000000-0005-0000-0000-00003D530000}"/>
    <cellStyle name="Input 4 6 3 2 2" xfId="32415" xr:uid="{574839EA-679B-410F-BBF5-07730250D67D}"/>
    <cellStyle name="Input 4 6 3 3" xfId="29255" xr:uid="{00000000-0005-0000-0000-00003E530000}"/>
    <cellStyle name="Input 4 6 3 3 2" xfId="33237" xr:uid="{DB2302E6-2AFA-4172-9BBF-91EAE97E26B6}"/>
    <cellStyle name="Input 4 6 3 4" xfId="26476" xr:uid="{00000000-0005-0000-0000-00003F530000}"/>
    <cellStyle name="Input 4 6 3 4 2" xfId="31264" xr:uid="{8125D50F-5F7E-4913-9C38-24AB884B266A}"/>
    <cellStyle name="Input 4 6 3 5" xfId="29325" xr:uid="{00000000-0005-0000-0000-000040530000}"/>
    <cellStyle name="Input 4 6 3 5 2" xfId="33281" xr:uid="{35A8E568-B7D6-4CAA-9B2E-B8ACD90A6AE0}"/>
    <cellStyle name="Input 4 6 3 6" xfId="30669" xr:uid="{EA477A84-0135-4A97-8B3A-2F9091AA4262}"/>
    <cellStyle name="Input 4 6 4" xfId="27358" xr:uid="{00000000-0005-0000-0000-000041530000}"/>
    <cellStyle name="Input 4 6 4 2" xfId="31956" xr:uid="{6623F5E4-BE65-4BCF-8F94-9A9E74E5A8C7}"/>
    <cellStyle name="Input 4 6 5" xfId="26195" xr:uid="{00000000-0005-0000-0000-000042530000}"/>
    <cellStyle name="Input 4 6 5 2" xfId="30983" xr:uid="{EC771229-312B-4A63-BF99-FE4607370926}"/>
    <cellStyle name="Input 4 6 6" xfId="26405" xr:uid="{00000000-0005-0000-0000-000043530000}"/>
    <cellStyle name="Input 4 6 6 2" xfId="31193" xr:uid="{43202ED2-88D1-4D0D-9257-72E11B82E1B8}"/>
    <cellStyle name="Input 4 6 7" xfId="29327" xr:uid="{00000000-0005-0000-0000-000044530000}"/>
    <cellStyle name="Input 4 6 7 2" xfId="33283" xr:uid="{9B34BF07-3611-4266-8485-01AF8E98ED06}"/>
    <cellStyle name="Input 4 6 8" xfId="30377" xr:uid="{4AEC6F09-3A57-49F7-A9E0-86F7A56D1D70}"/>
    <cellStyle name="Input 40" xfId="3054" xr:uid="{00000000-0005-0000-0000-000045530000}"/>
    <cellStyle name="Input 41" xfId="3055" xr:uid="{00000000-0005-0000-0000-000046530000}"/>
    <cellStyle name="Input 42" xfId="3056" xr:uid="{00000000-0005-0000-0000-000047530000}"/>
    <cellStyle name="Input 43" xfId="3057" xr:uid="{00000000-0005-0000-0000-000048530000}"/>
    <cellStyle name="Input 44" xfId="3058" xr:uid="{00000000-0005-0000-0000-000049530000}"/>
    <cellStyle name="Input 45" xfId="3059" xr:uid="{00000000-0005-0000-0000-00004A530000}"/>
    <cellStyle name="Input 46" xfId="3060" xr:uid="{00000000-0005-0000-0000-00004B530000}"/>
    <cellStyle name="Input 47" xfId="3061" xr:uid="{00000000-0005-0000-0000-00004C530000}"/>
    <cellStyle name="Input 48" xfId="3062" xr:uid="{00000000-0005-0000-0000-00004D530000}"/>
    <cellStyle name="Input 49" xfId="3063" xr:uid="{00000000-0005-0000-0000-00004E530000}"/>
    <cellStyle name="Input 5" xfId="196" xr:uid="{00000000-0005-0000-0000-00004F530000}"/>
    <cellStyle name="Input 5 2" xfId="3064" xr:uid="{00000000-0005-0000-0000-000050530000}"/>
    <cellStyle name="Input 5 3" xfId="13697" xr:uid="{00000000-0005-0000-0000-000051530000}"/>
    <cellStyle name="Input 50" xfId="3065" xr:uid="{00000000-0005-0000-0000-000052530000}"/>
    <cellStyle name="Input 51" xfId="3066" xr:uid="{00000000-0005-0000-0000-000053530000}"/>
    <cellStyle name="Input 52" xfId="3067" xr:uid="{00000000-0005-0000-0000-000054530000}"/>
    <cellStyle name="Input 53" xfId="3068" xr:uid="{00000000-0005-0000-0000-000055530000}"/>
    <cellStyle name="Input 54" xfId="3069" xr:uid="{00000000-0005-0000-0000-000056530000}"/>
    <cellStyle name="Input 55" xfId="3070" xr:uid="{00000000-0005-0000-0000-000057530000}"/>
    <cellStyle name="Input 56" xfId="3071" xr:uid="{00000000-0005-0000-0000-000058530000}"/>
    <cellStyle name="Input 57" xfId="3072" xr:uid="{00000000-0005-0000-0000-000059530000}"/>
    <cellStyle name="Input 58" xfId="3073" xr:uid="{00000000-0005-0000-0000-00005A530000}"/>
    <cellStyle name="Input 59" xfId="3074" xr:uid="{00000000-0005-0000-0000-00005B530000}"/>
    <cellStyle name="Input 6" xfId="197" xr:uid="{00000000-0005-0000-0000-00005C530000}"/>
    <cellStyle name="Input 6 2" xfId="3075" xr:uid="{00000000-0005-0000-0000-00005D530000}"/>
    <cellStyle name="Input 6 3" xfId="13698" xr:uid="{00000000-0005-0000-0000-00005E530000}"/>
    <cellStyle name="Input 60" xfId="3076" xr:uid="{00000000-0005-0000-0000-00005F530000}"/>
    <cellStyle name="Input 61" xfId="3077" xr:uid="{00000000-0005-0000-0000-000060530000}"/>
    <cellStyle name="Input 62" xfId="3078" xr:uid="{00000000-0005-0000-0000-000061530000}"/>
    <cellStyle name="Input 63" xfId="3079" xr:uid="{00000000-0005-0000-0000-000062530000}"/>
    <cellStyle name="Input 64" xfId="3080" xr:uid="{00000000-0005-0000-0000-000063530000}"/>
    <cellStyle name="Input 65" xfId="3081" xr:uid="{00000000-0005-0000-0000-000064530000}"/>
    <cellStyle name="Input 66" xfId="3082" xr:uid="{00000000-0005-0000-0000-000065530000}"/>
    <cellStyle name="Input 67" xfId="3083" xr:uid="{00000000-0005-0000-0000-000066530000}"/>
    <cellStyle name="Input 68" xfId="3084" xr:uid="{00000000-0005-0000-0000-000067530000}"/>
    <cellStyle name="Input 69" xfId="3085" xr:uid="{00000000-0005-0000-0000-000068530000}"/>
    <cellStyle name="Input 7" xfId="198" xr:uid="{00000000-0005-0000-0000-000069530000}"/>
    <cellStyle name="Input 7 2" xfId="3086" xr:uid="{00000000-0005-0000-0000-00006A530000}"/>
    <cellStyle name="Input 7 3" xfId="13699" xr:uid="{00000000-0005-0000-0000-00006B530000}"/>
    <cellStyle name="Input 70" xfId="3087" xr:uid="{00000000-0005-0000-0000-00006C530000}"/>
    <cellStyle name="Input 71" xfId="3088" xr:uid="{00000000-0005-0000-0000-00006D530000}"/>
    <cellStyle name="Input 72" xfId="3089" xr:uid="{00000000-0005-0000-0000-00006E530000}"/>
    <cellStyle name="Input 73" xfId="23922" xr:uid="{00000000-0005-0000-0000-00006F530000}"/>
    <cellStyle name="Input 74" xfId="24261" xr:uid="{00000000-0005-0000-0000-000070530000}"/>
    <cellStyle name="Input 75" xfId="23924" xr:uid="{00000000-0005-0000-0000-000071530000}"/>
    <cellStyle name="Input 76" xfId="24209" xr:uid="{00000000-0005-0000-0000-000072530000}"/>
    <cellStyle name="Input 77" xfId="24519" xr:uid="{00000000-0005-0000-0000-000073530000}"/>
    <cellStyle name="Input 78" xfId="24020" xr:uid="{00000000-0005-0000-0000-000074530000}"/>
    <cellStyle name="Input 79" xfId="24536" xr:uid="{00000000-0005-0000-0000-000075530000}"/>
    <cellStyle name="Input 8" xfId="199" xr:uid="{00000000-0005-0000-0000-000076530000}"/>
    <cellStyle name="Input 8 2" xfId="3090" xr:uid="{00000000-0005-0000-0000-000077530000}"/>
    <cellStyle name="Input 8 3" xfId="13700" xr:uid="{00000000-0005-0000-0000-000078530000}"/>
    <cellStyle name="Input 80" xfId="24541" xr:uid="{00000000-0005-0000-0000-000079530000}"/>
    <cellStyle name="Input 81" xfId="24245" xr:uid="{00000000-0005-0000-0000-00007A530000}"/>
    <cellStyle name="Input 82" xfId="24537" xr:uid="{00000000-0005-0000-0000-00007B530000}"/>
    <cellStyle name="Input 83" xfId="24031" xr:uid="{00000000-0005-0000-0000-00007C530000}"/>
    <cellStyle name="Input 84" xfId="24550" xr:uid="{00000000-0005-0000-0000-00007D530000}"/>
    <cellStyle name="Input 85" xfId="24552" xr:uid="{00000000-0005-0000-0000-00007E530000}"/>
    <cellStyle name="Input 86" xfId="24636" xr:uid="{00000000-0005-0000-0000-00007F530000}"/>
    <cellStyle name="Input 87" xfId="24715" xr:uid="{00000000-0005-0000-0000-000080530000}"/>
    <cellStyle name="Input 88" xfId="24708" xr:uid="{00000000-0005-0000-0000-000081530000}"/>
    <cellStyle name="Input 89" xfId="24918" xr:uid="{00000000-0005-0000-0000-000082530000}"/>
    <cellStyle name="Input 9" xfId="200" xr:uid="{00000000-0005-0000-0000-000083530000}"/>
    <cellStyle name="Input 9 2" xfId="3091" xr:uid="{00000000-0005-0000-0000-000084530000}"/>
    <cellStyle name="Input 9 3" xfId="13701" xr:uid="{00000000-0005-0000-0000-000085530000}"/>
    <cellStyle name="Input 90" xfId="24937" xr:uid="{00000000-0005-0000-0000-000086530000}"/>
    <cellStyle name="Input 91" xfId="24911" xr:uid="{00000000-0005-0000-0000-000087530000}"/>
    <cellStyle name="Input 92" xfId="24672" xr:uid="{00000000-0005-0000-0000-000088530000}"/>
    <cellStyle name="Input 93" xfId="24713" xr:uid="{00000000-0005-0000-0000-000089530000}"/>
    <cellStyle name="Input 94" xfId="24544" xr:uid="{00000000-0005-0000-0000-00008A530000}"/>
    <cellStyle name="Input 95" xfId="24691" xr:uid="{00000000-0005-0000-0000-00008B530000}"/>
    <cellStyle name="Input 96" xfId="24549" xr:uid="{00000000-0005-0000-0000-00008C530000}"/>
    <cellStyle name="Input 97" xfId="24944" xr:uid="{00000000-0005-0000-0000-00008D530000}"/>
    <cellStyle name="Input1" xfId="572" xr:uid="{00000000-0005-0000-0000-00008E530000}"/>
    <cellStyle name="Input1 2" xfId="24124" xr:uid="{00000000-0005-0000-0000-00008F530000}"/>
    <cellStyle name="Input2" xfId="573" xr:uid="{00000000-0005-0000-0000-000090530000}"/>
    <cellStyle name="Input2 2" xfId="24125" xr:uid="{00000000-0005-0000-0000-000091530000}"/>
    <cellStyle name="Input2 2 2" xfId="25312" xr:uid="{00000000-0005-0000-0000-000092530000}"/>
    <cellStyle name="Input2 2 2 2" xfId="27466" xr:uid="{00000000-0005-0000-0000-000093530000}"/>
    <cellStyle name="Input2 2 2 3" xfId="26207" xr:uid="{00000000-0005-0000-0000-000094530000}"/>
    <cellStyle name="Input2 2 2 3 2" xfId="30995" xr:uid="{166DCC96-61D8-4742-9727-5F5EBFB90CB4}"/>
    <cellStyle name="Input2 2 2 4" xfId="29408" xr:uid="{00000000-0005-0000-0000-000095530000}"/>
    <cellStyle name="Input2 2 2 4 2" xfId="33350" xr:uid="{FE33547C-70F4-45BA-9B9E-C2E4570DBBDB}"/>
    <cellStyle name="Input2 2 3" xfId="27071" xr:uid="{00000000-0005-0000-0000-000096530000}"/>
    <cellStyle name="Input2 2 4" xfId="29407" xr:uid="{00000000-0005-0000-0000-000097530000}"/>
    <cellStyle name="Input2 2 4 2" xfId="33349" xr:uid="{6CBECA70-7D2E-4B0A-A5EC-39419953C586}"/>
    <cellStyle name="Input2 3" xfId="25454" xr:uid="{00000000-0005-0000-0000-000098530000}"/>
    <cellStyle name="Input2 3 2" xfId="27608" xr:uid="{00000000-0005-0000-0000-000099530000}"/>
    <cellStyle name="Input2 3 3" xfId="26064" xr:uid="{00000000-0005-0000-0000-00009A530000}"/>
    <cellStyle name="Input2 3 3 2" xfId="30854" xr:uid="{25FD0D2A-680D-4B66-9424-28FEC4ECEC85}"/>
    <cellStyle name="Input2 3 4" xfId="29409" xr:uid="{00000000-0005-0000-0000-00009B530000}"/>
    <cellStyle name="Input2 3 4 2" xfId="33351" xr:uid="{D4CAD5DB-4BD6-4239-968D-EB7CB4708AF4}"/>
    <cellStyle name="Input2 4" xfId="26045" xr:uid="{00000000-0005-0000-0000-00009C530000}"/>
    <cellStyle name="Input2 5" xfId="29406" xr:uid="{00000000-0005-0000-0000-00009D530000}"/>
    <cellStyle name="Input2 5 2" xfId="33348" xr:uid="{656B9B71-B906-4AC2-8C1E-C9F5E39BDC29}"/>
    <cellStyle name="LineItemPrompt" xfId="3092" xr:uid="{00000000-0005-0000-0000-00009E530000}"/>
    <cellStyle name="LineItemValue" xfId="3093" xr:uid="{00000000-0005-0000-0000-00009F530000}"/>
    <cellStyle name="Linked Cell 10" xfId="3094" xr:uid="{00000000-0005-0000-0000-0000A0530000}"/>
    <cellStyle name="Linked Cell 11" xfId="3095" xr:uid="{00000000-0005-0000-0000-0000A1530000}"/>
    <cellStyle name="Linked Cell 12" xfId="3096" xr:uid="{00000000-0005-0000-0000-0000A2530000}"/>
    <cellStyle name="Linked Cell 13" xfId="3097" xr:uid="{00000000-0005-0000-0000-0000A3530000}"/>
    <cellStyle name="Linked Cell 14" xfId="3098" xr:uid="{00000000-0005-0000-0000-0000A4530000}"/>
    <cellStyle name="Linked Cell 15" xfId="3099" xr:uid="{00000000-0005-0000-0000-0000A5530000}"/>
    <cellStyle name="Linked Cell 16" xfId="3100" xr:uid="{00000000-0005-0000-0000-0000A6530000}"/>
    <cellStyle name="Linked Cell 17" xfId="3101" xr:uid="{00000000-0005-0000-0000-0000A7530000}"/>
    <cellStyle name="Linked Cell 18" xfId="3102" xr:uid="{00000000-0005-0000-0000-0000A8530000}"/>
    <cellStyle name="Linked Cell 19" xfId="3103" xr:uid="{00000000-0005-0000-0000-0000A9530000}"/>
    <cellStyle name="Linked Cell 2" xfId="3104" xr:uid="{00000000-0005-0000-0000-0000AA530000}"/>
    <cellStyle name="Linked Cell 2 2" xfId="24127" xr:uid="{00000000-0005-0000-0000-0000AB530000}"/>
    <cellStyle name="Linked Cell 2 3" xfId="24126" xr:uid="{00000000-0005-0000-0000-0000AC530000}"/>
    <cellStyle name="Linked Cell 20" xfId="3105" xr:uid="{00000000-0005-0000-0000-0000AD530000}"/>
    <cellStyle name="Linked Cell 21" xfId="3106" xr:uid="{00000000-0005-0000-0000-0000AE530000}"/>
    <cellStyle name="Linked Cell 22" xfId="3107" xr:uid="{00000000-0005-0000-0000-0000AF530000}"/>
    <cellStyle name="Linked Cell 23" xfId="3108" xr:uid="{00000000-0005-0000-0000-0000B0530000}"/>
    <cellStyle name="Linked Cell 24" xfId="3109" xr:uid="{00000000-0005-0000-0000-0000B1530000}"/>
    <cellStyle name="Linked Cell 25" xfId="3110" xr:uid="{00000000-0005-0000-0000-0000B2530000}"/>
    <cellStyle name="Linked Cell 26" xfId="3111" xr:uid="{00000000-0005-0000-0000-0000B3530000}"/>
    <cellStyle name="Linked Cell 27" xfId="3112" xr:uid="{00000000-0005-0000-0000-0000B4530000}"/>
    <cellStyle name="Linked Cell 28" xfId="3113" xr:uid="{00000000-0005-0000-0000-0000B5530000}"/>
    <cellStyle name="Linked Cell 29" xfId="3114" xr:uid="{00000000-0005-0000-0000-0000B6530000}"/>
    <cellStyle name="Linked Cell 3" xfId="3115" xr:uid="{00000000-0005-0000-0000-0000B7530000}"/>
    <cellStyle name="Linked Cell 3 2" xfId="24128" xr:uid="{00000000-0005-0000-0000-0000B8530000}"/>
    <cellStyle name="Linked Cell 30" xfId="3116" xr:uid="{00000000-0005-0000-0000-0000B9530000}"/>
    <cellStyle name="Linked Cell 31" xfId="3117" xr:uid="{00000000-0005-0000-0000-0000BA530000}"/>
    <cellStyle name="Linked Cell 32" xfId="3118" xr:uid="{00000000-0005-0000-0000-0000BB530000}"/>
    <cellStyle name="Linked Cell 33" xfId="3119" xr:uid="{00000000-0005-0000-0000-0000BC530000}"/>
    <cellStyle name="Linked Cell 34" xfId="3120" xr:uid="{00000000-0005-0000-0000-0000BD530000}"/>
    <cellStyle name="Linked Cell 35" xfId="3121" xr:uid="{00000000-0005-0000-0000-0000BE530000}"/>
    <cellStyle name="Linked Cell 36" xfId="3122" xr:uid="{00000000-0005-0000-0000-0000BF530000}"/>
    <cellStyle name="Linked Cell 37" xfId="3123" xr:uid="{00000000-0005-0000-0000-0000C0530000}"/>
    <cellStyle name="Linked Cell 38" xfId="3124" xr:uid="{00000000-0005-0000-0000-0000C1530000}"/>
    <cellStyle name="Linked Cell 39" xfId="3125" xr:uid="{00000000-0005-0000-0000-0000C2530000}"/>
    <cellStyle name="Linked Cell 4" xfId="3126" xr:uid="{00000000-0005-0000-0000-0000C3530000}"/>
    <cellStyle name="Linked Cell 4 2" xfId="24129" xr:uid="{00000000-0005-0000-0000-0000C4530000}"/>
    <cellStyle name="Linked Cell 40" xfId="3127" xr:uid="{00000000-0005-0000-0000-0000C5530000}"/>
    <cellStyle name="Linked Cell 41" xfId="3128" xr:uid="{00000000-0005-0000-0000-0000C6530000}"/>
    <cellStyle name="Linked Cell 42" xfId="3129" xr:uid="{00000000-0005-0000-0000-0000C7530000}"/>
    <cellStyle name="Linked Cell 43" xfId="3130" xr:uid="{00000000-0005-0000-0000-0000C8530000}"/>
    <cellStyle name="Linked Cell 44" xfId="3131" xr:uid="{00000000-0005-0000-0000-0000C9530000}"/>
    <cellStyle name="Linked Cell 45" xfId="3132" xr:uid="{00000000-0005-0000-0000-0000CA530000}"/>
    <cellStyle name="Linked Cell 46" xfId="3133" xr:uid="{00000000-0005-0000-0000-0000CB530000}"/>
    <cellStyle name="Linked Cell 47" xfId="3134" xr:uid="{00000000-0005-0000-0000-0000CC530000}"/>
    <cellStyle name="Linked Cell 48" xfId="3135" xr:uid="{00000000-0005-0000-0000-0000CD530000}"/>
    <cellStyle name="Linked Cell 49" xfId="3136" xr:uid="{00000000-0005-0000-0000-0000CE530000}"/>
    <cellStyle name="Linked Cell 5" xfId="3137" xr:uid="{00000000-0005-0000-0000-0000CF530000}"/>
    <cellStyle name="Linked Cell 50" xfId="3138" xr:uid="{00000000-0005-0000-0000-0000D0530000}"/>
    <cellStyle name="Linked Cell 51" xfId="3139" xr:uid="{00000000-0005-0000-0000-0000D1530000}"/>
    <cellStyle name="Linked Cell 52" xfId="3140" xr:uid="{00000000-0005-0000-0000-0000D2530000}"/>
    <cellStyle name="Linked Cell 53" xfId="3141" xr:uid="{00000000-0005-0000-0000-0000D3530000}"/>
    <cellStyle name="Linked Cell 54" xfId="3142" xr:uid="{00000000-0005-0000-0000-0000D4530000}"/>
    <cellStyle name="Linked Cell 55" xfId="3143" xr:uid="{00000000-0005-0000-0000-0000D5530000}"/>
    <cellStyle name="Linked Cell 56" xfId="3144" xr:uid="{00000000-0005-0000-0000-0000D6530000}"/>
    <cellStyle name="Linked Cell 57" xfId="3145" xr:uid="{00000000-0005-0000-0000-0000D7530000}"/>
    <cellStyle name="Linked Cell 58" xfId="3146" xr:uid="{00000000-0005-0000-0000-0000D8530000}"/>
    <cellStyle name="Linked Cell 59" xfId="3147" xr:uid="{00000000-0005-0000-0000-0000D9530000}"/>
    <cellStyle name="Linked Cell 6" xfId="3148" xr:uid="{00000000-0005-0000-0000-0000DA530000}"/>
    <cellStyle name="Linked Cell 60" xfId="3149" xr:uid="{00000000-0005-0000-0000-0000DB530000}"/>
    <cellStyle name="Linked Cell 61" xfId="3150" xr:uid="{00000000-0005-0000-0000-0000DC530000}"/>
    <cellStyle name="Linked Cell 62" xfId="3151" xr:uid="{00000000-0005-0000-0000-0000DD530000}"/>
    <cellStyle name="Linked Cell 63" xfId="3152" xr:uid="{00000000-0005-0000-0000-0000DE530000}"/>
    <cellStyle name="Linked Cell 64" xfId="3153" xr:uid="{00000000-0005-0000-0000-0000DF530000}"/>
    <cellStyle name="Linked Cell 65" xfId="3154" xr:uid="{00000000-0005-0000-0000-0000E0530000}"/>
    <cellStyle name="Linked Cell 66" xfId="3155" xr:uid="{00000000-0005-0000-0000-0000E1530000}"/>
    <cellStyle name="Linked Cell 67" xfId="3156" xr:uid="{00000000-0005-0000-0000-0000E2530000}"/>
    <cellStyle name="Linked Cell 68" xfId="3157" xr:uid="{00000000-0005-0000-0000-0000E3530000}"/>
    <cellStyle name="Linked Cell 69" xfId="3158" xr:uid="{00000000-0005-0000-0000-0000E4530000}"/>
    <cellStyle name="Linked Cell 7" xfId="3159" xr:uid="{00000000-0005-0000-0000-0000E5530000}"/>
    <cellStyle name="Linked Cell 70" xfId="3160" xr:uid="{00000000-0005-0000-0000-0000E6530000}"/>
    <cellStyle name="Linked Cell 71" xfId="3161" xr:uid="{00000000-0005-0000-0000-0000E7530000}"/>
    <cellStyle name="Linked Cell 72" xfId="3162" xr:uid="{00000000-0005-0000-0000-0000E8530000}"/>
    <cellStyle name="Linked Cell 8" xfId="3163" xr:uid="{00000000-0005-0000-0000-0000E9530000}"/>
    <cellStyle name="Linked Cell 9" xfId="3164" xr:uid="{00000000-0005-0000-0000-0000EA530000}"/>
    <cellStyle name="Manual-Input" xfId="3165" xr:uid="{00000000-0005-0000-0000-0000EB530000}"/>
    <cellStyle name="Marathon" xfId="46" xr:uid="{00000000-0005-0000-0000-0000EC530000}"/>
    <cellStyle name="Marathon 2" xfId="25810" xr:uid="{00000000-0005-0000-0000-0000ED530000}"/>
    <cellStyle name="MCP" xfId="47" xr:uid="{00000000-0005-0000-0000-0000EE530000}"/>
    <cellStyle name="Multiple" xfId="574" xr:uid="{00000000-0005-0000-0000-0000EF530000}"/>
    <cellStyle name="Multiple [1]" xfId="575" xr:uid="{00000000-0005-0000-0000-0000F0530000}"/>
    <cellStyle name="Multiple [1] 2" xfId="26047" xr:uid="{00000000-0005-0000-0000-0000F1530000}"/>
    <cellStyle name="Multiple 10" xfId="30152" xr:uid="{00000000-0005-0000-0000-0000F2530000}"/>
    <cellStyle name="Multiple 11" xfId="29366" xr:uid="{00000000-0005-0000-0000-0000F3530000}"/>
    <cellStyle name="Multiple 12" xfId="29402" xr:uid="{00000000-0005-0000-0000-0000F4530000}"/>
    <cellStyle name="Multiple 13" xfId="30154" xr:uid="{00000000-0005-0000-0000-0000F5530000}"/>
    <cellStyle name="Multiple 14" xfId="29399" xr:uid="{00000000-0005-0000-0000-0000F6530000}"/>
    <cellStyle name="Multiple 15" xfId="29273" xr:uid="{00000000-0005-0000-0000-0000F7530000}"/>
    <cellStyle name="Multiple 16" xfId="29421" xr:uid="{00000000-0005-0000-0000-0000F8530000}"/>
    <cellStyle name="Multiple 17" xfId="29275" xr:uid="{00000000-0005-0000-0000-0000F9530000}"/>
    <cellStyle name="Multiple 18" xfId="29419" xr:uid="{00000000-0005-0000-0000-0000FA530000}"/>
    <cellStyle name="Multiple 19" xfId="29277" xr:uid="{00000000-0005-0000-0000-0000FB530000}"/>
    <cellStyle name="Multiple 2" xfId="26046" xr:uid="{00000000-0005-0000-0000-0000FC530000}"/>
    <cellStyle name="Multiple 20" xfId="29417" xr:uid="{00000000-0005-0000-0000-0000FD530000}"/>
    <cellStyle name="Multiple 21" xfId="29303" xr:uid="{00000000-0005-0000-0000-0000FE530000}"/>
    <cellStyle name="Multiple 22" xfId="29415" xr:uid="{00000000-0005-0000-0000-0000FF530000}"/>
    <cellStyle name="Multiple 23" xfId="29317" xr:uid="{00000000-0005-0000-0000-000000540000}"/>
    <cellStyle name="Multiple 24" xfId="30156" xr:uid="{00000000-0005-0000-0000-000001540000}"/>
    <cellStyle name="Multiple 25" xfId="29319" xr:uid="{00000000-0005-0000-0000-000002540000}"/>
    <cellStyle name="Multiple 26" xfId="29413" xr:uid="{00000000-0005-0000-0000-000003540000}"/>
    <cellStyle name="Multiple 27" xfId="29321" xr:uid="{00000000-0005-0000-0000-000004540000}"/>
    <cellStyle name="Multiple 28" xfId="30155" xr:uid="{00000000-0005-0000-0000-000005540000}"/>
    <cellStyle name="Multiple 29" xfId="29323" xr:uid="{00000000-0005-0000-0000-000006540000}"/>
    <cellStyle name="Multiple 3" xfId="27000" xr:uid="{00000000-0005-0000-0000-000007540000}"/>
    <cellStyle name="Multiple 30" xfId="29405" xr:uid="{00000000-0005-0000-0000-000008540000}"/>
    <cellStyle name="Multiple 31" xfId="29265" xr:uid="{00000000-0005-0000-0000-000009540000}"/>
    <cellStyle name="Multiple 32" xfId="29428" xr:uid="{00000000-0005-0000-0000-00000A540000}"/>
    <cellStyle name="Multiple 33" xfId="29274" xr:uid="{00000000-0005-0000-0000-00000B540000}"/>
    <cellStyle name="Multiple 34" xfId="29420" xr:uid="{00000000-0005-0000-0000-00000C540000}"/>
    <cellStyle name="Multiple 35" xfId="29276" xr:uid="{00000000-0005-0000-0000-00000D540000}"/>
    <cellStyle name="Multiple 36" xfId="29418" xr:uid="{00000000-0005-0000-0000-00000E540000}"/>
    <cellStyle name="Multiple 37" xfId="29284" xr:uid="{00000000-0005-0000-0000-00000F540000}"/>
    <cellStyle name="Multiple 38" xfId="29416" xr:uid="{00000000-0005-0000-0000-000010540000}"/>
    <cellStyle name="Multiple 39" xfId="29316" xr:uid="{00000000-0005-0000-0000-000011540000}"/>
    <cellStyle name="Multiple 4" xfId="26719" xr:uid="{00000000-0005-0000-0000-000012540000}"/>
    <cellStyle name="Multiple 40" xfId="29414" xr:uid="{00000000-0005-0000-0000-000013540000}"/>
    <cellStyle name="Multiple 41" xfId="29318" xr:uid="{00000000-0005-0000-0000-000014540000}"/>
    <cellStyle name="Multiple 42" xfId="30153" xr:uid="{00000000-0005-0000-0000-000015540000}"/>
    <cellStyle name="Multiple 43" xfId="29320" xr:uid="{00000000-0005-0000-0000-000016540000}"/>
    <cellStyle name="Multiple 44" xfId="29412" xr:uid="{00000000-0005-0000-0000-000017540000}"/>
    <cellStyle name="Multiple 45" xfId="29322" xr:uid="{00000000-0005-0000-0000-000018540000}"/>
    <cellStyle name="Multiple 46" xfId="30160" xr:uid="{DD151B50-0191-4EF8-A8B6-3F913C95CD9E}"/>
    <cellStyle name="Multiple 5" xfId="29235" xr:uid="{00000000-0005-0000-0000-000019540000}"/>
    <cellStyle name="Multiple 6" xfId="29410" xr:uid="{00000000-0005-0000-0000-00001A540000}"/>
    <cellStyle name="Multiple 7" xfId="29324" xr:uid="{00000000-0005-0000-0000-00001B540000}"/>
    <cellStyle name="Multiple 8" xfId="29403" xr:uid="{00000000-0005-0000-0000-00001C540000}"/>
    <cellStyle name="Multiple 9" xfId="29357" xr:uid="{00000000-0005-0000-0000-00001D540000}"/>
    <cellStyle name="Multiple_10_21 A&amp;G Review" xfId="576" xr:uid="{00000000-0005-0000-0000-00001E540000}"/>
    <cellStyle name="Neutral 10" xfId="3166" xr:uid="{00000000-0005-0000-0000-00001F540000}"/>
    <cellStyle name="Neutral 11" xfId="3167" xr:uid="{00000000-0005-0000-0000-000020540000}"/>
    <cellStyle name="Neutral 12" xfId="3168" xr:uid="{00000000-0005-0000-0000-000021540000}"/>
    <cellStyle name="Neutral 13" xfId="3169" xr:uid="{00000000-0005-0000-0000-000022540000}"/>
    <cellStyle name="Neutral 14" xfId="3170" xr:uid="{00000000-0005-0000-0000-000023540000}"/>
    <cellStyle name="Neutral 15" xfId="3171" xr:uid="{00000000-0005-0000-0000-000024540000}"/>
    <cellStyle name="Neutral 16" xfId="3172" xr:uid="{00000000-0005-0000-0000-000025540000}"/>
    <cellStyle name="Neutral 17" xfId="3173" xr:uid="{00000000-0005-0000-0000-000026540000}"/>
    <cellStyle name="Neutral 18" xfId="3174" xr:uid="{00000000-0005-0000-0000-000027540000}"/>
    <cellStyle name="Neutral 19" xfId="3175" xr:uid="{00000000-0005-0000-0000-000028540000}"/>
    <cellStyle name="Neutral 2" xfId="3176" xr:uid="{00000000-0005-0000-0000-000029540000}"/>
    <cellStyle name="Neutral 2 2" xfId="24132" xr:uid="{00000000-0005-0000-0000-00002A540000}"/>
    <cellStyle name="Neutral 2 3" xfId="24131" xr:uid="{00000000-0005-0000-0000-00002B540000}"/>
    <cellStyle name="Neutral 20" xfId="3177" xr:uid="{00000000-0005-0000-0000-00002C540000}"/>
    <cellStyle name="Neutral 21" xfId="3178" xr:uid="{00000000-0005-0000-0000-00002D540000}"/>
    <cellStyle name="Neutral 22" xfId="3179" xr:uid="{00000000-0005-0000-0000-00002E540000}"/>
    <cellStyle name="Neutral 23" xfId="3180" xr:uid="{00000000-0005-0000-0000-00002F540000}"/>
    <cellStyle name="Neutral 24" xfId="3181" xr:uid="{00000000-0005-0000-0000-000030540000}"/>
    <cellStyle name="Neutral 25" xfId="3182" xr:uid="{00000000-0005-0000-0000-000031540000}"/>
    <cellStyle name="Neutral 26" xfId="3183" xr:uid="{00000000-0005-0000-0000-000032540000}"/>
    <cellStyle name="Neutral 27" xfId="3184" xr:uid="{00000000-0005-0000-0000-000033540000}"/>
    <cellStyle name="Neutral 28" xfId="3185" xr:uid="{00000000-0005-0000-0000-000034540000}"/>
    <cellStyle name="Neutral 29" xfId="3186" xr:uid="{00000000-0005-0000-0000-000035540000}"/>
    <cellStyle name="Neutral 3" xfId="3187" xr:uid="{00000000-0005-0000-0000-000036540000}"/>
    <cellStyle name="Neutral 3 2" xfId="24133" xr:uid="{00000000-0005-0000-0000-000037540000}"/>
    <cellStyle name="Neutral 30" xfId="3188" xr:uid="{00000000-0005-0000-0000-000038540000}"/>
    <cellStyle name="Neutral 31" xfId="3189" xr:uid="{00000000-0005-0000-0000-000039540000}"/>
    <cellStyle name="Neutral 32" xfId="3190" xr:uid="{00000000-0005-0000-0000-00003A540000}"/>
    <cellStyle name="Neutral 33" xfId="3191" xr:uid="{00000000-0005-0000-0000-00003B540000}"/>
    <cellStyle name="Neutral 34" xfId="3192" xr:uid="{00000000-0005-0000-0000-00003C540000}"/>
    <cellStyle name="Neutral 35" xfId="3193" xr:uid="{00000000-0005-0000-0000-00003D540000}"/>
    <cellStyle name="Neutral 36" xfId="3194" xr:uid="{00000000-0005-0000-0000-00003E540000}"/>
    <cellStyle name="Neutral 37" xfId="3195" xr:uid="{00000000-0005-0000-0000-00003F540000}"/>
    <cellStyle name="Neutral 38" xfId="3196" xr:uid="{00000000-0005-0000-0000-000040540000}"/>
    <cellStyle name="Neutral 39" xfId="3197" xr:uid="{00000000-0005-0000-0000-000041540000}"/>
    <cellStyle name="Neutral 4" xfId="3198" xr:uid="{00000000-0005-0000-0000-000042540000}"/>
    <cellStyle name="Neutral 4 2" xfId="24134" xr:uid="{00000000-0005-0000-0000-000043540000}"/>
    <cellStyle name="Neutral 40" xfId="3199" xr:uid="{00000000-0005-0000-0000-000044540000}"/>
    <cellStyle name="Neutral 41" xfId="3200" xr:uid="{00000000-0005-0000-0000-000045540000}"/>
    <cellStyle name="Neutral 42" xfId="3201" xr:uid="{00000000-0005-0000-0000-000046540000}"/>
    <cellStyle name="Neutral 43" xfId="3202" xr:uid="{00000000-0005-0000-0000-000047540000}"/>
    <cellStyle name="Neutral 44" xfId="3203" xr:uid="{00000000-0005-0000-0000-000048540000}"/>
    <cellStyle name="Neutral 45" xfId="3204" xr:uid="{00000000-0005-0000-0000-000049540000}"/>
    <cellStyle name="Neutral 46" xfId="3205" xr:uid="{00000000-0005-0000-0000-00004A540000}"/>
    <cellStyle name="Neutral 47" xfId="3206" xr:uid="{00000000-0005-0000-0000-00004B540000}"/>
    <cellStyle name="Neutral 48" xfId="3207" xr:uid="{00000000-0005-0000-0000-00004C540000}"/>
    <cellStyle name="Neutral 49" xfId="3208" xr:uid="{00000000-0005-0000-0000-00004D540000}"/>
    <cellStyle name="Neutral 5" xfId="3209" xr:uid="{00000000-0005-0000-0000-00004E540000}"/>
    <cellStyle name="Neutral 50" xfId="3210" xr:uid="{00000000-0005-0000-0000-00004F540000}"/>
    <cellStyle name="Neutral 51" xfId="3211" xr:uid="{00000000-0005-0000-0000-000050540000}"/>
    <cellStyle name="Neutral 52" xfId="3212" xr:uid="{00000000-0005-0000-0000-000051540000}"/>
    <cellStyle name="Neutral 53" xfId="3213" xr:uid="{00000000-0005-0000-0000-000052540000}"/>
    <cellStyle name="Neutral 54" xfId="3214" xr:uid="{00000000-0005-0000-0000-000053540000}"/>
    <cellStyle name="Neutral 55" xfId="3215" xr:uid="{00000000-0005-0000-0000-000054540000}"/>
    <cellStyle name="Neutral 56" xfId="3216" xr:uid="{00000000-0005-0000-0000-000055540000}"/>
    <cellStyle name="Neutral 57" xfId="3217" xr:uid="{00000000-0005-0000-0000-000056540000}"/>
    <cellStyle name="Neutral 58" xfId="3218" xr:uid="{00000000-0005-0000-0000-000057540000}"/>
    <cellStyle name="Neutral 59" xfId="3219" xr:uid="{00000000-0005-0000-0000-000058540000}"/>
    <cellStyle name="Neutral 6" xfId="3220" xr:uid="{00000000-0005-0000-0000-000059540000}"/>
    <cellStyle name="Neutral 60" xfId="3221" xr:uid="{00000000-0005-0000-0000-00005A540000}"/>
    <cellStyle name="Neutral 61" xfId="3222" xr:uid="{00000000-0005-0000-0000-00005B540000}"/>
    <cellStyle name="Neutral 62" xfId="3223" xr:uid="{00000000-0005-0000-0000-00005C540000}"/>
    <cellStyle name="Neutral 63" xfId="3224" xr:uid="{00000000-0005-0000-0000-00005D540000}"/>
    <cellStyle name="Neutral 64" xfId="3225" xr:uid="{00000000-0005-0000-0000-00005E540000}"/>
    <cellStyle name="Neutral 65" xfId="3226" xr:uid="{00000000-0005-0000-0000-00005F540000}"/>
    <cellStyle name="Neutral 66" xfId="3227" xr:uid="{00000000-0005-0000-0000-000060540000}"/>
    <cellStyle name="Neutral 67" xfId="3228" xr:uid="{00000000-0005-0000-0000-000061540000}"/>
    <cellStyle name="Neutral 68" xfId="3229" xr:uid="{00000000-0005-0000-0000-000062540000}"/>
    <cellStyle name="Neutral 69" xfId="3230" xr:uid="{00000000-0005-0000-0000-000063540000}"/>
    <cellStyle name="Neutral 7" xfId="3231" xr:uid="{00000000-0005-0000-0000-000064540000}"/>
    <cellStyle name="Neutral 70" xfId="3232" xr:uid="{00000000-0005-0000-0000-000065540000}"/>
    <cellStyle name="Neutral 71" xfId="3233" xr:uid="{00000000-0005-0000-0000-000066540000}"/>
    <cellStyle name="Neutral 72" xfId="3234" xr:uid="{00000000-0005-0000-0000-000067540000}"/>
    <cellStyle name="Neutral 8" xfId="3235" xr:uid="{00000000-0005-0000-0000-000068540000}"/>
    <cellStyle name="Neutral 9" xfId="3236" xr:uid="{00000000-0005-0000-0000-000069540000}"/>
    <cellStyle name="nONE" xfId="48" xr:uid="{00000000-0005-0000-0000-00006A540000}"/>
    <cellStyle name="nONE 2" xfId="201" xr:uid="{00000000-0005-0000-0000-00006B540000}"/>
    <cellStyle name="noninput" xfId="49" xr:uid="{00000000-0005-0000-0000-00006C540000}"/>
    <cellStyle name="Normal" xfId="0" builtinId="0"/>
    <cellStyle name="Normal - Style1" xfId="50" xr:uid="{00000000-0005-0000-0000-00006E540000}"/>
    <cellStyle name="Normal - Style1 2" xfId="25811" xr:uid="{00000000-0005-0000-0000-00006F540000}"/>
    <cellStyle name="Normal 10" xfId="309" xr:uid="{00000000-0005-0000-0000-000070540000}"/>
    <cellStyle name="Normal 10 10" xfId="25764" xr:uid="{00000000-0005-0000-0000-000071540000}"/>
    <cellStyle name="Normal 10 10 2" xfId="29000" xr:uid="{00000000-0005-0000-0000-000072540000}"/>
    <cellStyle name="Normal 10 11" xfId="25789" xr:uid="{00000000-0005-0000-0000-000073540000}"/>
    <cellStyle name="Normal 10 11 2" xfId="29001" xr:uid="{00000000-0005-0000-0000-000074540000}"/>
    <cellStyle name="Normal 10 11 3" xfId="28742" xr:uid="{00000000-0005-0000-0000-000075540000}"/>
    <cellStyle name="Normal 10 12" xfId="28743" xr:uid="{00000000-0005-0000-0000-000076540000}"/>
    <cellStyle name="Normal 10 12 2" xfId="29002" xr:uid="{00000000-0005-0000-0000-000077540000}"/>
    <cellStyle name="Normal 10 13" xfId="28744" xr:uid="{00000000-0005-0000-0000-000078540000}"/>
    <cellStyle name="Normal 10 13 2" xfId="29003" xr:uid="{00000000-0005-0000-0000-000079540000}"/>
    <cellStyle name="Normal 10 2" xfId="646" xr:uid="{00000000-0005-0000-0000-00007A540000}"/>
    <cellStyle name="Normal 10 2 2" xfId="12453" xr:uid="{00000000-0005-0000-0000-00007B540000}"/>
    <cellStyle name="Normal 10 2 2 2" xfId="23741" xr:uid="{00000000-0005-0000-0000-00007C540000}"/>
    <cellStyle name="Normal 10 2 2 3" xfId="29004" xr:uid="{00000000-0005-0000-0000-00007D540000}"/>
    <cellStyle name="Normal 10 2 3" xfId="10459" xr:uid="{00000000-0005-0000-0000-00007E540000}"/>
    <cellStyle name="Normal 10 2 3 2" xfId="21747" xr:uid="{00000000-0005-0000-0000-00007F540000}"/>
    <cellStyle name="Normal 10 2 4" xfId="8465" xr:uid="{00000000-0005-0000-0000-000080540000}"/>
    <cellStyle name="Normal 10 2 4 2" xfId="19753" xr:uid="{00000000-0005-0000-0000-000081540000}"/>
    <cellStyle name="Normal 10 2 5" xfId="6471" xr:uid="{00000000-0005-0000-0000-000082540000}"/>
    <cellStyle name="Normal 10 2 5 2" xfId="17759" xr:uid="{00000000-0005-0000-0000-000083540000}"/>
    <cellStyle name="Normal 10 2 6" xfId="4474" xr:uid="{00000000-0005-0000-0000-000084540000}"/>
    <cellStyle name="Normal 10 2 6 2" xfId="15765" xr:uid="{00000000-0005-0000-0000-000085540000}"/>
    <cellStyle name="Normal 10 2 7" xfId="24135" xr:uid="{00000000-0005-0000-0000-000086540000}"/>
    <cellStyle name="Normal 10 2 7 2" xfId="27075" xr:uid="{00000000-0005-0000-0000-000087540000}"/>
    <cellStyle name="Normal 10 3" xfId="11456" xr:uid="{00000000-0005-0000-0000-000088540000}"/>
    <cellStyle name="Normal 10 3 2" xfId="22744" xr:uid="{00000000-0005-0000-0000-000089540000}"/>
    <cellStyle name="Normal 10 3 2 2" xfId="29005" xr:uid="{00000000-0005-0000-0000-00008A540000}"/>
    <cellStyle name="Normal 10 3 3" xfId="28745" xr:uid="{00000000-0005-0000-0000-00008B540000}"/>
    <cellStyle name="Normal 10 4" xfId="9462" xr:uid="{00000000-0005-0000-0000-00008C540000}"/>
    <cellStyle name="Normal 10 4 2" xfId="20750" xr:uid="{00000000-0005-0000-0000-00008D540000}"/>
    <cellStyle name="Normal 10 4 2 2" xfId="29006" xr:uid="{00000000-0005-0000-0000-00008E540000}"/>
    <cellStyle name="Normal 10 4 3" xfId="28746" xr:uid="{00000000-0005-0000-0000-00008F540000}"/>
    <cellStyle name="Normal 10 5" xfId="7468" xr:uid="{00000000-0005-0000-0000-000090540000}"/>
    <cellStyle name="Normal 10 5 2" xfId="18756" xr:uid="{00000000-0005-0000-0000-000091540000}"/>
    <cellStyle name="Normal 10 5 2 2" xfId="29007" xr:uid="{00000000-0005-0000-0000-000092540000}"/>
    <cellStyle name="Normal 10 5 3" xfId="28747" xr:uid="{00000000-0005-0000-0000-000093540000}"/>
    <cellStyle name="Normal 10 6" xfId="5474" xr:uid="{00000000-0005-0000-0000-000094540000}"/>
    <cellStyle name="Normal 10 6 2" xfId="16762" xr:uid="{00000000-0005-0000-0000-000095540000}"/>
    <cellStyle name="Normal 10 6 2 2" xfId="29008" xr:uid="{00000000-0005-0000-0000-000096540000}"/>
    <cellStyle name="Normal 10 6 3" xfId="28748" xr:uid="{00000000-0005-0000-0000-000097540000}"/>
    <cellStyle name="Normal 10 7" xfId="3237" xr:uid="{00000000-0005-0000-0000-000098540000}"/>
    <cellStyle name="Normal 10 7 2" xfId="14768" xr:uid="{00000000-0005-0000-0000-000099540000}"/>
    <cellStyle name="Normal 10 7 2 2" xfId="29009" xr:uid="{00000000-0005-0000-0000-00009A540000}"/>
    <cellStyle name="Normal 10 7 3" xfId="28749" xr:uid="{00000000-0005-0000-0000-00009B540000}"/>
    <cellStyle name="Normal 10 8" xfId="13746" xr:uid="{00000000-0005-0000-0000-00009C540000}"/>
    <cellStyle name="Normal 10 8 2" xfId="26658" xr:uid="{00000000-0005-0000-0000-00009D540000}"/>
    <cellStyle name="Normal 10 8 2 2" xfId="29010" xr:uid="{00000000-0005-0000-0000-00009E540000}"/>
    <cellStyle name="Normal 10 9" xfId="13454" xr:uid="{00000000-0005-0000-0000-00009F540000}"/>
    <cellStyle name="Normal 10 9 2" xfId="29011" xr:uid="{00000000-0005-0000-0000-0000A0540000}"/>
    <cellStyle name="Normal 10 9 3" xfId="28750" xr:uid="{00000000-0005-0000-0000-0000A1540000}"/>
    <cellStyle name="Normal 100" xfId="25761" xr:uid="{00000000-0005-0000-0000-0000A2540000}"/>
    <cellStyle name="Normal 100 2" xfId="27899" xr:uid="{00000000-0005-0000-0000-0000A3540000}"/>
    <cellStyle name="Normal 101" xfId="25795" xr:uid="{00000000-0005-0000-0000-0000A4540000}"/>
    <cellStyle name="Normal 101 2" xfId="29411" xr:uid="{00000000-0005-0000-0000-0000A5540000}"/>
    <cellStyle name="Normal 102" xfId="28612" xr:uid="{00000000-0005-0000-0000-0000A6540000}"/>
    <cellStyle name="Normal 103" xfId="27901" xr:uid="{00000000-0005-0000-0000-0000A7540000}"/>
    <cellStyle name="Normal 104" xfId="29170" xr:uid="{00000000-0005-0000-0000-0000A8540000}"/>
    <cellStyle name="Normal 105" xfId="29173" xr:uid="{00000000-0005-0000-0000-0000A9540000}"/>
    <cellStyle name="Normal 106" xfId="29174" xr:uid="{00000000-0005-0000-0000-0000AA540000}"/>
    <cellStyle name="Normal 107" xfId="29175" xr:uid="{00000000-0005-0000-0000-0000AB540000}"/>
    <cellStyle name="Normal 108" xfId="29180" xr:uid="{00000000-0005-0000-0000-0000AC540000}"/>
    <cellStyle name="Normal 109" xfId="27920" xr:uid="{00000000-0005-0000-0000-0000AD540000}"/>
    <cellStyle name="Normal 11" xfId="167" xr:uid="{00000000-0005-0000-0000-0000AE540000}"/>
    <cellStyle name="Normal 11 10" xfId="25881" xr:uid="{00000000-0005-0000-0000-0000AF540000}"/>
    <cellStyle name="Normal 11 10 2" xfId="29012" xr:uid="{00000000-0005-0000-0000-0000B0540000}"/>
    <cellStyle name="Normal 11 11" xfId="28751" xr:uid="{00000000-0005-0000-0000-0000B1540000}"/>
    <cellStyle name="Normal 11 11 2" xfId="29013" xr:uid="{00000000-0005-0000-0000-0000B2540000}"/>
    <cellStyle name="Normal 11 12" xfId="28752" xr:uid="{00000000-0005-0000-0000-0000B3540000}"/>
    <cellStyle name="Normal 11 12 2" xfId="29014" xr:uid="{00000000-0005-0000-0000-0000B4540000}"/>
    <cellStyle name="Normal 11 13" xfId="28753" xr:uid="{00000000-0005-0000-0000-0000B5540000}"/>
    <cellStyle name="Normal 11 13 2" xfId="29015" xr:uid="{00000000-0005-0000-0000-0000B6540000}"/>
    <cellStyle name="Normal 11 2" xfId="647" xr:uid="{00000000-0005-0000-0000-0000B7540000}"/>
    <cellStyle name="Normal 11 2 2" xfId="12454" xr:uid="{00000000-0005-0000-0000-0000B8540000}"/>
    <cellStyle name="Normal 11 2 2 2" xfId="23742" xr:uid="{00000000-0005-0000-0000-0000B9540000}"/>
    <cellStyle name="Normal 11 2 2 3" xfId="29016" xr:uid="{00000000-0005-0000-0000-0000BA540000}"/>
    <cellStyle name="Normal 11 2 3" xfId="10460" xr:uid="{00000000-0005-0000-0000-0000BB540000}"/>
    <cellStyle name="Normal 11 2 3 2" xfId="21748" xr:uid="{00000000-0005-0000-0000-0000BC540000}"/>
    <cellStyle name="Normal 11 2 4" xfId="8466" xr:uid="{00000000-0005-0000-0000-0000BD540000}"/>
    <cellStyle name="Normal 11 2 4 2" xfId="19754" xr:uid="{00000000-0005-0000-0000-0000BE540000}"/>
    <cellStyle name="Normal 11 2 5" xfId="6472" xr:uid="{00000000-0005-0000-0000-0000BF540000}"/>
    <cellStyle name="Normal 11 2 5 2" xfId="17760" xr:uid="{00000000-0005-0000-0000-0000C0540000}"/>
    <cellStyle name="Normal 11 2 6" xfId="4475" xr:uid="{00000000-0005-0000-0000-0000C1540000}"/>
    <cellStyle name="Normal 11 2 6 2" xfId="15766" xr:uid="{00000000-0005-0000-0000-0000C2540000}"/>
    <cellStyle name="Normal 11 2 7" xfId="28754" xr:uid="{00000000-0005-0000-0000-0000C3540000}"/>
    <cellStyle name="Normal 11 3" xfId="11457" xr:uid="{00000000-0005-0000-0000-0000C4540000}"/>
    <cellStyle name="Normal 11 3 2" xfId="22745" xr:uid="{00000000-0005-0000-0000-0000C5540000}"/>
    <cellStyle name="Normal 11 3 2 2" xfId="29017" xr:uid="{00000000-0005-0000-0000-0000C6540000}"/>
    <cellStyle name="Normal 11 3 3" xfId="28755" xr:uid="{00000000-0005-0000-0000-0000C7540000}"/>
    <cellStyle name="Normal 11 4" xfId="9463" xr:uid="{00000000-0005-0000-0000-0000C8540000}"/>
    <cellStyle name="Normal 11 4 2" xfId="20751" xr:uid="{00000000-0005-0000-0000-0000C9540000}"/>
    <cellStyle name="Normal 11 4 2 2" xfId="29018" xr:uid="{00000000-0005-0000-0000-0000CA540000}"/>
    <cellStyle name="Normal 11 4 3" xfId="28756" xr:uid="{00000000-0005-0000-0000-0000CB540000}"/>
    <cellStyle name="Normal 11 5" xfId="7469" xr:uid="{00000000-0005-0000-0000-0000CC540000}"/>
    <cellStyle name="Normal 11 5 2" xfId="18757" xr:uid="{00000000-0005-0000-0000-0000CD540000}"/>
    <cellStyle name="Normal 11 5 2 2" xfId="29019" xr:uid="{00000000-0005-0000-0000-0000CE540000}"/>
    <cellStyle name="Normal 11 5 3" xfId="28757" xr:uid="{00000000-0005-0000-0000-0000CF540000}"/>
    <cellStyle name="Normal 11 6" xfId="5475" xr:uid="{00000000-0005-0000-0000-0000D0540000}"/>
    <cellStyle name="Normal 11 6 2" xfId="16763" xr:uid="{00000000-0005-0000-0000-0000D1540000}"/>
    <cellStyle name="Normal 11 6 2 2" xfId="29020" xr:uid="{00000000-0005-0000-0000-0000D2540000}"/>
    <cellStyle name="Normal 11 6 3" xfId="28758" xr:uid="{00000000-0005-0000-0000-0000D3540000}"/>
    <cellStyle name="Normal 11 7" xfId="3238" xr:uid="{00000000-0005-0000-0000-0000D4540000}"/>
    <cellStyle name="Normal 11 7 2" xfId="14769" xr:uid="{00000000-0005-0000-0000-0000D5540000}"/>
    <cellStyle name="Normal 11 7 2 2" xfId="29021" xr:uid="{00000000-0005-0000-0000-0000D6540000}"/>
    <cellStyle name="Normal 11 7 3" xfId="28759" xr:uid="{00000000-0005-0000-0000-0000D7540000}"/>
    <cellStyle name="Normal 11 8" xfId="13683" xr:uid="{00000000-0005-0000-0000-0000D8540000}"/>
    <cellStyle name="Normal 11 8 2" xfId="26623" xr:uid="{00000000-0005-0000-0000-0000D9540000}"/>
    <cellStyle name="Normal 11 8 2 2" xfId="29022" xr:uid="{00000000-0005-0000-0000-0000DA540000}"/>
    <cellStyle name="Normal 11 9" xfId="13455" xr:uid="{00000000-0005-0000-0000-0000DB540000}"/>
    <cellStyle name="Normal 11 9 2" xfId="29023" xr:uid="{00000000-0005-0000-0000-0000DC540000}"/>
    <cellStyle name="Normal 11 9 3" xfId="28760" xr:uid="{00000000-0005-0000-0000-0000DD540000}"/>
    <cellStyle name="Normal 110" xfId="27921" xr:uid="{00000000-0005-0000-0000-0000DE540000}"/>
    <cellStyle name="Normal 12" xfId="307" xr:uid="{00000000-0005-0000-0000-0000DF540000}"/>
    <cellStyle name="Normal 12 10" xfId="24136" xr:uid="{00000000-0005-0000-0000-0000E0540000}"/>
    <cellStyle name="Normal 12 10 2" xfId="29024" xr:uid="{00000000-0005-0000-0000-0000E1540000}"/>
    <cellStyle name="Normal 12 10 3" xfId="28761" xr:uid="{00000000-0005-0000-0000-0000E2540000}"/>
    <cellStyle name="Normal 12 11" xfId="25958" xr:uid="{00000000-0005-0000-0000-0000E3540000}"/>
    <cellStyle name="Normal 12 11 2" xfId="29025" xr:uid="{00000000-0005-0000-0000-0000E4540000}"/>
    <cellStyle name="Normal 12 12" xfId="28762" xr:uid="{00000000-0005-0000-0000-0000E5540000}"/>
    <cellStyle name="Normal 12 12 2" xfId="29026" xr:uid="{00000000-0005-0000-0000-0000E6540000}"/>
    <cellStyle name="Normal 12 13" xfId="28763" xr:uid="{00000000-0005-0000-0000-0000E7540000}"/>
    <cellStyle name="Normal 12 13 2" xfId="29027" xr:uid="{00000000-0005-0000-0000-0000E8540000}"/>
    <cellStyle name="Normal 12 2" xfId="648" xr:uid="{00000000-0005-0000-0000-0000E9540000}"/>
    <cellStyle name="Normal 12 2 2" xfId="12455" xr:uid="{00000000-0005-0000-0000-0000EA540000}"/>
    <cellStyle name="Normal 12 2 2 2" xfId="23743" xr:uid="{00000000-0005-0000-0000-0000EB540000}"/>
    <cellStyle name="Normal 12 2 2 3" xfId="29028" xr:uid="{00000000-0005-0000-0000-0000EC540000}"/>
    <cellStyle name="Normal 12 2 3" xfId="10461" xr:uid="{00000000-0005-0000-0000-0000ED540000}"/>
    <cellStyle name="Normal 12 2 3 2" xfId="21749" xr:uid="{00000000-0005-0000-0000-0000EE540000}"/>
    <cellStyle name="Normal 12 2 4" xfId="8467" xr:uid="{00000000-0005-0000-0000-0000EF540000}"/>
    <cellStyle name="Normal 12 2 4 2" xfId="19755" xr:uid="{00000000-0005-0000-0000-0000F0540000}"/>
    <cellStyle name="Normal 12 2 5" xfId="6473" xr:uid="{00000000-0005-0000-0000-0000F1540000}"/>
    <cellStyle name="Normal 12 2 5 2" xfId="17761" xr:uid="{00000000-0005-0000-0000-0000F2540000}"/>
    <cellStyle name="Normal 12 2 6" xfId="4476" xr:uid="{00000000-0005-0000-0000-0000F3540000}"/>
    <cellStyle name="Normal 12 2 6 2" xfId="15767" xr:uid="{00000000-0005-0000-0000-0000F4540000}"/>
    <cellStyle name="Normal 12 2 7" xfId="24137" xr:uid="{00000000-0005-0000-0000-0000F5540000}"/>
    <cellStyle name="Normal 12 2 8" xfId="28764" xr:uid="{00000000-0005-0000-0000-0000F6540000}"/>
    <cellStyle name="Normal 12 3" xfId="11458" xr:uid="{00000000-0005-0000-0000-0000F7540000}"/>
    <cellStyle name="Normal 12 3 2" xfId="22746" xr:uid="{00000000-0005-0000-0000-0000F8540000}"/>
    <cellStyle name="Normal 12 3 2 2" xfId="29029" xr:uid="{00000000-0005-0000-0000-0000F9540000}"/>
    <cellStyle name="Normal 12 3 3" xfId="24301" xr:uid="{00000000-0005-0000-0000-0000FA540000}"/>
    <cellStyle name="Normal 12 3 3 2" xfId="27137" xr:uid="{00000000-0005-0000-0000-0000FB540000}"/>
    <cellStyle name="Normal 12 4" xfId="9464" xr:uid="{00000000-0005-0000-0000-0000FC540000}"/>
    <cellStyle name="Normal 12 4 2" xfId="20752" xr:uid="{00000000-0005-0000-0000-0000FD540000}"/>
    <cellStyle name="Normal 12 4 2 2" xfId="29030" xr:uid="{00000000-0005-0000-0000-0000FE540000}"/>
    <cellStyle name="Normal 12 4 3" xfId="28765" xr:uid="{00000000-0005-0000-0000-0000FF540000}"/>
    <cellStyle name="Normal 12 5" xfId="7470" xr:uid="{00000000-0005-0000-0000-000000550000}"/>
    <cellStyle name="Normal 12 5 2" xfId="18758" xr:uid="{00000000-0005-0000-0000-000001550000}"/>
    <cellStyle name="Normal 12 5 2 2" xfId="29031" xr:uid="{00000000-0005-0000-0000-000002550000}"/>
    <cellStyle name="Normal 12 5 3" xfId="28766" xr:uid="{00000000-0005-0000-0000-000003550000}"/>
    <cellStyle name="Normal 12 6" xfId="5476" xr:uid="{00000000-0005-0000-0000-000004550000}"/>
    <cellStyle name="Normal 12 6 2" xfId="16764" xr:uid="{00000000-0005-0000-0000-000005550000}"/>
    <cellStyle name="Normal 12 6 2 2" xfId="29032" xr:uid="{00000000-0005-0000-0000-000006550000}"/>
    <cellStyle name="Normal 12 6 3" xfId="28767" xr:uid="{00000000-0005-0000-0000-000007550000}"/>
    <cellStyle name="Normal 12 7" xfId="3239" xr:uid="{00000000-0005-0000-0000-000008550000}"/>
    <cellStyle name="Normal 12 7 2" xfId="14770" xr:uid="{00000000-0005-0000-0000-000009550000}"/>
    <cellStyle name="Normal 12 7 2 2" xfId="29033" xr:uid="{00000000-0005-0000-0000-00000A550000}"/>
    <cellStyle name="Normal 12 7 3" xfId="28768" xr:uid="{00000000-0005-0000-0000-00000B550000}"/>
    <cellStyle name="Normal 12 8" xfId="13745" xr:uid="{00000000-0005-0000-0000-00000C550000}"/>
    <cellStyle name="Normal 12 8 2" xfId="26657" xr:uid="{00000000-0005-0000-0000-00000D550000}"/>
    <cellStyle name="Normal 12 8 2 2" xfId="29034" xr:uid="{00000000-0005-0000-0000-00000E550000}"/>
    <cellStyle name="Normal 12 9" xfId="13456" xr:uid="{00000000-0005-0000-0000-00000F550000}"/>
    <cellStyle name="Normal 12 9 2" xfId="29035" xr:uid="{00000000-0005-0000-0000-000010550000}"/>
    <cellStyle name="Normal 12 9 3" xfId="28769" xr:uid="{00000000-0005-0000-0000-000011550000}"/>
    <cellStyle name="Normal 13" xfId="324" xr:uid="{00000000-0005-0000-0000-000012550000}"/>
    <cellStyle name="Normal 13 10" xfId="23930" xr:uid="{00000000-0005-0000-0000-000013550000}"/>
    <cellStyle name="Normal 13 10 2" xfId="29036" xr:uid="{00000000-0005-0000-0000-000014550000}"/>
    <cellStyle name="Normal 13 10 3" xfId="28770" xr:uid="{00000000-0005-0000-0000-000015550000}"/>
    <cellStyle name="Normal 13 11" xfId="24557" xr:uid="{00000000-0005-0000-0000-000016550000}"/>
    <cellStyle name="Normal 13 11 2" xfId="29037" xr:uid="{00000000-0005-0000-0000-000017550000}"/>
    <cellStyle name="Normal 13 11 3" xfId="28771" xr:uid="{00000000-0005-0000-0000-000018550000}"/>
    <cellStyle name="Normal 13 12" xfId="24947" xr:uid="{00000000-0005-0000-0000-000019550000}"/>
    <cellStyle name="Normal 13 12 2" xfId="29038" xr:uid="{00000000-0005-0000-0000-00001A550000}"/>
    <cellStyle name="Normal 13 12 3" xfId="28772" xr:uid="{00000000-0005-0000-0000-00001B550000}"/>
    <cellStyle name="Normal 13 13" xfId="25966" xr:uid="{00000000-0005-0000-0000-00001C550000}"/>
    <cellStyle name="Normal 13 13 2" xfId="29039" xr:uid="{00000000-0005-0000-0000-00001D550000}"/>
    <cellStyle name="Normal 13 2" xfId="649" xr:uid="{00000000-0005-0000-0000-00001E550000}"/>
    <cellStyle name="Normal 13 2 10" xfId="28773" xr:uid="{00000000-0005-0000-0000-00001F550000}"/>
    <cellStyle name="Normal 13 2 2" xfId="12456" xr:uid="{00000000-0005-0000-0000-000020550000}"/>
    <cellStyle name="Normal 13 2 2 2" xfId="23744" xr:uid="{00000000-0005-0000-0000-000021550000}"/>
    <cellStyle name="Normal 13 2 2 3" xfId="29040" xr:uid="{00000000-0005-0000-0000-000022550000}"/>
    <cellStyle name="Normal 13 2 3" xfId="10462" xr:uid="{00000000-0005-0000-0000-000023550000}"/>
    <cellStyle name="Normal 13 2 3 2" xfId="21750" xr:uid="{00000000-0005-0000-0000-000024550000}"/>
    <cellStyle name="Normal 13 2 4" xfId="8468" xr:uid="{00000000-0005-0000-0000-000025550000}"/>
    <cellStyle name="Normal 13 2 4 2" xfId="19756" xr:uid="{00000000-0005-0000-0000-000026550000}"/>
    <cellStyle name="Normal 13 2 5" xfId="6474" xr:uid="{00000000-0005-0000-0000-000027550000}"/>
    <cellStyle name="Normal 13 2 5 2" xfId="17762" xr:uid="{00000000-0005-0000-0000-000028550000}"/>
    <cellStyle name="Normal 13 2 6" xfId="4477" xr:uid="{00000000-0005-0000-0000-000029550000}"/>
    <cellStyle name="Normal 13 2 6 2" xfId="15768" xr:uid="{00000000-0005-0000-0000-00002A550000}"/>
    <cellStyle name="Normal 13 2 7" xfId="24318" xr:uid="{00000000-0005-0000-0000-00002B550000}"/>
    <cellStyle name="Normal 13 2 8" xfId="24782" xr:uid="{00000000-0005-0000-0000-00002C550000}"/>
    <cellStyle name="Normal 13 2 9" xfId="25149" xr:uid="{00000000-0005-0000-0000-00002D550000}"/>
    <cellStyle name="Normal 13 3" xfId="11459" xr:uid="{00000000-0005-0000-0000-00002E550000}"/>
    <cellStyle name="Normal 13 3 2" xfId="22747" xr:uid="{00000000-0005-0000-0000-00002F550000}"/>
    <cellStyle name="Normal 13 3 2 2" xfId="29041" xr:uid="{00000000-0005-0000-0000-000030550000}"/>
    <cellStyle name="Normal 13 3 3" xfId="28774" xr:uid="{00000000-0005-0000-0000-000031550000}"/>
    <cellStyle name="Normal 13 4" xfId="9465" xr:uid="{00000000-0005-0000-0000-000032550000}"/>
    <cellStyle name="Normal 13 4 2" xfId="20753" xr:uid="{00000000-0005-0000-0000-000033550000}"/>
    <cellStyle name="Normal 13 4 2 2" xfId="29042" xr:uid="{00000000-0005-0000-0000-000034550000}"/>
    <cellStyle name="Normal 13 4 3" xfId="28775" xr:uid="{00000000-0005-0000-0000-000035550000}"/>
    <cellStyle name="Normal 13 5" xfId="7471" xr:uid="{00000000-0005-0000-0000-000036550000}"/>
    <cellStyle name="Normal 13 5 2" xfId="18759" xr:uid="{00000000-0005-0000-0000-000037550000}"/>
    <cellStyle name="Normal 13 5 2 2" xfId="29043" xr:uid="{00000000-0005-0000-0000-000038550000}"/>
    <cellStyle name="Normal 13 5 3" xfId="28776" xr:uid="{00000000-0005-0000-0000-000039550000}"/>
    <cellStyle name="Normal 13 6" xfId="5477" xr:uid="{00000000-0005-0000-0000-00003A550000}"/>
    <cellStyle name="Normal 13 6 2" xfId="16765" xr:uid="{00000000-0005-0000-0000-00003B550000}"/>
    <cellStyle name="Normal 13 6 2 2" xfId="29044" xr:uid="{00000000-0005-0000-0000-00003C550000}"/>
    <cellStyle name="Normal 13 6 3" xfId="28777" xr:uid="{00000000-0005-0000-0000-00003D550000}"/>
    <cellStyle name="Normal 13 7" xfId="3240" xr:uid="{00000000-0005-0000-0000-00003E550000}"/>
    <cellStyle name="Normal 13 7 2" xfId="14771" xr:uid="{00000000-0005-0000-0000-00003F550000}"/>
    <cellStyle name="Normal 13 7 2 2" xfId="29045" xr:uid="{00000000-0005-0000-0000-000040550000}"/>
    <cellStyle name="Normal 13 7 3" xfId="28778" xr:uid="{00000000-0005-0000-0000-000041550000}"/>
    <cellStyle name="Normal 13 8" xfId="13755" xr:uid="{00000000-0005-0000-0000-000042550000}"/>
    <cellStyle name="Normal 13 8 2" xfId="26659" xr:uid="{00000000-0005-0000-0000-000043550000}"/>
    <cellStyle name="Normal 13 8 2 2" xfId="29046" xr:uid="{00000000-0005-0000-0000-000044550000}"/>
    <cellStyle name="Normal 13 9" xfId="13457" xr:uid="{00000000-0005-0000-0000-000045550000}"/>
    <cellStyle name="Normal 13 9 2" xfId="29047" xr:uid="{00000000-0005-0000-0000-000046550000}"/>
    <cellStyle name="Normal 13 9 3" xfId="28779" xr:uid="{00000000-0005-0000-0000-000047550000}"/>
    <cellStyle name="Normal 14" xfId="333" xr:uid="{00000000-0005-0000-0000-000048550000}"/>
    <cellStyle name="Normal 14 10" xfId="24138" xr:uid="{00000000-0005-0000-0000-000049550000}"/>
    <cellStyle name="Normal 14 11" xfId="24714" xr:uid="{00000000-0005-0000-0000-00004A550000}"/>
    <cellStyle name="Normal 14 12" xfId="25031" xr:uid="{00000000-0005-0000-0000-00004B550000}"/>
    <cellStyle name="Normal 14 13" xfId="27919" xr:uid="{00000000-0005-0000-0000-00004C550000}"/>
    <cellStyle name="Normal 14 14" xfId="25975" xr:uid="{00000000-0005-0000-0000-00004D550000}"/>
    <cellStyle name="Normal 14 2" xfId="650" xr:uid="{00000000-0005-0000-0000-00004E550000}"/>
    <cellStyle name="Normal 14 2 10" xfId="29048" xr:uid="{00000000-0005-0000-0000-00004F550000}"/>
    <cellStyle name="Normal 14 2 2" xfId="12457" xr:uid="{00000000-0005-0000-0000-000050550000}"/>
    <cellStyle name="Normal 14 2 2 2" xfId="23745" xr:uid="{00000000-0005-0000-0000-000051550000}"/>
    <cellStyle name="Normal 14 2 3" xfId="10463" xr:uid="{00000000-0005-0000-0000-000052550000}"/>
    <cellStyle name="Normal 14 2 3 2" xfId="21751" xr:uid="{00000000-0005-0000-0000-000053550000}"/>
    <cellStyle name="Normal 14 2 4" xfId="8469" xr:uid="{00000000-0005-0000-0000-000054550000}"/>
    <cellStyle name="Normal 14 2 4 2" xfId="19757" xr:uid="{00000000-0005-0000-0000-000055550000}"/>
    <cellStyle name="Normal 14 2 5" xfId="6475" xr:uid="{00000000-0005-0000-0000-000056550000}"/>
    <cellStyle name="Normal 14 2 5 2" xfId="17763" xr:uid="{00000000-0005-0000-0000-000057550000}"/>
    <cellStyle name="Normal 14 2 6" xfId="4478" xr:uid="{00000000-0005-0000-0000-000058550000}"/>
    <cellStyle name="Normal 14 2 6 2" xfId="15769" xr:uid="{00000000-0005-0000-0000-000059550000}"/>
    <cellStyle name="Normal 14 2 7" xfId="24417" xr:uid="{00000000-0005-0000-0000-00005A550000}"/>
    <cellStyle name="Normal 14 2 8" xfId="24862" xr:uid="{00000000-0005-0000-0000-00005B550000}"/>
    <cellStyle name="Normal 14 2 9" xfId="25225" xr:uid="{00000000-0005-0000-0000-00005C550000}"/>
    <cellStyle name="Normal 14 3" xfId="11460" xr:uid="{00000000-0005-0000-0000-00005D550000}"/>
    <cellStyle name="Normal 14 3 2" xfId="22748" xr:uid="{00000000-0005-0000-0000-00005E550000}"/>
    <cellStyle name="Normal 14 4" xfId="9466" xr:uid="{00000000-0005-0000-0000-00005F550000}"/>
    <cellStyle name="Normal 14 4 2" xfId="20754" xr:uid="{00000000-0005-0000-0000-000060550000}"/>
    <cellStyle name="Normal 14 5" xfId="7472" xr:uid="{00000000-0005-0000-0000-000061550000}"/>
    <cellStyle name="Normal 14 5 2" xfId="18760" xr:uid="{00000000-0005-0000-0000-000062550000}"/>
    <cellStyle name="Normal 14 6" xfId="5478" xr:uid="{00000000-0005-0000-0000-000063550000}"/>
    <cellStyle name="Normal 14 6 2" xfId="16766" xr:uid="{00000000-0005-0000-0000-000064550000}"/>
    <cellStyle name="Normal 14 7" xfId="3241" xr:uid="{00000000-0005-0000-0000-000065550000}"/>
    <cellStyle name="Normal 14 7 2" xfId="14772" xr:uid="{00000000-0005-0000-0000-000066550000}"/>
    <cellStyle name="Normal 14 8" xfId="13756" xr:uid="{00000000-0005-0000-0000-000067550000}"/>
    <cellStyle name="Normal 14 8 2" xfId="26660" xr:uid="{00000000-0005-0000-0000-000068550000}"/>
    <cellStyle name="Normal 14 9" xfId="13458" xr:uid="{00000000-0005-0000-0000-000069550000}"/>
    <cellStyle name="Normal 15" xfId="166" xr:uid="{00000000-0005-0000-0000-00006A550000}"/>
    <cellStyle name="Normal 15 10" xfId="28780" xr:uid="{00000000-0005-0000-0000-00006B550000}"/>
    <cellStyle name="Normal 15 2" xfId="651" xr:uid="{00000000-0005-0000-0000-00006C550000}"/>
    <cellStyle name="Normal 15 2 2" xfId="12458" xr:uid="{00000000-0005-0000-0000-00006D550000}"/>
    <cellStyle name="Normal 15 2 2 2" xfId="23746" xr:uid="{00000000-0005-0000-0000-00006E550000}"/>
    <cellStyle name="Normal 15 2 3" xfId="10464" xr:uid="{00000000-0005-0000-0000-00006F550000}"/>
    <cellStyle name="Normal 15 2 3 2" xfId="21752" xr:uid="{00000000-0005-0000-0000-000070550000}"/>
    <cellStyle name="Normal 15 2 4" xfId="8470" xr:uid="{00000000-0005-0000-0000-000071550000}"/>
    <cellStyle name="Normal 15 2 4 2" xfId="19758" xr:uid="{00000000-0005-0000-0000-000072550000}"/>
    <cellStyle name="Normal 15 2 5" xfId="6476" xr:uid="{00000000-0005-0000-0000-000073550000}"/>
    <cellStyle name="Normal 15 2 5 2" xfId="17764" xr:uid="{00000000-0005-0000-0000-000074550000}"/>
    <cellStyle name="Normal 15 2 6" xfId="4479" xr:uid="{00000000-0005-0000-0000-000075550000}"/>
    <cellStyle name="Normal 15 2 6 2" xfId="15770" xr:uid="{00000000-0005-0000-0000-000076550000}"/>
    <cellStyle name="Normal 15 2 7" xfId="29049" xr:uid="{00000000-0005-0000-0000-000077550000}"/>
    <cellStyle name="Normal 15 3" xfId="11461" xr:uid="{00000000-0005-0000-0000-000078550000}"/>
    <cellStyle name="Normal 15 3 2" xfId="22749" xr:uid="{00000000-0005-0000-0000-000079550000}"/>
    <cellStyle name="Normal 15 4" xfId="9467" xr:uid="{00000000-0005-0000-0000-00007A550000}"/>
    <cellStyle name="Normal 15 4 2" xfId="20755" xr:uid="{00000000-0005-0000-0000-00007B550000}"/>
    <cellStyle name="Normal 15 5" xfId="7473" xr:uid="{00000000-0005-0000-0000-00007C550000}"/>
    <cellStyle name="Normal 15 5 2" xfId="18761" xr:uid="{00000000-0005-0000-0000-00007D550000}"/>
    <cellStyle name="Normal 15 6" xfId="5479" xr:uid="{00000000-0005-0000-0000-00007E550000}"/>
    <cellStyle name="Normal 15 6 2" xfId="16767" xr:uid="{00000000-0005-0000-0000-00007F550000}"/>
    <cellStyle name="Normal 15 7" xfId="3242" xr:uid="{00000000-0005-0000-0000-000080550000}"/>
    <cellStyle name="Normal 15 7 2" xfId="14773" xr:uid="{00000000-0005-0000-0000-000081550000}"/>
    <cellStyle name="Normal 15 8" xfId="13682" xr:uid="{00000000-0005-0000-0000-000082550000}"/>
    <cellStyle name="Normal 15 9" xfId="13459" xr:uid="{00000000-0005-0000-0000-000083550000}"/>
    <cellStyle name="Normal 16" xfId="335" xr:uid="{00000000-0005-0000-0000-000084550000}"/>
    <cellStyle name="Normal 16 10" xfId="24298" xr:uid="{00000000-0005-0000-0000-000085550000}"/>
    <cellStyle name="Normal 16 11" xfId="25977" xr:uid="{00000000-0005-0000-0000-000086550000}"/>
    <cellStyle name="Normal 16 2" xfId="4480" xr:uid="{00000000-0005-0000-0000-000087550000}"/>
    <cellStyle name="Normal 16 2 2" xfId="12459" xr:uid="{00000000-0005-0000-0000-000088550000}"/>
    <cellStyle name="Normal 16 2 2 2" xfId="23747" xr:uid="{00000000-0005-0000-0000-000089550000}"/>
    <cellStyle name="Normal 16 2 3" xfId="10465" xr:uid="{00000000-0005-0000-0000-00008A550000}"/>
    <cellStyle name="Normal 16 2 3 2" xfId="21753" xr:uid="{00000000-0005-0000-0000-00008B550000}"/>
    <cellStyle name="Normal 16 2 4" xfId="8471" xr:uid="{00000000-0005-0000-0000-00008C550000}"/>
    <cellStyle name="Normal 16 2 4 2" xfId="19759" xr:uid="{00000000-0005-0000-0000-00008D550000}"/>
    <cellStyle name="Normal 16 2 5" xfId="6477" xr:uid="{00000000-0005-0000-0000-00008E550000}"/>
    <cellStyle name="Normal 16 2 5 2" xfId="17765" xr:uid="{00000000-0005-0000-0000-00008F550000}"/>
    <cellStyle name="Normal 16 2 6" xfId="15771" xr:uid="{00000000-0005-0000-0000-000090550000}"/>
    <cellStyle name="Normal 16 2 7" xfId="29050" xr:uid="{00000000-0005-0000-0000-000091550000}"/>
    <cellStyle name="Normal 16 3" xfId="11462" xr:uid="{00000000-0005-0000-0000-000092550000}"/>
    <cellStyle name="Normal 16 3 2" xfId="22750" xr:uid="{00000000-0005-0000-0000-000093550000}"/>
    <cellStyle name="Normal 16 4" xfId="9468" xr:uid="{00000000-0005-0000-0000-000094550000}"/>
    <cellStyle name="Normal 16 4 2" xfId="20756" xr:uid="{00000000-0005-0000-0000-000095550000}"/>
    <cellStyle name="Normal 16 5" xfId="7474" xr:uid="{00000000-0005-0000-0000-000096550000}"/>
    <cellStyle name="Normal 16 5 2" xfId="18762" xr:uid="{00000000-0005-0000-0000-000097550000}"/>
    <cellStyle name="Normal 16 6" xfId="5480" xr:uid="{00000000-0005-0000-0000-000098550000}"/>
    <cellStyle name="Normal 16 6 2" xfId="16768" xr:uid="{00000000-0005-0000-0000-000099550000}"/>
    <cellStyle name="Normal 16 7" xfId="3243" xr:uid="{00000000-0005-0000-0000-00009A550000}"/>
    <cellStyle name="Normal 16 7 2" xfId="14774" xr:uid="{00000000-0005-0000-0000-00009B550000}"/>
    <cellStyle name="Normal 16 8" xfId="13757" xr:uid="{00000000-0005-0000-0000-00009C550000}"/>
    <cellStyle name="Normal 16 8 2" xfId="26661" xr:uid="{00000000-0005-0000-0000-00009D550000}"/>
    <cellStyle name="Normal 16 9" xfId="13460" xr:uid="{00000000-0005-0000-0000-00009E550000}"/>
    <cellStyle name="Normal 17" xfId="343" xr:uid="{00000000-0005-0000-0000-00009F550000}"/>
    <cellStyle name="Normal 17 10" xfId="23928" xr:uid="{00000000-0005-0000-0000-0000A0550000}"/>
    <cellStyle name="Normal 17 11" xfId="24556" xr:uid="{00000000-0005-0000-0000-0000A1550000}"/>
    <cellStyle name="Normal 17 12" xfId="24946" xr:uid="{00000000-0005-0000-0000-0000A2550000}"/>
    <cellStyle name="Normal 17 13" xfId="27906" xr:uid="{00000000-0005-0000-0000-0000A3550000}"/>
    <cellStyle name="Normal 17 14" xfId="25981" xr:uid="{00000000-0005-0000-0000-0000A4550000}"/>
    <cellStyle name="Normal 17 2" xfId="4481" xr:uid="{00000000-0005-0000-0000-0000A5550000}"/>
    <cellStyle name="Normal 17 2 10" xfId="29051" xr:uid="{00000000-0005-0000-0000-0000A6550000}"/>
    <cellStyle name="Normal 17 2 2" xfId="12460" xr:uid="{00000000-0005-0000-0000-0000A7550000}"/>
    <cellStyle name="Normal 17 2 2 2" xfId="23748" xr:uid="{00000000-0005-0000-0000-0000A8550000}"/>
    <cellStyle name="Normal 17 2 3" xfId="10466" xr:uid="{00000000-0005-0000-0000-0000A9550000}"/>
    <cellStyle name="Normal 17 2 3 2" xfId="21754" xr:uid="{00000000-0005-0000-0000-0000AA550000}"/>
    <cellStyle name="Normal 17 2 4" xfId="8472" xr:uid="{00000000-0005-0000-0000-0000AB550000}"/>
    <cellStyle name="Normal 17 2 4 2" xfId="19760" xr:uid="{00000000-0005-0000-0000-0000AC550000}"/>
    <cellStyle name="Normal 17 2 5" xfId="6478" xr:uid="{00000000-0005-0000-0000-0000AD550000}"/>
    <cellStyle name="Normal 17 2 5 2" xfId="17766" xr:uid="{00000000-0005-0000-0000-0000AE550000}"/>
    <cellStyle name="Normal 17 2 6" xfId="15772" xr:uid="{00000000-0005-0000-0000-0000AF550000}"/>
    <cellStyle name="Normal 17 2 7" xfId="24316" xr:uid="{00000000-0005-0000-0000-0000B0550000}"/>
    <cellStyle name="Normal 17 2 8" xfId="24781" xr:uid="{00000000-0005-0000-0000-0000B1550000}"/>
    <cellStyle name="Normal 17 2 9" xfId="25148" xr:uid="{00000000-0005-0000-0000-0000B2550000}"/>
    <cellStyle name="Normal 17 3" xfId="11463" xr:uid="{00000000-0005-0000-0000-0000B3550000}"/>
    <cellStyle name="Normal 17 3 2" xfId="22751" xr:uid="{00000000-0005-0000-0000-0000B4550000}"/>
    <cellStyle name="Normal 17 4" xfId="9469" xr:uid="{00000000-0005-0000-0000-0000B5550000}"/>
    <cellStyle name="Normal 17 4 2" xfId="20757" xr:uid="{00000000-0005-0000-0000-0000B6550000}"/>
    <cellStyle name="Normal 17 5" xfId="7475" xr:uid="{00000000-0005-0000-0000-0000B7550000}"/>
    <cellStyle name="Normal 17 5 2" xfId="18763" xr:uid="{00000000-0005-0000-0000-0000B8550000}"/>
    <cellStyle name="Normal 17 6" xfId="5481" xr:uid="{00000000-0005-0000-0000-0000B9550000}"/>
    <cellStyle name="Normal 17 6 2" xfId="16769" xr:uid="{00000000-0005-0000-0000-0000BA550000}"/>
    <cellStyle name="Normal 17 7" xfId="3244" xr:uid="{00000000-0005-0000-0000-0000BB550000}"/>
    <cellStyle name="Normal 17 7 2" xfId="14775" xr:uid="{00000000-0005-0000-0000-0000BC550000}"/>
    <cellStyle name="Normal 17 8" xfId="13762" xr:uid="{00000000-0005-0000-0000-0000BD550000}"/>
    <cellStyle name="Normal 17 8 2" xfId="26662" xr:uid="{00000000-0005-0000-0000-0000BE550000}"/>
    <cellStyle name="Normal 17 9" xfId="13461" xr:uid="{00000000-0005-0000-0000-0000BF550000}"/>
    <cellStyle name="Normal 18" xfId="350" xr:uid="{00000000-0005-0000-0000-0000C0550000}"/>
    <cellStyle name="Normal 18 10" xfId="25987" xr:uid="{00000000-0005-0000-0000-0000C1550000}"/>
    <cellStyle name="Normal 18 2" xfId="4482" xr:uid="{00000000-0005-0000-0000-0000C2550000}"/>
    <cellStyle name="Normal 18 2 2" xfId="12461" xr:uid="{00000000-0005-0000-0000-0000C3550000}"/>
    <cellStyle name="Normal 18 2 2 2" xfId="23749" xr:uid="{00000000-0005-0000-0000-0000C4550000}"/>
    <cellStyle name="Normal 18 2 3" xfId="10467" xr:uid="{00000000-0005-0000-0000-0000C5550000}"/>
    <cellStyle name="Normal 18 2 3 2" xfId="21755" xr:uid="{00000000-0005-0000-0000-0000C6550000}"/>
    <cellStyle name="Normal 18 2 4" xfId="8473" xr:uid="{00000000-0005-0000-0000-0000C7550000}"/>
    <cellStyle name="Normal 18 2 4 2" xfId="19761" xr:uid="{00000000-0005-0000-0000-0000C8550000}"/>
    <cellStyle name="Normal 18 2 5" xfId="6479" xr:uid="{00000000-0005-0000-0000-0000C9550000}"/>
    <cellStyle name="Normal 18 2 5 2" xfId="17767" xr:uid="{00000000-0005-0000-0000-0000CA550000}"/>
    <cellStyle name="Normal 18 2 6" xfId="15773" xr:uid="{00000000-0005-0000-0000-0000CB550000}"/>
    <cellStyle name="Normal 18 2 7" xfId="29052" xr:uid="{00000000-0005-0000-0000-0000CC550000}"/>
    <cellStyle name="Normal 18 3" xfId="11464" xr:uid="{00000000-0005-0000-0000-0000CD550000}"/>
    <cellStyle name="Normal 18 3 2" xfId="22752" xr:uid="{00000000-0005-0000-0000-0000CE550000}"/>
    <cellStyle name="Normal 18 4" xfId="9470" xr:uid="{00000000-0005-0000-0000-0000CF550000}"/>
    <cellStyle name="Normal 18 4 2" xfId="20758" xr:uid="{00000000-0005-0000-0000-0000D0550000}"/>
    <cellStyle name="Normal 18 5" xfId="7476" xr:uid="{00000000-0005-0000-0000-0000D1550000}"/>
    <cellStyle name="Normal 18 5 2" xfId="18764" xr:uid="{00000000-0005-0000-0000-0000D2550000}"/>
    <cellStyle name="Normal 18 6" xfId="5482" xr:uid="{00000000-0005-0000-0000-0000D3550000}"/>
    <cellStyle name="Normal 18 6 2" xfId="16770" xr:uid="{00000000-0005-0000-0000-0000D4550000}"/>
    <cellStyle name="Normal 18 7" xfId="3245" xr:uid="{00000000-0005-0000-0000-0000D5550000}"/>
    <cellStyle name="Normal 18 7 2" xfId="14776" xr:uid="{00000000-0005-0000-0000-0000D6550000}"/>
    <cellStyle name="Normal 18 8" xfId="13763" xr:uid="{00000000-0005-0000-0000-0000D7550000}"/>
    <cellStyle name="Normal 18 8 2" xfId="26663" xr:uid="{00000000-0005-0000-0000-0000D8550000}"/>
    <cellStyle name="Normal 18 9" xfId="13462" xr:uid="{00000000-0005-0000-0000-0000D9550000}"/>
    <cellStyle name="Normal 19" xfId="359" xr:uid="{00000000-0005-0000-0000-0000DA550000}"/>
    <cellStyle name="Normal 19 10" xfId="27905" xr:uid="{00000000-0005-0000-0000-0000DB550000}"/>
    <cellStyle name="Normal 19 11" xfId="25991" xr:uid="{00000000-0005-0000-0000-0000DC550000}"/>
    <cellStyle name="Normal 19 2" xfId="4483" xr:uid="{00000000-0005-0000-0000-0000DD550000}"/>
    <cellStyle name="Normal 19 2 2" xfId="12462" xr:uid="{00000000-0005-0000-0000-0000DE550000}"/>
    <cellStyle name="Normal 19 2 2 2" xfId="23750" xr:uid="{00000000-0005-0000-0000-0000DF550000}"/>
    <cellStyle name="Normal 19 2 3" xfId="10468" xr:uid="{00000000-0005-0000-0000-0000E0550000}"/>
    <cellStyle name="Normal 19 2 3 2" xfId="21756" xr:uid="{00000000-0005-0000-0000-0000E1550000}"/>
    <cellStyle name="Normal 19 2 4" xfId="8474" xr:uid="{00000000-0005-0000-0000-0000E2550000}"/>
    <cellStyle name="Normal 19 2 4 2" xfId="19762" xr:uid="{00000000-0005-0000-0000-0000E3550000}"/>
    <cellStyle name="Normal 19 2 5" xfId="6480" xr:uid="{00000000-0005-0000-0000-0000E4550000}"/>
    <cellStyle name="Normal 19 2 5 2" xfId="17768" xr:uid="{00000000-0005-0000-0000-0000E5550000}"/>
    <cellStyle name="Normal 19 2 6" xfId="15774" xr:uid="{00000000-0005-0000-0000-0000E6550000}"/>
    <cellStyle name="Normal 19 2 7" xfId="29053" xr:uid="{00000000-0005-0000-0000-0000E7550000}"/>
    <cellStyle name="Normal 19 3" xfId="11465" xr:uid="{00000000-0005-0000-0000-0000E8550000}"/>
    <cellStyle name="Normal 19 3 2" xfId="22753" xr:uid="{00000000-0005-0000-0000-0000E9550000}"/>
    <cellStyle name="Normal 19 4" xfId="9471" xr:uid="{00000000-0005-0000-0000-0000EA550000}"/>
    <cellStyle name="Normal 19 4 2" xfId="20759" xr:uid="{00000000-0005-0000-0000-0000EB550000}"/>
    <cellStyle name="Normal 19 5" xfId="7477" xr:uid="{00000000-0005-0000-0000-0000EC550000}"/>
    <cellStyle name="Normal 19 5 2" xfId="18765" xr:uid="{00000000-0005-0000-0000-0000ED550000}"/>
    <cellStyle name="Normal 19 6" xfId="5483" xr:uid="{00000000-0005-0000-0000-0000EE550000}"/>
    <cellStyle name="Normal 19 6 2" xfId="16771" xr:uid="{00000000-0005-0000-0000-0000EF550000}"/>
    <cellStyle name="Normal 19 7" xfId="3246" xr:uid="{00000000-0005-0000-0000-0000F0550000}"/>
    <cellStyle name="Normal 19 7 2" xfId="14777" xr:uid="{00000000-0005-0000-0000-0000F1550000}"/>
    <cellStyle name="Normal 19 8" xfId="13769" xr:uid="{00000000-0005-0000-0000-0000F2550000}"/>
    <cellStyle name="Normal 19 8 2" xfId="26664" xr:uid="{00000000-0005-0000-0000-0000F3550000}"/>
    <cellStyle name="Normal 19 9" xfId="13463" xr:uid="{00000000-0005-0000-0000-0000F4550000}"/>
    <cellStyle name="Normal 2" xfId="9" xr:uid="{00000000-0005-0000-0000-0000F5550000}"/>
    <cellStyle name="Normal 2 10" xfId="24139" xr:uid="{00000000-0005-0000-0000-0000F6550000}"/>
    <cellStyle name="Normal 2 10 2" xfId="29054" xr:uid="{00000000-0005-0000-0000-0000F7550000}"/>
    <cellStyle name="Normal 2 10 3" xfId="28781" xr:uid="{00000000-0005-0000-0000-0000F8550000}"/>
    <cellStyle name="Normal 2 11" xfId="25750" xr:uid="{00000000-0005-0000-0000-0000F9550000}"/>
    <cellStyle name="Normal 2 11 2" xfId="29055" xr:uid="{00000000-0005-0000-0000-0000FA550000}"/>
    <cellStyle name="Normal 2 12" xfId="28782" xr:uid="{00000000-0005-0000-0000-0000FB550000}"/>
    <cellStyle name="Normal 2 12 2" xfId="29056" xr:uid="{00000000-0005-0000-0000-0000FC550000}"/>
    <cellStyle name="Normal 2 13" xfId="28783" xr:uid="{00000000-0005-0000-0000-0000FD550000}"/>
    <cellStyle name="Normal 2 13 2" xfId="29057" xr:uid="{00000000-0005-0000-0000-0000FE550000}"/>
    <cellStyle name="Normal 2 14" xfId="28784" xr:uid="{00000000-0005-0000-0000-0000FF550000}"/>
    <cellStyle name="Normal 2 15" xfId="28855" xr:uid="{00000000-0005-0000-0000-000000560000}"/>
    <cellStyle name="Normal 2 2" xfId="51" xr:uid="{00000000-0005-0000-0000-000001560000}"/>
    <cellStyle name="Normal 2 2 2" xfId="202" xr:uid="{00000000-0005-0000-0000-000002560000}"/>
    <cellStyle name="Normal 2 2 2 2" xfId="348" xr:uid="{00000000-0005-0000-0000-000003560000}"/>
    <cellStyle name="Normal 2 2 2 2 2" xfId="654" xr:uid="{00000000-0005-0000-0000-000004560000}"/>
    <cellStyle name="Normal 2 2 2 2 3" xfId="653" xr:uid="{00000000-0005-0000-0000-000005560000}"/>
    <cellStyle name="Normal 2 2 2 2 4" xfId="25986" xr:uid="{00000000-0005-0000-0000-000006560000}"/>
    <cellStyle name="Normal 2 2 2 3" xfId="366" xr:uid="{00000000-0005-0000-0000-000007560000}"/>
    <cellStyle name="Normal 2 2 2 3 2" xfId="448" xr:uid="{00000000-0005-0000-0000-000008560000}"/>
    <cellStyle name="Normal 2 2 2 3 2 2" xfId="534" xr:uid="{00000000-0005-0000-0000-000009560000}"/>
    <cellStyle name="Normal 2 2 2 3 2 2 2" xfId="13897" xr:uid="{00000000-0005-0000-0000-00000A560000}"/>
    <cellStyle name="Normal 2 2 2 3 2 3" xfId="13820" xr:uid="{00000000-0005-0000-0000-00000B560000}"/>
    <cellStyle name="Normal 2 2 2 3 3" xfId="497" xr:uid="{00000000-0005-0000-0000-00000C560000}"/>
    <cellStyle name="Normal 2 2 2 3 3 2" xfId="13860" xr:uid="{00000000-0005-0000-0000-00000D560000}"/>
    <cellStyle name="Normal 2 2 2 3 4" xfId="13776" xr:uid="{00000000-0005-0000-0000-00000E560000}"/>
    <cellStyle name="Normal 2 2 2 4" xfId="428" xr:uid="{00000000-0005-0000-0000-00000F560000}"/>
    <cellStyle name="Normal 2 2 2 4 2" xfId="519" xr:uid="{00000000-0005-0000-0000-000010560000}"/>
    <cellStyle name="Normal 2 2 2 4 2 2" xfId="13882" xr:uid="{00000000-0005-0000-0000-000011560000}"/>
    <cellStyle name="Normal 2 2 2 4 3" xfId="13805" xr:uid="{00000000-0005-0000-0000-000012560000}"/>
    <cellStyle name="Normal 2 2 2 5" xfId="482" xr:uid="{00000000-0005-0000-0000-000013560000}"/>
    <cellStyle name="Normal 2 2 2 5 2" xfId="13845" xr:uid="{00000000-0005-0000-0000-000014560000}"/>
    <cellStyle name="Normal 2 2 2 6" xfId="652" xr:uid="{00000000-0005-0000-0000-000015560000}"/>
    <cellStyle name="Normal 2 2 2 7" xfId="13702" xr:uid="{00000000-0005-0000-0000-000016560000}"/>
    <cellStyle name="Normal 2 2 2 8" xfId="29059" xr:uid="{00000000-0005-0000-0000-000017560000}"/>
    <cellStyle name="Normal 2 2 3" xfId="406" xr:uid="{00000000-0005-0000-0000-000018560000}"/>
    <cellStyle name="Normal 2 2 4" xfId="384" xr:uid="{00000000-0005-0000-0000-000019560000}"/>
    <cellStyle name="Normal 2 3" xfId="165" xr:uid="{00000000-0005-0000-0000-00001A560000}"/>
    <cellStyle name="Normal 2 3 2" xfId="421" xr:uid="{00000000-0005-0000-0000-00001B560000}"/>
    <cellStyle name="Normal 2 3 2 2" xfId="25783" xr:uid="{00000000-0005-0000-0000-00001C560000}"/>
    <cellStyle name="Normal 2 3 2 3" xfId="29060" xr:uid="{00000000-0005-0000-0000-00001D560000}"/>
    <cellStyle name="Normal 2 3 3" xfId="385" xr:uid="{00000000-0005-0000-0000-00001E560000}"/>
    <cellStyle name="Normal 2 3 3 2" xfId="25999" xr:uid="{00000000-0005-0000-0000-00001F560000}"/>
    <cellStyle name="Normal 2 3 3 3" xfId="30157" xr:uid="{00000000-0005-0000-0000-000020560000}"/>
    <cellStyle name="Normal 2 3 4" xfId="655" xr:uid="{00000000-0005-0000-0000-000021560000}"/>
    <cellStyle name="Normal 2 3 4 2" xfId="13910" xr:uid="{00000000-0005-0000-0000-000022560000}"/>
    <cellStyle name="Normal 2 4" xfId="656" xr:uid="{00000000-0005-0000-0000-000023560000}"/>
    <cellStyle name="Normal 2 4 2" xfId="3248" xr:uid="{00000000-0005-0000-0000-000024560000}"/>
    <cellStyle name="Normal 2 4 2 2" xfId="25784" xr:uid="{00000000-0005-0000-0000-000025560000}"/>
    <cellStyle name="Normal 2 4 2 3" xfId="29061" xr:uid="{00000000-0005-0000-0000-000026560000}"/>
    <cellStyle name="Normal 2 4 3" xfId="25770" xr:uid="{00000000-0005-0000-0000-000027560000}"/>
    <cellStyle name="Normal 2 4 4" xfId="26053" xr:uid="{00000000-0005-0000-0000-000028560000}"/>
    <cellStyle name="Normal 2 5" xfId="657" xr:uid="{00000000-0005-0000-0000-000029560000}"/>
    <cellStyle name="Normal 2 5 2" xfId="11466" xr:uid="{00000000-0005-0000-0000-00002A560000}"/>
    <cellStyle name="Normal 2 5 2 2" xfId="22754" xr:uid="{00000000-0005-0000-0000-00002B560000}"/>
    <cellStyle name="Normal 2 5 2 3" xfId="29062" xr:uid="{00000000-0005-0000-0000-00002C560000}"/>
    <cellStyle name="Normal 2 5 3" xfId="9472" xr:uid="{00000000-0005-0000-0000-00002D560000}"/>
    <cellStyle name="Normal 2 5 3 2" xfId="20760" xr:uid="{00000000-0005-0000-0000-00002E560000}"/>
    <cellStyle name="Normal 2 5 4" xfId="7478" xr:uid="{00000000-0005-0000-0000-00002F560000}"/>
    <cellStyle name="Normal 2 5 4 2" xfId="18766" xr:uid="{00000000-0005-0000-0000-000030560000}"/>
    <cellStyle name="Normal 2 5 5" xfId="5484" xr:uid="{00000000-0005-0000-0000-000031560000}"/>
    <cellStyle name="Normal 2 5 5 2" xfId="16772" xr:uid="{00000000-0005-0000-0000-000032560000}"/>
    <cellStyle name="Normal 2 5 6" xfId="3249" xr:uid="{00000000-0005-0000-0000-000033560000}"/>
    <cellStyle name="Normal 2 5 6 2" xfId="14778" xr:uid="{00000000-0005-0000-0000-000034560000}"/>
    <cellStyle name="Normal 2 5 7" xfId="24140" xr:uid="{00000000-0005-0000-0000-000035560000}"/>
    <cellStyle name="Normal 2 5 7 2" xfId="27076" xr:uid="{00000000-0005-0000-0000-000036560000}"/>
    <cellStyle name="Normal 2 6" xfId="4484" xr:uid="{00000000-0005-0000-0000-000037560000}"/>
    <cellStyle name="Normal 2 6 2" xfId="12463" xr:uid="{00000000-0005-0000-0000-000038560000}"/>
    <cellStyle name="Normal 2 6 2 2" xfId="23751" xr:uid="{00000000-0005-0000-0000-000039560000}"/>
    <cellStyle name="Normal 2 6 2 3" xfId="29063" xr:uid="{00000000-0005-0000-0000-00003A560000}"/>
    <cellStyle name="Normal 2 6 3" xfId="10469" xr:uid="{00000000-0005-0000-0000-00003B560000}"/>
    <cellStyle name="Normal 2 6 3 2" xfId="21757" xr:uid="{00000000-0005-0000-0000-00003C560000}"/>
    <cellStyle name="Normal 2 6 4" xfId="8475" xr:uid="{00000000-0005-0000-0000-00003D560000}"/>
    <cellStyle name="Normal 2 6 4 2" xfId="19763" xr:uid="{00000000-0005-0000-0000-00003E560000}"/>
    <cellStyle name="Normal 2 6 5" xfId="6481" xr:uid="{00000000-0005-0000-0000-00003F560000}"/>
    <cellStyle name="Normal 2 6 5 2" xfId="17769" xr:uid="{00000000-0005-0000-0000-000040560000}"/>
    <cellStyle name="Normal 2 6 6" xfId="15775" xr:uid="{00000000-0005-0000-0000-000041560000}"/>
    <cellStyle name="Normal 2 6 7" xfId="24141" xr:uid="{00000000-0005-0000-0000-000042560000}"/>
    <cellStyle name="Normal 2 6 7 2" xfId="27077" xr:uid="{00000000-0005-0000-0000-000043560000}"/>
    <cellStyle name="Normal 2 6 8" xfId="25778" xr:uid="{00000000-0005-0000-0000-000044560000}"/>
    <cellStyle name="Normal 2 7" xfId="3247" xr:uid="{00000000-0005-0000-0000-000045560000}"/>
    <cellStyle name="Normal 2 7 2" xfId="24142" xr:uid="{00000000-0005-0000-0000-000046560000}"/>
    <cellStyle name="Normal 2 7 2 2" xfId="27078" xr:uid="{00000000-0005-0000-0000-000047560000}"/>
    <cellStyle name="Normal 2 7 2 2 2" xfId="29064" xr:uid="{00000000-0005-0000-0000-000048560000}"/>
    <cellStyle name="Normal 2 8" xfId="13604" xr:uid="{00000000-0005-0000-0000-000049560000}"/>
    <cellStyle name="Normal 2 8 2" xfId="26557" xr:uid="{00000000-0005-0000-0000-00004A560000}"/>
    <cellStyle name="Normal 2 8 2 2" xfId="29065" xr:uid="{00000000-0005-0000-0000-00004B560000}"/>
    <cellStyle name="Normal 2 9" xfId="23906" xr:uid="{00000000-0005-0000-0000-00004C560000}"/>
    <cellStyle name="Normal 2 9 2" xfId="29066" xr:uid="{00000000-0005-0000-0000-00004D560000}"/>
    <cellStyle name="Normal 2 9 3" xfId="28785" xr:uid="{00000000-0005-0000-0000-00004E560000}"/>
    <cellStyle name="Normal 20" xfId="393" xr:uid="{00000000-0005-0000-0000-00004F560000}"/>
    <cellStyle name="Normal 20 10" xfId="27904" xr:uid="{00000000-0005-0000-0000-000050560000}"/>
    <cellStyle name="Normal 20 11" xfId="26003" xr:uid="{00000000-0005-0000-0000-000051560000}"/>
    <cellStyle name="Normal 20 2" xfId="4485" xr:uid="{00000000-0005-0000-0000-000052560000}"/>
    <cellStyle name="Normal 20 2 2" xfId="12464" xr:uid="{00000000-0005-0000-0000-000053560000}"/>
    <cellStyle name="Normal 20 2 2 2" xfId="23752" xr:uid="{00000000-0005-0000-0000-000054560000}"/>
    <cellStyle name="Normal 20 2 3" xfId="10470" xr:uid="{00000000-0005-0000-0000-000055560000}"/>
    <cellStyle name="Normal 20 2 3 2" xfId="21758" xr:uid="{00000000-0005-0000-0000-000056560000}"/>
    <cellStyle name="Normal 20 2 4" xfId="8476" xr:uid="{00000000-0005-0000-0000-000057560000}"/>
    <cellStyle name="Normal 20 2 4 2" xfId="19764" xr:uid="{00000000-0005-0000-0000-000058560000}"/>
    <cellStyle name="Normal 20 2 5" xfId="6482" xr:uid="{00000000-0005-0000-0000-000059560000}"/>
    <cellStyle name="Normal 20 2 5 2" xfId="17770" xr:uid="{00000000-0005-0000-0000-00005A560000}"/>
    <cellStyle name="Normal 20 2 6" xfId="15776" xr:uid="{00000000-0005-0000-0000-00005B560000}"/>
    <cellStyle name="Normal 20 2 7" xfId="29067" xr:uid="{00000000-0005-0000-0000-00005C560000}"/>
    <cellStyle name="Normal 20 3" xfId="11467" xr:uid="{00000000-0005-0000-0000-00005D560000}"/>
    <cellStyle name="Normal 20 3 2" xfId="22755" xr:uid="{00000000-0005-0000-0000-00005E560000}"/>
    <cellStyle name="Normal 20 4" xfId="9473" xr:uid="{00000000-0005-0000-0000-00005F560000}"/>
    <cellStyle name="Normal 20 4 2" xfId="20761" xr:uid="{00000000-0005-0000-0000-000060560000}"/>
    <cellStyle name="Normal 20 5" xfId="7479" xr:uid="{00000000-0005-0000-0000-000061560000}"/>
    <cellStyle name="Normal 20 5 2" xfId="18767" xr:uid="{00000000-0005-0000-0000-000062560000}"/>
    <cellStyle name="Normal 20 6" xfId="5485" xr:uid="{00000000-0005-0000-0000-000063560000}"/>
    <cellStyle name="Normal 20 6 2" xfId="16773" xr:uid="{00000000-0005-0000-0000-000064560000}"/>
    <cellStyle name="Normal 20 7" xfId="3250" xr:uid="{00000000-0005-0000-0000-000065560000}"/>
    <cellStyle name="Normal 20 7 2" xfId="14779" xr:uid="{00000000-0005-0000-0000-000066560000}"/>
    <cellStyle name="Normal 20 8" xfId="13787" xr:uid="{00000000-0005-0000-0000-000067560000}"/>
    <cellStyle name="Normal 20 8 2" xfId="26667" xr:uid="{00000000-0005-0000-0000-000068560000}"/>
    <cellStyle name="Normal 20 9" xfId="13464" xr:uid="{00000000-0005-0000-0000-000069560000}"/>
    <cellStyle name="Normal 21" xfId="370" xr:uid="{00000000-0005-0000-0000-00006A560000}"/>
    <cellStyle name="Normal 21 10" xfId="24130" xr:uid="{00000000-0005-0000-0000-00006B560000}"/>
    <cellStyle name="Normal 21 10 2" xfId="27072" xr:uid="{00000000-0005-0000-0000-00006C560000}"/>
    <cellStyle name="Normal 21 2" xfId="500" xr:uid="{00000000-0005-0000-0000-00006D560000}"/>
    <cellStyle name="Normal 21 2 2" xfId="12465" xr:uid="{00000000-0005-0000-0000-00006E560000}"/>
    <cellStyle name="Normal 21 2 2 2" xfId="23753" xr:uid="{00000000-0005-0000-0000-00006F560000}"/>
    <cellStyle name="Normal 21 2 3" xfId="10471" xr:uid="{00000000-0005-0000-0000-000070560000}"/>
    <cellStyle name="Normal 21 2 3 2" xfId="21759" xr:uid="{00000000-0005-0000-0000-000071560000}"/>
    <cellStyle name="Normal 21 2 4" xfId="8477" xr:uid="{00000000-0005-0000-0000-000072560000}"/>
    <cellStyle name="Normal 21 2 4 2" xfId="19765" xr:uid="{00000000-0005-0000-0000-000073560000}"/>
    <cellStyle name="Normal 21 2 5" xfId="6483" xr:uid="{00000000-0005-0000-0000-000074560000}"/>
    <cellStyle name="Normal 21 2 5 2" xfId="17771" xr:uid="{00000000-0005-0000-0000-000075560000}"/>
    <cellStyle name="Normal 21 2 6" xfId="4486" xr:uid="{00000000-0005-0000-0000-000076560000}"/>
    <cellStyle name="Normal 21 2 6 2" xfId="15777" xr:uid="{00000000-0005-0000-0000-000077560000}"/>
    <cellStyle name="Normal 21 2 7" xfId="13863" xr:uid="{00000000-0005-0000-0000-000078560000}"/>
    <cellStyle name="Normal 21 2 8" xfId="29068" xr:uid="{00000000-0005-0000-0000-000079560000}"/>
    <cellStyle name="Normal 21 3" xfId="11468" xr:uid="{00000000-0005-0000-0000-00007A560000}"/>
    <cellStyle name="Normal 21 3 2" xfId="22756" xr:uid="{00000000-0005-0000-0000-00007B560000}"/>
    <cellStyle name="Normal 21 4" xfId="9474" xr:uid="{00000000-0005-0000-0000-00007C560000}"/>
    <cellStyle name="Normal 21 4 2" xfId="20762" xr:uid="{00000000-0005-0000-0000-00007D560000}"/>
    <cellStyle name="Normal 21 5" xfId="7480" xr:uid="{00000000-0005-0000-0000-00007E560000}"/>
    <cellStyle name="Normal 21 5 2" xfId="18768" xr:uid="{00000000-0005-0000-0000-00007F560000}"/>
    <cellStyle name="Normal 21 6" xfId="5486" xr:uid="{00000000-0005-0000-0000-000080560000}"/>
    <cellStyle name="Normal 21 6 2" xfId="16774" xr:uid="{00000000-0005-0000-0000-000081560000}"/>
    <cellStyle name="Normal 21 7" xfId="3251" xr:uid="{00000000-0005-0000-0000-000082560000}"/>
    <cellStyle name="Normal 21 7 2" xfId="14780" xr:uid="{00000000-0005-0000-0000-000083560000}"/>
    <cellStyle name="Normal 21 8" xfId="13779" xr:uid="{00000000-0005-0000-0000-000084560000}"/>
    <cellStyle name="Normal 21 9" xfId="13465" xr:uid="{00000000-0005-0000-0000-000085560000}"/>
    <cellStyle name="Normal 22" xfId="419" xr:uid="{00000000-0005-0000-0000-000086560000}"/>
    <cellStyle name="Normal 22 10" xfId="24314" xr:uid="{00000000-0005-0000-0000-000087560000}"/>
    <cellStyle name="Normal 22 10 2" xfId="27145" xr:uid="{00000000-0005-0000-0000-000088560000}"/>
    <cellStyle name="Normal 22 2" xfId="512" xr:uid="{00000000-0005-0000-0000-000089560000}"/>
    <cellStyle name="Normal 22 2 2" xfId="12466" xr:uid="{00000000-0005-0000-0000-00008A560000}"/>
    <cellStyle name="Normal 22 2 2 2" xfId="23754" xr:uid="{00000000-0005-0000-0000-00008B560000}"/>
    <cellStyle name="Normal 22 2 3" xfId="10472" xr:uid="{00000000-0005-0000-0000-00008C560000}"/>
    <cellStyle name="Normal 22 2 3 2" xfId="21760" xr:uid="{00000000-0005-0000-0000-00008D560000}"/>
    <cellStyle name="Normal 22 2 4" xfId="8478" xr:uid="{00000000-0005-0000-0000-00008E560000}"/>
    <cellStyle name="Normal 22 2 4 2" xfId="19766" xr:uid="{00000000-0005-0000-0000-00008F560000}"/>
    <cellStyle name="Normal 22 2 5" xfId="6484" xr:uid="{00000000-0005-0000-0000-000090560000}"/>
    <cellStyle name="Normal 22 2 5 2" xfId="17772" xr:uid="{00000000-0005-0000-0000-000091560000}"/>
    <cellStyle name="Normal 22 2 6" xfId="4487" xr:uid="{00000000-0005-0000-0000-000092560000}"/>
    <cellStyle name="Normal 22 2 6 2" xfId="15778" xr:uid="{00000000-0005-0000-0000-000093560000}"/>
    <cellStyle name="Normal 22 2 7" xfId="13875" xr:uid="{00000000-0005-0000-0000-000094560000}"/>
    <cellStyle name="Normal 22 2 8" xfId="29069" xr:uid="{00000000-0005-0000-0000-000095560000}"/>
    <cellStyle name="Normal 22 3" xfId="11469" xr:uid="{00000000-0005-0000-0000-000096560000}"/>
    <cellStyle name="Normal 22 3 2" xfId="22757" xr:uid="{00000000-0005-0000-0000-000097560000}"/>
    <cellStyle name="Normal 22 4" xfId="9475" xr:uid="{00000000-0005-0000-0000-000098560000}"/>
    <cellStyle name="Normal 22 4 2" xfId="20763" xr:uid="{00000000-0005-0000-0000-000099560000}"/>
    <cellStyle name="Normal 22 5" xfId="7481" xr:uid="{00000000-0005-0000-0000-00009A560000}"/>
    <cellStyle name="Normal 22 5 2" xfId="18769" xr:uid="{00000000-0005-0000-0000-00009B560000}"/>
    <cellStyle name="Normal 22 6" xfId="5487" xr:uid="{00000000-0005-0000-0000-00009C560000}"/>
    <cellStyle name="Normal 22 6 2" xfId="16775" xr:uid="{00000000-0005-0000-0000-00009D560000}"/>
    <cellStyle name="Normal 22 7" xfId="3252" xr:uid="{00000000-0005-0000-0000-00009E560000}"/>
    <cellStyle name="Normal 22 7 2" xfId="14781" xr:uid="{00000000-0005-0000-0000-00009F560000}"/>
    <cellStyle name="Normal 22 8" xfId="13798" xr:uid="{00000000-0005-0000-0000-0000A0560000}"/>
    <cellStyle name="Normal 22 9" xfId="13466" xr:uid="{00000000-0005-0000-0000-0000A1560000}"/>
    <cellStyle name="Normal 23" xfId="52" xr:uid="{00000000-0005-0000-0000-0000A2560000}"/>
    <cellStyle name="Normal 23 10" xfId="24478" xr:uid="{00000000-0005-0000-0000-0000A3560000}"/>
    <cellStyle name="Normal 23 10 2" xfId="27173" xr:uid="{00000000-0005-0000-0000-0000A4560000}"/>
    <cellStyle name="Normal 23 2" xfId="4488" xr:uid="{00000000-0005-0000-0000-0000A5560000}"/>
    <cellStyle name="Normal 23 2 2" xfId="12467" xr:uid="{00000000-0005-0000-0000-0000A6560000}"/>
    <cellStyle name="Normal 23 2 2 2" xfId="23755" xr:uid="{00000000-0005-0000-0000-0000A7560000}"/>
    <cellStyle name="Normal 23 2 3" xfId="10473" xr:uid="{00000000-0005-0000-0000-0000A8560000}"/>
    <cellStyle name="Normal 23 2 3 2" xfId="21761" xr:uid="{00000000-0005-0000-0000-0000A9560000}"/>
    <cellStyle name="Normal 23 2 4" xfId="8479" xr:uid="{00000000-0005-0000-0000-0000AA560000}"/>
    <cellStyle name="Normal 23 2 4 2" xfId="19767" xr:uid="{00000000-0005-0000-0000-0000AB560000}"/>
    <cellStyle name="Normal 23 2 5" xfId="6485" xr:uid="{00000000-0005-0000-0000-0000AC560000}"/>
    <cellStyle name="Normal 23 2 5 2" xfId="17773" xr:uid="{00000000-0005-0000-0000-0000AD560000}"/>
    <cellStyle name="Normal 23 2 6" xfId="15779" xr:uid="{00000000-0005-0000-0000-0000AE560000}"/>
    <cellStyle name="Normal 23 2 7" xfId="29070" xr:uid="{00000000-0005-0000-0000-0000AF560000}"/>
    <cellStyle name="Normal 23 3" xfId="4619" xr:uid="{00000000-0005-0000-0000-0000B0560000}"/>
    <cellStyle name="Normal 23 3 2" xfId="11470" xr:uid="{00000000-0005-0000-0000-0000B1560000}"/>
    <cellStyle name="Normal 23 3 2 2" xfId="22758" xr:uid="{00000000-0005-0000-0000-0000B2560000}"/>
    <cellStyle name="Normal 23 4" xfId="9476" xr:uid="{00000000-0005-0000-0000-0000B3560000}"/>
    <cellStyle name="Normal 23 4 2" xfId="20764" xr:uid="{00000000-0005-0000-0000-0000B4560000}"/>
    <cellStyle name="Normal 23 5" xfId="7482" xr:uid="{00000000-0005-0000-0000-0000B5560000}"/>
    <cellStyle name="Normal 23 5 2" xfId="18770" xr:uid="{00000000-0005-0000-0000-0000B6560000}"/>
    <cellStyle name="Normal 23 6" xfId="5488" xr:uid="{00000000-0005-0000-0000-0000B7560000}"/>
    <cellStyle name="Normal 23 6 2" xfId="16776" xr:uid="{00000000-0005-0000-0000-0000B8560000}"/>
    <cellStyle name="Normal 23 7" xfId="3253" xr:uid="{00000000-0005-0000-0000-0000B9560000}"/>
    <cellStyle name="Normal 23 7 2" xfId="14782" xr:uid="{00000000-0005-0000-0000-0000BA560000}"/>
    <cellStyle name="Normal 23 8" xfId="13611" xr:uid="{00000000-0005-0000-0000-0000BB560000}"/>
    <cellStyle name="Normal 23 9" xfId="13467" xr:uid="{00000000-0005-0000-0000-0000BC560000}"/>
    <cellStyle name="Normal 24" xfId="409" xr:uid="{00000000-0005-0000-0000-0000BD560000}"/>
    <cellStyle name="Normal 24 10" xfId="24500" xr:uid="{00000000-0005-0000-0000-0000BE560000}"/>
    <cellStyle name="Normal 24 10 2" xfId="27188" xr:uid="{00000000-0005-0000-0000-0000BF560000}"/>
    <cellStyle name="Normal 24 2" xfId="509" xr:uid="{00000000-0005-0000-0000-0000C0560000}"/>
    <cellStyle name="Normal 24 2 2" xfId="12468" xr:uid="{00000000-0005-0000-0000-0000C1560000}"/>
    <cellStyle name="Normal 24 2 2 2" xfId="23756" xr:uid="{00000000-0005-0000-0000-0000C2560000}"/>
    <cellStyle name="Normal 24 2 3" xfId="10474" xr:uid="{00000000-0005-0000-0000-0000C3560000}"/>
    <cellStyle name="Normal 24 2 3 2" xfId="21762" xr:uid="{00000000-0005-0000-0000-0000C4560000}"/>
    <cellStyle name="Normal 24 2 4" xfId="8480" xr:uid="{00000000-0005-0000-0000-0000C5560000}"/>
    <cellStyle name="Normal 24 2 4 2" xfId="19768" xr:uid="{00000000-0005-0000-0000-0000C6560000}"/>
    <cellStyle name="Normal 24 2 5" xfId="6486" xr:uid="{00000000-0005-0000-0000-0000C7560000}"/>
    <cellStyle name="Normal 24 2 5 2" xfId="17774" xr:uid="{00000000-0005-0000-0000-0000C8560000}"/>
    <cellStyle name="Normal 24 2 6" xfId="4489" xr:uid="{00000000-0005-0000-0000-0000C9560000}"/>
    <cellStyle name="Normal 24 2 6 2" xfId="15780" xr:uid="{00000000-0005-0000-0000-0000CA560000}"/>
    <cellStyle name="Normal 24 2 7" xfId="13872" xr:uid="{00000000-0005-0000-0000-0000CB560000}"/>
    <cellStyle name="Normal 24 2 8" xfId="29071" xr:uid="{00000000-0005-0000-0000-0000CC560000}"/>
    <cellStyle name="Normal 24 3" xfId="11471" xr:uid="{00000000-0005-0000-0000-0000CD560000}"/>
    <cellStyle name="Normal 24 3 2" xfId="22759" xr:uid="{00000000-0005-0000-0000-0000CE560000}"/>
    <cellStyle name="Normal 24 4" xfId="9477" xr:uid="{00000000-0005-0000-0000-0000CF560000}"/>
    <cellStyle name="Normal 24 4 2" xfId="20765" xr:uid="{00000000-0005-0000-0000-0000D0560000}"/>
    <cellStyle name="Normal 24 5" xfId="7483" xr:uid="{00000000-0005-0000-0000-0000D1560000}"/>
    <cellStyle name="Normal 24 5 2" xfId="18771" xr:uid="{00000000-0005-0000-0000-0000D2560000}"/>
    <cellStyle name="Normal 24 6" xfId="5489" xr:uid="{00000000-0005-0000-0000-0000D3560000}"/>
    <cellStyle name="Normal 24 6 2" xfId="16777" xr:uid="{00000000-0005-0000-0000-0000D4560000}"/>
    <cellStyle name="Normal 24 7" xfId="3254" xr:uid="{00000000-0005-0000-0000-0000D5560000}"/>
    <cellStyle name="Normal 24 7 2" xfId="14783" xr:uid="{00000000-0005-0000-0000-0000D6560000}"/>
    <cellStyle name="Normal 24 8" xfId="13791" xr:uid="{00000000-0005-0000-0000-0000D7560000}"/>
    <cellStyle name="Normal 24 9" xfId="13468" xr:uid="{00000000-0005-0000-0000-0000D8560000}"/>
    <cellStyle name="Normal 25" xfId="451" xr:uid="{00000000-0005-0000-0000-0000D9560000}"/>
    <cellStyle name="Normal 25 10" xfId="24476" xr:uid="{00000000-0005-0000-0000-0000DA560000}"/>
    <cellStyle name="Normal 25 10 2" xfId="27171" xr:uid="{00000000-0005-0000-0000-0000DB560000}"/>
    <cellStyle name="Normal 25 2" xfId="537" xr:uid="{00000000-0005-0000-0000-0000DC560000}"/>
    <cellStyle name="Normal 25 2 2" xfId="12469" xr:uid="{00000000-0005-0000-0000-0000DD560000}"/>
    <cellStyle name="Normal 25 2 2 2" xfId="23757" xr:uid="{00000000-0005-0000-0000-0000DE560000}"/>
    <cellStyle name="Normal 25 2 3" xfId="10475" xr:uid="{00000000-0005-0000-0000-0000DF560000}"/>
    <cellStyle name="Normal 25 2 3 2" xfId="21763" xr:uid="{00000000-0005-0000-0000-0000E0560000}"/>
    <cellStyle name="Normal 25 2 4" xfId="8481" xr:uid="{00000000-0005-0000-0000-0000E1560000}"/>
    <cellStyle name="Normal 25 2 4 2" xfId="19769" xr:uid="{00000000-0005-0000-0000-0000E2560000}"/>
    <cellStyle name="Normal 25 2 5" xfId="6487" xr:uid="{00000000-0005-0000-0000-0000E3560000}"/>
    <cellStyle name="Normal 25 2 5 2" xfId="17775" xr:uid="{00000000-0005-0000-0000-0000E4560000}"/>
    <cellStyle name="Normal 25 2 6" xfId="4490" xr:uid="{00000000-0005-0000-0000-0000E5560000}"/>
    <cellStyle name="Normal 25 2 6 2" xfId="15781" xr:uid="{00000000-0005-0000-0000-0000E6560000}"/>
    <cellStyle name="Normal 25 2 7" xfId="13900" xr:uid="{00000000-0005-0000-0000-0000E7560000}"/>
    <cellStyle name="Normal 25 2 8" xfId="29072" xr:uid="{00000000-0005-0000-0000-0000E8560000}"/>
    <cellStyle name="Normal 25 3" xfId="11472" xr:uid="{00000000-0005-0000-0000-0000E9560000}"/>
    <cellStyle name="Normal 25 3 2" xfId="22760" xr:uid="{00000000-0005-0000-0000-0000EA560000}"/>
    <cellStyle name="Normal 25 4" xfId="9478" xr:uid="{00000000-0005-0000-0000-0000EB560000}"/>
    <cellStyle name="Normal 25 4 2" xfId="20766" xr:uid="{00000000-0005-0000-0000-0000EC560000}"/>
    <cellStyle name="Normal 25 5" xfId="7484" xr:uid="{00000000-0005-0000-0000-0000ED560000}"/>
    <cellStyle name="Normal 25 5 2" xfId="18772" xr:uid="{00000000-0005-0000-0000-0000EE560000}"/>
    <cellStyle name="Normal 25 6" xfId="5490" xr:uid="{00000000-0005-0000-0000-0000EF560000}"/>
    <cellStyle name="Normal 25 6 2" xfId="16778" xr:uid="{00000000-0005-0000-0000-0000F0560000}"/>
    <cellStyle name="Normal 25 7" xfId="3255" xr:uid="{00000000-0005-0000-0000-0000F1560000}"/>
    <cellStyle name="Normal 25 7 2" xfId="14784" xr:uid="{00000000-0005-0000-0000-0000F2560000}"/>
    <cellStyle name="Normal 25 8" xfId="13823" xr:uid="{00000000-0005-0000-0000-0000F3560000}"/>
    <cellStyle name="Normal 25 9" xfId="13469" xr:uid="{00000000-0005-0000-0000-0000F4560000}"/>
    <cellStyle name="Normal 26" xfId="454" xr:uid="{00000000-0005-0000-0000-0000F5560000}"/>
    <cellStyle name="Normal 26 10" xfId="26019" xr:uid="{00000000-0005-0000-0000-0000F6560000}"/>
    <cellStyle name="Normal 26 2" xfId="4491" xr:uid="{00000000-0005-0000-0000-0000F7560000}"/>
    <cellStyle name="Normal 26 2 2" xfId="12470" xr:uid="{00000000-0005-0000-0000-0000F8560000}"/>
    <cellStyle name="Normal 26 2 2 2" xfId="23758" xr:uid="{00000000-0005-0000-0000-0000F9560000}"/>
    <cellStyle name="Normal 26 2 3" xfId="10476" xr:uid="{00000000-0005-0000-0000-0000FA560000}"/>
    <cellStyle name="Normal 26 2 3 2" xfId="21764" xr:uid="{00000000-0005-0000-0000-0000FB560000}"/>
    <cellStyle name="Normal 26 2 4" xfId="8482" xr:uid="{00000000-0005-0000-0000-0000FC560000}"/>
    <cellStyle name="Normal 26 2 4 2" xfId="19770" xr:uid="{00000000-0005-0000-0000-0000FD560000}"/>
    <cellStyle name="Normal 26 2 5" xfId="6488" xr:uid="{00000000-0005-0000-0000-0000FE560000}"/>
    <cellStyle name="Normal 26 2 5 2" xfId="17776" xr:uid="{00000000-0005-0000-0000-0000FF560000}"/>
    <cellStyle name="Normal 26 2 6" xfId="15782" xr:uid="{00000000-0005-0000-0000-000000570000}"/>
    <cellStyle name="Normal 26 3" xfId="11473" xr:uid="{00000000-0005-0000-0000-000001570000}"/>
    <cellStyle name="Normal 26 3 2" xfId="22761" xr:uid="{00000000-0005-0000-0000-000002570000}"/>
    <cellStyle name="Normal 26 4" xfId="9479" xr:uid="{00000000-0005-0000-0000-000003570000}"/>
    <cellStyle name="Normal 26 4 2" xfId="20767" xr:uid="{00000000-0005-0000-0000-000004570000}"/>
    <cellStyle name="Normal 26 5" xfId="7485" xr:uid="{00000000-0005-0000-0000-000005570000}"/>
    <cellStyle name="Normal 26 5 2" xfId="18773" xr:uid="{00000000-0005-0000-0000-000006570000}"/>
    <cellStyle name="Normal 26 6" xfId="5491" xr:uid="{00000000-0005-0000-0000-000007570000}"/>
    <cellStyle name="Normal 26 6 2" xfId="16779" xr:uid="{00000000-0005-0000-0000-000008570000}"/>
    <cellStyle name="Normal 26 7" xfId="3256" xr:uid="{00000000-0005-0000-0000-000009570000}"/>
    <cellStyle name="Normal 26 7 2" xfId="14785" xr:uid="{00000000-0005-0000-0000-00000A570000}"/>
    <cellStyle name="Normal 26 8" xfId="13826" xr:uid="{00000000-0005-0000-0000-00000B570000}"/>
    <cellStyle name="Normal 26 8 2" xfId="26675" xr:uid="{00000000-0005-0000-0000-00000C570000}"/>
    <cellStyle name="Normal 26 9" xfId="13470" xr:uid="{00000000-0005-0000-0000-00000D570000}"/>
    <cellStyle name="Normal 27" xfId="465" xr:uid="{00000000-0005-0000-0000-00000E570000}"/>
    <cellStyle name="Normal 27 10" xfId="26030" xr:uid="{00000000-0005-0000-0000-00000F570000}"/>
    <cellStyle name="Normal 27 2" xfId="4492" xr:uid="{00000000-0005-0000-0000-000010570000}"/>
    <cellStyle name="Normal 27 2 2" xfId="12471" xr:uid="{00000000-0005-0000-0000-000011570000}"/>
    <cellStyle name="Normal 27 2 2 2" xfId="23759" xr:uid="{00000000-0005-0000-0000-000012570000}"/>
    <cellStyle name="Normal 27 2 3" xfId="10477" xr:uid="{00000000-0005-0000-0000-000013570000}"/>
    <cellStyle name="Normal 27 2 3 2" xfId="21765" xr:uid="{00000000-0005-0000-0000-000014570000}"/>
    <cellStyle name="Normal 27 2 4" xfId="8483" xr:uid="{00000000-0005-0000-0000-000015570000}"/>
    <cellStyle name="Normal 27 2 4 2" xfId="19771" xr:uid="{00000000-0005-0000-0000-000016570000}"/>
    <cellStyle name="Normal 27 2 5" xfId="6489" xr:uid="{00000000-0005-0000-0000-000017570000}"/>
    <cellStyle name="Normal 27 2 5 2" xfId="17777" xr:uid="{00000000-0005-0000-0000-000018570000}"/>
    <cellStyle name="Normal 27 2 6" xfId="15783" xr:uid="{00000000-0005-0000-0000-000019570000}"/>
    <cellStyle name="Normal 27 2 7" xfId="29073" xr:uid="{00000000-0005-0000-0000-00001A570000}"/>
    <cellStyle name="Normal 27 3" xfId="11474" xr:uid="{00000000-0005-0000-0000-00001B570000}"/>
    <cellStyle name="Normal 27 3 2" xfId="22762" xr:uid="{00000000-0005-0000-0000-00001C570000}"/>
    <cellStyle name="Normal 27 4" xfId="9480" xr:uid="{00000000-0005-0000-0000-00001D570000}"/>
    <cellStyle name="Normal 27 4 2" xfId="20768" xr:uid="{00000000-0005-0000-0000-00001E570000}"/>
    <cellStyle name="Normal 27 5" xfId="7486" xr:uid="{00000000-0005-0000-0000-00001F570000}"/>
    <cellStyle name="Normal 27 5 2" xfId="18774" xr:uid="{00000000-0005-0000-0000-000020570000}"/>
    <cellStyle name="Normal 27 6" xfId="5492" xr:uid="{00000000-0005-0000-0000-000021570000}"/>
    <cellStyle name="Normal 27 6 2" xfId="16780" xr:uid="{00000000-0005-0000-0000-000022570000}"/>
    <cellStyle name="Normal 27 7" xfId="3257" xr:uid="{00000000-0005-0000-0000-000023570000}"/>
    <cellStyle name="Normal 27 7 2" xfId="14786" xr:uid="{00000000-0005-0000-0000-000024570000}"/>
    <cellStyle name="Normal 27 8" xfId="13829" xr:uid="{00000000-0005-0000-0000-000025570000}"/>
    <cellStyle name="Normal 27 8 2" xfId="26678" xr:uid="{00000000-0005-0000-0000-000026570000}"/>
    <cellStyle name="Normal 27 9" xfId="13471" xr:uid="{00000000-0005-0000-0000-000027570000}"/>
    <cellStyle name="Normal 28" xfId="469" xr:uid="{00000000-0005-0000-0000-000028570000}"/>
    <cellStyle name="Normal 28 10" xfId="26032" xr:uid="{00000000-0005-0000-0000-000029570000}"/>
    <cellStyle name="Normal 28 2" xfId="4493" xr:uid="{00000000-0005-0000-0000-00002A570000}"/>
    <cellStyle name="Normal 28 2 2" xfId="12472" xr:uid="{00000000-0005-0000-0000-00002B570000}"/>
    <cellStyle name="Normal 28 2 2 2" xfId="23760" xr:uid="{00000000-0005-0000-0000-00002C570000}"/>
    <cellStyle name="Normal 28 2 3" xfId="10478" xr:uid="{00000000-0005-0000-0000-00002D570000}"/>
    <cellStyle name="Normal 28 2 3 2" xfId="21766" xr:uid="{00000000-0005-0000-0000-00002E570000}"/>
    <cellStyle name="Normal 28 2 4" xfId="8484" xr:uid="{00000000-0005-0000-0000-00002F570000}"/>
    <cellStyle name="Normal 28 2 4 2" xfId="19772" xr:uid="{00000000-0005-0000-0000-000030570000}"/>
    <cellStyle name="Normal 28 2 5" xfId="6490" xr:uid="{00000000-0005-0000-0000-000031570000}"/>
    <cellStyle name="Normal 28 2 5 2" xfId="17778" xr:uid="{00000000-0005-0000-0000-000032570000}"/>
    <cellStyle name="Normal 28 2 6" xfId="15784" xr:uid="{00000000-0005-0000-0000-000033570000}"/>
    <cellStyle name="Normal 28 3" xfId="11475" xr:uid="{00000000-0005-0000-0000-000034570000}"/>
    <cellStyle name="Normal 28 3 2" xfId="22763" xr:uid="{00000000-0005-0000-0000-000035570000}"/>
    <cellStyle name="Normal 28 4" xfId="9481" xr:uid="{00000000-0005-0000-0000-000036570000}"/>
    <cellStyle name="Normal 28 4 2" xfId="20769" xr:uid="{00000000-0005-0000-0000-000037570000}"/>
    <cellStyle name="Normal 28 5" xfId="7487" xr:uid="{00000000-0005-0000-0000-000038570000}"/>
    <cellStyle name="Normal 28 5 2" xfId="18775" xr:uid="{00000000-0005-0000-0000-000039570000}"/>
    <cellStyle name="Normal 28 6" xfId="5493" xr:uid="{00000000-0005-0000-0000-00003A570000}"/>
    <cellStyle name="Normal 28 6 2" xfId="16781" xr:uid="{00000000-0005-0000-0000-00003B570000}"/>
    <cellStyle name="Normal 28 7" xfId="3258" xr:uid="{00000000-0005-0000-0000-00003C570000}"/>
    <cellStyle name="Normal 28 7 2" xfId="14787" xr:uid="{00000000-0005-0000-0000-00003D570000}"/>
    <cellStyle name="Normal 28 8" xfId="13832" xr:uid="{00000000-0005-0000-0000-00003E570000}"/>
    <cellStyle name="Normal 28 8 2" xfId="26679" xr:uid="{00000000-0005-0000-0000-00003F570000}"/>
    <cellStyle name="Normal 28 9" xfId="13472" xr:uid="{00000000-0005-0000-0000-000040570000}"/>
    <cellStyle name="Normal 29" xfId="464" xr:uid="{00000000-0005-0000-0000-000041570000}"/>
    <cellStyle name="Normal 29 10" xfId="26029" xr:uid="{00000000-0005-0000-0000-000042570000}"/>
    <cellStyle name="Normal 29 2" xfId="4494" xr:uid="{00000000-0005-0000-0000-000043570000}"/>
    <cellStyle name="Normal 29 2 2" xfId="12473" xr:uid="{00000000-0005-0000-0000-000044570000}"/>
    <cellStyle name="Normal 29 2 2 2" xfId="23761" xr:uid="{00000000-0005-0000-0000-000045570000}"/>
    <cellStyle name="Normal 29 2 3" xfId="10479" xr:uid="{00000000-0005-0000-0000-000046570000}"/>
    <cellStyle name="Normal 29 2 3 2" xfId="21767" xr:uid="{00000000-0005-0000-0000-000047570000}"/>
    <cellStyle name="Normal 29 2 4" xfId="8485" xr:uid="{00000000-0005-0000-0000-000048570000}"/>
    <cellStyle name="Normal 29 2 4 2" xfId="19773" xr:uid="{00000000-0005-0000-0000-000049570000}"/>
    <cellStyle name="Normal 29 2 5" xfId="6491" xr:uid="{00000000-0005-0000-0000-00004A570000}"/>
    <cellStyle name="Normal 29 2 5 2" xfId="17779" xr:uid="{00000000-0005-0000-0000-00004B570000}"/>
    <cellStyle name="Normal 29 2 6" xfId="15785" xr:uid="{00000000-0005-0000-0000-00004C570000}"/>
    <cellStyle name="Normal 29 3" xfId="11476" xr:uid="{00000000-0005-0000-0000-00004D570000}"/>
    <cellStyle name="Normal 29 3 2" xfId="22764" xr:uid="{00000000-0005-0000-0000-00004E570000}"/>
    <cellStyle name="Normal 29 4" xfId="9482" xr:uid="{00000000-0005-0000-0000-00004F570000}"/>
    <cellStyle name="Normal 29 4 2" xfId="20770" xr:uid="{00000000-0005-0000-0000-000050570000}"/>
    <cellStyle name="Normal 29 5" xfId="7488" xr:uid="{00000000-0005-0000-0000-000051570000}"/>
    <cellStyle name="Normal 29 5 2" xfId="18776" xr:uid="{00000000-0005-0000-0000-000052570000}"/>
    <cellStyle name="Normal 29 6" xfId="5494" xr:uid="{00000000-0005-0000-0000-000053570000}"/>
    <cellStyle name="Normal 29 6 2" xfId="16782" xr:uid="{00000000-0005-0000-0000-000054570000}"/>
    <cellStyle name="Normal 29 7" xfId="3259" xr:uid="{00000000-0005-0000-0000-000055570000}"/>
    <cellStyle name="Normal 29 7 2" xfId="14788" xr:uid="{00000000-0005-0000-0000-000056570000}"/>
    <cellStyle name="Normal 29 8" xfId="13828" xr:uid="{00000000-0005-0000-0000-000057570000}"/>
    <cellStyle name="Normal 29 8 2" xfId="26677" xr:uid="{00000000-0005-0000-0000-000058570000}"/>
    <cellStyle name="Normal 29 9" xfId="13473" xr:uid="{00000000-0005-0000-0000-000059570000}"/>
    <cellStyle name="Normal 3" xfId="53" xr:uid="{00000000-0005-0000-0000-00005A570000}"/>
    <cellStyle name="Normal 3 10" xfId="24143" xr:uid="{00000000-0005-0000-0000-00005B570000}"/>
    <cellStyle name="Normal 3 10 2" xfId="29074" xr:uid="{00000000-0005-0000-0000-00005C570000}"/>
    <cellStyle name="Normal 3 10 3" xfId="28786" xr:uid="{00000000-0005-0000-0000-00005D570000}"/>
    <cellStyle name="Normal 3 11" xfId="25771" xr:uid="{00000000-0005-0000-0000-00005E570000}"/>
    <cellStyle name="Normal 3 11 2" xfId="29075" xr:uid="{00000000-0005-0000-0000-00005F570000}"/>
    <cellStyle name="Normal 3 12" xfId="28787" xr:uid="{00000000-0005-0000-0000-000060570000}"/>
    <cellStyle name="Normal 3 12 2" xfId="29076" xr:uid="{00000000-0005-0000-0000-000061570000}"/>
    <cellStyle name="Normal 3 13" xfId="28788" xr:uid="{00000000-0005-0000-0000-000062570000}"/>
    <cellStyle name="Normal 3 13 2" xfId="29077" xr:uid="{00000000-0005-0000-0000-000063570000}"/>
    <cellStyle name="Normal 3 14" xfId="29058" xr:uid="{00000000-0005-0000-0000-000064570000}"/>
    <cellStyle name="Normal 3 15" xfId="30158" xr:uid="{00000000-0005-0000-0000-000065570000}"/>
    <cellStyle name="Normal 3 2" xfId="54" xr:uid="{00000000-0005-0000-0000-000066570000}"/>
    <cellStyle name="Normal 3 2 2" xfId="11477" xr:uid="{00000000-0005-0000-0000-000067570000}"/>
    <cellStyle name="Normal 3 2 2 2" xfId="22765" xr:uid="{00000000-0005-0000-0000-000068570000}"/>
    <cellStyle name="Normal 3 2 2 3" xfId="29078" xr:uid="{00000000-0005-0000-0000-000069570000}"/>
    <cellStyle name="Normal 3 2 3" xfId="9483" xr:uid="{00000000-0005-0000-0000-00006A570000}"/>
    <cellStyle name="Normal 3 2 3 2" xfId="20771" xr:uid="{00000000-0005-0000-0000-00006B570000}"/>
    <cellStyle name="Normal 3 2 4" xfId="7489" xr:uid="{00000000-0005-0000-0000-00006C570000}"/>
    <cellStyle name="Normal 3 2 4 2" xfId="18777" xr:uid="{00000000-0005-0000-0000-00006D570000}"/>
    <cellStyle name="Normal 3 2 5" xfId="5495" xr:uid="{00000000-0005-0000-0000-00006E570000}"/>
    <cellStyle name="Normal 3 2 5 2" xfId="16783" xr:uid="{00000000-0005-0000-0000-00006F570000}"/>
    <cellStyle name="Normal 3 2 6" xfId="3260" xr:uid="{00000000-0005-0000-0000-000070570000}"/>
    <cellStyle name="Normal 3 2 6 2" xfId="14789" xr:uid="{00000000-0005-0000-0000-000071570000}"/>
    <cellStyle name="Normal 3 2 7" xfId="25785" xr:uid="{00000000-0005-0000-0000-000072570000}"/>
    <cellStyle name="Normal 3 3" xfId="355" xr:uid="{00000000-0005-0000-0000-000073570000}"/>
    <cellStyle name="Normal 3 3 2" xfId="438" xr:uid="{00000000-0005-0000-0000-000074570000}"/>
    <cellStyle name="Normal 3 3 2 2" xfId="524" xr:uid="{00000000-0005-0000-0000-000075570000}"/>
    <cellStyle name="Normal 3 3 2 2 2" xfId="13887" xr:uid="{00000000-0005-0000-0000-000076570000}"/>
    <cellStyle name="Normal 3 3 2 3" xfId="12474" xr:uid="{00000000-0005-0000-0000-000077570000}"/>
    <cellStyle name="Normal 3 3 2 3 2" xfId="23762" xr:uid="{00000000-0005-0000-0000-000078570000}"/>
    <cellStyle name="Normal 3 3 2 4" xfId="13810" xr:uid="{00000000-0005-0000-0000-000079570000}"/>
    <cellStyle name="Normal 3 3 2 5" xfId="29079" xr:uid="{00000000-0005-0000-0000-00007A570000}"/>
    <cellStyle name="Normal 3 3 3" xfId="487" xr:uid="{00000000-0005-0000-0000-00007B570000}"/>
    <cellStyle name="Normal 3 3 3 2" xfId="10480" xr:uid="{00000000-0005-0000-0000-00007C570000}"/>
    <cellStyle name="Normal 3 3 3 2 2" xfId="21768" xr:uid="{00000000-0005-0000-0000-00007D570000}"/>
    <cellStyle name="Normal 3 3 3 3" xfId="13850" xr:uid="{00000000-0005-0000-0000-00007E570000}"/>
    <cellStyle name="Normal 3 3 4" xfId="8486" xr:uid="{00000000-0005-0000-0000-00007F570000}"/>
    <cellStyle name="Normal 3 3 4 2" xfId="19774" xr:uid="{00000000-0005-0000-0000-000080570000}"/>
    <cellStyle name="Normal 3 3 5" xfId="6492" xr:uid="{00000000-0005-0000-0000-000081570000}"/>
    <cellStyle name="Normal 3 3 5 2" xfId="17780" xr:uid="{00000000-0005-0000-0000-000082570000}"/>
    <cellStyle name="Normal 3 3 6" xfId="4495" xr:uid="{00000000-0005-0000-0000-000083570000}"/>
    <cellStyle name="Normal 3 3 6 2" xfId="15786" xr:uid="{00000000-0005-0000-0000-000084570000}"/>
    <cellStyle name="Normal 3 3 7" xfId="13765" xr:uid="{00000000-0005-0000-0000-000085570000}"/>
    <cellStyle name="Normal 3 3 8" xfId="24144" xr:uid="{00000000-0005-0000-0000-000086570000}"/>
    <cellStyle name="Normal 3 3 8 2" xfId="27079" xr:uid="{00000000-0005-0000-0000-000087570000}"/>
    <cellStyle name="Normal 3 4" xfId="407" xr:uid="{00000000-0005-0000-0000-000088570000}"/>
    <cellStyle name="Normal 3 4 2" xfId="507" xr:uid="{00000000-0005-0000-0000-000089570000}"/>
    <cellStyle name="Normal 3 4 2 2" xfId="13870" xr:uid="{00000000-0005-0000-0000-00008A570000}"/>
    <cellStyle name="Normal 3 4 2 3" xfId="24419" xr:uid="{00000000-0005-0000-0000-00008B570000}"/>
    <cellStyle name="Normal 3 4 2 4" xfId="24863" xr:uid="{00000000-0005-0000-0000-00008C570000}"/>
    <cellStyle name="Normal 3 4 2 5" xfId="25226" xr:uid="{00000000-0005-0000-0000-00008D570000}"/>
    <cellStyle name="Normal 3 4 2 6" xfId="29080" xr:uid="{00000000-0005-0000-0000-00008E570000}"/>
    <cellStyle name="Normal 3 4 3" xfId="13789" xr:uid="{00000000-0005-0000-0000-00008F570000}"/>
    <cellStyle name="Normal 3 4 4" xfId="24145" xr:uid="{00000000-0005-0000-0000-000090570000}"/>
    <cellStyle name="Normal 3 4 5" xfId="24716" xr:uid="{00000000-0005-0000-0000-000091570000}"/>
    <cellStyle name="Normal 3 4 6" xfId="25032" xr:uid="{00000000-0005-0000-0000-000092570000}"/>
    <cellStyle name="Normal 3 4 7" xfId="28789" xr:uid="{00000000-0005-0000-0000-000093570000}"/>
    <cellStyle name="Normal 3 5" xfId="386" xr:uid="{00000000-0005-0000-0000-000094570000}"/>
    <cellStyle name="Normal 3 5 2" xfId="29081" xr:uid="{00000000-0005-0000-0000-000095570000}"/>
    <cellStyle name="Normal 3 5 3" xfId="28790" xr:uid="{00000000-0005-0000-0000-000096570000}"/>
    <cellStyle name="Normal 3 6" xfId="472" xr:uid="{00000000-0005-0000-0000-000097570000}"/>
    <cellStyle name="Normal 3 6 2" xfId="13835" xr:uid="{00000000-0005-0000-0000-000098570000}"/>
    <cellStyle name="Normal 3 6 2 2" xfId="29082" xr:uid="{00000000-0005-0000-0000-000099570000}"/>
    <cellStyle name="Normal 3 6 3" xfId="28791" xr:uid="{00000000-0005-0000-0000-00009A570000}"/>
    <cellStyle name="Normal 3 7" xfId="658" xr:uid="{00000000-0005-0000-0000-00009B570000}"/>
    <cellStyle name="Normal 3 7 2" xfId="13911" xr:uid="{00000000-0005-0000-0000-00009C570000}"/>
    <cellStyle name="Normal 3 7 2 2" xfId="29083" xr:uid="{00000000-0005-0000-0000-00009D570000}"/>
    <cellStyle name="Normal 3 7 3" xfId="28792" xr:uid="{00000000-0005-0000-0000-00009E570000}"/>
    <cellStyle name="Normal 3 8" xfId="13612" xr:uid="{00000000-0005-0000-0000-00009F570000}"/>
    <cellStyle name="Normal 3 8 2" xfId="29084" xr:uid="{00000000-0005-0000-0000-0000A0570000}"/>
    <cellStyle name="Normal 3 8 3" xfId="28793" xr:uid="{00000000-0005-0000-0000-0000A1570000}"/>
    <cellStyle name="Normal 3 9" xfId="12599" xr:uid="{00000000-0005-0000-0000-0000A2570000}"/>
    <cellStyle name="Normal 3 9 2" xfId="29085" xr:uid="{00000000-0005-0000-0000-0000A3570000}"/>
    <cellStyle name="Normal 3 9 3" xfId="28794" xr:uid="{00000000-0005-0000-0000-0000A4570000}"/>
    <cellStyle name="Normal 30" xfId="470" xr:uid="{00000000-0005-0000-0000-0000A5570000}"/>
    <cellStyle name="Normal 30 10" xfId="27907" xr:uid="{00000000-0005-0000-0000-0000A6570000}"/>
    <cellStyle name="Normal 30 11" xfId="26033" xr:uid="{00000000-0005-0000-0000-0000A7570000}"/>
    <cellStyle name="Normal 30 2" xfId="4496" xr:uid="{00000000-0005-0000-0000-0000A8570000}"/>
    <cellStyle name="Normal 30 2 2" xfId="12475" xr:uid="{00000000-0005-0000-0000-0000A9570000}"/>
    <cellStyle name="Normal 30 2 2 2" xfId="23763" xr:uid="{00000000-0005-0000-0000-0000AA570000}"/>
    <cellStyle name="Normal 30 2 3" xfId="10481" xr:uid="{00000000-0005-0000-0000-0000AB570000}"/>
    <cellStyle name="Normal 30 2 3 2" xfId="21769" xr:uid="{00000000-0005-0000-0000-0000AC570000}"/>
    <cellStyle name="Normal 30 2 4" xfId="8487" xr:uid="{00000000-0005-0000-0000-0000AD570000}"/>
    <cellStyle name="Normal 30 2 4 2" xfId="19775" xr:uid="{00000000-0005-0000-0000-0000AE570000}"/>
    <cellStyle name="Normal 30 2 5" xfId="6493" xr:uid="{00000000-0005-0000-0000-0000AF570000}"/>
    <cellStyle name="Normal 30 2 5 2" xfId="17781" xr:uid="{00000000-0005-0000-0000-0000B0570000}"/>
    <cellStyle name="Normal 30 2 6" xfId="15787" xr:uid="{00000000-0005-0000-0000-0000B1570000}"/>
    <cellStyle name="Normal 30 2 7" xfId="29086" xr:uid="{00000000-0005-0000-0000-0000B2570000}"/>
    <cellStyle name="Normal 30 3" xfId="11478" xr:uid="{00000000-0005-0000-0000-0000B3570000}"/>
    <cellStyle name="Normal 30 3 2" xfId="22766" xr:uid="{00000000-0005-0000-0000-0000B4570000}"/>
    <cellStyle name="Normal 30 4" xfId="9484" xr:uid="{00000000-0005-0000-0000-0000B5570000}"/>
    <cellStyle name="Normal 30 4 2" xfId="20772" xr:uid="{00000000-0005-0000-0000-0000B6570000}"/>
    <cellStyle name="Normal 30 5" xfId="7490" xr:uid="{00000000-0005-0000-0000-0000B7570000}"/>
    <cellStyle name="Normal 30 5 2" xfId="18778" xr:uid="{00000000-0005-0000-0000-0000B8570000}"/>
    <cellStyle name="Normal 30 6" xfId="5496" xr:uid="{00000000-0005-0000-0000-0000B9570000}"/>
    <cellStyle name="Normal 30 6 2" xfId="16784" xr:uid="{00000000-0005-0000-0000-0000BA570000}"/>
    <cellStyle name="Normal 30 7" xfId="3261" xr:uid="{00000000-0005-0000-0000-0000BB570000}"/>
    <cellStyle name="Normal 30 7 2" xfId="14790" xr:uid="{00000000-0005-0000-0000-0000BC570000}"/>
    <cellStyle name="Normal 30 8" xfId="13833" xr:uid="{00000000-0005-0000-0000-0000BD570000}"/>
    <cellStyle name="Normal 30 8 2" xfId="26680" xr:uid="{00000000-0005-0000-0000-0000BE570000}"/>
    <cellStyle name="Normal 30 9" xfId="13474" xr:uid="{00000000-0005-0000-0000-0000BF570000}"/>
    <cellStyle name="Normal 31" xfId="3262" xr:uid="{00000000-0005-0000-0000-0000C0570000}"/>
    <cellStyle name="Normal 31 2" xfId="4497" xr:uid="{00000000-0005-0000-0000-0000C1570000}"/>
    <cellStyle name="Normal 31 2 2" xfId="12476" xr:uid="{00000000-0005-0000-0000-0000C2570000}"/>
    <cellStyle name="Normal 31 2 2 2" xfId="23764" xr:uid="{00000000-0005-0000-0000-0000C3570000}"/>
    <cellStyle name="Normal 31 2 3" xfId="10482" xr:uid="{00000000-0005-0000-0000-0000C4570000}"/>
    <cellStyle name="Normal 31 2 3 2" xfId="21770" xr:uid="{00000000-0005-0000-0000-0000C5570000}"/>
    <cellStyle name="Normal 31 2 4" xfId="8488" xr:uid="{00000000-0005-0000-0000-0000C6570000}"/>
    <cellStyle name="Normal 31 2 4 2" xfId="19776" xr:uid="{00000000-0005-0000-0000-0000C7570000}"/>
    <cellStyle name="Normal 31 2 5" xfId="6494" xr:uid="{00000000-0005-0000-0000-0000C8570000}"/>
    <cellStyle name="Normal 31 2 5 2" xfId="17782" xr:uid="{00000000-0005-0000-0000-0000C9570000}"/>
    <cellStyle name="Normal 31 2 6" xfId="15788" xr:uid="{00000000-0005-0000-0000-0000CA570000}"/>
    <cellStyle name="Normal 31 2 7" xfId="29087" xr:uid="{00000000-0005-0000-0000-0000CB570000}"/>
    <cellStyle name="Normal 31 3" xfId="11479" xr:uid="{00000000-0005-0000-0000-0000CC570000}"/>
    <cellStyle name="Normal 31 3 2" xfId="22767" xr:uid="{00000000-0005-0000-0000-0000CD570000}"/>
    <cellStyle name="Normal 31 4" xfId="9485" xr:uid="{00000000-0005-0000-0000-0000CE570000}"/>
    <cellStyle name="Normal 31 4 2" xfId="20773" xr:uid="{00000000-0005-0000-0000-0000CF570000}"/>
    <cellStyle name="Normal 31 5" xfId="7491" xr:uid="{00000000-0005-0000-0000-0000D0570000}"/>
    <cellStyle name="Normal 31 5 2" xfId="18779" xr:uid="{00000000-0005-0000-0000-0000D1570000}"/>
    <cellStyle name="Normal 31 6" xfId="5497" xr:uid="{00000000-0005-0000-0000-0000D2570000}"/>
    <cellStyle name="Normal 31 6 2" xfId="16785" xr:uid="{00000000-0005-0000-0000-0000D3570000}"/>
    <cellStyle name="Normal 31 7" xfId="14791" xr:uid="{00000000-0005-0000-0000-0000D4570000}"/>
    <cellStyle name="Normal 31 8" xfId="13475" xr:uid="{00000000-0005-0000-0000-0000D5570000}"/>
    <cellStyle name="Normal 31 9" xfId="24471" xr:uid="{00000000-0005-0000-0000-0000D6570000}"/>
    <cellStyle name="Normal 31 9 2" xfId="27169" xr:uid="{00000000-0005-0000-0000-0000D7570000}"/>
    <cellStyle name="Normal 32" xfId="3263" xr:uid="{00000000-0005-0000-0000-0000D8570000}"/>
    <cellStyle name="Normal 32 2" xfId="4498" xr:uid="{00000000-0005-0000-0000-0000D9570000}"/>
    <cellStyle name="Normal 32 2 2" xfId="12477" xr:uid="{00000000-0005-0000-0000-0000DA570000}"/>
    <cellStyle name="Normal 32 2 2 2" xfId="23765" xr:uid="{00000000-0005-0000-0000-0000DB570000}"/>
    <cellStyle name="Normal 32 2 3" xfId="10483" xr:uid="{00000000-0005-0000-0000-0000DC570000}"/>
    <cellStyle name="Normal 32 2 3 2" xfId="21771" xr:uid="{00000000-0005-0000-0000-0000DD570000}"/>
    <cellStyle name="Normal 32 2 4" xfId="8489" xr:uid="{00000000-0005-0000-0000-0000DE570000}"/>
    <cellStyle name="Normal 32 2 4 2" xfId="19777" xr:uid="{00000000-0005-0000-0000-0000DF570000}"/>
    <cellStyle name="Normal 32 2 5" xfId="6495" xr:uid="{00000000-0005-0000-0000-0000E0570000}"/>
    <cellStyle name="Normal 32 2 5 2" xfId="17783" xr:uid="{00000000-0005-0000-0000-0000E1570000}"/>
    <cellStyle name="Normal 32 2 6" xfId="15789" xr:uid="{00000000-0005-0000-0000-0000E2570000}"/>
    <cellStyle name="Normal 32 2 7" xfId="29088" xr:uid="{00000000-0005-0000-0000-0000E3570000}"/>
    <cellStyle name="Normal 32 3" xfId="11480" xr:uid="{00000000-0005-0000-0000-0000E4570000}"/>
    <cellStyle name="Normal 32 3 2" xfId="22768" xr:uid="{00000000-0005-0000-0000-0000E5570000}"/>
    <cellStyle name="Normal 32 4" xfId="9486" xr:uid="{00000000-0005-0000-0000-0000E6570000}"/>
    <cellStyle name="Normal 32 4 2" xfId="20774" xr:uid="{00000000-0005-0000-0000-0000E7570000}"/>
    <cellStyle name="Normal 32 5" xfId="7492" xr:uid="{00000000-0005-0000-0000-0000E8570000}"/>
    <cellStyle name="Normal 32 5 2" xfId="18780" xr:uid="{00000000-0005-0000-0000-0000E9570000}"/>
    <cellStyle name="Normal 32 6" xfId="5498" xr:uid="{00000000-0005-0000-0000-0000EA570000}"/>
    <cellStyle name="Normal 32 6 2" xfId="16786" xr:uid="{00000000-0005-0000-0000-0000EB570000}"/>
    <cellStyle name="Normal 32 7" xfId="14792" xr:uid="{00000000-0005-0000-0000-0000EC570000}"/>
    <cellStyle name="Normal 32 8" xfId="13476" xr:uid="{00000000-0005-0000-0000-0000ED570000}"/>
    <cellStyle name="Normal 32 9" xfId="24392" xr:uid="{00000000-0005-0000-0000-0000EE570000}"/>
    <cellStyle name="Normal 32 9 2" xfId="27150" xr:uid="{00000000-0005-0000-0000-0000EF570000}"/>
    <cellStyle name="Normal 33" xfId="3264" xr:uid="{00000000-0005-0000-0000-0000F0570000}"/>
    <cellStyle name="Normal 33 2" xfId="4499" xr:uid="{00000000-0005-0000-0000-0000F1570000}"/>
    <cellStyle name="Normal 33 2 2" xfId="12478" xr:uid="{00000000-0005-0000-0000-0000F2570000}"/>
    <cellStyle name="Normal 33 2 2 2" xfId="23766" xr:uid="{00000000-0005-0000-0000-0000F3570000}"/>
    <cellStyle name="Normal 33 2 3" xfId="10484" xr:uid="{00000000-0005-0000-0000-0000F4570000}"/>
    <cellStyle name="Normal 33 2 3 2" xfId="21772" xr:uid="{00000000-0005-0000-0000-0000F5570000}"/>
    <cellStyle name="Normal 33 2 4" xfId="8490" xr:uid="{00000000-0005-0000-0000-0000F6570000}"/>
    <cellStyle name="Normal 33 2 4 2" xfId="19778" xr:uid="{00000000-0005-0000-0000-0000F7570000}"/>
    <cellStyle name="Normal 33 2 5" xfId="6496" xr:uid="{00000000-0005-0000-0000-0000F8570000}"/>
    <cellStyle name="Normal 33 2 5 2" xfId="17784" xr:uid="{00000000-0005-0000-0000-0000F9570000}"/>
    <cellStyle name="Normal 33 2 6" xfId="15790" xr:uid="{00000000-0005-0000-0000-0000FA570000}"/>
    <cellStyle name="Normal 33 2 7" xfId="29089" xr:uid="{00000000-0005-0000-0000-0000FB570000}"/>
    <cellStyle name="Normal 33 3" xfId="11481" xr:uid="{00000000-0005-0000-0000-0000FC570000}"/>
    <cellStyle name="Normal 33 3 2" xfId="22769" xr:uid="{00000000-0005-0000-0000-0000FD570000}"/>
    <cellStyle name="Normal 33 4" xfId="9487" xr:uid="{00000000-0005-0000-0000-0000FE570000}"/>
    <cellStyle name="Normal 33 4 2" xfId="20775" xr:uid="{00000000-0005-0000-0000-0000FF570000}"/>
    <cellStyle name="Normal 33 5" xfId="7493" xr:uid="{00000000-0005-0000-0000-000000580000}"/>
    <cellStyle name="Normal 33 5 2" xfId="18781" xr:uid="{00000000-0005-0000-0000-000001580000}"/>
    <cellStyle name="Normal 33 6" xfId="5499" xr:uid="{00000000-0005-0000-0000-000002580000}"/>
    <cellStyle name="Normal 33 6 2" xfId="16787" xr:uid="{00000000-0005-0000-0000-000003580000}"/>
    <cellStyle name="Normal 33 7" xfId="14793" xr:uid="{00000000-0005-0000-0000-000004580000}"/>
    <cellStyle name="Normal 33 8" xfId="13477" xr:uid="{00000000-0005-0000-0000-000005580000}"/>
    <cellStyle name="Normal 33 9" xfId="24487" xr:uid="{00000000-0005-0000-0000-000006580000}"/>
    <cellStyle name="Normal 33 9 2" xfId="27177" xr:uid="{00000000-0005-0000-0000-000007580000}"/>
    <cellStyle name="Normal 34" xfId="3265" xr:uid="{00000000-0005-0000-0000-000008580000}"/>
    <cellStyle name="Normal 34 2" xfId="4500" xr:uid="{00000000-0005-0000-0000-000009580000}"/>
    <cellStyle name="Normal 34 2 2" xfId="12479" xr:uid="{00000000-0005-0000-0000-00000A580000}"/>
    <cellStyle name="Normal 34 2 2 2" xfId="23767" xr:uid="{00000000-0005-0000-0000-00000B580000}"/>
    <cellStyle name="Normal 34 2 3" xfId="10485" xr:uid="{00000000-0005-0000-0000-00000C580000}"/>
    <cellStyle name="Normal 34 2 3 2" xfId="21773" xr:uid="{00000000-0005-0000-0000-00000D580000}"/>
    <cellStyle name="Normal 34 2 4" xfId="8491" xr:uid="{00000000-0005-0000-0000-00000E580000}"/>
    <cellStyle name="Normal 34 2 4 2" xfId="19779" xr:uid="{00000000-0005-0000-0000-00000F580000}"/>
    <cellStyle name="Normal 34 2 5" xfId="6497" xr:uid="{00000000-0005-0000-0000-000010580000}"/>
    <cellStyle name="Normal 34 2 5 2" xfId="17785" xr:uid="{00000000-0005-0000-0000-000011580000}"/>
    <cellStyle name="Normal 34 2 6" xfId="15791" xr:uid="{00000000-0005-0000-0000-000012580000}"/>
    <cellStyle name="Normal 34 2 7" xfId="29090" xr:uid="{00000000-0005-0000-0000-000013580000}"/>
    <cellStyle name="Normal 34 3" xfId="11482" xr:uid="{00000000-0005-0000-0000-000014580000}"/>
    <cellStyle name="Normal 34 3 2" xfId="22770" xr:uid="{00000000-0005-0000-0000-000015580000}"/>
    <cellStyle name="Normal 34 4" xfId="9488" xr:uid="{00000000-0005-0000-0000-000016580000}"/>
    <cellStyle name="Normal 34 4 2" xfId="20776" xr:uid="{00000000-0005-0000-0000-000017580000}"/>
    <cellStyle name="Normal 34 5" xfId="7494" xr:uid="{00000000-0005-0000-0000-000018580000}"/>
    <cellStyle name="Normal 34 5 2" xfId="18782" xr:uid="{00000000-0005-0000-0000-000019580000}"/>
    <cellStyle name="Normal 34 6" xfId="5500" xr:uid="{00000000-0005-0000-0000-00001A580000}"/>
    <cellStyle name="Normal 34 6 2" xfId="16788" xr:uid="{00000000-0005-0000-0000-00001B580000}"/>
    <cellStyle name="Normal 34 7" xfId="14794" xr:uid="{00000000-0005-0000-0000-00001C580000}"/>
    <cellStyle name="Normal 34 8" xfId="13478" xr:uid="{00000000-0005-0000-0000-00001D580000}"/>
    <cellStyle name="Normal 34 9" xfId="24470" xr:uid="{00000000-0005-0000-0000-00001E580000}"/>
    <cellStyle name="Normal 34 9 2" xfId="27168" xr:uid="{00000000-0005-0000-0000-00001F580000}"/>
    <cellStyle name="Normal 35" xfId="3266" xr:uid="{00000000-0005-0000-0000-000020580000}"/>
    <cellStyle name="Normal 35 2" xfId="4501" xr:uid="{00000000-0005-0000-0000-000021580000}"/>
    <cellStyle name="Normal 35 2 2" xfId="12480" xr:uid="{00000000-0005-0000-0000-000022580000}"/>
    <cellStyle name="Normal 35 2 2 2" xfId="23768" xr:uid="{00000000-0005-0000-0000-000023580000}"/>
    <cellStyle name="Normal 35 2 3" xfId="10486" xr:uid="{00000000-0005-0000-0000-000024580000}"/>
    <cellStyle name="Normal 35 2 3 2" xfId="21774" xr:uid="{00000000-0005-0000-0000-000025580000}"/>
    <cellStyle name="Normal 35 2 4" xfId="8492" xr:uid="{00000000-0005-0000-0000-000026580000}"/>
    <cellStyle name="Normal 35 2 4 2" xfId="19780" xr:uid="{00000000-0005-0000-0000-000027580000}"/>
    <cellStyle name="Normal 35 2 5" xfId="6498" xr:uid="{00000000-0005-0000-0000-000028580000}"/>
    <cellStyle name="Normal 35 2 5 2" xfId="17786" xr:uid="{00000000-0005-0000-0000-000029580000}"/>
    <cellStyle name="Normal 35 2 6" xfId="15792" xr:uid="{00000000-0005-0000-0000-00002A580000}"/>
    <cellStyle name="Normal 35 2 7" xfId="29091" xr:uid="{00000000-0005-0000-0000-00002B580000}"/>
    <cellStyle name="Normal 35 3" xfId="11483" xr:uid="{00000000-0005-0000-0000-00002C580000}"/>
    <cellStyle name="Normal 35 3 2" xfId="22771" xr:uid="{00000000-0005-0000-0000-00002D580000}"/>
    <cellStyle name="Normal 35 4" xfId="9489" xr:uid="{00000000-0005-0000-0000-00002E580000}"/>
    <cellStyle name="Normal 35 4 2" xfId="20777" xr:uid="{00000000-0005-0000-0000-00002F580000}"/>
    <cellStyle name="Normal 35 5" xfId="7495" xr:uid="{00000000-0005-0000-0000-000030580000}"/>
    <cellStyle name="Normal 35 5 2" xfId="18783" xr:uid="{00000000-0005-0000-0000-000031580000}"/>
    <cellStyle name="Normal 35 6" xfId="5501" xr:uid="{00000000-0005-0000-0000-000032580000}"/>
    <cellStyle name="Normal 35 6 2" xfId="16789" xr:uid="{00000000-0005-0000-0000-000033580000}"/>
    <cellStyle name="Normal 35 7" xfId="14795" xr:uid="{00000000-0005-0000-0000-000034580000}"/>
    <cellStyle name="Normal 35 8" xfId="13479" xr:uid="{00000000-0005-0000-0000-000035580000}"/>
    <cellStyle name="Normal 35 9" xfId="24501" xr:uid="{00000000-0005-0000-0000-000036580000}"/>
    <cellStyle name="Normal 35 9 2" xfId="27189" xr:uid="{00000000-0005-0000-0000-000037580000}"/>
    <cellStyle name="Normal 36" xfId="3267" xr:uid="{00000000-0005-0000-0000-000038580000}"/>
    <cellStyle name="Normal 36 10" xfId="28795" xr:uid="{00000000-0005-0000-0000-000039580000}"/>
    <cellStyle name="Normal 36 2" xfId="4502" xr:uid="{00000000-0005-0000-0000-00003A580000}"/>
    <cellStyle name="Normal 36 2 2" xfId="12481" xr:uid="{00000000-0005-0000-0000-00003B580000}"/>
    <cellStyle name="Normal 36 2 2 2" xfId="23769" xr:uid="{00000000-0005-0000-0000-00003C580000}"/>
    <cellStyle name="Normal 36 2 3" xfId="10487" xr:uid="{00000000-0005-0000-0000-00003D580000}"/>
    <cellStyle name="Normal 36 2 3 2" xfId="21775" xr:uid="{00000000-0005-0000-0000-00003E580000}"/>
    <cellStyle name="Normal 36 2 4" xfId="8493" xr:uid="{00000000-0005-0000-0000-00003F580000}"/>
    <cellStyle name="Normal 36 2 4 2" xfId="19781" xr:uid="{00000000-0005-0000-0000-000040580000}"/>
    <cellStyle name="Normal 36 2 5" xfId="6499" xr:uid="{00000000-0005-0000-0000-000041580000}"/>
    <cellStyle name="Normal 36 2 5 2" xfId="17787" xr:uid="{00000000-0005-0000-0000-000042580000}"/>
    <cellStyle name="Normal 36 2 6" xfId="15793" xr:uid="{00000000-0005-0000-0000-000043580000}"/>
    <cellStyle name="Normal 36 3" xfId="11484" xr:uid="{00000000-0005-0000-0000-000044580000}"/>
    <cellStyle name="Normal 36 3 2" xfId="22772" xr:uid="{00000000-0005-0000-0000-000045580000}"/>
    <cellStyle name="Normal 36 4" xfId="9490" xr:uid="{00000000-0005-0000-0000-000046580000}"/>
    <cellStyle name="Normal 36 4 2" xfId="20778" xr:uid="{00000000-0005-0000-0000-000047580000}"/>
    <cellStyle name="Normal 36 5" xfId="7496" xr:uid="{00000000-0005-0000-0000-000048580000}"/>
    <cellStyle name="Normal 36 5 2" xfId="18784" xr:uid="{00000000-0005-0000-0000-000049580000}"/>
    <cellStyle name="Normal 36 6" xfId="5502" xr:uid="{00000000-0005-0000-0000-00004A580000}"/>
    <cellStyle name="Normal 36 6 2" xfId="16790" xr:uid="{00000000-0005-0000-0000-00004B580000}"/>
    <cellStyle name="Normal 36 7" xfId="14796" xr:uid="{00000000-0005-0000-0000-00004C580000}"/>
    <cellStyle name="Normal 36 8" xfId="13480" xr:uid="{00000000-0005-0000-0000-00004D580000}"/>
    <cellStyle name="Normal 36 9" xfId="24485" xr:uid="{00000000-0005-0000-0000-00004E580000}"/>
    <cellStyle name="Normal 36 9 2" xfId="27176" xr:uid="{00000000-0005-0000-0000-00004F580000}"/>
    <cellStyle name="Normal 37" xfId="3268" xr:uid="{00000000-0005-0000-0000-000050580000}"/>
    <cellStyle name="Normal 37 2" xfId="4503" xr:uid="{00000000-0005-0000-0000-000051580000}"/>
    <cellStyle name="Normal 37 2 2" xfId="12482" xr:uid="{00000000-0005-0000-0000-000052580000}"/>
    <cellStyle name="Normal 37 2 2 2" xfId="23770" xr:uid="{00000000-0005-0000-0000-000053580000}"/>
    <cellStyle name="Normal 37 2 3" xfId="10488" xr:uid="{00000000-0005-0000-0000-000054580000}"/>
    <cellStyle name="Normal 37 2 3 2" xfId="21776" xr:uid="{00000000-0005-0000-0000-000055580000}"/>
    <cellStyle name="Normal 37 2 4" xfId="8494" xr:uid="{00000000-0005-0000-0000-000056580000}"/>
    <cellStyle name="Normal 37 2 4 2" xfId="19782" xr:uid="{00000000-0005-0000-0000-000057580000}"/>
    <cellStyle name="Normal 37 2 5" xfId="6500" xr:uid="{00000000-0005-0000-0000-000058580000}"/>
    <cellStyle name="Normal 37 2 5 2" xfId="17788" xr:uid="{00000000-0005-0000-0000-000059580000}"/>
    <cellStyle name="Normal 37 2 6" xfId="15794" xr:uid="{00000000-0005-0000-0000-00005A580000}"/>
    <cellStyle name="Normal 37 3" xfId="11485" xr:uid="{00000000-0005-0000-0000-00005B580000}"/>
    <cellStyle name="Normal 37 3 2" xfId="22773" xr:uid="{00000000-0005-0000-0000-00005C580000}"/>
    <cellStyle name="Normal 37 4" xfId="9491" xr:uid="{00000000-0005-0000-0000-00005D580000}"/>
    <cellStyle name="Normal 37 4 2" xfId="20779" xr:uid="{00000000-0005-0000-0000-00005E580000}"/>
    <cellStyle name="Normal 37 5" xfId="7497" xr:uid="{00000000-0005-0000-0000-00005F580000}"/>
    <cellStyle name="Normal 37 5 2" xfId="18785" xr:uid="{00000000-0005-0000-0000-000060580000}"/>
    <cellStyle name="Normal 37 6" xfId="5503" xr:uid="{00000000-0005-0000-0000-000061580000}"/>
    <cellStyle name="Normal 37 6 2" xfId="16791" xr:uid="{00000000-0005-0000-0000-000062580000}"/>
    <cellStyle name="Normal 37 7" xfId="14797" xr:uid="{00000000-0005-0000-0000-000063580000}"/>
    <cellStyle name="Normal 37 8" xfId="13481" xr:uid="{00000000-0005-0000-0000-000064580000}"/>
    <cellStyle name="Normal 37 9" xfId="24498" xr:uid="{00000000-0005-0000-0000-000065580000}"/>
    <cellStyle name="Normal 37 9 2" xfId="27187" xr:uid="{00000000-0005-0000-0000-000066580000}"/>
    <cellStyle name="Normal 38" xfId="3269" xr:uid="{00000000-0005-0000-0000-000067580000}"/>
    <cellStyle name="Normal 38 2" xfId="4504" xr:uid="{00000000-0005-0000-0000-000068580000}"/>
    <cellStyle name="Normal 38 2 2" xfId="12483" xr:uid="{00000000-0005-0000-0000-000069580000}"/>
    <cellStyle name="Normal 38 2 2 2" xfId="23771" xr:uid="{00000000-0005-0000-0000-00006A580000}"/>
    <cellStyle name="Normal 38 2 3" xfId="10489" xr:uid="{00000000-0005-0000-0000-00006B580000}"/>
    <cellStyle name="Normal 38 2 3 2" xfId="21777" xr:uid="{00000000-0005-0000-0000-00006C580000}"/>
    <cellStyle name="Normal 38 2 4" xfId="8495" xr:uid="{00000000-0005-0000-0000-00006D580000}"/>
    <cellStyle name="Normal 38 2 4 2" xfId="19783" xr:uid="{00000000-0005-0000-0000-00006E580000}"/>
    <cellStyle name="Normal 38 2 5" xfId="6501" xr:uid="{00000000-0005-0000-0000-00006F580000}"/>
    <cellStyle name="Normal 38 2 5 2" xfId="17789" xr:uid="{00000000-0005-0000-0000-000070580000}"/>
    <cellStyle name="Normal 38 2 6" xfId="15795" xr:uid="{00000000-0005-0000-0000-000071580000}"/>
    <cellStyle name="Normal 38 3" xfId="11486" xr:uid="{00000000-0005-0000-0000-000072580000}"/>
    <cellStyle name="Normal 38 3 2" xfId="22774" xr:uid="{00000000-0005-0000-0000-000073580000}"/>
    <cellStyle name="Normal 38 4" xfId="9492" xr:uid="{00000000-0005-0000-0000-000074580000}"/>
    <cellStyle name="Normal 38 4 2" xfId="20780" xr:uid="{00000000-0005-0000-0000-000075580000}"/>
    <cellStyle name="Normal 38 5" xfId="7498" xr:uid="{00000000-0005-0000-0000-000076580000}"/>
    <cellStyle name="Normal 38 5 2" xfId="18786" xr:uid="{00000000-0005-0000-0000-000077580000}"/>
    <cellStyle name="Normal 38 6" xfId="5504" xr:uid="{00000000-0005-0000-0000-000078580000}"/>
    <cellStyle name="Normal 38 6 2" xfId="16792" xr:uid="{00000000-0005-0000-0000-000079580000}"/>
    <cellStyle name="Normal 38 7" xfId="14798" xr:uid="{00000000-0005-0000-0000-00007A580000}"/>
    <cellStyle name="Normal 38 8" xfId="13482" xr:uid="{00000000-0005-0000-0000-00007B580000}"/>
    <cellStyle name="Normal 38 9" xfId="24459" xr:uid="{00000000-0005-0000-0000-00007C580000}"/>
    <cellStyle name="Normal 38 9 2" xfId="27165" xr:uid="{00000000-0005-0000-0000-00007D580000}"/>
    <cellStyle name="Normal 39" xfId="3270" xr:uid="{00000000-0005-0000-0000-00007E580000}"/>
    <cellStyle name="Normal 39 2" xfId="4505" xr:uid="{00000000-0005-0000-0000-00007F580000}"/>
    <cellStyle name="Normal 39 2 2" xfId="12484" xr:uid="{00000000-0005-0000-0000-000080580000}"/>
    <cellStyle name="Normal 39 2 2 2" xfId="23772" xr:uid="{00000000-0005-0000-0000-000081580000}"/>
    <cellStyle name="Normal 39 2 3" xfId="10490" xr:uid="{00000000-0005-0000-0000-000082580000}"/>
    <cellStyle name="Normal 39 2 3 2" xfId="21778" xr:uid="{00000000-0005-0000-0000-000083580000}"/>
    <cellStyle name="Normal 39 2 4" xfId="8496" xr:uid="{00000000-0005-0000-0000-000084580000}"/>
    <cellStyle name="Normal 39 2 4 2" xfId="19784" xr:uid="{00000000-0005-0000-0000-000085580000}"/>
    <cellStyle name="Normal 39 2 5" xfId="6502" xr:uid="{00000000-0005-0000-0000-000086580000}"/>
    <cellStyle name="Normal 39 2 5 2" xfId="17790" xr:uid="{00000000-0005-0000-0000-000087580000}"/>
    <cellStyle name="Normal 39 2 6" xfId="15796" xr:uid="{00000000-0005-0000-0000-000088580000}"/>
    <cellStyle name="Normal 39 3" xfId="11487" xr:uid="{00000000-0005-0000-0000-000089580000}"/>
    <cellStyle name="Normal 39 3 2" xfId="22775" xr:uid="{00000000-0005-0000-0000-00008A580000}"/>
    <cellStyle name="Normal 39 4" xfId="9493" xr:uid="{00000000-0005-0000-0000-00008B580000}"/>
    <cellStyle name="Normal 39 4 2" xfId="20781" xr:uid="{00000000-0005-0000-0000-00008C580000}"/>
    <cellStyle name="Normal 39 5" xfId="7499" xr:uid="{00000000-0005-0000-0000-00008D580000}"/>
    <cellStyle name="Normal 39 5 2" xfId="18787" xr:uid="{00000000-0005-0000-0000-00008E580000}"/>
    <cellStyle name="Normal 39 6" xfId="5505" xr:uid="{00000000-0005-0000-0000-00008F580000}"/>
    <cellStyle name="Normal 39 6 2" xfId="16793" xr:uid="{00000000-0005-0000-0000-000090580000}"/>
    <cellStyle name="Normal 39 7" xfId="14799" xr:uid="{00000000-0005-0000-0000-000091580000}"/>
    <cellStyle name="Normal 39 8" xfId="13483" xr:uid="{00000000-0005-0000-0000-000092580000}"/>
    <cellStyle name="Normal 39 9" xfId="24494" xr:uid="{00000000-0005-0000-0000-000093580000}"/>
    <cellStyle name="Normal 39 9 2" xfId="27183" xr:uid="{00000000-0005-0000-0000-000094580000}"/>
    <cellStyle name="Normal 4" xfId="55" xr:uid="{00000000-0005-0000-0000-000095580000}"/>
    <cellStyle name="Normal 4 10" xfId="24146" xr:uid="{00000000-0005-0000-0000-000096580000}"/>
    <cellStyle name="Normal 4 10 2" xfId="29092" xr:uid="{00000000-0005-0000-0000-000097580000}"/>
    <cellStyle name="Normal 4 10 3" xfId="28796" xr:uid="{00000000-0005-0000-0000-000098580000}"/>
    <cellStyle name="Normal 4 11" xfId="24717" xr:uid="{00000000-0005-0000-0000-000099580000}"/>
    <cellStyle name="Normal 4 11 2" xfId="29093" xr:uid="{00000000-0005-0000-0000-00009A580000}"/>
    <cellStyle name="Normal 4 11 3" xfId="28797" xr:uid="{00000000-0005-0000-0000-00009B580000}"/>
    <cellStyle name="Normal 4 12" xfId="25033" xr:uid="{00000000-0005-0000-0000-00009C580000}"/>
    <cellStyle name="Normal 4 12 2" xfId="29094" xr:uid="{00000000-0005-0000-0000-00009D580000}"/>
    <cellStyle name="Normal 4 12 3" xfId="28798" xr:uid="{00000000-0005-0000-0000-00009E580000}"/>
    <cellStyle name="Normal 4 13" xfId="25772" xr:uid="{00000000-0005-0000-0000-00009F580000}"/>
    <cellStyle name="Normal 4 13 2" xfId="29095" xr:uid="{00000000-0005-0000-0000-0000A0580000}"/>
    <cellStyle name="Normal 4 14" xfId="29164" xr:uid="{00000000-0005-0000-0000-0000A1580000}"/>
    <cellStyle name="Normal 4 2" xfId="164" xr:uid="{00000000-0005-0000-0000-0000A2580000}"/>
    <cellStyle name="Normal 4 2 10" xfId="25786" xr:uid="{00000000-0005-0000-0000-0000A3580000}"/>
    <cellStyle name="Normal 4 2 2" xfId="420" xr:uid="{00000000-0005-0000-0000-0000A4580000}"/>
    <cellStyle name="Normal 4 2 2 2" xfId="12485" xr:uid="{00000000-0005-0000-0000-0000A5580000}"/>
    <cellStyle name="Normal 4 2 2 2 2" xfId="23773" xr:uid="{00000000-0005-0000-0000-0000A6580000}"/>
    <cellStyle name="Normal 4 2 2 2 3" xfId="24422" xr:uid="{00000000-0005-0000-0000-0000A7580000}"/>
    <cellStyle name="Normal 4 2 2 2 4" xfId="24866" xr:uid="{00000000-0005-0000-0000-0000A8580000}"/>
    <cellStyle name="Normal 4 2 2 2 5" xfId="25229" xr:uid="{00000000-0005-0000-0000-0000A9580000}"/>
    <cellStyle name="Normal 4 2 2 3" xfId="24148" xr:uid="{00000000-0005-0000-0000-0000AA580000}"/>
    <cellStyle name="Normal 4 2 2 4" xfId="24719" xr:uid="{00000000-0005-0000-0000-0000AB580000}"/>
    <cellStyle name="Normal 4 2 2 5" xfId="25035" xr:uid="{00000000-0005-0000-0000-0000AC580000}"/>
    <cellStyle name="Normal 4 2 2 6" xfId="26013" xr:uid="{00000000-0005-0000-0000-0000AD580000}"/>
    <cellStyle name="Normal 4 2 2 6 2" xfId="29096" xr:uid="{00000000-0005-0000-0000-0000AE580000}"/>
    <cellStyle name="Normal 4 2 3" xfId="387" xr:uid="{00000000-0005-0000-0000-0000AF580000}"/>
    <cellStyle name="Normal 4 2 3 2" xfId="503" xr:uid="{00000000-0005-0000-0000-0000B0580000}"/>
    <cellStyle name="Normal 4 2 3 2 2" xfId="13866" xr:uid="{00000000-0005-0000-0000-0000B1580000}"/>
    <cellStyle name="Normal 4 2 3 3" xfId="10491" xr:uid="{00000000-0005-0000-0000-0000B2580000}"/>
    <cellStyle name="Normal 4 2 3 3 2" xfId="21779" xr:uid="{00000000-0005-0000-0000-0000B3580000}"/>
    <cellStyle name="Normal 4 2 3 4" xfId="13783" xr:uid="{00000000-0005-0000-0000-0000B4580000}"/>
    <cellStyle name="Normal 4 2 3 5" xfId="24421" xr:uid="{00000000-0005-0000-0000-0000B5580000}"/>
    <cellStyle name="Normal 4 2 3 6" xfId="24865" xr:uid="{00000000-0005-0000-0000-0000B6580000}"/>
    <cellStyle name="Normal 4 2 3 7" xfId="25228" xr:uid="{00000000-0005-0000-0000-0000B7580000}"/>
    <cellStyle name="Normal 4 2 4" xfId="8497" xr:uid="{00000000-0005-0000-0000-0000B8580000}"/>
    <cellStyle name="Normal 4 2 4 2" xfId="19785" xr:uid="{00000000-0005-0000-0000-0000B9580000}"/>
    <cellStyle name="Normal 4 2 5" xfId="6503" xr:uid="{00000000-0005-0000-0000-0000BA580000}"/>
    <cellStyle name="Normal 4 2 5 2" xfId="17791" xr:uid="{00000000-0005-0000-0000-0000BB580000}"/>
    <cellStyle name="Normal 4 2 6" xfId="4506" xr:uid="{00000000-0005-0000-0000-0000BC580000}"/>
    <cellStyle name="Normal 4 2 6 2" xfId="15797" xr:uid="{00000000-0005-0000-0000-0000BD580000}"/>
    <cellStyle name="Normal 4 2 7" xfId="24147" xr:uid="{00000000-0005-0000-0000-0000BE580000}"/>
    <cellStyle name="Normal 4 2 8" xfId="24718" xr:uid="{00000000-0005-0000-0000-0000BF580000}"/>
    <cellStyle name="Normal 4 2 9" xfId="25034" xr:uid="{00000000-0005-0000-0000-0000C0580000}"/>
    <cellStyle name="Normal 4 3" xfId="170" xr:uid="{00000000-0005-0000-0000-0000C1580000}"/>
    <cellStyle name="Normal 4 3 10" xfId="28799" xr:uid="{00000000-0005-0000-0000-0000C2580000}"/>
    <cellStyle name="Normal 4 3 2" xfId="361" xr:uid="{00000000-0005-0000-0000-0000C3580000}"/>
    <cellStyle name="Normal 4 3 2 2" xfId="443" xr:uid="{00000000-0005-0000-0000-0000C4580000}"/>
    <cellStyle name="Normal 4 3 2 2 2" xfId="529" xr:uid="{00000000-0005-0000-0000-0000C5580000}"/>
    <cellStyle name="Normal 4 3 2 2 2 2" xfId="13892" xr:uid="{00000000-0005-0000-0000-0000C6580000}"/>
    <cellStyle name="Normal 4 3 2 2 3" xfId="13815" xr:uid="{00000000-0005-0000-0000-0000C7580000}"/>
    <cellStyle name="Normal 4 3 2 2 4" xfId="24424" xr:uid="{00000000-0005-0000-0000-0000C8580000}"/>
    <cellStyle name="Normal 4 3 2 2 5" xfId="24868" xr:uid="{00000000-0005-0000-0000-0000C9580000}"/>
    <cellStyle name="Normal 4 3 2 2 6" xfId="25231" xr:uid="{00000000-0005-0000-0000-0000CA580000}"/>
    <cellStyle name="Normal 4 3 2 3" xfId="492" xr:uid="{00000000-0005-0000-0000-0000CB580000}"/>
    <cellStyle name="Normal 4 3 2 3 2" xfId="13855" xr:uid="{00000000-0005-0000-0000-0000CC580000}"/>
    <cellStyle name="Normal 4 3 2 4" xfId="13771" xr:uid="{00000000-0005-0000-0000-0000CD580000}"/>
    <cellStyle name="Normal 4 3 2 5" xfId="24150" xr:uid="{00000000-0005-0000-0000-0000CE580000}"/>
    <cellStyle name="Normal 4 3 2 6" xfId="24721" xr:uid="{00000000-0005-0000-0000-0000CF580000}"/>
    <cellStyle name="Normal 4 3 2 7" xfId="25037" xr:uid="{00000000-0005-0000-0000-0000D0580000}"/>
    <cellStyle name="Normal 4 3 2 8" xfId="29097" xr:uid="{00000000-0005-0000-0000-0000D1580000}"/>
    <cellStyle name="Normal 4 3 3" xfId="423" xr:uid="{00000000-0005-0000-0000-0000D2580000}"/>
    <cellStyle name="Normal 4 3 3 2" xfId="514" xr:uid="{00000000-0005-0000-0000-0000D3580000}"/>
    <cellStyle name="Normal 4 3 3 2 2" xfId="13877" xr:uid="{00000000-0005-0000-0000-0000D4580000}"/>
    <cellStyle name="Normal 4 3 3 3" xfId="13800" xr:uid="{00000000-0005-0000-0000-0000D5580000}"/>
    <cellStyle name="Normal 4 3 3 4" xfId="24423" xr:uid="{00000000-0005-0000-0000-0000D6580000}"/>
    <cellStyle name="Normal 4 3 3 5" xfId="24867" xr:uid="{00000000-0005-0000-0000-0000D7580000}"/>
    <cellStyle name="Normal 4 3 3 6" xfId="25230" xr:uid="{00000000-0005-0000-0000-0000D8580000}"/>
    <cellStyle name="Normal 4 3 4" xfId="477" xr:uid="{00000000-0005-0000-0000-0000D9580000}"/>
    <cellStyle name="Normal 4 3 4 2" xfId="13840" xr:uid="{00000000-0005-0000-0000-0000DA580000}"/>
    <cellStyle name="Normal 4 3 5" xfId="11488" xr:uid="{00000000-0005-0000-0000-0000DB580000}"/>
    <cellStyle name="Normal 4 3 5 2" xfId="22776" xr:uid="{00000000-0005-0000-0000-0000DC580000}"/>
    <cellStyle name="Normal 4 3 6" xfId="13685" xr:uid="{00000000-0005-0000-0000-0000DD580000}"/>
    <cellStyle name="Normal 4 3 7" xfId="24149" xr:uid="{00000000-0005-0000-0000-0000DE580000}"/>
    <cellStyle name="Normal 4 3 8" xfId="24720" xr:uid="{00000000-0005-0000-0000-0000DF580000}"/>
    <cellStyle name="Normal 4 3 9" xfId="25036" xr:uid="{00000000-0005-0000-0000-0000E0580000}"/>
    <cellStyle name="Normal 4 4" xfId="356" xr:uid="{00000000-0005-0000-0000-0000E1580000}"/>
    <cellStyle name="Normal 4 4 2" xfId="439" xr:uid="{00000000-0005-0000-0000-0000E2580000}"/>
    <cellStyle name="Normal 4 4 2 2" xfId="525" xr:uid="{00000000-0005-0000-0000-0000E3580000}"/>
    <cellStyle name="Normal 4 4 2 2 2" xfId="13888" xr:uid="{00000000-0005-0000-0000-0000E4580000}"/>
    <cellStyle name="Normal 4 4 2 3" xfId="13811" xr:uid="{00000000-0005-0000-0000-0000E5580000}"/>
    <cellStyle name="Normal 4 4 2 4" xfId="29098" xr:uid="{00000000-0005-0000-0000-0000E6580000}"/>
    <cellStyle name="Normal 4 4 3" xfId="488" xr:uid="{00000000-0005-0000-0000-0000E7580000}"/>
    <cellStyle name="Normal 4 4 3 2" xfId="13851" xr:uid="{00000000-0005-0000-0000-0000E8580000}"/>
    <cellStyle name="Normal 4 4 4" xfId="9494" xr:uid="{00000000-0005-0000-0000-0000E9580000}"/>
    <cellStyle name="Normal 4 4 4 2" xfId="20782" xr:uid="{00000000-0005-0000-0000-0000EA580000}"/>
    <cellStyle name="Normal 4 4 5" xfId="13766" xr:uid="{00000000-0005-0000-0000-0000EB580000}"/>
    <cellStyle name="Normal 4 4 6" xfId="24151" xr:uid="{00000000-0005-0000-0000-0000EC580000}"/>
    <cellStyle name="Normal 4 4 6 2" xfId="27080" xr:uid="{00000000-0005-0000-0000-0000ED580000}"/>
    <cellStyle name="Normal 4 5" xfId="473" xr:uid="{00000000-0005-0000-0000-0000EE580000}"/>
    <cellStyle name="Normal 4 5 2" xfId="7500" xr:uid="{00000000-0005-0000-0000-0000EF580000}"/>
    <cellStyle name="Normal 4 5 2 2" xfId="18788" xr:uid="{00000000-0005-0000-0000-0000F0580000}"/>
    <cellStyle name="Normal 4 5 2 3" xfId="29099" xr:uid="{00000000-0005-0000-0000-0000F1580000}"/>
    <cellStyle name="Normal 4 5 3" xfId="13836" xr:uid="{00000000-0005-0000-0000-0000F2580000}"/>
    <cellStyle name="Normal 4 5 4" xfId="24152" xr:uid="{00000000-0005-0000-0000-0000F3580000}"/>
    <cellStyle name="Normal 4 5 4 2" xfId="27081" xr:uid="{00000000-0005-0000-0000-0000F4580000}"/>
    <cellStyle name="Normal 4 6" xfId="659" xr:uid="{00000000-0005-0000-0000-0000F5580000}"/>
    <cellStyle name="Normal 4 6 2" xfId="5506" xr:uid="{00000000-0005-0000-0000-0000F6580000}"/>
    <cellStyle name="Normal 4 6 2 2" xfId="16794" xr:uid="{00000000-0005-0000-0000-0000F7580000}"/>
    <cellStyle name="Normal 4 6 2 3" xfId="24425" xr:uid="{00000000-0005-0000-0000-0000F8580000}"/>
    <cellStyle name="Normal 4 6 2 4" xfId="24869" xr:uid="{00000000-0005-0000-0000-0000F9580000}"/>
    <cellStyle name="Normal 4 6 2 5" xfId="25232" xr:uid="{00000000-0005-0000-0000-0000FA580000}"/>
    <cellStyle name="Normal 4 6 2 6" xfId="29100" xr:uid="{00000000-0005-0000-0000-0000FB580000}"/>
    <cellStyle name="Normal 4 6 3" xfId="13912" xr:uid="{00000000-0005-0000-0000-0000FC580000}"/>
    <cellStyle name="Normal 4 6 4" xfId="24153" xr:uid="{00000000-0005-0000-0000-0000FD580000}"/>
    <cellStyle name="Normal 4 6 5" xfId="24722" xr:uid="{00000000-0005-0000-0000-0000FE580000}"/>
    <cellStyle name="Normal 4 6 6" xfId="25038" xr:uid="{00000000-0005-0000-0000-0000FF580000}"/>
    <cellStyle name="Normal 4 6 7" xfId="28800" xr:uid="{00000000-0005-0000-0000-000000590000}"/>
    <cellStyle name="Normal 4 7" xfId="3271" xr:uid="{00000000-0005-0000-0000-000001590000}"/>
    <cellStyle name="Normal 4 7 2" xfId="14800" xr:uid="{00000000-0005-0000-0000-000002590000}"/>
    <cellStyle name="Normal 4 7 2 2" xfId="29101" xr:uid="{00000000-0005-0000-0000-000003590000}"/>
    <cellStyle name="Normal 4 7 3" xfId="24420" xr:uid="{00000000-0005-0000-0000-000004590000}"/>
    <cellStyle name="Normal 4 7 4" xfId="24864" xr:uid="{00000000-0005-0000-0000-000005590000}"/>
    <cellStyle name="Normal 4 7 5" xfId="25227" xr:uid="{00000000-0005-0000-0000-000006590000}"/>
    <cellStyle name="Normal 4 7 6" xfId="28801" xr:uid="{00000000-0005-0000-0000-000007590000}"/>
    <cellStyle name="Normal 4 8" xfId="13613" xr:uid="{00000000-0005-0000-0000-000008590000}"/>
    <cellStyle name="Normal 4 8 2" xfId="29102" xr:uid="{00000000-0005-0000-0000-000009590000}"/>
    <cellStyle name="Normal 4 8 3" xfId="28802" xr:uid="{00000000-0005-0000-0000-00000A590000}"/>
    <cellStyle name="Normal 4 9" xfId="13484" xr:uid="{00000000-0005-0000-0000-00000B590000}"/>
    <cellStyle name="Normal 4 9 2" xfId="29103" xr:uid="{00000000-0005-0000-0000-00000C590000}"/>
    <cellStyle name="Normal 4 9 3" xfId="28803" xr:uid="{00000000-0005-0000-0000-00000D590000}"/>
    <cellStyle name="Normal 40" xfId="3272" xr:uid="{00000000-0005-0000-0000-00000E590000}"/>
    <cellStyle name="Normal 40 10" xfId="24479" xr:uid="{00000000-0005-0000-0000-00000F590000}"/>
    <cellStyle name="Normal 40 10 2" xfId="27174" xr:uid="{00000000-0005-0000-0000-000010590000}"/>
    <cellStyle name="Normal 40 2" xfId="3273" xr:uid="{00000000-0005-0000-0000-000011590000}"/>
    <cellStyle name="Normal 40 2 2" xfId="4508" xr:uid="{00000000-0005-0000-0000-000012590000}"/>
    <cellStyle name="Normal 40 2 2 2" xfId="12487" xr:uid="{00000000-0005-0000-0000-000013590000}"/>
    <cellStyle name="Normal 40 2 2 2 2" xfId="23775" xr:uid="{00000000-0005-0000-0000-000014590000}"/>
    <cellStyle name="Normal 40 2 2 3" xfId="10493" xr:uid="{00000000-0005-0000-0000-000015590000}"/>
    <cellStyle name="Normal 40 2 2 3 2" xfId="21781" xr:uid="{00000000-0005-0000-0000-000016590000}"/>
    <cellStyle name="Normal 40 2 2 4" xfId="8499" xr:uid="{00000000-0005-0000-0000-000017590000}"/>
    <cellStyle name="Normal 40 2 2 4 2" xfId="19787" xr:uid="{00000000-0005-0000-0000-000018590000}"/>
    <cellStyle name="Normal 40 2 2 5" xfId="6505" xr:uid="{00000000-0005-0000-0000-000019590000}"/>
    <cellStyle name="Normal 40 2 2 5 2" xfId="17793" xr:uid="{00000000-0005-0000-0000-00001A590000}"/>
    <cellStyle name="Normal 40 2 2 6" xfId="15799" xr:uid="{00000000-0005-0000-0000-00001B590000}"/>
    <cellStyle name="Normal 40 2 3" xfId="11490" xr:uid="{00000000-0005-0000-0000-00001C590000}"/>
    <cellStyle name="Normal 40 2 3 2" xfId="22778" xr:uid="{00000000-0005-0000-0000-00001D590000}"/>
    <cellStyle name="Normal 40 2 4" xfId="9496" xr:uid="{00000000-0005-0000-0000-00001E590000}"/>
    <cellStyle name="Normal 40 2 4 2" xfId="20784" xr:uid="{00000000-0005-0000-0000-00001F590000}"/>
    <cellStyle name="Normal 40 2 5" xfId="7502" xr:uid="{00000000-0005-0000-0000-000020590000}"/>
    <cellStyle name="Normal 40 2 5 2" xfId="18790" xr:uid="{00000000-0005-0000-0000-000021590000}"/>
    <cellStyle name="Normal 40 2 6" xfId="5508" xr:uid="{00000000-0005-0000-0000-000022590000}"/>
    <cellStyle name="Normal 40 2 6 2" xfId="16796" xr:uid="{00000000-0005-0000-0000-000023590000}"/>
    <cellStyle name="Normal 40 2 7" xfId="14802" xr:uid="{00000000-0005-0000-0000-000024590000}"/>
    <cellStyle name="Normal 40 2 8" xfId="13486" xr:uid="{00000000-0005-0000-0000-000025590000}"/>
    <cellStyle name="Normal 40 3" xfId="4507" xr:uid="{00000000-0005-0000-0000-000026590000}"/>
    <cellStyle name="Normal 40 3 2" xfId="12486" xr:uid="{00000000-0005-0000-0000-000027590000}"/>
    <cellStyle name="Normal 40 3 2 2" xfId="23774" xr:uid="{00000000-0005-0000-0000-000028590000}"/>
    <cellStyle name="Normal 40 3 3" xfId="10492" xr:uid="{00000000-0005-0000-0000-000029590000}"/>
    <cellStyle name="Normal 40 3 3 2" xfId="21780" xr:uid="{00000000-0005-0000-0000-00002A590000}"/>
    <cellStyle name="Normal 40 3 4" xfId="8498" xr:uid="{00000000-0005-0000-0000-00002B590000}"/>
    <cellStyle name="Normal 40 3 4 2" xfId="19786" xr:uid="{00000000-0005-0000-0000-00002C590000}"/>
    <cellStyle name="Normal 40 3 5" xfId="6504" xr:uid="{00000000-0005-0000-0000-00002D590000}"/>
    <cellStyle name="Normal 40 3 5 2" xfId="17792" xr:uid="{00000000-0005-0000-0000-00002E590000}"/>
    <cellStyle name="Normal 40 3 6" xfId="15798" xr:uid="{00000000-0005-0000-0000-00002F590000}"/>
    <cellStyle name="Normal 40 4" xfId="11489" xr:uid="{00000000-0005-0000-0000-000030590000}"/>
    <cellStyle name="Normal 40 4 2" xfId="22777" xr:uid="{00000000-0005-0000-0000-000031590000}"/>
    <cellStyle name="Normal 40 5" xfId="9495" xr:uid="{00000000-0005-0000-0000-000032590000}"/>
    <cellStyle name="Normal 40 5 2" xfId="20783" xr:uid="{00000000-0005-0000-0000-000033590000}"/>
    <cellStyle name="Normal 40 6" xfId="7501" xr:uid="{00000000-0005-0000-0000-000034590000}"/>
    <cellStyle name="Normal 40 6 2" xfId="18789" xr:uid="{00000000-0005-0000-0000-000035590000}"/>
    <cellStyle name="Normal 40 7" xfId="5507" xr:uid="{00000000-0005-0000-0000-000036590000}"/>
    <cellStyle name="Normal 40 7 2" xfId="16795" xr:uid="{00000000-0005-0000-0000-000037590000}"/>
    <cellStyle name="Normal 40 8" xfId="14801" xr:uid="{00000000-0005-0000-0000-000038590000}"/>
    <cellStyle name="Normal 40 9" xfId="13485" xr:uid="{00000000-0005-0000-0000-000039590000}"/>
    <cellStyle name="Normal 41" xfId="3274" xr:uid="{00000000-0005-0000-0000-00003A590000}"/>
    <cellStyle name="Normal 41 2" xfId="4509" xr:uid="{00000000-0005-0000-0000-00003B590000}"/>
    <cellStyle name="Normal 41 2 2" xfId="12488" xr:uid="{00000000-0005-0000-0000-00003C590000}"/>
    <cellStyle name="Normal 41 2 2 2" xfId="23776" xr:uid="{00000000-0005-0000-0000-00003D590000}"/>
    <cellStyle name="Normal 41 2 3" xfId="10494" xr:uid="{00000000-0005-0000-0000-00003E590000}"/>
    <cellStyle name="Normal 41 2 3 2" xfId="21782" xr:uid="{00000000-0005-0000-0000-00003F590000}"/>
    <cellStyle name="Normal 41 2 4" xfId="8500" xr:uid="{00000000-0005-0000-0000-000040590000}"/>
    <cellStyle name="Normal 41 2 4 2" xfId="19788" xr:uid="{00000000-0005-0000-0000-000041590000}"/>
    <cellStyle name="Normal 41 2 5" xfId="6506" xr:uid="{00000000-0005-0000-0000-000042590000}"/>
    <cellStyle name="Normal 41 2 5 2" xfId="17794" xr:uid="{00000000-0005-0000-0000-000043590000}"/>
    <cellStyle name="Normal 41 2 6" xfId="15800" xr:uid="{00000000-0005-0000-0000-000044590000}"/>
    <cellStyle name="Normal 41 3" xfId="11491" xr:uid="{00000000-0005-0000-0000-000045590000}"/>
    <cellStyle name="Normal 41 3 2" xfId="22779" xr:uid="{00000000-0005-0000-0000-000046590000}"/>
    <cellStyle name="Normal 41 4" xfId="9497" xr:uid="{00000000-0005-0000-0000-000047590000}"/>
    <cellStyle name="Normal 41 4 2" xfId="20785" xr:uid="{00000000-0005-0000-0000-000048590000}"/>
    <cellStyle name="Normal 41 5" xfId="7503" xr:uid="{00000000-0005-0000-0000-000049590000}"/>
    <cellStyle name="Normal 41 5 2" xfId="18791" xr:uid="{00000000-0005-0000-0000-00004A590000}"/>
    <cellStyle name="Normal 41 6" xfId="5509" xr:uid="{00000000-0005-0000-0000-00004B590000}"/>
    <cellStyle name="Normal 41 6 2" xfId="16797" xr:uid="{00000000-0005-0000-0000-00004C590000}"/>
    <cellStyle name="Normal 41 7" xfId="14803" xr:uid="{00000000-0005-0000-0000-00004D590000}"/>
    <cellStyle name="Normal 41 8" xfId="13487" xr:uid="{00000000-0005-0000-0000-00004E590000}"/>
    <cellStyle name="Normal 41 9" xfId="24490" xr:uid="{00000000-0005-0000-0000-00004F590000}"/>
    <cellStyle name="Normal 41 9 2" xfId="27180" xr:uid="{00000000-0005-0000-0000-000050590000}"/>
    <cellStyle name="Normal 42" xfId="3275" xr:uid="{00000000-0005-0000-0000-000051590000}"/>
    <cellStyle name="Normal 42 2" xfId="4510" xr:uid="{00000000-0005-0000-0000-000052590000}"/>
    <cellStyle name="Normal 42 2 2" xfId="12489" xr:uid="{00000000-0005-0000-0000-000053590000}"/>
    <cellStyle name="Normal 42 2 2 2" xfId="23777" xr:uid="{00000000-0005-0000-0000-000054590000}"/>
    <cellStyle name="Normal 42 2 3" xfId="10495" xr:uid="{00000000-0005-0000-0000-000055590000}"/>
    <cellStyle name="Normal 42 2 3 2" xfId="21783" xr:uid="{00000000-0005-0000-0000-000056590000}"/>
    <cellStyle name="Normal 42 2 4" xfId="8501" xr:uid="{00000000-0005-0000-0000-000057590000}"/>
    <cellStyle name="Normal 42 2 4 2" xfId="19789" xr:uid="{00000000-0005-0000-0000-000058590000}"/>
    <cellStyle name="Normal 42 2 5" xfId="6507" xr:uid="{00000000-0005-0000-0000-000059590000}"/>
    <cellStyle name="Normal 42 2 5 2" xfId="17795" xr:uid="{00000000-0005-0000-0000-00005A590000}"/>
    <cellStyle name="Normal 42 2 6" xfId="15801" xr:uid="{00000000-0005-0000-0000-00005B590000}"/>
    <cellStyle name="Normal 42 3" xfId="11492" xr:uid="{00000000-0005-0000-0000-00005C590000}"/>
    <cellStyle name="Normal 42 3 2" xfId="22780" xr:uid="{00000000-0005-0000-0000-00005D590000}"/>
    <cellStyle name="Normal 42 4" xfId="9498" xr:uid="{00000000-0005-0000-0000-00005E590000}"/>
    <cellStyle name="Normal 42 4 2" xfId="20786" xr:uid="{00000000-0005-0000-0000-00005F590000}"/>
    <cellStyle name="Normal 42 5" xfId="7504" xr:uid="{00000000-0005-0000-0000-000060590000}"/>
    <cellStyle name="Normal 42 5 2" xfId="18792" xr:uid="{00000000-0005-0000-0000-000061590000}"/>
    <cellStyle name="Normal 42 6" xfId="5510" xr:uid="{00000000-0005-0000-0000-000062590000}"/>
    <cellStyle name="Normal 42 6 2" xfId="16798" xr:uid="{00000000-0005-0000-0000-000063590000}"/>
    <cellStyle name="Normal 42 7" xfId="14804" xr:uid="{00000000-0005-0000-0000-000064590000}"/>
    <cellStyle name="Normal 42 8" xfId="13488" xr:uid="{00000000-0005-0000-0000-000065590000}"/>
    <cellStyle name="Normal 42 9" xfId="24506" xr:uid="{00000000-0005-0000-0000-000066590000}"/>
    <cellStyle name="Normal 42 9 2" xfId="27192" xr:uid="{00000000-0005-0000-0000-000067590000}"/>
    <cellStyle name="Normal 43" xfId="3276" xr:uid="{00000000-0005-0000-0000-000068590000}"/>
    <cellStyle name="Normal 43 2" xfId="4511" xr:uid="{00000000-0005-0000-0000-000069590000}"/>
    <cellStyle name="Normal 43 2 2" xfId="12490" xr:uid="{00000000-0005-0000-0000-00006A590000}"/>
    <cellStyle name="Normal 43 2 2 2" xfId="23778" xr:uid="{00000000-0005-0000-0000-00006B590000}"/>
    <cellStyle name="Normal 43 2 3" xfId="10496" xr:uid="{00000000-0005-0000-0000-00006C590000}"/>
    <cellStyle name="Normal 43 2 3 2" xfId="21784" xr:uid="{00000000-0005-0000-0000-00006D590000}"/>
    <cellStyle name="Normal 43 2 4" xfId="8502" xr:uid="{00000000-0005-0000-0000-00006E590000}"/>
    <cellStyle name="Normal 43 2 4 2" xfId="19790" xr:uid="{00000000-0005-0000-0000-00006F590000}"/>
    <cellStyle name="Normal 43 2 5" xfId="6508" xr:uid="{00000000-0005-0000-0000-000070590000}"/>
    <cellStyle name="Normal 43 2 5 2" xfId="17796" xr:uid="{00000000-0005-0000-0000-000071590000}"/>
    <cellStyle name="Normal 43 2 6" xfId="15802" xr:uid="{00000000-0005-0000-0000-000072590000}"/>
    <cellStyle name="Normal 43 3" xfId="11493" xr:uid="{00000000-0005-0000-0000-000073590000}"/>
    <cellStyle name="Normal 43 3 2" xfId="22781" xr:uid="{00000000-0005-0000-0000-000074590000}"/>
    <cellStyle name="Normal 43 4" xfId="9499" xr:uid="{00000000-0005-0000-0000-000075590000}"/>
    <cellStyle name="Normal 43 4 2" xfId="20787" xr:uid="{00000000-0005-0000-0000-000076590000}"/>
    <cellStyle name="Normal 43 5" xfId="7505" xr:uid="{00000000-0005-0000-0000-000077590000}"/>
    <cellStyle name="Normal 43 5 2" xfId="18793" xr:uid="{00000000-0005-0000-0000-000078590000}"/>
    <cellStyle name="Normal 43 6" xfId="5511" xr:uid="{00000000-0005-0000-0000-000079590000}"/>
    <cellStyle name="Normal 43 6 2" xfId="16799" xr:uid="{00000000-0005-0000-0000-00007A590000}"/>
    <cellStyle name="Normal 43 7" xfId="14805" xr:uid="{00000000-0005-0000-0000-00007B590000}"/>
    <cellStyle name="Normal 43 8" xfId="13489" xr:uid="{00000000-0005-0000-0000-00007C590000}"/>
    <cellStyle name="Normal 43 9" xfId="24511" xr:uid="{00000000-0005-0000-0000-00007D590000}"/>
    <cellStyle name="Normal 43 9 2" xfId="27197" xr:uid="{00000000-0005-0000-0000-00007E590000}"/>
    <cellStyle name="Normal 44" xfId="3277" xr:uid="{00000000-0005-0000-0000-00007F590000}"/>
    <cellStyle name="Normal 44 2" xfId="4512" xr:uid="{00000000-0005-0000-0000-000080590000}"/>
    <cellStyle name="Normal 44 2 2" xfId="12491" xr:uid="{00000000-0005-0000-0000-000081590000}"/>
    <cellStyle name="Normal 44 2 2 2" xfId="23779" xr:uid="{00000000-0005-0000-0000-000082590000}"/>
    <cellStyle name="Normal 44 2 3" xfId="10497" xr:uid="{00000000-0005-0000-0000-000083590000}"/>
    <cellStyle name="Normal 44 2 3 2" xfId="21785" xr:uid="{00000000-0005-0000-0000-000084590000}"/>
    <cellStyle name="Normal 44 2 4" xfId="8503" xr:uid="{00000000-0005-0000-0000-000085590000}"/>
    <cellStyle name="Normal 44 2 4 2" xfId="19791" xr:uid="{00000000-0005-0000-0000-000086590000}"/>
    <cellStyle name="Normal 44 2 5" xfId="6509" xr:uid="{00000000-0005-0000-0000-000087590000}"/>
    <cellStyle name="Normal 44 2 5 2" xfId="17797" xr:uid="{00000000-0005-0000-0000-000088590000}"/>
    <cellStyle name="Normal 44 2 6" xfId="15803" xr:uid="{00000000-0005-0000-0000-000089590000}"/>
    <cellStyle name="Normal 44 3" xfId="11494" xr:uid="{00000000-0005-0000-0000-00008A590000}"/>
    <cellStyle name="Normal 44 3 2" xfId="22782" xr:uid="{00000000-0005-0000-0000-00008B590000}"/>
    <cellStyle name="Normal 44 4" xfId="9500" xr:uid="{00000000-0005-0000-0000-00008C590000}"/>
    <cellStyle name="Normal 44 4 2" xfId="20788" xr:uid="{00000000-0005-0000-0000-00008D590000}"/>
    <cellStyle name="Normal 44 5" xfId="7506" xr:uid="{00000000-0005-0000-0000-00008E590000}"/>
    <cellStyle name="Normal 44 5 2" xfId="18794" xr:uid="{00000000-0005-0000-0000-00008F590000}"/>
    <cellStyle name="Normal 44 6" xfId="5512" xr:uid="{00000000-0005-0000-0000-000090590000}"/>
    <cellStyle name="Normal 44 6 2" xfId="16800" xr:uid="{00000000-0005-0000-0000-000091590000}"/>
    <cellStyle name="Normal 44 7" xfId="14806" xr:uid="{00000000-0005-0000-0000-000092590000}"/>
    <cellStyle name="Normal 44 8" xfId="13490" xr:uid="{00000000-0005-0000-0000-000093590000}"/>
    <cellStyle name="Normal 45" xfId="3278" xr:uid="{00000000-0005-0000-0000-000094590000}"/>
    <cellStyle name="Normal 45 2" xfId="4513" xr:uid="{00000000-0005-0000-0000-000095590000}"/>
    <cellStyle name="Normal 45 2 2" xfId="12492" xr:uid="{00000000-0005-0000-0000-000096590000}"/>
    <cellStyle name="Normal 45 2 2 2" xfId="23780" xr:uid="{00000000-0005-0000-0000-000097590000}"/>
    <cellStyle name="Normal 45 2 3" xfId="10498" xr:uid="{00000000-0005-0000-0000-000098590000}"/>
    <cellStyle name="Normal 45 2 3 2" xfId="21786" xr:uid="{00000000-0005-0000-0000-000099590000}"/>
    <cellStyle name="Normal 45 2 4" xfId="8504" xr:uid="{00000000-0005-0000-0000-00009A590000}"/>
    <cellStyle name="Normal 45 2 4 2" xfId="19792" xr:uid="{00000000-0005-0000-0000-00009B590000}"/>
    <cellStyle name="Normal 45 2 5" xfId="6510" xr:uid="{00000000-0005-0000-0000-00009C590000}"/>
    <cellStyle name="Normal 45 2 5 2" xfId="17798" xr:uid="{00000000-0005-0000-0000-00009D590000}"/>
    <cellStyle name="Normal 45 2 6" xfId="15804" xr:uid="{00000000-0005-0000-0000-00009E590000}"/>
    <cellStyle name="Normal 45 3" xfId="11495" xr:uid="{00000000-0005-0000-0000-00009F590000}"/>
    <cellStyle name="Normal 45 3 2" xfId="22783" xr:uid="{00000000-0005-0000-0000-0000A0590000}"/>
    <cellStyle name="Normal 45 4" xfId="9501" xr:uid="{00000000-0005-0000-0000-0000A1590000}"/>
    <cellStyle name="Normal 45 4 2" xfId="20789" xr:uid="{00000000-0005-0000-0000-0000A2590000}"/>
    <cellStyle name="Normal 45 5" xfId="7507" xr:uid="{00000000-0005-0000-0000-0000A3590000}"/>
    <cellStyle name="Normal 45 5 2" xfId="18795" xr:uid="{00000000-0005-0000-0000-0000A4590000}"/>
    <cellStyle name="Normal 45 6" xfId="5513" xr:uid="{00000000-0005-0000-0000-0000A5590000}"/>
    <cellStyle name="Normal 45 6 2" xfId="16801" xr:uid="{00000000-0005-0000-0000-0000A6590000}"/>
    <cellStyle name="Normal 45 7" xfId="14807" xr:uid="{00000000-0005-0000-0000-0000A7590000}"/>
    <cellStyle name="Normal 45 8" xfId="13491" xr:uid="{00000000-0005-0000-0000-0000A8590000}"/>
    <cellStyle name="Normal 46" xfId="3279" xr:uid="{00000000-0005-0000-0000-0000A9590000}"/>
    <cellStyle name="Normal 46 2" xfId="4514" xr:uid="{00000000-0005-0000-0000-0000AA590000}"/>
    <cellStyle name="Normal 46 2 2" xfId="12493" xr:uid="{00000000-0005-0000-0000-0000AB590000}"/>
    <cellStyle name="Normal 46 2 2 2" xfId="23781" xr:uid="{00000000-0005-0000-0000-0000AC590000}"/>
    <cellStyle name="Normal 46 2 3" xfId="10499" xr:uid="{00000000-0005-0000-0000-0000AD590000}"/>
    <cellStyle name="Normal 46 2 3 2" xfId="21787" xr:uid="{00000000-0005-0000-0000-0000AE590000}"/>
    <cellStyle name="Normal 46 2 4" xfId="8505" xr:uid="{00000000-0005-0000-0000-0000AF590000}"/>
    <cellStyle name="Normal 46 2 4 2" xfId="19793" xr:uid="{00000000-0005-0000-0000-0000B0590000}"/>
    <cellStyle name="Normal 46 2 5" xfId="6511" xr:uid="{00000000-0005-0000-0000-0000B1590000}"/>
    <cellStyle name="Normal 46 2 5 2" xfId="17799" xr:uid="{00000000-0005-0000-0000-0000B2590000}"/>
    <cellStyle name="Normal 46 2 6" xfId="15805" xr:uid="{00000000-0005-0000-0000-0000B3590000}"/>
    <cellStyle name="Normal 46 3" xfId="11496" xr:uid="{00000000-0005-0000-0000-0000B4590000}"/>
    <cellStyle name="Normal 46 3 2" xfId="22784" xr:uid="{00000000-0005-0000-0000-0000B5590000}"/>
    <cellStyle name="Normal 46 4" xfId="9502" xr:uid="{00000000-0005-0000-0000-0000B6590000}"/>
    <cellStyle name="Normal 46 4 2" xfId="20790" xr:uid="{00000000-0005-0000-0000-0000B7590000}"/>
    <cellStyle name="Normal 46 5" xfId="7508" xr:uid="{00000000-0005-0000-0000-0000B8590000}"/>
    <cellStyle name="Normal 46 5 2" xfId="18796" xr:uid="{00000000-0005-0000-0000-0000B9590000}"/>
    <cellStyle name="Normal 46 6" xfId="5514" xr:uid="{00000000-0005-0000-0000-0000BA590000}"/>
    <cellStyle name="Normal 46 6 2" xfId="16802" xr:uid="{00000000-0005-0000-0000-0000BB590000}"/>
    <cellStyle name="Normal 46 7" xfId="14808" xr:uid="{00000000-0005-0000-0000-0000BC590000}"/>
    <cellStyle name="Normal 46 8" xfId="13492" xr:uid="{00000000-0005-0000-0000-0000BD590000}"/>
    <cellStyle name="Normal 47" xfId="3280" xr:uid="{00000000-0005-0000-0000-0000BE590000}"/>
    <cellStyle name="Normal 47 2" xfId="4515" xr:uid="{00000000-0005-0000-0000-0000BF590000}"/>
    <cellStyle name="Normal 47 2 2" xfId="12494" xr:uid="{00000000-0005-0000-0000-0000C0590000}"/>
    <cellStyle name="Normal 47 2 2 2" xfId="23782" xr:uid="{00000000-0005-0000-0000-0000C1590000}"/>
    <cellStyle name="Normal 47 2 3" xfId="10500" xr:uid="{00000000-0005-0000-0000-0000C2590000}"/>
    <cellStyle name="Normal 47 2 3 2" xfId="21788" xr:uid="{00000000-0005-0000-0000-0000C3590000}"/>
    <cellStyle name="Normal 47 2 4" xfId="8506" xr:uid="{00000000-0005-0000-0000-0000C4590000}"/>
    <cellStyle name="Normal 47 2 4 2" xfId="19794" xr:uid="{00000000-0005-0000-0000-0000C5590000}"/>
    <cellStyle name="Normal 47 2 5" xfId="6512" xr:uid="{00000000-0005-0000-0000-0000C6590000}"/>
    <cellStyle name="Normal 47 2 5 2" xfId="17800" xr:uid="{00000000-0005-0000-0000-0000C7590000}"/>
    <cellStyle name="Normal 47 2 6" xfId="15806" xr:uid="{00000000-0005-0000-0000-0000C8590000}"/>
    <cellStyle name="Normal 47 3" xfId="11497" xr:uid="{00000000-0005-0000-0000-0000C9590000}"/>
    <cellStyle name="Normal 47 3 2" xfId="22785" xr:uid="{00000000-0005-0000-0000-0000CA590000}"/>
    <cellStyle name="Normal 47 4" xfId="9503" xr:uid="{00000000-0005-0000-0000-0000CB590000}"/>
    <cellStyle name="Normal 47 4 2" xfId="20791" xr:uid="{00000000-0005-0000-0000-0000CC590000}"/>
    <cellStyle name="Normal 47 5" xfId="7509" xr:uid="{00000000-0005-0000-0000-0000CD590000}"/>
    <cellStyle name="Normal 47 5 2" xfId="18797" xr:uid="{00000000-0005-0000-0000-0000CE590000}"/>
    <cellStyle name="Normal 47 6" xfId="5515" xr:uid="{00000000-0005-0000-0000-0000CF590000}"/>
    <cellStyle name="Normal 47 6 2" xfId="16803" xr:uid="{00000000-0005-0000-0000-0000D0590000}"/>
    <cellStyle name="Normal 47 7" xfId="14809" xr:uid="{00000000-0005-0000-0000-0000D1590000}"/>
    <cellStyle name="Normal 47 8" xfId="13493" xr:uid="{00000000-0005-0000-0000-0000D2590000}"/>
    <cellStyle name="Normal 48" xfId="3281" xr:uid="{00000000-0005-0000-0000-0000D3590000}"/>
    <cellStyle name="Normal 48 2" xfId="4516" xr:uid="{00000000-0005-0000-0000-0000D4590000}"/>
    <cellStyle name="Normal 48 2 2" xfId="12495" xr:uid="{00000000-0005-0000-0000-0000D5590000}"/>
    <cellStyle name="Normal 48 2 2 2" xfId="23783" xr:uid="{00000000-0005-0000-0000-0000D6590000}"/>
    <cellStyle name="Normal 48 2 3" xfId="10501" xr:uid="{00000000-0005-0000-0000-0000D7590000}"/>
    <cellStyle name="Normal 48 2 3 2" xfId="21789" xr:uid="{00000000-0005-0000-0000-0000D8590000}"/>
    <cellStyle name="Normal 48 2 4" xfId="8507" xr:uid="{00000000-0005-0000-0000-0000D9590000}"/>
    <cellStyle name="Normal 48 2 4 2" xfId="19795" xr:uid="{00000000-0005-0000-0000-0000DA590000}"/>
    <cellStyle name="Normal 48 2 5" xfId="6513" xr:uid="{00000000-0005-0000-0000-0000DB590000}"/>
    <cellStyle name="Normal 48 2 5 2" xfId="17801" xr:uid="{00000000-0005-0000-0000-0000DC590000}"/>
    <cellStyle name="Normal 48 2 6" xfId="15807" xr:uid="{00000000-0005-0000-0000-0000DD590000}"/>
    <cellStyle name="Normal 48 3" xfId="11498" xr:uid="{00000000-0005-0000-0000-0000DE590000}"/>
    <cellStyle name="Normal 48 3 2" xfId="22786" xr:uid="{00000000-0005-0000-0000-0000DF590000}"/>
    <cellStyle name="Normal 48 4" xfId="9504" xr:uid="{00000000-0005-0000-0000-0000E0590000}"/>
    <cellStyle name="Normal 48 4 2" xfId="20792" xr:uid="{00000000-0005-0000-0000-0000E1590000}"/>
    <cellStyle name="Normal 48 5" xfId="7510" xr:uid="{00000000-0005-0000-0000-0000E2590000}"/>
    <cellStyle name="Normal 48 5 2" xfId="18798" xr:uid="{00000000-0005-0000-0000-0000E3590000}"/>
    <cellStyle name="Normal 48 6" xfId="5516" xr:uid="{00000000-0005-0000-0000-0000E4590000}"/>
    <cellStyle name="Normal 48 6 2" xfId="16804" xr:uid="{00000000-0005-0000-0000-0000E5590000}"/>
    <cellStyle name="Normal 48 7" xfId="14810" xr:uid="{00000000-0005-0000-0000-0000E6590000}"/>
    <cellStyle name="Normal 48 8" xfId="13494" xr:uid="{00000000-0005-0000-0000-0000E7590000}"/>
    <cellStyle name="Normal 49" xfId="3282" xr:uid="{00000000-0005-0000-0000-0000E8590000}"/>
    <cellStyle name="Normal 49 2" xfId="4517" xr:uid="{00000000-0005-0000-0000-0000E9590000}"/>
    <cellStyle name="Normal 49 2 2" xfId="12496" xr:uid="{00000000-0005-0000-0000-0000EA590000}"/>
    <cellStyle name="Normal 49 2 2 2" xfId="23784" xr:uid="{00000000-0005-0000-0000-0000EB590000}"/>
    <cellStyle name="Normal 49 2 3" xfId="10502" xr:uid="{00000000-0005-0000-0000-0000EC590000}"/>
    <cellStyle name="Normal 49 2 3 2" xfId="21790" xr:uid="{00000000-0005-0000-0000-0000ED590000}"/>
    <cellStyle name="Normal 49 2 4" xfId="8508" xr:uid="{00000000-0005-0000-0000-0000EE590000}"/>
    <cellStyle name="Normal 49 2 4 2" xfId="19796" xr:uid="{00000000-0005-0000-0000-0000EF590000}"/>
    <cellStyle name="Normal 49 2 5" xfId="6514" xr:uid="{00000000-0005-0000-0000-0000F0590000}"/>
    <cellStyle name="Normal 49 2 5 2" xfId="17802" xr:uid="{00000000-0005-0000-0000-0000F1590000}"/>
    <cellStyle name="Normal 49 2 6" xfId="15808" xr:uid="{00000000-0005-0000-0000-0000F2590000}"/>
    <cellStyle name="Normal 49 3" xfId="11499" xr:uid="{00000000-0005-0000-0000-0000F3590000}"/>
    <cellStyle name="Normal 49 3 2" xfId="22787" xr:uid="{00000000-0005-0000-0000-0000F4590000}"/>
    <cellStyle name="Normal 49 4" xfId="9505" xr:uid="{00000000-0005-0000-0000-0000F5590000}"/>
    <cellStyle name="Normal 49 4 2" xfId="20793" xr:uid="{00000000-0005-0000-0000-0000F6590000}"/>
    <cellStyle name="Normal 49 5" xfId="7511" xr:uid="{00000000-0005-0000-0000-0000F7590000}"/>
    <cellStyle name="Normal 49 5 2" xfId="18799" xr:uid="{00000000-0005-0000-0000-0000F8590000}"/>
    <cellStyle name="Normal 49 6" xfId="5517" xr:uid="{00000000-0005-0000-0000-0000F9590000}"/>
    <cellStyle name="Normal 49 6 2" xfId="16805" xr:uid="{00000000-0005-0000-0000-0000FA590000}"/>
    <cellStyle name="Normal 49 7" xfId="14811" xr:uid="{00000000-0005-0000-0000-0000FB590000}"/>
    <cellStyle name="Normal 49 8" xfId="13495" xr:uid="{00000000-0005-0000-0000-0000FC590000}"/>
    <cellStyle name="Normal 5" xfId="56" xr:uid="{00000000-0005-0000-0000-0000FD590000}"/>
    <cellStyle name="Normal 5 10" xfId="13496" xr:uid="{00000000-0005-0000-0000-0000FE590000}"/>
    <cellStyle name="Normal 5 10 2" xfId="29104" xr:uid="{00000000-0005-0000-0000-0000FF590000}"/>
    <cellStyle name="Normal 5 10 3" xfId="28804" xr:uid="{00000000-0005-0000-0000-0000005A0000}"/>
    <cellStyle name="Normal 5 11" xfId="24154" xr:uid="{00000000-0005-0000-0000-0000015A0000}"/>
    <cellStyle name="Normal 5 11 2" xfId="29105" xr:uid="{00000000-0005-0000-0000-0000025A0000}"/>
    <cellStyle name="Normal 5 11 3" xfId="28805" xr:uid="{00000000-0005-0000-0000-0000035A0000}"/>
    <cellStyle name="Normal 5 12" xfId="24723" xr:uid="{00000000-0005-0000-0000-0000045A0000}"/>
    <cellStyle name="Normal 5 12 2" xfId="29106" xr:uid="{00000000-0005-0000-0000-0000055A0000}"/>
    <cellStyle name="Normal 5 12 3" xfId="28806" xr:uid="{00000000-0005-0000-0000-0000065A0000}"/>
    <cellStyle name="Normal 5 13" xfId="25039" xr:uid="{00000000-0005-0000-0000-0000075A0000}"/>
    <cellStyle name="Normal 5 13 2" xfId="29107" xr:uid="{00000000-0005-0000-0000-0000085A0000}"/>
    <cellStyle name="Normal 5 13 3" xfId="28807" xr:uid="{00000000-0005-0000-0000-0000095A0000}"/>
    <cellStyle name="Normal 5 14" xfId="25773" xr:uid="{00000000-0005-0000-0000-00000A5A0000}"/>
    <cellStyle name="Normal 5 15" xfId="29165" xr:uid="{00000000-0005-0000-0000-00000B5A0000}"/>
    <cellStyle name="Normal 5 2" xfId="203" xr:uid="{00000000-0005-0000-0000-00000C5A0000}"/>
    <cellStyle name="Normal 5 2 10" xfId="25787" xr:uid="{00000000-0005-0000-0000-00000D5A0000}"/>
    <cellStyle name="Normal 5 2 2" xfId="661" xr:uid="{00000000-0005-0000-0000-00000E5A0000}"/>
    <cellStyle name="Normal 5 2 2 2" xfId="12497" xr:uid="{00000000-0005-0000-0000-00000F5A0000}"/>
    <cellStyle name="Normal 5 2 2 2 2" xfId="23785" xr:uid="{00000000-0005-0000-0000-0000105A0000}"/>
    <cellStyle name="Normal 5 2 2 2 3" xfId="24428" xr:uid="{00000000-0005-0000-0000-0000115A0000}"/>
    <cellStyle name="Normal 5 2 2 2 4" xfId="24872" xr:uid="{00000000-0005-0000-0000-0000125A0000}"/>
    <cellStyle name="Normal 5 2 2 2 5" xfId="25235" xr:uid="{00000000-0005-0000-0000-0000135A0000}"/>
    <cellStyle name="Normal 5 2 2 3" xfId="24156" xr:uid="{00000000-0005-0000-0000-0000145A0000}"/>
    <cellStyle name="Normal 5 2 2 4" xfId="24725" xr:uid="{00000000-0005-0000-0000-0000155A0000}"/>
    <cellStyle name="Normal 5 2 2 5" xfId="25041" xr:uid="{00000000-0005-0000-0000-0000165A0000}"/>
    <cellStyle name="Normal 5 2 2 6" xfId="29108" xr:uid="{00000000-0005-0000-0000-0000175A0000}"/>
    <cellStyle name="Normal 5 2 3" xfId="10503" xr:uid="{00000000-0005-0000-0000-0000185A0000}"/>
    <cellStyle name="Normal 5 2 3 2" xfId="21791" xr:uid="{00000000-0005-0000-0000-0000195A0000}"/>
    <cellStyle name="Normal 5 2 3 3" xfId="24427" xr:uid="{00000000-0005-0000-0000-00001A5A0000}"/>
    <cellStyle name="Normal 5 2 3 4" xfId="24871" xr:uid="{00000000-0005-0000-0000-00001B5A0000}"/>
    <cellStyle name="Normal 5 2 3 5" xfId="25234" xr:uid="{00000000-0005-0000-0000-00001C5A0000}"/>
    <cellStyle name="Normal 5 2 4" xfId="8509" xr:uid="{00000000-0005-0000-0000-00001D5A0000}"/>
    <cellStyle name="Normal 5 2 4 2" xfId="19797" xr:uid="{00000000-0005-0000-0000-00001E5A0000}"/>
    <cellStyle name="Normal 5 2 5" xfId="6515" xr:uid="{00000000-0005-0000-0000-00001F5A0000}"/>
    <cellStyle name="Normal 5 2 5 2" xfId="17803" xr:uid="{00000000-0005-0000-0000-0000205A0000}"/>
    <cellStyle name="Normal 5 2 6" xfId="4518" xr:uid="{00000000-0005-0000-0000-0000215A0000}"/>
    <cellStyle name="Normal 5 2 6 2" xfId="15809" xr:uid="{00000000-0005-0000-0000-0000225A0000}"/>
    <cellStyle name="Normal 5 2 7" xfId="24155" xr:uid="{00000000-0005-0000-0000-0000235A0000}"/>
    <cellStyle name="Normal 5 2 8" xfId="24724" xr:uid="{00000000-0005-0000-0000-0000245A0000}"/>
    <cellStyle name="Normal 5 2 9" xfId="25040" xr:uid="{00000000-0005-0000-0000-0000255A0000}"/>
    <cellStyle name="Normal 5 3" xfId="357" xr:uid="{00000000-0005-0000-0000-0000265A0000}"/>
    <cellStyle name="Normal 5 3 2" xfId="440" xr:uid="{00000000-0005-0000-0000-0000275A0000}"/>
    <cellStyle name="Normal 5 3 2 2" xfId="526" xr:uid="{00000000-0005-0000-0000-0000285A0000}"/>
    <cellStyle name="Normal 5 3 2 2 2" xfId="13889" xr:uid="{00000000-0005-0000-0000-0000295A0000}"/>
    <cellStyle name="Normal 5 3 2 2 3" xfId="24430" xr:uid="{00000000-0005-0000-0000-00002A5A0000}"/>
    <cellStyle name="Normal 5 3 2 2 4" xfId="24874" xr:uid="{00000000-0005-0000-0000-00002B5A0000}"/>
    <cellStyle name="Normal 5 3 2 2 5" xfId="25237" xr:uid="{00000000-0005-0000-0000-00002C5A0000}"/>
    <cellStyle name="Normal 5 3 2 3" xfId="13812" xr:uid="{00000000-0005-0000-0000-00002D5A0000}"/>
    <cellStyle name="Normal 5 3 2 4" xfId="24158" xr:uid="{00000000-0005-0000-0000-00002E5A0000}"/>
    <cellStyle name="Normal 5 3 2 5" xfId="24727" xr:uid="{00000000-0005-0000-0000-00002F5A0000}"/>
    <cellStyle name="Normal 5 3 2 6" xfId="25043" xr:uid="{00000000-0005-0000-0000-0000305A0000}"/>
    <cellStyle name="Normal 5 3 2 7" xfId="29109" xr:uid="{00000000-0005-0000-0000-0000315A0000}"/>
    <cellStyle name="Normal 5 3 3" xfId="489" xr:uid="{00000000-0005-0000-0000-0000325A0000}"/>
    <cellStyle name="Normal 5 3 3 2" xfId="13852" xr:uid="{00000000-0005-0000-0000-0000335A0000}"/>
    <cellStyle name="Normal 5 3 3 3" xfId="24429" xr:uid="{00000000-0005-0000-0000-0000345A0000}"/>
    <cellStyle name="Normal 5 3 3 4" xfId="24873" xr:uid="{00000000-0005-0000-0000-0000355A0000}"/>
    <cellStyle name="Normal 5 3 3 5" xfId="25236" xr:uid="{00000000-0005-0000-0000-0000365A0000}"/>
    <cellStyle name="Normal 5 3 4" xfId="11500" xr:uid="{00000000-0005-0000-0000-0000375A0000}"/>
    <cellStyle name="Normal 5 3 4 2" xfId="22788" xr:uid="{00000000-0005-0000-0000-0000385A0000}"/>
    <cellStyle name="Normal 5 3 5" xfId="13767" xr:uid="{00000000-0005-0000-0000-0000395A0000}"/>
    <cellStyle name="Normal 5 3 6" xfId="24157" xr:uid="{00000000-0005-0000-0000-00003A5A0000}"/>
    <cellStyle name="Normal 5 3 7" xfId="24726" xr:uid="{00000000-0005-0000-0000-00003B5A0000}"/>
    <cellStyle name="Normal 5 3 8" xfId="25042" xr:uid="{00000000-0005-0000-0000-00003C5A0000}"/>
    <cellStyle name="Normal 5 3 9" xfId="28808" xr:uid="{00000000-0005-0000-0000-00003D5A0000}"/>
    <cellStyle name="Normal 5 4" xfId="408" xr:uid="{00000000-0005-0000-0000-00003E5A0000}"/>
    <cellStyle name="Normal 5 4 2" xfId="508" xr:uid="{00000000-0005-0000-0000-00003F5A0000}"/>
    <cellStyle name="Normal 5 4 2 2" xfId="13871" xr:uid="{00000000-0005-0000-0000-0000405A0000}"/>
    <cellStyle name="Normal 5 4 2 3" xfId="24431" xr:uid="{00000000-0005-0000-0000-0000415A0000}"/>
    <cellStyle name="Normal 5 4 2 4" xfId="24875" xr:uid="{00000000-0005-0000-0000-0000425A0000}"/>
    <cellStyle name="Normal 5 4 2 5" xfId="25238" xr:uid="{00000000-0005-0000-0000-0000435A0000}"/>
    <cellStyle name="Normal 5 4 2 6" xfId="29110" xr:uid="{00000000-0005-0000-0000-0000445A0000}"/>
    <cellStyle name="Normal 5 4 3" xfId="9506" xr:uid="{00000000-0005-0000-0000-0000455A0000}"/>
    <cellStyle name="Normal 5 4 3 2" xfId="20794" xr:uid="{00000000-0005-0000-0000-0000465A0000}"/>
    <cellStyle name="Normal 5 4 4" xfId="13790" xr:uid="{00000000-0005-0000-0000-0000475A0000}"/>
    <cellStyle name="Normal 5 4 5" xfId="24159" xr:uid="{00000000-0005-0000-0000-0000485A0000}"/>
    <cellStyle name="Normal 5 4 6" xfId="24728" xr:uid="{00000000-0005-0000-0000-0000495A0000}"/>
    <cellStyle name="Normal 5 4 7" xfId="25044" xr:uid="{00000000-0005-0000-0000-00004A5A0000}"/>
    <cellStyle name="Normal 5 4 8" xfId="28809" xr:uid="{00000000-0005-0000-0000-00004B5A0000}"/>
    <cellStyle name="Normal 5 5" xfId="392" xr:uid="{00000000-0005-0000-0000-00004C5A0000}"/>
    <cellStyle name="Normal 5 5 2" xfId="7512" xr:uid="{00000000-0005-0000-0000-00004D5A0000}"/>
    <cellStyle name="Normal 5 5 2 2" xfId="18800" xr:uid="{00000000-0005-0000-0000-00004E5A0000}"/>
    <cellStyle name="Normal 5 5 2 3" xfId="29111" xr:uid="{00000000-0005-0000-0000-00004F5A0000}"/>
    <cellStyle name="Normal 5 5 3" xfId="24426" xr:uid="{00000000-0005-0000-0000-0000505A0000}"/>
    <cellStyle name="Normal 5 5 4" xfId="24870" xr:uid="{00000000-0005-0000-0000-0000515A0000}"/>
    <cellStyle name="Normal 5 5 5" xfId="25233" xr:uid="{00000000-0005-0000-0000-0000525A0000}"/>
    <cellStyle name="Normal 5 5 6" xfId="26002" xr:uid="{00000000-0005-0000-0000-0000535A0000}"/>
    <cellStyle name="Normal 5 6" xfId="474" xr:uid="{00000000-0005-0000-0000-0000545A0000}"/>
    <cellStyle name="Normal 5 6 2" xfId="5518" xr:uid="{00000000-0005-0000-0000-0000555A0000}"/>
    <cellStyle name="Normal 5 6 2 2" xfId="16806" xr:uid="{00000000-0005-0000-0000-0000565A0000}"/>
    <cellStyle name="Normal 5 6 2 3" xfId="29112" xr:uid="{00000000-0005-0000-0000-0000575A0000}"/>
    <cellStyle name="Normal 5 6 3" xfId="13837" xr:uid="{00000000-0005-0000-0000-0000585A0000}"/>
    <cellStyle name="Normal 5 6 4" xfId="28810" xr:uid="{00000000-0005-0000-0000-0000595A0000}"/>
    <cellStyle name="Normal 5 7" xfId="660" xr:uid="{00000000-0005-0000-0000-00005A5A0000}"/>
    <cellStyle name="Normal 5 7 2" xfId="13913" xr:uid="{00000000-0005-0000-0000-00005B5A0000}"/>
    <cellStyle name="Normal 5 7 2 2" xfId="29113" xr:uid="{00000000-0005-0000-0000-00005C5A0000}"/>
    <cellStyle name="Normal 5 7 3" xfId="28811" xr:uid="{00000000-0005-0000-0000-00005D5A0000}"/>
    <cellStyle name="Normal 5 8" xfId="3283" xr:uid="{00000000-0005-0000-0000-00005E5A0000}"/>
    <cellStyle name="Normal 5 8 2" xfId="14812" xr:uid="{00000000-0005-0000-0000-00005F5A0000}"/>
    <cellStyle name="Normal 5 8 2 2" xfId="29114" xr:uid="{00000000-0005-0000-0000-0000605A0000}"/>
    <cellStyle name="Normal 5 8 3" xfId="28812" xr:uid="{00000000-0005-0000-0000-0000615A0000}"/>
    <cellStyle name="Normal 5 9" xfId="13614" xr:uid="{00000000-0005-0000-0000-0000625A0000}"/>
    <cellStyle name="Normal 5 9 2" xfId="29115" xr:uid="{00000000-0005-0000-0000-0000635A0000}"/>
    <cellStyle name="Normal 5 9 3" xfId="28813" xr:uid="{00000000-0005-0000-0000-0000645A0000}"/>
    <cellStyle name="Normal 50" xfId="3284" xr:uid="{00000000-0005-0000-0000-0000655A0000}"/>
    <cellStyle name="Normal 50 2" xfId="3285" xr:uid="{00000000-0005-0000-0000-0000665A0000}"/>
    <cellStyle name="Normal 50 2 2" xfId="4520" xr:uid="{00000000-0005-0000-0000-0000675A0000}"/>
    <cellStyle name="Normal 50 2 2 2" xfId="12499" xr:uid="{00000000-0005-0000-0000-0000685A0000}"/>
    <cellStyle name="Normal 50 2 2 2 2" xfId="23787" xr:uid="{00000000-0005-0000-0000-0000695A0000}"/>
    <cellStyle name="Normal 50 2 2 3" xfId="10505" xr:uid="{00000000-0005-0000-0000-00006A5A0000}"/>
    <cellStyle name="Normal 50 2 2 3 2" xfId="21793" xr:uid="{00000000-0005-0000-0000-00006B5A0000}"/>
    <cellStyle name="Normal 50 2 2 4" xfId="8511" xr:uid="{00000000-0005-0000-0000-00006C5A0000}"/>
    <cellStyle name="Normal 50 2 2 4 2" xfId="19799" xr:uid="{00000000-0005-0000-0000-00006D5A0000}"/>
    <cellStyle name="Normal 50 2 2 5" xfId="6517" xr:uid="{00000000-0005-0000-0000-00006E5A0000}"/>
    <cellStyle name="Normal 50 2 2 5 2" xfId="17805" xr:uid="{00000000-0005-0000-0000-00006F5A0000}"/>
    <cellStyle name="Normal 50 2 2 6" xfId="15811" xr:uid="{00000000-0005-0000-0000-0000705A0000}"/>
    <cellStyle name="Normal 50 2 3" xfId="11502" xr:uid="{00000000-0005-0000-0000-0000715A0000}"/>
    <cellStyle name="Normal 50 2 3 2" xfId="22790" xr:uid="{00000000-0005-0000-0000-0000725A0000}"/>
    <cellStyle name="Normal 50 2 4" xfId="9508" xr:uid="{00000000-0005-0000-0000-0000735A0000}"/>
    <cellStyle name="Normal 50 2 4 2" xfId="20796" xr:uid="{00000000-0005-0000-0000-0000745A0000}"/>
    <cellStyle name="Normal 50 2 5" xfId="7514" xr:uid="{00000000-0005-0000-0000-0000755A0000}"/>
    <cellStyle name="Normal 50 2 5 2" xfId="18802" xr:uid="{00000000-0005-0000-0000-0000765A0000}"/>
    <cellStyle name="Normal 50 2 6" xfId="5520" xr:uid="{00000000-0005-0000-0000-0000775A0000}"/>
    <cellStyle name="Normal 50 2 6 2" xfId="16808" xr:uid="{00000000-0005-0000-0000-0000785A0000}"/>
    <cellStyle name="Normal 50 2 7" xfId="14814" xr:uid="{00000000-0005-0000-0000-0000795A0000}"/>
    <cellStyle name="Normal 50 2 8" xfId="13498" xr:uid="{00000000-0005-0000-0000-00007A5A0000}"/>
    <cellStyle name="Normal 50 3" xfId="4519" xr:uid="{00000000-0005-0000-0000-00007B5A0000}"/>
    <cellStyle name="Normal 50 3 2" xfId="12498" xr:uid="{00000000-0005-0000-0000-00007C5A0000}"/>
    <cellStyle name="Normal 50 3 2 2" xfId="23786" xr:uid="{00000000-0005-0000-0000-00007D5A0000}"/>
    <cellStyle name="Normal 50 3 3" xfId="10504" xr:uid="{00000000-0005-0000-0000-00007E5A0000}"/>
    <cellStyle name="Normal 50 3 3 2" xfId="21792" xr:uid="{00000000-0005-0000-0000-00007F5A0000}"/>
    <cellStyle name="Normal 50 3 4" xfId="8510" xr:uid="{00000000-0005-0000-0000-0000805A0000}"/>
    <cellStyle name="Normal 50 3 4 2" xfId="19798" xr:uid="{00000000-0005-0000-0000-0000815A0000}"/>
    <cellStyle name="Normal 50 3 5" xfId="6516" xr:uid="{00000000-0005-0000-0000-0000825A0000}"/>
    <cellStyle name="Normal 50 3 5 2" xfId="17804" xr:uid="{00000000-0005-0000-0000-0000835A0000}"/>
    <cellStyle name="Normal 50 3 6" xfId="15810" xr:uid="{00000000-0005-0000-0000-0000845A0000}"/>
    <cellStyle name="Normal 50 4" xfId="11501" xr:uid="{00000000-0005-0000-0000-0000855A0000}"/>
    <cellStyle name="Normal 50 4 2" xfId="22789" xr:uid="{00000000-0005-0000-0000-0000865A0000}"/>
    <cellStyle name="Normal 50 5" xfId="9507" xr:uid="{00000000-0005-0000-0000-0000875A0000}"/>
    <cellStyle name="Normal 50 5 2" xfId="20795" xr:uid="{00000000-0005-0000-0000-0000885A0000}"/>
    <cellStyle name="Normal 50 6" xfId="7513" xr:uid="{00000000-0005-0000-0000-0000895A0000}"/>
    <cellStyle name="Normal 50 6 2" xfId="18801" xr:uid="{00000000-0005-0000-0000-00008A5A0000}"/>
    <cellStyle name="Normal 50 7" xfId="5519" xr:uid="{00000000-0005-0000-0000-00008B5A0000}"/>
    <cellStyle name="Normal 50 7 2" xfId="16807" xr:uid="{00000000-0005-0000-0000-00008C5A0000}"/>
    <cellStyle name="Normal 50 8" xfId="14813" xr:uid="{00000000-0005-0000-0000-00008D5A0000}"/>
    <cellStyle name="Normal 50 9" xfId="13497" xr:uid="{00000000-0005-0000-0000-00008E5A0000}"/>
    <cellStyle name="Normal 51" xfId="3286" xr:uid="{00000000-0005-0000-0000-00008F5A0000}"/>
    <cellStyle name="Normal 51 2" xfId="4521" xr:uid="{00000000-0005-0000-0000-0000905A0000}"/>
    <cellStyle name="Normal 51 2 2" xfId="12500" xr:uid="{00000000-0005-0000-0000-0000915A0000}"/>
    <cellStyle name="Normal 51 2 2 2" xfId="23788" xr:uid="{00000000-0005-0000-0000-0000925A0000}"/>
    <cellStyle name="Normal 51 2 3" xfId="10506" xr:uid="{00000000-0005-0000-0000-0000935A0000}"/>
    <cellStyle name="Normal 51 2 3 2" xfId="21794" xr:uid="{00000000-0005-0000-0000-0000945A0000}"/>
    <cellStyle name="Normal 51 2 4" xfId="8512" xr:uid="{00000000-0005-0000-0000-0000955A0000}"/>
    <cellStyle name="Normal 51 2 4 2" xfId="19800" xr:uid="{00000000-0005-0000-0000-0000965A0000}"/>
    <cellStyle name="Normal 51 2 5" xfId="6518" xr:uid="{00000000-0005-0000-0000-0000975A0000}"/>
    <cellStyle name="Normal 51 2 5 2" xfId="17806" xr:uid="{00000000-0005-0000-0000-0000985A0000}"/>
    <cellStyle name="Normal 51 2 6" xfId="15812" xr:uid="{00000000-0005-0000-0000-0000995A0000}"/>
    <cellStyle name="Normal 51 3" xfId="11503" xr:uid="{00000000-0005-0000-0000-00009A5A0000}"/>
    <cellStyle name="Normal 51 3 2" xfId="22791" xr:uid="{00000000-0005-0000-0000-00009B5A0000}"/>
    <cellStyle name="Normal 51 4" xfId="9509" xr:uid="{00000000-0005-0000-0000-00009C5A0000}"/>
    <cellStyle name="Normal 51 4 2" xfId="20797" xr:uid="{00000000-0005-0000-0000-00009D5A0000}"/>
    <cellStyle name="Normal 51 5" xfId="7515" xr:uid="{00000000-0005-0000-0000-00009E5A0000}"/>
    <cellStyle name="Normal 51 5 2" xfId="18803" xr:uid="{00000000-0005-0000-0000-00009F5A0000}"/>
    <cellStyle name="Normal 51 6" xfId="5521" xr:uid="{00000000-0005-0000-0000-0000A05A0000}"/>
    <cellStyle name="Normal 51 6 2" xfId="16809" xr:uid="{00000000-0005-0000-0000-0000A15A0000}"/>
    <cellStyle name="Normal 51 7" xfId="14815" xr:uid="{00000000-0005-0000-0000-0000A25A0000}"/>
    <cellStyle name="Normal 51 8" xfId="13499" xr:uid="{00000000-0005-0000-0000-0000A35A0000}"/>
    <cellStyle name="Normal 52" xfId="3287" xr:uid="{00000000-0005-0000-0000-0000A45A0000}"/>
    <cellStyle name="Normal 52 2" xfId="4522" xr:uid="{00000000-0005-0000-0000-0000A55A0000}"/>
    <cellStyle name="Normal 52 2 2" xfId="12501" xr:uid="{00000000-0005-0000-0000-0000A65A0000}"/>
    <cellStyle name="Normal 52 2 2 2" xfId="23789" xr:uid="{00000000-0005-0000-0000-0000A75A0000}"/>
    <cellStyle name="Normal 52 2 3" xfId="10507" xr:uid="{00000000-0005-0000-0000-0000A85A0000}"/>
    <cellStyle name="Normal 52 2 3 2" xfId="21795" xr:uid="{00000000-0005-0000-0000-0000A95A0000}"/>
    <cellStyle name="Normal 52 2 4" xfId="8513" xr:uid="{00000000-0005-0000-0000-0000AA5A0000}"/>
    <cellStyle name="Normal 52 2 4 2" xfId="19801" xr:uid="{00000000-0005-0000-0000-0000AB5A0000}"/>
    <cellStyle name="Normal 52 2 5" xfId="6519" xr:uid="{00000000-0005-0000-0000-0000AC5A0000}"/>
    <cellStyle name="Normal 52 2 5 2" xfId="17807" xr:uid="{00000000-0005-0000-0000-0000AD5A0000}"/>
    <cellStyle name="Normal 52 2 6" xfId="15813" xr:uid="{00000000-0005-0000-0000-0000AE5A0000}"/>
    <cellStyle name="Normal 52 3" xfId="11504" xr:uid="{00000000-0005-0000-0000-0000AF5A0000}"/>
    <cellStyle name="Normal 52 3 2" xfId="22792" xr:uid="{00000000-0005-0000-0000-0000B05A0000}"/>
    <cellStyle name="Normal 52 4" xfId="9510" xr:uid="{00000000-0005-0000-0000-0000B15A0000}"/>
    <cellStyle name="Normal 52 4 2" xfId="20798" xr:uid="{00000000-0005-0000-0000-0000B25A0000}"/>
    <cellStyle name="Normal 52 5" xfId="7516" xr:uid="{00000000-0005-0000-0000-0000B35A0000}"/>
    <cellStyle name="Normal 52 5 2" xfId="18804" xr:uid="{00000000-0005-0000-0000-0000B45A0000}"/>
    <cellStyle name="Normal 52 6" xfId="5522" xr:uid="{00000000-0005-0000-0000-0000B55A0000}"/>
    <cellStyle name="Normal 52 6 2" xfId="16810" xr:uid="{00000000-0005-0000-0000-0000B65A0000}"/>
    <cellStyle name="Normal 52 7" xfId="14816" xr:uid="{00000000-0005-0000-0000-0000B75A0000}"/>
    <cellStyle name="Normal 52 8" xfId="13500" xr:uid="{00000000-0005-0000-0000-0000B85A0000}"/>
    <cellStyle name="Normal 53" xfId="3288" xr:uid="{00000000-0005-0000-0000-0000B95A0000}"/>
    <cellStyle name="Normal 53 2" xfId="4523" xr:uid="{00000000-0005-0000-0000-0000BA5A0000}"/>
    <cellStyle name="Normal 53 2 2" xfId="12502" xr:uid="{00000000-0005-0000-0000-0000BB5A0000}"/>
    <cellStyle name="Normal 53 2 2 2" xfId="23790" xr:uid="{00000000-0005-0000-0000-0000BC5A0000}"/>
    <cellStyle name="Normal 53 2 3" xfId="10508" xr:uid="{00000000-0005-0000-0000-0000BD5A0000}"/>
    <cellStyle name="Normal 53 2 3 2" xfId="21796" xr:uid="{00000000-0005-0000-0000-0000BE5A0000}"/>
    <cellStyle name="Normal 53 2 4" xfId="8514" xr:uid="{00000000-0005-0000-0000-0000BF5A0000}"/>
    <cellStyle name="Normal 53 2 4 2" xfId="19802" xr:uid="{00000000-0005-0000-0000-0000C05A0000}"/>
    <cellStyle name="Normal 53 2 5" xfId="6520" xr:uid="{00000000-0005-0000-0000-0000C15A0000}"/>
    <cellStyle name="Normal 53 2 5 2" xfId="17808" xr:uid="{00000000-0005-0000-0000-0000C25A0000}"/>
    <cellStyle name="Normal 53 2 6" xfId="15814" xr:uid="{00000000-0005-0000-0000-0000C35A0000}"/>
    <cellStyle name="Normal 53 3" xfId="11505" xr:uid="{00000000-0005-0000-0000-0000C45A0000}"/>
    <cellStyle name="Normal 53 3 2" xfId="22793" xr:uid="{00000000-0005-0000-0000-0000C55A0000}"/>
    <cellStyle name="Normal 53 4" xfId="9511" xr:uid="{00000000-0005-0000-0000-0000C65A0000}"/>
    <cellStyle name="Normal 53 4 2" xfId="20799" xr:uid="{00000000-0005-0000-0000-0000C75A0000}"/>
    <cellStyle name="Normal 53 5" xfId="7517" xr:uid="{00000000-0005-0000-0000-0000C85A0000}"/>
    <cellStyle name="Normal 53 5 2" xfId="18805" xr:uid="{00000000-0005-0000-0000-0000C95A0000}"/>
    <cellStyle name="Normal 53 6" xfId="5523" xr:uid="{00000000-0005-0000-0000-0000CA5A0000}"/>
    <cellStyle name="Normal 53 6 2" xfId="16811" xr:uid="{00000000-0005-0000-0000-0000CB5A0000}"/>
    <cellStyle name="Normal 53 7" xfId="14817" xr:uid="{00000000-0005-0000-0000-0000CC5A0000}"/>
    <cellStyle name="Normal 53 8" xfId="13501" xr:uid="{00000000-0005-0000-0000-0000CD5A0000}"/>
    <cellStyle name="Normal 54" xfId="3289" xr:uid="{00000000-0005-0000-0000-0000CE5A0000}"/>
    <cellStyle name="Normal 54 2" xfId="4524" xr:uid="{00000000-0005-0000-0000-0000CF5A0000}"/>
    <cellStyle name="Normal 54 2 2" xfId="12503" xr:uid="{00000000-0005-0000-0000-0000D05A0000}"/>
    <cellStyle name="Normal 54 2 2 2" xfId="23791" xr:uid="{00000000-0005-0000-0000-0000D15A0000}"/>
    <cellStyle name="Normal 54 2 3" xfId="10509" xr:uid="{00000000-0005-0000-0000-0000D25A0000}"/>
    <cellStyle name="Normal 54 2 3 2" xfId="21797" xr:uid="{00000000-0005-0000-0000-0000D35A0000}"/>
    <cellStyle name="Normal 54 2 4" xfId="8515" xr:uid="{00000000-0005-0000-0000-0000D45A0000}"/>
    <cellStyle name="Normal 54 2 4 2" xfId="19803" xr:uid="{00000000-0005-0000-0000-0000D55A0000}"/>
    <cellStyle name="Normal 54 2 5" xfId="6521" xr:uid="{00000000-0005-0000-0000-0000D65A0000}"/>
    <cellStyle name="Normal 54 2 5 2" xfId="17809" xr:uid="{00000000-0005-0000-0000-0000D75A0000}"/>
    <cellStyle name="Normal 54 2 6" xfId="15815" xr:uid="{00000000-0005-0000-0000-0000D85A0000}"/>
    <cellStyle name="Normal 54 3" xfId="11506" xr:uid="{00000000-0005-0000-0000-0000D95A0000}"/>
    <cellStyle name="Normal 54 3 2" xfId="22794" xr:uid="{00000000-0005-0000-0000-0000DA5A0000}"/>
    <cellStyle name="Normal 54 4" xfId="9512" xr:uid="{00000000-0005-0000-0000-0000DB5A0000}"/>
    <cellStyle name="Normal 54 4 2" xfId="20800" xr:uid="{00000000-0005-0000-0000-0000DC5A0000}"/>
    <cellStyle name="Normal 54 5" xfId="7518" xr:uid="{00000000-0005-0000-0000-0000DD5A0000}"/>
    <cellStyle name="Normal 54 5 2" xfId="18806" xr:uid="{00000000-0005-0000-0000-0000DE5A0000}"/>
    <cellStyle name="Normal 54 6" xfId="5524" xr:uid="{00000000-0005-0000-0000-0000DF5A0000}"/>
    <cellStyle name="Normal 54 6 2" xfId="16812" xr:uid="{00000000-0005-0000-0000-0000E05A0000}"/>
    <cellStyle name="Normal 54 7" xfId="14818" xr:uid="{00000000-0005-0000-0000-0000E15A0000}"/>
    <cellStyle name="Normal 54 8" xfId="13502" xr:uid="{00000000-0005-0000-0000-0000E25A0000}"/>
    <cellStyle name="Normal 55" xfId="3290" xr:uid="{00000000-0005-0000-0000-0000E35A0000}"/>
    <cellStyle name="Normal 55 2" xfId="4525" xr:uid="{00000000-0005-0000-0000-0000E45A0000}"/>
    <cellStyle name="Normal 55 2 2" xfId="12504" xr:uid="{00000000-0005-0000-0000-0000E55A0000}"/>
    <cellStyle name="Normal 55 2 2 2" xfId="23792" xr:uid="{00000000-0005-0000-0000-0000E65A0000}"/>
    <cellStyle name="Normal 55 2 3" xfId="10510" xr:uid="{00000000-0005-0000-0000-0000E75A0000}"/>
    <cellStyle name="Normal 55 2 3 2" xfId="21798" xr:uid="{00000000-0005-0000-0000-0000E85A0000}"/>
    <cellStyle name="Normal 55 2 4" xfId="8516" xr:uid="{00000000-0005-0000-0000-0000E95A0000}"/>
    <cellStyle name="Normal 55 2 4 2" xfId="19804" xr:uid="{00000000-0005-0000-0000-0000EA5A0000}"/>
    <cellStyle name="Normal 55 2 5" xfId="6522" xr:uid="{00000000-0005-0000-0000-0000EB5A0000}"/>
    <cellStyle name="Normal 55 2 5 2" xfId="17810" xr:uid="{00000000-0005-0000-0000-0000EC5A0000}"/>
    <cellStyle name="Normal 55 2 6" xfId="15816" xr:uid="{00000000-0005-0000-0000-0000ED5A0000}"/>
    <cellStyle name="Normal 55 3" xfId="11507" xr:uid="{00000000-0005-0000-0000-0000EE5A0000}"/>
    <cellStyle name="Normal 55 3 2" xfId="22795" xr:uid="{00000000-0005-0000-0000-0000EF5A0000}"/>
    <cellStyle name="Normal 55 4" xfId="9513" xr:uid="{00000000-0005-0000-0000-0000F05A0000}"/>
    <cellStyle name="Normal 55 4 2" xfId="20801" xr:uid="{00000000-0005-0000-0000-0000F15A0000}"/>
    <cellStyle name="Normal 55 5" xfId="7519" xr:uid="{00000000-0005-0000-0000-0000F25A0000}"/>
    <cellStyle name="Normal 55 5 2" xfId="18807" xr:uid="{00000000-0005-0000-0000-0000F35A0000}"/>
    <cellStyle name="Normal 55 6" xfId="5525" xr:uid="{00000000-0005-0000-0000-0000F45A0000}"/>
    <cellStyle name="Normal 55 6 2" xfId="16813" xr:uid="{00000000-0005-0000-0000-0000F55A0000}"/>
    <cellStyle name="Normal 55 7" xfId="14819" xr:uid="{00000000-0005-0000-0000-0000F65A0000}"/>
    <cellStyle name="Normal 55 8" xfId="13503" xr:uid="{00000000-0005-0000-0000-0000F75A0000}"/>
    <cellStyle name="Normal 56" xfId="3291" xr:uid="{00000000-0005-0000-0000-0000F85A0000}"/>
    <cellStyle name="Normal 56 2" xfId="4526" xr:uid="{00000000-0005-0000-0000-0000F95A0000}"/>
    <cellStyle name="Normal 56 2 2" xfId="12505" xr:uid="{00000000-0005-0000-0000-0000FA5A0000}"/>
    <cellStyle name="Normal 56 2 2 2" xfId="23793" xr:uid="{00000000-0005-0000-0000-0000FB5A0000}"/>
    <cellStyle name="Normal 56 2 3" xfId="10511" xr:uid="{00000000-0005-0000-0000-0000FC5A0000}"/>
    <cellStyle name="Normal 56 2 3 2" xfId="21799" xr:uid="{00000000-0005-0000-0000-0000FD5A0000}"/>
    <cellStyle name="Normal 56 2 4" xfId="8517" xr:uid="{00000000-0005-0000-0000-0000FE5A0000}"/>
    <cellStyle name="Normal 56 2 4 2" xfId="19805" xr:uid="{00000000-0005-0000-0000-0000FF5A0000}"/>
    <cellStyle name="Normal 56 2 5" xfId="6523" xr:uid="{00000000-0005-0000-0000-0000005B0000}"/>
    <cellStyle name="Normal 56 2 5 2" xfId="17811" xr:uid="{00000000-0005-0000-0000-0000015B0000}"/>
    <cellStyle name="Normal 56 2 6" xfId="15817" xr:uid="{00000000-0005-0000-0000-0000025B0000}"/>
    <cellStyle name="Normal 56 3" xfId="11508" xr:uid="{00000000-0005-0000-0000-0000035B0000}"/>
    <cellStyle name="Normal 56 3 2" xfId="22796" xr:uid="{00000000-0005-0000-0000-0000045B0000}"/>
    <cellStyle name="Normal 56 4" xfId="9514" xr:uid="{00000000-0005-0000-0000-0000055B0000}"/>
    <cellStyle name="Normal 56 4 2" xfId="20802" xr:uid="{00000000-0005-0000-0000-0000065B0000}"/>
    <cellStyle name="Normal 56 5" xfId="7520" xr:uid="{00000000-0005-0000-0000-0000075B0000}"/>
    <cellStyle name="Normal 56 5 2" xfId="18808" xr:uid="{00000000-0005-0000-0000-0000085B0000}"/>
    <cellStyle name="Normal 56 6" xfId="5526" xr:uid="{00000000-0005-0000-0000-0000095B0000}"/>
    <cellStyle name="Normal 56 6 2" xfId="16814" xr:uid="{00000000-0005-0000-0000-00000A5B0000}"/>
    <cellStyle name="Normal 56 7" xfId="14820" xr:uid="{00000000-0005-0000-0000-00000B5B0000}"/>
    <cellStyle name="Normal 56 8" xfId="13504" xr:uid="{00000000-0005-0000-0000-00000C5B0000}"/>
    <cellStyle name="Normal 57" xfId="3292" xr:uid="{00000000-0005-0000-0000-00000D5B0000}"/>
    <cellStyle name="Normal 57 2" xfId="4527" xr:uid="{00000000-0005-0000-0000-00000E5B0000}"/>
    <cellStyle name="Normal 57 2 2" xfId="12506" xr:uid="{00000000-0005-0000-0000-00000F5B0000}"/>
    <cellStyle name="Normal 57 2 2 2" xfId="23794" xr:uid="{00000000-0005-0000-0000-0000105B0000}"/>
    <cellStyle name="Normal 57 2 3" xfId="10512" xr:uid="{00000000-0005-0000-0000-0000115B0000}"/>
    <cellStyle name="Normal 57 2 3 2" xfId="21800" xr:uid="{00000000-0005-0000-0000-0000125B0000}"/>
    <cellStyle name="Normal 57 2 4" xfId="8518" xr:uid="{00000000-0005-0000-0000-0000135B0000}"/>
    <cellStyle name="Normal 57 2 4 2" xfId="19806" xr:uid="{00000000-0005-0000-0000-0000145B0000}"/>
    <cellStyle name="Normal 57 2 5" xfId="6524" xr:uid="{00000000-0005-0000-0000-0000155B0000}"/>
    <cellStyle name="Normal 57 2 5 2" xfId="17812" xr:uid="{00000000-0005-0000-0000-0000165B0000}"/>
    <cellStyle name="Normal 57 2 6" xfId="15818" xr:uid="{00000000-0005-0000-0000-0000175B0000}"/>
    <cellStyle name="Normal 57 3" xfId="11509" xr:uid="{00000000-0005-0000-0000-0000185B0000}"/>
    <cellStyle name="Normal 57 3 2" xfId="22797" xr:uid="{00000000-0005-0000-0000-0000195B0000}"/>
    <cellStyle name="Normal 57 4" xfId="9515" xr:uid="{00000000-0005-0000-0000-00001A5B0000}"/>
    <cellStyle name="Normal 57 4 2" xfId="20803" xr:uid="{00000000-0005-0000-0000-00001B5B0000}"/>
    <cellStyle name="Normal 57 5" xfId="7521" xr:uid="{00000000-0005-0000-0000-00001C5B0000}"/>
    <cellStyle name="Normal 57 5 2" xfId="18809" xr:uid="{00000000-0005-0000-0000-00001D5B0000}"/>
    <cellStyle name="Normal 57 6" xfId="5527" xr:uid="{00000000-0005-0000-0000-00001E5B0000}"/>
    <cellStyle name="Normal 57 6 2" xfId="16815" xr:uid="{00000000-0005-0000-0000-00001F5B0000}"/>
    <cellStyle name="Normal 57 7" xfId="14821" xr:uid="{00000000-0005-0000-0000-0000205B0000}"/>
    <cellStyle name="Normal 57 8" xfId="13505" xr:uid="{00000000-0005-0000-0000-0000215B0000}"/>
    <cellStyle name="Normal 58" xfId="3293" xr:uid="{00000000-0005-0000-0000-0000225B0000}"/>
    <cellStyle name="Normal 58 2" xfId="4528" xr:uid="{00000000-0005-0000-0000-0000235B0000}"/>
    <cellStyle name="Normal 58 2 2" xfId="12507" xr:uid="{00000000-0005-0000-0000-0000245B0000}"/>
    <cellStyle name="Normal 58 2 2 2" xfId="23795" xr:uid="{00000000-0005-0000-0000-0000255B0000}"/>
    <cellStyle name="Normal 58 2 3" xfId="10513" xr:uid="{00000000-0005-0000-0000-0000265B0000}"/>
    <cellStyle name="Normal 58 2 3 2" xfId="21801" xr:uid="{00000000-0005-0000-0000-0000275B0000}"/>
    <cellStyle name="Normal 58 2 4" xfId="8519" xr:uid="{00000000-0005-0000-0000-0000285B0000}"/>
    <cellStyle name="Normal 58 2 4 2" xfId="19807" xr:uid="{00000000-0005-0000-0000-0000295B0000}"/>
    <cellStyle name="Normal 58 2 5" xfId="6525" xr:uid="{00000000-0005-0000-0000-00002A5B0000}"/>
    <cellStyle name="Normal 58 2 5 2" xfId="17813" xr:uid="{00000000-0005-0000-0000-00002B5B0000}"/>
    <cellStyle name="Normal 58 2 6" xfId="15819" xr:uid="{00000000-0005-0000-0000-00002C5B0000}"/>
    <cellStyle name="Normal 58 3" xfId="11510" xr:uid="{00000000-0005-0000-0000-00002D5B0000}"/>
    <cellStyle name="Normal 58 3 2" xfId="22798" xr:uid="{00000000-0005-0000-0000-00002E5B0000}"/>
    <cellStyle name="Normal 58 4" xfId="9516" xr:uid="{00000000-0005-0000-0000-00002F5B0000}"/>
    <cellStyle name="Normal 58 4 2" xfId="20804" xr:uid="{00000000-0005-0000-0000-0000305B0000}"/>
    <cellStyle name="Normal 58 5" xfId="7522" xr:uid="{00000000-0005-0000-0000-0000315B0000}"/>
    <cellStyle name="Normal 58 5 2" xfId="18810" xr:uid="{00000000-0005-0000-0000-0000325B0000}"/>
    <cellStyle name="Normal 58 6" xfId="5528" xr:uid="{00000000-0005-0000-0000-0000335B0000}"/>
    <cellStyle name="Normal 58 6 2" xfId="16816" xr:uid="{00000000-0005-0000-0000-0000345B0000}"/>
    <cellStyle name="Normal 58 7" xfId="14822" xr:uid="{00000000-0005-0000-0000-0000355B0000}"/>
    <cellStyle name="Normal 58 8" xfId="13506" xr:uid="{00000000-0005-0000-0000-0000365B0000}"/>
    <cellStyle name="Normal 59" xfId="3294" xr:uid="{00000000-0005-0000-0000-0000375B0000}"/>
    <cellStyle name="Normal 59 2" xfId="4529" xr:uid="{00000000-0005-0000-0000-0000385B0000}"/>
    <cellStyle name="Normal 59 2 2" xfId="12508" xr:uid="{00000000-0005-0000-0000-0000395B0000}"/>
    <cellStyle name="Normal 59 2 2 2" xfId="23796" xr:uid="{00000000-0005-0000-0000-00003A5B0000}"/>
    <cellStyle name="Normal 59 2 3" xfId="10514" xr:uid="{00000000-0005-0000-0000-00003B5B0000}"/>
    <cellStyle name="Normal 59 2 3 2" xfId="21802" xr:uid="{00000000-0005-0000-0000-00003C5B0000}"/>
    <cellStyle name="Normal 59 2 4" xfId="8520" xr:uid="{00000000-0005-0000-0000-00003D5B0000}"/>
    <cellStyle name="Normal 59 2 4 2" xfId="19808" xr:uid="{00000000-0005-0000-0000-00003E5B0000}"/>
    <cellStyle name="Normal 59 2 5" xfId="6526" xr:uid="{00000000-0005-0000-0000-00003F5B0000}"/>
    <cellStyle name="Normal 59 2 5 2" xfId="17814" xr:uid="{00000000-0005-0000-0000-0000405B0000}"/>
    <cellStyle name="Normal 59 2 6" xfId="15820" xr:uid="{00000000-0005-0000-0000-0000415B0000}"/>
    <cellStyle name="Normal 59 3" xfId="11511" xr:uid="{00000000-0005-0000-0000-0000425B0000}"/>
    <cellStyle name="Normal 59 3 2" xfId="22799" xr:uid="{00000000-0005-0000-0000-0000435B0000}"/>
    <cellStyle name="Normal 59 4" xfId="9517" xr:uid="{00000000-0005-0000-0000-0000445B0000}"/>
    <cellStyle name="Normal 59 4 2" xfId="20805" xr:uid="{00000000-0005-0000-0000-0000455B0000}"/>
    <cellStyle name="Normal 59 5" xfId="7523" xr:uid="{00000000-0005-0000-0000-0000465B0000}"/>
    <cellStyle name="Normal 59 5 2" xfId="18811" xr:uid="{00000000-0005-0000-0000-0000475B0000}"/>
    <cellStyle name="Normal 59 6" xfId="5529" xr:uid="{00000000-0005-0000-0000-0000485B0000}"/>
    <cellStyle name="Normal 59 6 2" xfId="16817" xr:uid="{00000000-0005-0000-0000-0000495B0000}"/>
    <cellStyle name="Normal 59 7" xfId="14823" xr:uid="{00000000-0005-0000-0000-00004A5B0000}"/>
    <cellStyle name="Normal 59 8" xfId="13507" xr:uid="{00000000-0005-0000-0000-00004B5B0000}"/>
    <cellStyle name="Normal 6" xfId="57" xr:uid="{00000000-0005-0000-0000-00004C5B0000}"/>
    <cellStyle name="Normal 6 10" xfId="25774" xr:uid="{00000000-0005-0000-0000-00004D5B0000}"/>
    <cellStyle name="Normal 6 10 2" xfId="29116" xr:uid="{00000000-0005-0000-0000-00004E5B0000}"/>
    <cellStyle name="Normal 6 11" xfId="28814" xr:uid="{00000000-0005-0000-0000-00004F5B0000}"/>
    <cellStyle name="Normal 6 11 2" xfId="29117" xr:uid="{00000000-0005-0000-0000-0000505B0000}"/>
    <cellStyle name="Normal 6 12" xfId="28815" xr:uid="{00000000-0005-0000-0000-0000515B0000}"/>
    <cellStyle name="Normal 6 12 2" xfId="29118" xr:uid="{00000000-0005-0000-0000-0000525B0000}"/>
    <cellStyle name="Normal 6 13" xfId="28816" xr:uid="{00000000-0005-0000-0000-0000535B0000}"/>
    <cellStyle name="Normal 6 13 2" xfId="29119" xr:uid="{00000000-0005-0000-0000-0000545B0000}"/>
    <cellStyle name="Normal 6 14" xfId="29166" xr:uid="{00000000-0005-0000-0000-0000555B0000}"/>
    <cellStyle name="Normal 6 2" xfId="204" xr:uid="{00000000-0005-0000-0000-0000565B0000}"/>
    <cellStyle name="Normal 6 2 10" xfId="25046" xr:uid="{00000000-0005-0000-0000-0000575B0000}"/>
    <cellStyle name="Normal 6 2 11" xfId="25788" xr:uid="{00000000-0005-0000-0000-0000585B0000}"/>
    <cellStyle name="Normal 6 2 2" xfId="367" xr:uid="{00000000-0005-0000-0000-0000595B0000}"/>
    <cellStyle name="Normal 6 2 2 2" xfId="449" xr:uid="{00000000-0005-0000-0000-00005A5B0000}"/>
    <cellStyle name="Normal 6 2 2 2 2" xfId="535" xr:uid="{00000000-0005-0000-0000-00005B5B0000}"/>
    <cellStyle name="Normal 6 2 2 2 2 2" xfId="13898" xr:uid="{00000000-0005-0000-0000-00005C5B0000}"/>
    <cellStyle name="Normal 6 2 2 2 3" xfId="13821" xr:uid="{00000000-0005-0000-0000-00005D5B0000}"/>
    <cellStyle name="Normal 6 2 2 2 4" xfId="24434" xr:uid="{00000000-0005-0000-0000-00005E5B0000}"/>
    <cellStyle name="Normal 6 2 2 2 5" xfId="24878" xr:uid="{00000000-0005-0000-0000-00005F5B0000}"/>
    <cellStyle name="Normal 6 2 2 2 6" xfId="25241" xr:uid="{00000000-0005-0000-0000-0000605B0000}"/>
    <cellStyle name="Normal 6 2 2 3" xfId="498" xr:uid="{00000000-0005-0000-0000-0000615B0000}"/>
    <cellStyle name="Normal 6 2 2 3 2" xfId="13861" xr:uid="{00000000-0005-0000-0000-0000625B0000}"/>
    <cellStyle name="Normal 6 2 2 4" xfId="11512" xr:uid="{00000000-0005-0000-0000-0000635B0000}"/>
    <cellStyle name="Normal 6 2 2 4 2" xfId="22800" xr:uid="{00000000-0005-0000-0000-0000645B0000}"/>
    <cellStyle name="Normal 6 2 2 5" xfId="13777" xr:uid="{00000000-0005-0000-0000-0000655B0000}"/>
    <cellStyle name="Normal 6 2 2 6" xfId="24162" xr:uid="{00000000-0005-0000-0000-0000665B0000}"/>
    <cellStyle name="Normal 6 2 2 7" xfId="24731" xr:uid="{00000000-0005-0000-0000-0000675B0000}"/>
    <cellStyle name="Normal 6 2 2 8" xfId="25047" xr:uid="{00000000-0005-0000-0000-0000685B0000}"/>
    <cellStyle name="Normal 6 2 2 9" xfId="29120" xr:uid="{00000000-0005-0000-0000-0000695B0000}"/>
    <cellStyle name="Normal 6 2 3" xfId="429" xr:uid="{00000000-0005-0000-0000-00006A5B0000}"/>
    <cellStyle name="Normal 6 2 3 2" xfId="520" xr:uid="{00000000-0005-0000-0000-00006B5B0000}"/>
    <cellStyle name="Normal 6 2 3 2 2" xfId="13883" xr:uid="{00000000-0005-0000-0000-00006C5B0000}"/>
    <cellStyle name="Normal 6 2 3 3" xfId="9518" xr:uid="{00000000-0005-0000-0000-00006D5B0000}"/>
    <cellStyle name="Normal 6 2 3 3 2" xfId="20806" xr:uid="{00000000-0005-0000-0000-00006E5B0000}"/>
    <cellStyle name="Normal 6 2 3 4" xfId="13806" xr:uid="{00000000-0005-0000-0000-00006F5B0000}"/>
    <cellStyle name="Normal 6 2 3 5" xfId="24433" xr:uid="{00000000-0005-0000-0000-0000705B0000}"/>
    <cellStyle name="Normal 6 2 3 6" xfId="24877" xr:uid="{00000000-0005-0000-0000-0000715B0000}"/>
    <cellStyle name="Normal 6 2 3 7" xfId="25240" xr:uid="{00000000-0005-0000-0000-0000725B0000}"/>
    <cellStyle name="Normal 6 2 4" xfId="483" xr:uid="{00000000-0005-0000-0000-0000735B0000}"/>
    <cellStyle name="Normal 6 2 4 2" xfId="7524" xr:uid="{00000000-0005-0000-0000-0000745B0000}"/>
    <cellStyle name="Normal 6 2 4 2 2" xfId="18812" xr:uid="{00000000-0005-0000-0000-0000755B0000}"/>
    <cellStyle name="Normal 6 2 4 3" xfId="13846" xr:uid="{00000000-0005-0000-0000-0000765B0000}"/>
    <cellStyle name="Normal 6 2 5" xfId="5530" xr:uid="{00000000-0005-0000-0000-0000775B0000}"/>
    <cellStyle name="Normal 6 2 5 2" xfId="16818" xr:uid="{00000000-0005-0000-0000-0000785B0000}"/>
    <cellStyle name="Normal 6 2 6" xfId="3296" xr:uid="{00000000-0005-0000-0000-0000795B0000}"/>
    <cellStyle name="Normal 6 2 6 2" xfId="14824" xr:uid="{00000000-0005-0000-0000-00007A5B0000}"/>
    <cellStyle name="Normal 6 2 7" xfId="13703" xr:uid="{00000000-0005-0000-0000-00007B5B0000}"/>
    <cellStyle name="Normal 6 2 8" xfId="24161" xr:uid="{00000000-0005-0000-0000-00007C5B0000}"/>
    <cellStyle name="Normal 6 2 9" xfId="24730" xr:uid="{00000000-0005-0000-0000-00007D5B0000}"/>
    <cellStyle name="Normal 6 3" xfId="4530" xr:uid="{00000000-0005-0000-0000-00007E5B0000}"/>
    <cellStyle name="Normal 6 3 10" xfId="28817" xr:uid="{00000000-0005-0000-0000-00007F5B0000}"/>
    <cellStyle name="Normal 6 3 2" xfId="12509" xr:uid="{00000000-0005-0000-0000-0000805B0000}"/>
    <cellStyle name="Normal 6 3 2 2" xfId="23797" xr:uid="{00000000-0005-0000-0000-0000815B0000}"/>
    <cellStyle name="Normal 6 3 2 2 2" xfId="24436" xr:uid="{00000000-0005-0000-0000-0000825B0000}"/>
    <cellStyle name="Normal 6 3 2 2 3" xfId="24880" xr:uid="{00000000-0005-0000-0000-0000835B0000}"/>
    <cellStyle name="Normal 6 3 2 2 4" xfId="25243" xr:uid="{00000000-0005-0000-0000-0000845B0000}"/>
    <cellStyle name="Normal 6 3 2 3" xfId="24164" xr:uid="{00000000-0005-0000-0000-0000855B0000}"/>
    <cellStyle name="Normal 6 3 2 4" xfId="24733" xr:uid="{00000000-0005-0000-0000-0000865B0000}"/>
    <cellStyle name="Normal 6 3 2 5" xfId="25049" xr:uid="{00000000-0005-0000-0000-0000875B0000}"/>
    <cellStyle name="Normal 6 3 2 6" xfId="29121" xr:uid="{00000000-0005-0000-0000-0000885B0000}"/>
    <cellStyle name="Normal 6 3 3" xfId="10515" xr:uid="{00000000-0005-0000-0000-0000895B0000}"/>
    <cellStyle name="Normal 6 3 3 2" xfId="21803" xr:uid="{00000000-0005-0000-0000-00008A5B0000}"/>
    <cellStyle name="Normal 6 3 3 3" xfId="24435" xr:uid="{00000000-0005-0000-0000-00008B5B0000}"/>
    <cellStyle name="Normal 6 3 3 4" xfId="24879" xr:uid="{00000000-0005-0000-0000-00008C5B0000}"/>
    <cellStyle name="Normal 6 3 3 5" xfId="25242" xr:uid="{00000000-0005-0000-0000-00008D5B0000}"/>
    <cellStyle name="Normal 6 3 4" xfId="8521" xr:uid="{00000000-0005-0000-0000-00008E5B0000}"/>
    <cellStyle name="Normal 6 3 4 2" xfId="19809" xr:uid="{00000000-0005-0000-0000-00008F5B0000}"/>
    <cellStyle name="Normal 6 3 5" xfId="6527" xr:uid="{00000000-0005-0000-0000-0000905B0000}"/>
    <cellStyle name="Normal 6 3 5 2" xfId="17815" xr:uid="{00000000-0005-0000-0000-0000915B0000}"/>
    <cellStyle name="Normal 6 3 6" xfId="15821" xr:uid="{00000000-0005-0000-0000-0000925B0000}"/>
    <cellStyle name="Normal 6 3 7" xfId="24163" xr:uid="{00000000-0005-0000-0000-0000935B0000}"/>
    <cellStyle name="Normal 6 3 8" xfId="24732" xr:uid="{00000000-0005-0000-0000-0000945B0000}"/>
    <cellStyle name="Normal 6 3 9" xfId="25048" xr:uid="{00000000-0005-0000-0000-0000955B0000}"/>
    <cellStyle name="Normal 6 4" xfId="3295" xr:uid="{00000000-0005-0000-0000-0000965B0000}"/>
    <cellStyle name="Normal 6 4 2" xfId="24437" xr:uid="{00000000-0005-0000-0000-0000975B0000}"/>
    <cellStyle name="Normal 6 4 2 2" xfId="24881" xr:uid="{00000000-0005-0000-0000-0000985B0000}"/>
    <cellStyle name="Normal 6 4 2 3" xfId="25244" xr:uid="{00000000-0005-0000-0000-0000995B0000}"/>
    <cellStyle name="Normal 6 4 2 4" xfId="29122" xr:uid="{00000000-0005-0000-0000-00009A5B0000}"/>
    <cellStyle name="Normal 6 4 3" xfId="24165" xr:uid="{00000000-0005-0000-0000-00009B5B0000}"/>
    <cellStyle name="Normal 6 4 4" xfId="24734" xr:uid="{00000000-0005-0000-0000-00009C5B0000}"/>
    <cellStyle name="Normal 6 4 5" xfId="25050" xr:uid="{00000000-0005-0000-0000-00009D5B0000}"/>
    <cellStyle name="Normal 6 4 6" xfId="26181" xr:uid="{00000000-0005-0000-0000-00009E5B0000}"/>
    <cellStyle name="Normal 6 5" xfId="13615" xr:uid="{00000000-0005-0000-0000-00009F5B0000}"/>
    <cellStyle name="Normal 6 5 2" xfId="24432" xr:uid="{00000000-0005-0000-0000-0000A05B0000}"/>
    <cellStyle name="Normal 6 5 2 2" xfId="29123" xr:uid="{00000000-0005-0000-0000-0000A15B0000}"/>
    <cellStyle name="Normal 6 5 3" xfId="24876" xr:uid="{00000000-0005-0000-0000-0000A25B0000}"/>
    <cellStyle name="Normal 6 5 4" xfId="25239" xr:uid="{00000000-0005-0000-0000-0000A35B0000}"/>
    <cellStyle name="Normal 6 5 5" xfId="28818" xr:uid="{00000000-0005-0000-0000-0000A45B0000}"/>
    <cellStyle name="Normal 6 6" xfId="13508" xr:uid="{00000000-0005-0000-0000-0000A55B0000}"/>
    <cellStyle name="Normal 6 6 2" xfId="29124" xr:uid="{00000000-0005-0000-0000-0000A65B0000}"/>
    <cellStyle name="Normal 6 6 3" xfId="28819" xr:uid="{00000000-0005-0000-0000-0000A75B0000}"/>
    <cellStyle name="Normal 6 7" xfId="24160" xr:uid="{00000000-0005-0000-0000-0000A85B0000}"/>
    <cellStyle name="Normal 6 7 2" xfId="29125" xr:uid="{00000000-0005-0000-0000-0000A95B0000}"/>
    <cellStyle name="Normal 6 7 3" xfId="28820" xr:uid="{00000000-0005-0000-0000-0000AA5B0000}"/>
    <cellStyle name="Normal 6 8" xfId="24729" xr:uid="{00000000-0005-0000-0000-0000AB5B0000}"/>
    <cellStyle name="Normal 6 8 2" xfId="29126" xr:uid="{00000000-0005-0000-0000-0000AC5B0000}"/>
    <cellStyle name="Normal 6 8 3" xfId="28821" xr:uid="{00000000-0005-0000-0000-0000AD5B0000}"/>
    <cellStyle name="Normal 6 9" xfId="25045" xr:uid="{00000000-0005-0000-0000-0000AE5B0000}"/>
    <cellStyle name="Normal 6 9 2" xfId="29127" xr:uid="{00000000-0005-0000-0000-0000AF5B0000}"/>
    <cellStyle name="Normal 6 9 3" xfId="28822" xr:uid="{00000000-0005-0000-0000-0000B05B0000}"/>
    <cellStyle name="Normal 60" xfId="3297" xr:uid="{00000000-0005-0000-0000-0000B15B0000}"/>
    <cellStyle name="Normal 60 2" xfId="3298" xr:uid="{00000000-0005-0000-0000-0000B25B0000}"/>
    <cellStyle name="Normal 60 2 2" xfId="4532" xr:uid="{00000000-0005-0000-0000-0000B35B0000}"/>
    <cellStyle name="Normal 60 2 2 2" xfId="12511" xr:uid="{00000000-0005-0000-0000-0000B45B0000}"/>
    <cellStyle name="Normal 60 2 2 2 2" xfId="23799" xr:uid="{00000000-0005-0000-0000-0000B55B0000}"/>
    <cellStyle name="Normal 60 2 2 3" xfId="10517" xr:uid="{00000000-0005-0000-0000-0000B65B0000}"/>
    <cellStyle name="Normal 60 2 2 3 2" xfId="21805" xr:uid="{00000000-0005-0000-0000-0000B75B0000}"/>
    <cellStyle name="Normal 60 2 2 4" xfId="8523" xr:uid="{00000000-0005-0000-0000-0000B85B0000}"/>
    <cellStyle name="Normal 60 2 2 4 2" xfId="19811" xr:uid="{00000000-0005-0000-0000-0000B95B0000}"/>
    <cellStyle name="Normal 60 2 2 5" xfId="6529" xr:uid="{00000000-0005-0000-0000-0000BA5B0000}"/>
    <cellStyle name="Normal 60 2 2 5 2" xfId="17817" xr:uid="{00000000-0005-0000-0000-0000BB5B0000}"/>
    <cellStyle name="Normal 60 2 2 6" xfId="15823" xr:uid="{00000000-0005-0000-0000-0000BC5B0000}"/>
    <cellStyle name="Normal 60 2 3" xfId="11514" xr:uid="{00000000-0005-0000-0000-0000BD5B0000}"/>
    <cellStyle name="Normal 60 2 3 2" xfId="22802" xr:uid="{00000000-0005-0000-0000-0000BE5B0000}"/>
    <cellStyle name="Normal 60 2 4" xfId="9520" xr:uid="{00000000-0005-0000-0000-0000BF5B0000}"/>
    <cellStyle name="Normal 60 2 4 2" xfId="20808" xr:uid="{00000000-0005-0000-0000-0000C05B0000}"/>
    <cellStyle name="Normal 60 2 5" xfId="7526" xr:uid="{00000000-0005-0000-0000-0000C15B0000}"/>
    <cellStyle name="Normal 60 2 5 2" xfId="18814" xr:uid="{00000000-0005-0000-0000-0000C25B0000}"/>
    <cellStyle name="Normal 60 2 6" xfId="5532" xr:uid="{00000000-0005-0000-0000-0000C35B0000}"/>
    <cellStyle name="Normal 60 2 6 2" xfId="16820" xr:uid="{00000000-0005-0000-0000-0000C45B0000}"/>
    <cellStyle name="Normal 60 2 7" xfId="14826" xr:uid="{00000000-0005-0000-0000-0000C55B0000}"/>
    <cellStyle name="Normal 60 2 8" xfId="13510" xr:uid="{00000000-0005-0000-0000-0000C65B0000}"/>
    <cellStyle name="Normal 60 3" xfId="4531" xr:uid="{00000000-0005-0000-0000-0000C75B0000}"/>
    <cellStyle name="Normal 60 3 2" xfId="12510" xr:uid="{00000000-0005-0000-0000-0000C85B0000}"/>
    <cellStyle name="Normal 60 3 2 2" xfId="23798" xr:uid="{00000000-0005-0000-0000-0000C95B0000}"/>
    <cellStyle name="Normal 60 3 3" xfId="10516" xr:uid="{00000000-0005-0000-0000-0000CA5B0000}"/>
    <cellStyle name="Normal 60 3 3 2" xfId="21804" xr:uid="{00000000-0005-0000-0000-0000CB5B0000}"/>
    <cellStyle name="Normal 60 3 4" xfId="8522" xr:uid="{00000000-0005-0000-0000-0000CC5B0000}"/>
    <cellStyle name="Normal 60 3 4 2" xfId="19810" xr:uid="{00000000-0005-0000-0000-0000CD5B0000}"/>
    <cellStyle name="Normal 60 3 5" xfId="6528" xr:uid="{00000000-0005-0000-0000-0000CE5B0000}"/>
    <cellStyle name="Normal 60 3 5 2" xfId="17816" xr:uid="{00000000-0005-0000-0000-0000CF5B0000}"/>
    <cellStyle name="Normal 60 3 6" xfId="15822" xr:uid="{00000000-0005-0000-0000-0000D05B0000}"/>
    <cellStyle name="Normal 60 4" xfId="11513" xr:uid="{00000000-0005-0000-0000-0000D15B0000}"/>
    <cellStyle name="Normal 60 4 2" xfId="22801" xr:uid="{00000000-0005-0000-0000-0000D25B0000}"/>
    <cellStyle name="Normal 60 5" xfId="9519" xr:uid="{00000000-0005-0000-0000-0000D35B0000}"/>
    <cellStyle name="Normal 60 5 2" xfId="20807" xr:uid="{00000000-0005-0000-0000-0000D45B0000}"/>
    <cellStyle name="Normal 60 6" xfId="7525" xr:uid="{00000000-0005-0000-0000-0000D55B0000}"/>
    <cellStyle name="Normal 60 6 2" xfId="18813" xr:uid="{00000000-0005-0000-0000-0000D65B0000}"/>
    <cellStyle name="Normal 60 7" xfId="5531" xr:uid="{00000000-0005-0000-0000-0000D75B0000}"/>
    <cellStyle name="Normal 60 7 2" xfId="16819" xr:uid="{00000000-0005-0000-0000-0000D85B0000}"/>
    <cellStyle name="Normal 60 8" xfId="14825" xr:uid="{00000000-0005-0000-0000-0000D95B0000}"/>
    <cellStyle name="Normal 60 9" xfId="13509" xr:uid="{00000000-0005-0000-0000-0000DA5B0000}"/>
    <cellStyle name="Normal 604" xfId="25794" xr:uid="{00000000-0005-0000-0000-0000DB5B0000}"/>
    <cellStyle name="Normal 61" xfId="3299" xr:uid="{00000000-0005-0000-0000-0000DC5B0000}"/>
    <cellStyle name="Normal 61 2" xfId="4533" xr:uid="{00000000-0005-0000-0000-0000DD5B0000}"/>
    <cellStyle name="Normal 61 2 2" xfId="12512" xr:uid="{00000000-0005-0000-0000-0000DE5B0000}"/>
    <cellStyle name="Normal 61 2 2 2" xfId="23800" xr:uid="{00000000-0005-0000-0000-0000DF5B0000}"/>
    <cellStyle name="Normal 61 2 3" xfId="10518" xr:uid="{00000000-0005-0000-0000-0000E05B0000}"/>
    <cellStyle name="Normal 61 2 3 2" xfId="21806" xr:uid="{00000000-0005-0000-0000-0000E15B0000}"/>
    <cellStyle name="Normal 61 2 4" xfId="8524" xr:uid="{00000000-0005-0000-0000-0000E25B0000}"/>
    <cellStyle name="Normal 61 2 4 2" xfId="19812" xr:uid="{00000000-0005-0000-0000-0000E35B0000}"/>
    <cellStyle name="Normal 61 2 5" xfId="6530" xr:uid="{00000000-0005-0000-0000-0000E45B0000}"/>
    <cellStyle name="Normal 61 2 5 2" xfId="17818" xr:uid="{00000000-0005-0000-0000-0000E55B0000}"/>
    <cellStyle name="Normal 61 2 6" xfId="15824" xr:uid="{00000000-0005-0000-0000-0000E65B0000}"/>
    <cellStyle name="Normal 61 3" xfId="11515" xr:uid="{00000000-0005-0000-0000-0000E75B0000}"/>
    <cellStyle name="Normal 61 3 2" xfId="22803" xr:uid="{00000000-0005-0000-0000-0000E85B0000}"/>
    <cellStyle name="Normal 61 4" xfId="9521" xr:uid="{00000000-0005-0000-0000-0000E95B0000}"/>
    <cellStyle name="Normal 61 4 2" xfId="20809" xr:uid="{00000000-0005-0000-0000-0000EA5B0000}"/>
    <cellStyle name="Normal 61 5" xfId="7527" xr:uid="{00000000-0005-0000-0000-0000EB5B0000}"/>
    <cellStyle name="Normal 61 5 2" xfId="18815" xr:uid="{00000000-0005-0000-0000-0000EC5B0000}"/>
    <cellStyle name="Normal 61 6" xfId="5533" xr:uid="{00000000-0005-0000-0000-0000ED5B0000}"/>
    <cellStyle name="Normal 61 6 2" xfId="16821" xr:uid="{00000000-0005-0000-0000-0000EE5B0000}"/>
    <cellStyle name="Normal 61 7" xfId="14827" xr:uid="{00000000-0005-0000-0000-0000EF5B0000}"/>
    <cellStyle name="Normal 61 8" xfId="13511" xr:uid="{00000000-0005-0000-0000-0000F05B0000}"/>
    <cellStyle name="Normal 62" xfId="3300" xr:uid="{00000000-0005-0000-0000-0000F15B0000}"/>
    <cellStyle name="Normal 62 2" xfId="4534" xr:uid="{00000000-0005-0000-0000-0000F25B0000}"/>
    <cellStyle name="Normal 62 2 2" xfId="12513" xr:uid="{00000000-0005-0000-0000-0000F35B0000}"/>
    <cellStyle name="Normal 62 2 2 2" xfId="23801" xr:uid="{00000000-0005-0000-0000-0000F45B0000}"/>
    <cellStyle name="Normal 62 2 3" xfId="10519" xr:uid="{00000000-0005-0000-0000-0000F55B0000}"/>
    <cellStyle name="Normal 62 2 3 2" xfId="21807" xr:uid="{00000000-0005-0000-0000-0000F65B0000}"/>
    <cellStyle name="Normal 62 2 4" xfId="8525" xr:uid="{00000000-0005-0000-0000-0000F75B0000}"/>
    <cellStyle name="Normal 62 2 4 2" xfId="19813" xr:uid="{00000000-0005-0000-0000-0000F85B0000}"/>
    <cellStyle name="Normal 62 2 5" xfId="6531" xr:uid="{00000000-0005-0000-0000-0000F95B0000}"/>
    <cellStyle name="Normal 62 2 5 2" xfId="17819" xr:uid="{00000000-0005-0000-0000-0000FA5B0000}"/>
    <cellStyle name="Normal 62 2 6" xfId="15825" xr:uid="{00000000-0005-0000-0000-0000FB5B0000}"/>
    <cellStyle name="Normal 62 3" xfId="11516" xr:uid="{00000000-0005-0000-0000-0000FC5B0000}"/>
    <cellStyle name="Normal 62 3 2" xfId="22804" xr:uid="{00000000-0005-0000-0000-0000FD5B0000}"/>
    <cellStyle name="Normal 62 4" xfId="9522" xr:uid="{00000000-0005-0000-0000-0000FE5B0000}"/>
    <cellStyle name="Normal 62 4 2" xfId="20810" xr:uid="{00000000-0005-0000-0000-0000FF5B0000}"/>
    <cellStyle name="Normal 62 5" xfId="7528" xr:uid="{00000000-0005-0000-0000-0000005C0000}"/>
    <cellStyle name="Normal 62 5 2" xfId="18816" xr:uid="{00000000-0005-0000-0000-0000015C0000}"/>
    <cellStyle name="Normal 62 6" xfId="5534" xr:uid="{00000000-0005-0000-0000-0000025C0000}"/>
    <cellStyle name="Normal 62 6 2" xfId="16822" xr:uid="{00000000-0005-0000-0000-0000035C0000}"/>
    <cellStyle name="Normal 62 7" xfId="14828" xr:uid="{00000000-0005-0000-0000-0000045C0000}"/>
    <cellStyle name="Normal 62 8" xfId="13512" xr:uid="{00000000-0005-0000-0000-0000055C0000}"/>
    <cellStyle name="Normal 63" xfId="3301" xr:uid="{00000000-0005-0000-0000-0000065C0000}"/>
    <cellStyle name="Normal 63 2" xfId="4535" xr:uid="{00000000-0005-0000-0000-0000075C0000}"/>
    <cellStyle name="Normal 63 2 2" xfId="12514" xr:uid="{00000000-0005-0000-0000-0000085C0000}"/>
    <cellStyle name="Normal 63 2 2 2" xfId="23802" xr:uid="{00000000-0005-0000-0000-0000095C0000}"/>
    <cellStyle name="Normal 63 2 3" xfId="10520" xr:uid="{00000000-0005-0000-0000-00000A5C0000}"/>
    <cellStyle name="Normal 63 2 3 2" xfId="21808" xr:uid="{00000000-0005-0000-0000-00000B5C0000}"/>
    <cellStyle name="Normal 63 2 4" xfId="8526" xr:uid="{00000000-0005-0000-0000-00000C5C0000}"/>
    <cellStyle name="Normal 63 2 4 2" xfId="19814" xr:uid="{00000000-0005-0000-0000-00000D5C0000}"/>
    <cellStyle name="Normal 63 2 5" xfId="6532" xr:uid="{00000000-0005-0000-0000-00000E5C0000}"/>
    <cellStyle name="Normal 63 2 5 2" xfId="17820" xr:uid="{00000000-0005-0000-0000-00000F5C0000}"/>
    <cellStyle name="Normal 63 2 6" xfId="15826" xr:uid="{00000000-0005-0000-0000-0000105C0000}"/>
    <cellStyle name="Normal 63 3" xfId="11517" xr:uid="{00000000-0005-0000-0000-0000115C0000}"/>
    <cellStyle name="Normal 63 3 2" xfId="22805" xr:uid="{00000000-0005-0000-0000-0000125C0000}"/>
    <cellStyle name="Normal 63 4" xfId="9523" xr:uid="{00000000-0005-0000-0000-0000135C0000}"/>
    <cellStyle name="Normal 63 4 2" xfId="20811" xr:uid="{00000000-0005-0000-0000-0000145C0000}"/>
    <cellStyle name="Normal 63 5" xfId="7529" xr:uid="{00000000-0005-0000-0000-0000155C0000}"/>
    <cellStyle name="Normal 63 5 2" xfId="18817" xr:uid="{00000000-0005-0000-0000-0000165C0000}"/>
    <cellStyle name="Normal 63 6" xfId="5535" xr:uid="{00000000-0005-0000-0000-0000175C0000}"/>
    <cellStyle name="Normal 63 6 2" xfId="16823" xr:uid="{00000000-0005-0000-0000-0000185C0000}"/>
    <cellStyle name="Normal 63 7" xfId="14829" xr:uid="{00000000-0005-0000-0000-0000195C0000}"/>
    <cellStyle name="Normal 63 8" xfId="13513" xr:uid="{00000000-0005-0000-0000-00001A5C0000}"/>
    <cellStyle name="Normal 64" xfId="3302" xr:uid="{00000000-0005-0000-0000-00001B5C0000}"/>
    <cellStyle name="Normal 64 2" xfId="4536" xr:uid="{00000000-0005-0000-0000-00001C5C0000}"/>
    <cellStyle name="Normal 64 2 2" xfId="12515" xr:uid="{00000000-0005-0000-0000-00001D5C0000}"/>
    <cellStyle name="Normal 64 2 2 2" xfId="23803" xr:uid="{00000000-0005-0000-0000-00001E5C0000}"/>
    <cellStyle name="Normal 64 2 3" xfId="10521" xr:uid="{00000000-0005-0000-0000-00001F5C0000}"/>
    <cellStyle name="Normal 64 2 3 2" xfId="21809" xr:uid="{00000000-0005-0000-0000-0000205C0000}"/>
    <cellStyle name="Normal 64 2 4" xfId="8527" xr:uid="{00000000-0005-0000-0000-0000215C0000}"/>
    <cellStyle name="Normal 64 2 4 2" xfId="19815" xr:uid="{00000000-0005-0000-0000-0000225C0000}"/>
    <cellStyle name="Normal 64 2 5" xfId="6533" xr:uid="{00000000-0005-0000-0000-0000235C0000}"/>
    <cellStyle name="Normal 64 2 5 2" xfId="17821" xr:uid="{00000000-0005-0000-0000-0000245C0000}"/>
    <cellStyle name="Normal 64 2 6" xfId="15827" xr:uid="{00000000-0005-0000-0000-0000255C0000}"/>
    <cellStyle name="Normal 64 3" xfId="11518" xr:uid="{00000000-0005-0000-0000-0000265C0000}"/>
    <cellStyle name="Normal 64 3 2" xfId="22806" xr:uid="{00000000-0005-0000-0000-0000275C0000}"/>
    <cellStyle name="Normal 64 4" xfId="9524" xr:uid="{00000000-0005-0000-0000-0000285C0000}"/>
    <cellStyle name="Normal 64 4 2" xfId="20812" xr:uid="{00000000-0005-0000-0000-0000295C0000}"/>
    <cellStyle name="Normal 64 5" xfId="7530" xr:uid="{00000000-0005-0000-0000-00002A5C0000}"/>
    <cellStyle name="Normal 64 5 2" xfId="18818" xr:uid="{00000000-0005-0000-0000-00002B5C0000}"/>
    <cellStyle name="Normal 64 6" xfId="5536" xr:uid="{00000000-0005-0000-0000-00002C5C0000}"/>
    <cellStyle name="Normal 64 6 2" xfId="16824" xr:uid="{00000000-0005-0000-0000-00002D5C0000}"/>
    <cellStyle name="Normal 64 7" xfId="14830" xr:uid="{00000000-0005-0000-0000-00002E5C0000}"/>
    <cellStyle name="Normal 64 8" xfId="13514" xr:uid="{00000000-0005-0000-0000-00002F5C0000}"/>
    <cellStyle name="Normal 65" xfId="3303" xr:uid="{00000000-0005-0000-0000-0000305C0000}"/>
    <cellStyle name="Normal 65 2" xfId="4537" xr:uid="{00000000-0005-0000-0000-0000315C0000}"/>
    <cellStyle name="Normal 65 2 2" xfId="12516" xr:uid="{00000000-0005-0000-0000-0000325C0000}"/>
    <cellStyle name="Normal 65 2 2 2" xfId="23804" xr:uid="{00000000-0005-0000-0000-0000335C0000}"/>
    <cellStyle name="Normal 65 2 3" xfId="10522" xr:uid="{00000000-0005-0000-0000-0000345C0000}"/>
    <cellStyle name="Normal 65 2 3 2" xfId="21810" xr:uid="{00000000-0005-0000-0000-0000355C0000}"/>
    <cellStyle name="Normal 65 2 4" xfId="8528" xr:uid="{00000000-0005-0000-0000-0000365C0000}"/>
    <cellStyle name="Normal 65 2 4 2" xfId="19816" xr:uid="{00000000-0005-0000-0000-0000375C0000}"/>
    <cellStyle name="Normal 65 2 5" xfId="6534" xr:uid="{00000000-0005-0000-0000-0000385C0000}"/>
    <cellStyle name="Normal 65 2 5 2" xfId="17822" xr:uid="{00000000-0005-0000-0000-0000395C0000}"/>
    <cellStyle name="Normal 65 2 6" xfId="15828" xr:uid="{00000000-0005-0000-0000-00003A5C0000}"/>
    <cellStyle name="Normal 65 3" xfId="11519" xr:uid="{00000000-0005-0000-0000-00003B5C0000}"/>
    <cellStyle name="Normal 65 3 2" xfId="22807" xr:uid="{00000000-0005-0000-0000-00003C5C0000}"/>
    <cellStyle name="Normal 65 4" xfId="9525" xr:uid="{00000000-0005-0000-0000-00003D5C0000}"/>
    <cellStyle name="Normal 65 4 2" xfId="20813" xr:uid="{00000000-0005-0000-0000-00003E5C0000}"/>
    <cellStyle name="Normal 65 5" xfId="7531" xr:uid="{00000000-0005-0000-0000-00003F5C0000}"/>
    <cellStyle name="Normal 65 5 2" xfId="18819" xr:uid="{00000000-0005-0000-0000-0000405C0000}"/>
    <cellStyle name="Normal 65 6" xfId="5537" xr:uid="{00000000-0005-0000-0000-0000415C0000}"/>
    <cellStyle name="Normal 65 6 2" xfId="16825" xr:uid="{00000000-0005-0000-0000-0000425C0000}"/>
    <cellStyle name="Normal 65 7" xfId="14831" xr:uid="{00000000-0005-0000-0000-0000435C0000}"/>
    <cellStyle name="Normal 65 8" xfId="13515" xr:uid="{00000000-0005-0000-0000-0000445C0000}"/>
    <cellStyle name="Normal 66" xfId="3304" xr:uid="{00000000-0005-0000-0000-0000455C0000}"/>
    <cellStyle name="Normal 66 2" xfId="3305" xr:uid="{00000000-0005-0000-0000-0000465C0000}"/>
    <cellStyle name="Normal 66 2 2" xfId="4539" xr:uid="{00000000-0005-0000-0000-0000475C0000}"/>
    <cellStyle name="Normal 66 2 2 2" xfId="12518" xr:uid="{00000000-0005-0000-0000-0000485C0000}"/>
    <cellStyle name="Normal 66 2 2 2 2" xfId="23806" xr:uid="{00000000-0005-0000-0000-0000495C0000}"/>
    <cellStyle name="Normal 66 2 2 3" xfId="10524" xr:uid="{00000000-0005-0000-0000-00004A5C0000}"/>
    <cellStyle name="Normal 66 2 2 3 2" xfId="21812" xr:uid="{00000000-0005-0000-0000-00004B5C0000}"/>
    <cellStyle name="Normal 66 2 2 4" xfId="8530" xr:uid="{00000000-0005-0000-0000-00004C5C0000}"/>
    <cellStyle name="Normal 66 2 2 4 2" xfId="19818" xr:uid="{00000000-0005-0000-0000-00004D5C0000}"/>
    <cellStyle name="Normal 66 2 2 5" xfId="6536" xr:uid="{00000000-0005-0000-0000-00004E5C0000}"/>
    <cellStyle name="Normal 66 2 2 5 2" xfId="17824" xr:uid="{00000000-0005-0000-0000-00004F5C0000}"/>
    <cellStyle name="Normal 66 2 2 6" xfId="15830" xr:uid="{00000000-0005-0000-0000-0000505C0000}"/>
    <cellStyle name="Normal 66 2 3" xfId="11521" xr:uid="{00000000-0005-0000-0000-0000515C0000}"/>
    <cellStyle name="Normal 66 2 3 2" xfId="22809" xr:uid="{00000000-0005-0000-0000-0000525C0000}"/>
    <cellStyle name="Normal 66 2 4" xfId="9527" xr:uid="{00000000-0005-0000-0000-0000535C0000}"/>
    <cellStyle name="Normal 66 2 4 2" xfId="20815" xr:uid="{00000000-0005-0000-0000-0000545C0000}"/>
    <cellStyle name="Normal 66 2 5" xfId="7533" xr:uid="{00000000-0005-0000-0000-0000555C0000}"/>
    <cellStyle name="Normal 66 2 5 2" xfId="18821" xr:uid="{00000000-0005-0000-0000-0000565C0000}"/>
    <cellStyle name="Normal 66 2 6" xfId="5539" xr:uid="{00000000-0005-0000-0000-0000575C0000}"/>
    <cellStyle name="Normal 66 2 6 2" xfId="16827" xr:uid="{00000000-0005-0000-0000-0000585C0000}"/>
    <cellStyle name="Normal 66 2 7" xfId="14833" xr:uid="{00000000-0005-0000-0000-0000595C0000}"/>
    <cellStyle name="Normal 66 2 8" xfId="13517" xr:uid="{00000000-0005-0000-0000-00005A5C0000}"/>
    <cellStyle name="Normal 66 3" xfId="4538" xr:uid="{00000000-0005-0000-0000-00005B5C0000}"/>
    <cellStyle name="Normal 66 3 2" xfId="12517" xr:uid="{00000000-0005-0000-0000-00005C5C0000}"/>
    <cellStyle name="Normal 66 3 2 2" xfId="23805" xr:uid="{00000000-0005-0000-0000-00005D5C0000}"/>
    <cellStyle name="Normal 66 3 3" xfId="10523" xr:uid="{00000000-0005-0000-0000-00005E5C0000}"/>
    <cellStyle name="Normal 66 3 3 2" xfId="21811" xr:uid="{00000000-0005-0000-0000-00005F5C0000}"/>
    <cellStyle name="Normal 66 3 4" xfId="8529" xr:uid="{00000000-0005-0000-0000-0000605C0000}"/>
    <cellStyle name="Normal 66 3 4 2" xfId="19817" xr:uid="{00000000-0005-0000-0000-0000615C0000}"/>
    <cellStyle name="Normal 66 3 5" xfId="6535" xr:uid="{00000000-0005-0000-0000-0000625C0000}"/>
    <cellStyle name="Normal 66 3 5 2" xfId="17823" xr:uid="{00000000-0005-0000-0000-0000635C0000}"/>
    <cellStyle name="Normal 66 3 6" xfId="15829" xr:uid="{00000000-0005-0000-0000-0000645C0000}"/>
    <cellStyle name="Normal 66 4" xfId="11520" xr:uid="{00000000-0005-0000-0000-0000655C0000}"/>
    <cellStyle name="Normal 66 4 2" xfId="22808" xr:uid="{00000000-0005-0000-0000-0000665C0000}"/>
    <cellStyle name="Normal 66 5" xfId="9526" xr:uid="{00000000-0005-0000-0000-0000675C0000}"/>
    <cellStyle name="Normal 66 5 2" xfId="20814" xr:uid="{00000000-0005-0000-0000-0000685C0000}"/>
    <cellStyle name="Normal 66 6" xfId="7532" xr:uid="{00000000-0005-0000-0000-0000695C0000}"/>
    <cellStyle name="Normal 66 6 2" xfId="18820" xr:uid="{00000000-0005-0000-0000-00006A5C0000}"/>
    <cellStyle name="Normal 66 7" xfId="5538" xr:uid="{00000000-0005-0000-0000-00006B5C0000}"/>
    <cellStyle name="Normal 66 7 2" xfId="16826" xr:uid="{00000000-0005-0000-0000-00006C5C0000}"/>
    <cellStyle name="Normal 66 8" xfId="14832" xr:uid="{00000000-0005-0000-0000-00006D5C0000}"/>
    <cellStyle name="Normal 66 9" xfId="13516" xr:uid="{00000000-0005-0000-0000-00006E5C0000}"/>
    <cellStyle name="Normal 67" xfId="3306" xr:uid="{00000000-0005-0000-0000-00006F5C0000}"/>
    <cellStyle name="Normal 67 2" xfId="4540" xr:uid="{00000000-0005-0000-0000-0000705C0000}"/>
    <cellStyle name="Normal 67 2 2" xfId="12519" xr:uid="{00000000-0005-0000-0000-0000715C0000}"/>
    <cellStyle name="Normal 67 2 2 2" xfId="23807" xr:uid="{00000000-0005-0000-0000-0000725C0000}"/>
    <cellStyle name="Normal 67 2 3" xfId="10525" xr:uid="{00000000-0005-0000-0000-0000735C0000}"/>
    <cellStyle name="Normal 67 2 3 2" xfId="21813" xr:uid="{00000000-0005-0000-0000-0000745C0000}"/>
    <cellStyle name="Normal 67 2 4" xfId="8531" xr:uid="{00000000-0005-0000-0000-0000755C0000}"/>
    <cellStyle name="Normal 67 2 4 2" xfId="19819" xr:uid="{00000000-0005-0000-0000-0000765C0000}"/>
    <cellStyle name="Normal 67 2 5" xfId="6537" xr:uid="{00000000-0005-0000-0000-0000775C0000}"/>
    <cellStyle name="Normal 67 2 5 2" xfId="17825" xr:uid="{00000000-0005-0000-0000-0000785C0000}"/>
    <cellStyle name="Normal 67 2 6" xfId="15831" xr:uid="{00000000-0005-0000-0000-0000795C0000}"/>
    <cellStyle name="Normal 67 3" xfId="11522" xr:uid="{00000000-0005-0000-0000-00007A5C0000}"/>
    <cellStyle name="Normal 67 3 2" xfId="22810" xr:uid="{00000000-0005-0000-0000-00007B5C0000}"/>
    <cellStyle name="Normal 67 4" xfId="9528" xr:uid="{00000000-0005-0000-0000-00007C5C0000}"/>
    <cellStyle name="Normal 67 4 2" xfId="20816" xr:uid="{00000000-0005-0000-0000-00007D5C0000}"/>
    <cellStyle name="Normal 67 5" xfId="7534" xr:uid="{00000000-0005-0000-0000-00007E5C0000}"/>
    <cellStyle name="Normal 67 5 2" xfId="18822" xr:uid="{00000000-0005-0000-0000-00007F5C0000}"/>
    <cellStyle name="Normal 67 6" xfId="5540" xr:uid="{00000000-0005-0000-0000-0000805C0000}"/>
    <cellStyle name="Normal 67 6 2" xfId="16828" xr:uid="{00000000-0005-0000-0000-0000815C0000}"/>
    <cellStyle name="Normal 67 7" xfId="14834" xr:uid="{00000000-0005-0000-0000-0000825C0000}"/>
    <cellStyle name="Normal 67 8" xfId="13518" xr:uid="{00000000-0005-0000-0000-0000835C0000}"/>
    <cellStyle name="Normal 68" xfId="3307" xr:uid="{00000000-0005-0000-0000-0000845C0000}"/>
    <cellStyle name="Normal 68 2" xfId="4541" xr:uid="{00000000-0005-0000-0000-0000855C0000}"/>
    <cellStyle name="Normal 68 2 2" xfId="12520" xr:uid="{00000000-0005-0000-0000-0000865C0000}"/>
    <cellStyle name="Normal 68 2 2 2" xfId="23808" xr:uid="{00000000-0005-0000-0000-0000875C0000}"/>
    <cellStyle name="Normal 68 2 3" xfId="10526" xr:uid="{00000000-0005-0000-0000-0000885C0000}"/>
    <cellStyle name="Normal 68 2 3 2" xfId="21814" xr:uid="{00000000-0005-0000-0000-0000895C0000}"/>
    <cellStyle name="Normal 68 2 4" xfId="8532" xr:uid="{00000000-0005-0000-0000-00008A5C0000}"/>
    <cellStyle name="Normal 68 2 4 2" xfId="19820" xr:uid="{00000000-0005-0000-0000-00008B5C0000}"/>
    <cellStyle name="Normal 68 2 5" xfId="6538" xr:uid="{00000000-0005-0000-0000-00008C5C0000}"/>
    <cellStyle name="Normal 68 2 5 2" xfId="17826" xr:uid="{00000000-0005-0000-0000-00008D5C0000}"/>
    <cellStyle name="Normal 68 2 6" xfId="15832" xr:uid="{00000000-0005-0000-0000-00008E5C0000}"/>
    <cellStyle name="Normal 68 3" xfId="11523" xr:uid="{00000000-0005-0000-0000-00008F5C0000}"/>
    <cellStyle name="Normal 68 3 2" xfId="22811" xr:uid="{00000000-0005-0000-0000-0000905C0000}"/>
    <cellStyle name="Normal 68 4" xfId="9529" xr:uid="{00000000-0005-0000-0000-0000915C0000}"/>
    <cellStyle name="Normal 68 4 2" xfId="20817" xr:uid="{00000000-0005-0000-0000-0000925C0000}"/>
    <cellStyle name="Normal 68 5" xfId="7535" xr:uid="{00000000-0005-0000-0000-0000935C0000}"/>
    <cellStyle name="Normal 68 5 2" xfId="18823" xr:uid="{00000000-0005-0000-0000-0000945C0000}"/>
    <cellStyle name="Normal 68 6" xfId="5541" xr:uid="{00000000-0005-0000-0000-0000955C0000}"/>
    <cellStyle name="Normal 68 6 2" xfId="16829" xr:uid="{00000000-0005-0000-0000-0000965C0000}"/>
    <cellStyle name="Normal 68 7" xfId="14835" xr:uid="{00000000-0005-0000-0000-0000975C0000}"/>
    <cellStyle name="Normal 68 8" xfId="13519" xr:uid="{00000000-0005-0000-0000-0000985C0000}"/>
    <cellStyle name="Normal 69" xfId="3308" xr:uid="{00000000-0005-0000-0000-0000995C0000}"/>
    <cellStyle name="Normal 69 2" xfId="4542" xr:uid="{00000000-0005-0000-0000-00009A5C0000}"/>
    <cellStyle name="Normal 69 2 2" xfId="12521" xr:uid="{00000000-0005-0000-0000-00009B5C0000}"/>
    <cellStyle name="Normal 69 2 2 2" xfId="23809" xr:uid="{00000000-0005-0000-0000-00009C5C0000}"/>
    <cellStyle name="Normal 69 2 3" xfId="10527" xr:uid="{00000000-0005-0000-0000-00009D5C0000}"/>
    <cellStyle name="Normal 69 2 3 2" xfId="21815" xr:uid="{00000000-0005-0000-0000-00009E5C0000}"/>
    <cellStyle name="Normal 69 2 4" xfId="8533" xr:uid="{00000000-0005-0000-0000-00009F5C0000}"/>
    <cellStyle name="Normal 69 2 4 2" xfId="19821" xr:uid="{00000000-0005-0000-0000-0000A05C0000}"/>
    <cellStyle name="Normal 69 2 5" xfId="6539" xr:uid="{00000000-0005-0000-0000-0000A15C0000}"/>
    <cellStyle name="Normal 69 2 5 2" xfId="17827" xr:uid="{00000000-0005-0000-0000-0000A25C0000}"/>
    <cellStyle name="Normal 69 2 6" xfId="15833" xr:uid="{00000000-0005-0000-0000-0000A35C0000}"/>
    <cellStyle name="Normal 69 3" xfId="11524" xr:uid="{00000000-0005-0000-0000-0000A45C0000}"/>
    <cellStyle name="Normal 69 3 2" xfId="22812" xr:uid="{00000000-0005-0000-0000-0000A55C0000}"/>
    <cellStyle name="Normal 69 4" xfId="9530" xr:uid="{00000000-0005-0000-0000-0000A65C0000}"/>
    <cellStyle name="Normal 69 4 2" xfId="20818" xr:uid="{00000000-0005-0000-0000-0000A75C0000}"/>
    <cellStyle name="Normal 69 5" xfId="7536" xr:uid="{00000000-0005-0000-0000-0000A85C0000}"/>
    <cellStyle name="Normal 69 5 2" xfId="18824" xr:uid="{00000000-0005-0000-0000-0000A95C0000}"/>
    <cellStyle name="Normal 69 6" xfId="5542" xr:uid="{00000000-0005-0000-0000-0000AA5C0000}"/>
    <cellStyle name="Normal 69 6 2" xfId="16830" xr:uid="{00000000-0005-0000-0000-0000AB5C0000}"/>
    <cellStyle name="Normal 69 7" xfId="14836" xr:uid="{00000000-0005-0000-0000-0000AC5C0000}"/>
    <cellStyle name="Normal 69 8" xfId="13520" xr:uid="{00000000-0005-0000-0000-0000AD5C0000}"/>
    <cellStyle name="Normal 7" xfId="58" xr:uid="{00000000-0005-0000-0000-0000AE5C0000}"/>
    <cellStyle name="Normal 7 10" xfId="24166" xr:uid="{00000000-0005-0000-0000-0000AF5C0000}"/>
    <cellStyle name="Normal 7 10 2" xfId="29128" xr:uid="{00000000-0005-0000-0000-0000B05C0000}"/>
    <cellStyle name="Normal 7 10 3" xfId="28823" xr:uid="{00000000-0005-0000-0000-0000B15C0000}"/>
    <cellStyle name="Normal 7 11" xfId="24735" xr:uid="{00000000-0005-0000-0000-0000B25C0000}"/>
    <cellStyle name="Normal 7 11 2" xfId="29129" xr:uid="{00000000-0005-0000-0000-0000B35C0000}"/>
    <cellStyle name="Normal 7 11 3" xfId="28824" xr:uid="{00000000-0005-0000-0000-0000B45C0000}"/>
    <cellStyle name="Normal 7 12" xfId="25051" xr:uid="{00000000-0005-0000-0000-0000B55C0000}"/>
    <cellStyle name="Normal 7 12 2" xfId="29130" xr:uid="{00000000-0005-0000-0000-0000B65C0000}"/>
    <cellStyle name="Normal 7 12 3" xfId="28825" xr:uid="{00000000-0005-0000-0000-0000B75C0000}"/>
    <cellStyle name="Normal 7 13" xfId="25775" xr:uid="{00000000-0005-0000-0000-0000B85C0000}"/>
    <cellStyle name="Normal 7 13 2" xfId="29131" xr:uid="{00000000-0005-0000-0000-0000B95C0000}"/>
    <cellStyle name="Normal 7 14" xfId="29167" xr:uid="{00000000-0005-0000-0000-0000BA5C0000}"/>
    <cellStyle name="Normal 7 2" xfId="4543" xr:uid="{00000000-0005-0000-0000-0000BB5C0000}"/>
    <cellStyle name="Normal 7 2 10" xfId="28826" xr:uid="{00000000-0005-0000-0000-0000BC5C0000}"/>
    <cellStyle name="Normal 7 2 2" xfId="12522" xr:uid="{00000000-0005-0000-0000-0000BD5C0000}"/>
    <cellStyle name="Normal 7 2 2 2" xfId="23810" xr:uid="{00000000-0005-0000-0000-0000BE5C0000}"/>
    <cellStyle name="Normal 7 2 2 2 2" xfId="24440" xr:uid="{00000000-0005-0000-0000-0000BF5C0000}"/>
    <cellStyle name="Normal 7 2 2 2 3" xfId="24884" xr:uid="{00000000-0005-0000-0000-0000C05C0000}"/>
    <cellStyle name="Normal 7 2 2 2 4" xfId="25247" xr:uid="{00000000-0005-0000-0000-0000C15C0000}"/>
    <cellStyle name="Normal 7 2 2 3" xfId="24168" xr:uid="{00000000-0005-0000-0000-0000C25C0000}"/>
    <cellStyle name="Normal 7 2 2 4" xfId="24737" xr:uid="{00000000-0005-0000-0000-0000C35C0000}"/>
    <cellStyle name="Normal 7 2 2 5" xfId="25053" xr:uid="{00000000-0005-0000-0000-0000C45C0000}"/>
    <cellStyle name="Normal 7 2 2 6" xfId="29132" xr:uid="{00000000-0005-0000-0000-0000C55C0000}"/>
    <cellStyle name="Normal 7 2 3" xfId="10528" xr:uid="{00000000-0005-0000-0000-0000C65C0000}"/>
    <cellStyle name="Normal 7 2 3 2" xfId="21816" xr:uid="{00000000-0005-0000-0000-0000C75C0000}"/>
    <cellStyle name="Normal 7 2 3 3" xfId="24439" xr:uid="{00000000-0005-0000-0000-0000C85C0000}"/>
    <cellStyle name="Normal 7 2 3 4" xfId="24883" xr:uid="{00000000-0005-0000-0000-0000C95C0000}"/>
    <cellStyle name="Normal 7 2 3 5" xfId="25246" xr:uid="{00000000-0005-0000-0000-0000CA5C0000}"/>
    <cellStyle name="Normal 7 2 4" xfId="8534" xr:uid="{00000000-0005-0000-0000-0000CB5C0000}"/>
    <cellStyle name="Normal 7 2 4 2" xfId="19822" xr:uid="{00000000-0005-0000-0000-0000CC5C0000}"/>
    <cellStyle name="Normal 7 2 5" xfId="6540" xr:uid="{00000000-0005-0000-0000-0000CD5C0000}"/>
    <cellStyle name="Normal 7 2 5 2" xfId="17828" xr:uid="{00000000-0005-0000-0000-0000CE5C0000}"/>
    <cellStyle name="Normal 7 2 6" xfId="15834" xr:uid="{00000000-0005-0000-0000-0000CF5C0000}"/>
    <cellStyle name="Normal 7 2 7" xfId="24167" xr:uid="{00000000-0005-0000-0000-0000D05C0000}"/>
    <cellStyle name="Normal 7 2 8" xfId="24736" xr:uid="{00000000-0005-0000-0000-0000D15C0000}"/>
    <cellStyle name="Normal 7 2 9" xfId="25052" xr:uid="{00000000-0005-0000-0000-0000D25C0000}"/>
    <cellStyle name="Normal 7 3" xfId="11525" xr:uid="{00000000-0005-0000-0000-0000D35C0000}"/>
    <cellStyle name="Normal 7 3 2" xfId="22813" xr:uid="{00000000-0005-0000-0000-0000D45C0000}"/>
    <cellStyle name="Normal 7 3 2 2" xfId="24442" xr:uid="{00000000-0005-0000-0000-0000D55C0000}"/>
    <cellStyle name="Normal 7 3 2 2 2" xfId="24886" xr:uid="{00000000-0005-0000-0000-0000D65C0000}"/>
    <cellStyle name="Normal 7 3 2 2 3" xfId="25249" xr:uid="{00000000-0005-0000-0000-0000D75C0000}"/>
    <cellStyle name="Normal 7 3 2 3" xfId="24170" xr:uid="{00000000-0005-0000-0000-0000D85C0000}"/>
    <cellStyle name="Normal 7 3 2 4" xfId="24739" xr:uid="{00000000-0005-0000-0000-0000D95C0000}"/>
    <cellStyle name="Normal 7 3 2 5" xfId="25055" xr:uid="{00000000-0005-0000-0000-0000DA5C0000}"/>
    <cellStyle name="Normal 7 3 2 6" xfId="29133" xr:uid="{00000000-0005-0000-0000-0000DB5C0000}"/>
    <cellStyle name="Normal 7 3 3" xfId="24441" xr:uid="{00000000-0005-0000-0000-0000DC5C0000}"/>
    <cellStyle name="Normal 7 3 3 2" xfId="24885" xr:uid="{00000000-0005-0000-0000-0000DD5C0000}"/>
    <cellStyle name="Normal 7 3 3 3" xfId="25248" xr:uid="{00000000-0005-0000-0000-0000DE5C0000}"/>
    <cellStyle name="Normal 7 3 4" xfId="24169" xr:uid="{00000000-0005-0000-0000-0000DF5C0000}"/>
    <cellStyle name="Normal 7 3 5" xfId="24738" xr:uid="{00000000-0005-0000-0000-0000E05C0000}"/>
    <cellStyle name="Normal 7 3 6" xfId="25054" xr:uid="{00000000-0005-0000-0000-0000E15C0000}"/>
    <cellStyle name="Normal 7 3 7" xfId="28827" xr:uid="{00000000-0005-0000-0000-0000E25C0000}"/>
    <cellStyle name="Normal 7 4" xfId="9531" xr:uid="{00000000-0005-0000-0000-0000E35C0000}"/>
    <cellStyle name="Normal 7 4 2" xfId="20819" xr:uid="{00000000-0005-0000-0000-0000E45C0000}"/>
    <cellStyle name="Normal 7 4 2 2" xfId="24443" xr:uid="{00000000-0005-0000-0000-0000E55C0000}"/>
    <cellStyle name="Normal 7 4 2 3" xfId="24887" xr:uid="{00000000-0005-0000-0000-0000E65C0000}"/>
    <cellStyle name="Normal 7 4 2 4" xfId="25250" xr:uid="{00000000-0005-0000-0000-0000E75C0000}"/>
    <cellStyle name="Normal 7 4 2 5" xfId="29134" xr:uid="{00000000-0005-0000-0000-0000E85C0000}"/>
    <cellStyle name="Normal 7 4 3" xfId="24171" xr:uid="{00000000-0005-0000-0000-0000E95C0000}"/>
    <cellStyle name="Normal 7 4 4" xfId="24740" xr:uid="{00000000-0005-0000-0000-0000EA5C0000}"/>
    <cellStyle name="Normal 7 4 5" xfId="25056" xr:uid="{00000000-0005-0000-0000-0000EB5C0000}"/>
    <cellStyle name="Normal 7 4 6" xfId="28828" xr:uid="{00000000-0005-0000-0000-0000EC5C0000}"/>
    <cellStyle name="Normal 7 5" xfId="7537" xr:uid="{00000000-0005-0000-0000-0000ED5C0000}"/>
    <cellStyle name="Normal 7 5 2" xfId="18825" xr:uid="{00000000-0005-0000-0000-0000EE5C0000}"/>
    <cellStyle name="Normal 7 5 2 2" xfId="29135" xr:uid="{00000000-0005-0000-0000-0000EF5C0000}"/>
    <cellStyle name="Normal 7 5 3" xfId="24438" xr:uid="{00000000-0005-0000-0000-0000F05C0000}"/>
    <cellStyle name="Normal 7 5 4" xfId="24882" xr:uid="{00000000-0005-0000-0000-0000F15C0000}"/>
    <cellStyle name="Normal 7 5 5" xfId="25245" xr:uid="{00000000-0005-0000-0000-0000F25C0000}"/>
    <cellStyle name="Normal 7 5 6" xfId="28829" xr:uid="{00000000-0005-0000-0000-0000F35C0000}"/>
    <cellStyle name="Normal 7 6" xfId="5543" xr:uid="{00000000-0005-0000-0000-0000F45C0000}"/>
    <cellStyle name="Normal 7 6 2" xfId="16831" xr:uid="{00000000-0005-0000-0000-0000F55C0000}"/>
    <cellStyle name="Normal 7 6 2 2" xfId="29136" xr:uid="{00000000-0005-0000-0000-0000F65C0000}"/>
    <cellStyle name="Normal 7 6 3" xfId="28830" xr:uid="{00000000-0005-0000-0000-0000F75C0000}"/>
    <cellStyle name="Normal 7 7" xfId="3309" xr:uid="{00000000-0005-0000-0000-0000F85C0000}"/>
    <cellStyle name="Normal 7 7 2" xfId="14837" xr:uid="{00000000-0005-0000-0000-0000F95C0000}"/>
    <cellStyle name="Normal 7 7 2 2" xfId="29137" xr:uid="{00000000-0005-0000-0000-0000FA5C0000}"/>
    <cellStyle name="Normal 7 7 3" xfId="28831" xr:uid="{00000000-0005-0000-0000-0000FB5C0000}"/>
    <cellStyle name="Normal 7 8" xfId="13616" xr:uid="{00000000-0005-0000-0000-0000FC5C0000}"/>
    <cellStyle name="Normal 7 8 2" xfId="29138" xr:uid="{00000000-0005-0000-0000-0000FD5C0000}"/>
    <cellStyle name="Normal 7 8 3" xfId="28832" xr:uid="{00000000-0005-0000-0000-0000FE5C0000}"/>
    <cellStyle name="Normal 7 9" xfId="13521" xr:uid="{00000000-0005-0000-0000-0000FF5C0000}"/>
    <cellStyle name="Normal 7 9 2" xfId="29139" xr:uid="{00000000-0005-0000-0000-0000005D0000}"/>
    <cellStyle name="Normal 7 9 3" xfId="28833" xr:uid="{00000000-0005-0000-0000-0000015D0000}"/>
    <cellStyle name="Normal 70" xfId="3310" xr:uid="{00000000-0005-0000-0000-0000025D0000}"/>
    <cellStyle name="Normal 70 2" xfId="4544" xr:uid="{00000000-0005-0000-0000-0000035D0000}"/>
    <cellStyle name="Normal 70 2 2" xfId="12523" xr:uid="{00000000-0005-0000-0000-0000045D0000}"/>
    <cellStyle name="Normal 70 2 2 2" xfId="23811" xr:uid="{00000000-0005-0000-0000-0000055D0000}"/>
    <cellStyle name="Normal 70 2 3" xfId="10529" xr:uid="{00000000-0005-0000-0000-0000065D0000}"/>
    <cellStyle name="Normal 70 2 3 2" xfId="21817" xr:uid="{00000000-0005-0000-0000-0000075D0000}"/>
    <cellStyle name="Normal 70 2 4" xfId="8535" xr:uid="{00000000-0005-0000-0000-0000085D0000}"/>
    <cellStyle name="Normal 70 2 4 2" xfId="19823" xr:uid="{00000000-0005-0000-0000-0000095D0000}"/>
    <cellStyle name="Normal 70 2 5" xfId="6541" xr:uid="{00000000-0005-0000-0000-00000A5D0000}"/>
    <cellStyle name="Normal 70 2 5 2" xfId="17829" xr:uid="{00000000-0005-0000-0000-00000B5D0000}"/>
    <cellStyle name="Normal 70 2 6" xfId="15835" xr:uid="{00000000-0005-0000-0000-00000C5D0000}"/>
    <cellStyle name="Normal 70 3" xfId="11526" xr:uid="{00000000-0005-0000-0000-00000D5D0000}"/>
    <cellStyle name="Normal 70 3 2" xfId="22814" xr:uid="{00000000-0005-0000-0000-00000E5D0000}"/>
    <cellStyle name="Normal 70 4" xfId="9532" xr:uid="{00000000-0005-0000-0000-00000F5D0000}"/>
    <cellStyle name="Normal 70 4 2" xfId="20820" xr:uid="{00000000-0005-0000-0000-0000105D0000}"/>
    <cellStyle name="Normal 70 5" xfId="7538" xr:uid="{00000000-0005-0000-0000-0000115D0000}"/>
    <cellStyle name="Normal 70 5 2" xfId="18826" xr:uid="{00000000-0005-0000-0000-0000125D0000}"/>
    <cellStyle name="Normal 70 6" xfId="5544" xr:uid="{00000000-0005-0000-0000-0000135D0000}"/>
    <cellStyle name="Normal 70 6 2" xfId="16832" xr:uid="{00000000-0005-0000-0000-0000145D0000}"/>
    <cellStyle name="Normal 70 7" xfId="14838" xr:uid="{00000000-0005-0000-0000-0000155D0000}"/>
    <cellStyle name="Normal 70 8" xfId="13522" xr:uid="{00000000-0005-0000-0000-0000165D0000}"/>
    <cellStyle name="Normal 71" xfId="3311" xr:uid="{00000000-0005-0000-0000-0000175D0000}"/>
    <cellStyle name="Normal 71 2" xfId="4545" xr:uid="{00000000-0005-0000-0000-0000185D0000}"/>
    <cellStyle name="Normal 71 2 2" xfId="12524" xr:uid="{00000000-0005-0000-0000-0000195D0000}"/>
    <cellStyle name="Normal 71 2 2 2" xfId="23812" xr:uid="{00000000-0005-0000-0000-00001A5D0000}"/>
    <cellStyle name="Normal 71 2 3" xfId="10530" xr:uid="{00000000-0005-0000-0000-00001B5D0000}"/>
    <cellStyle name="Normal 71 2 3 2" xfId="21818" xr:uid="{00000000-0005-0000-0000-00001C5D0000}"/>
    <cellStyle name="Normal 71 2 4" xfId="8536" xr:uid="{00000000-0005-0000-0000-00001D5D0000}"/>
    <cellStyle name="Normal 71 2 4 2" xfId="19824" xr:uid="{00000000-0005-0000-0000-00001E5D0000}"/>
    <cellStyle name="Normal 71 2 5" xfId="6542" xr:uid="{00000000-0005-0000-0000-00001F5D0000}"/>
    <cellStyle name="Normal 71 2 5 2" xfId="17830" xr:uid="{00000000-0005-0000-0000-0000205D0000}"/>
    <cellStyle name="Normal 71 2 6" xfId="15836" xr:uid="{00000000-0005-0000-0000-0000215D0000}"/>
    <cellStyle name="Normal 71 3" xfId="11527" xr:uid="{00000000-0005-0000-0000-0000225D0000}"/>
    <cellStyle name="Normal 71 3 2" xfId="22815" xr:uid="{00000000-0005-0000-0000-0000235D0000}"/>
    <cellStyle name="Normal 71 4" xfId="9533" xr:uid="{00000000-0005-0000-0000-0000245D0000}"/>
    <cellStyle name="Normal 71 4 2" xfId="20821" xr:uid="{00000000-0005-0000-0000-0000255D0000}"/>
    <cellStyle name="Normal 71 5" xfId="7539" xr:uid="{00000000-0005-0000-0000-0000265D0000}"/>
    <cellStyle name="Normal 71 5 2" xfId="18827" xr:uid="{00000000-0005-0000-0000-0000275D0000}"/>
    <cellStyle name="Normal 71 6" xfId="5545" xr:uid="{00000000-0005-0000-0000-0000285D0000}"/>
    <cellStyle name="Normal 71 6 2" xfId="16833" xr:uid="{00000000-0005-0000-0000-0000295D0000}"/>
    <cellStyle name="Normal 71 7" xfId="14839" xr:uid="{00000000-0005-0000-0000-00002A5D0000}"/>
    <cellStyle name="Normal 71 8" xfId="13523" xr:uid="{00000000-0005-0000-0000-00002B5D0000}"/>
    <cellStyle name="Normal 72" xfId="665" xr:uid="{00000000-0005-0000-0000-00002C5D0000}"/>
    <cellStyle name="Normal 72 2" xfId="13915" xr:uid="{00000000-0005-0000-0000-00002D5D0000}"/>
    <cellStyle name="Normal 72 2 2" xfId="26684" xr:uid="{00000000-0005-0000-0000-00002E5D0000}"/>
    <cellStyle name="Normal 72 3" xfId="13597" xr:uid="{00000000-0005-0000-0000-00002F5D0000}"/>
    <cellStyle name="Normal 72 4" xfId="26054" xr:uid="{00000000-0005-0000-0000-0000305D0000}"/>
    <cellStyle name="Normal 73" xfId="23888" xr:uid="{00000000-0005-0000-0000-0000315D0000}"/>
    <cellStyle name="Normal 74" xfId="23893" xr:uid="{00000000-0005-0000-0000-0000325D0000}"/>
    <cellStyle name="Normal 75" xfId="12598" xr:uid="{00000000-0005-0000-0000-0000335D0000}"/>
    <cellStyle name="Normal 75 2" xfId="26519" xr:uid="{00000000-0005-0000-0000-0000345D0000}"/>
    <cellStyle name="Normal 76" xfId="23900" xr:uid="{00000000-0005-0000-0000-0000355D0000}"/>
    <cellStyle name="Normal 76 2" xfId="27029" xr:uid="{00000000-0005-0000-0000-0000365D0000}"/>
    <cellStyle name="Normal 77" xfId="23901" xr:uid="{00000000-0005-0000-0000-0000375D0000}"/>
    <cellStyle name="Normal 77 2" xfId="27030" xr:uid="{00000000-0005-0000-0000-0000385D0000}"/>
    <cellStyle name="Normal 78" xfId="23902" xr:uid="{00000000-0005-0000-0000-0000395D0000}"/>
    <cellStyle name="Normal 78 2" xfId="27031" xr:uid="{00000000-0005-0000-0000-00003A5D0000}"/>
    <cellStyle name="Normal 79" xfId="24543" xr:uid="{00000000-0005-0000-0000-00003B5D0000}"/>
    <cellStyle name="Normal 79 2" xfId="27217" xr:uid="{00000000-0005-0000-0000-00003C5D0000}"/>
    <cellStyle name="Normal 8" xfId="59" xr:uid="{00000000-0005-0000-0000-00003D5D0000}"/>
    <cellStyle name="Normal 8 10" xfId="24172" xr:uid="{00000000-0005-0000-0000-00003E5D0000}"/>
    <cellStyle name="Normal 8 10 2" xfId="29140" xr:uid="{00000000-0005-0000-0000-00003F5D0000}"/>
    <cellStyle name="Normal 8 10 3" xfId="28834" xr:uid="{00000000-0005-0000-0000-0000405D0000}"/>
    <cellStyle name="Normal 8 11" xfId="24741" xr:uid="{00000000-0005-0000-0000-0000415D0000}"/>
    <cellStyle name="Normal 8 11 2" xfId="29141" xr:uid="{00000000-0005-0000-0000-0000425D0000}"/>
    <cellStyle name="Normal 8 11 3" xfId="28835" xr:uid="{00000000-0005-0000-0000-0000435D0000}"/>
    <cellStyle name="Normal 8 12" xfId="25057" xr:uid="{00000000-0005-0000-0000-0000445D0000}"/>
    <cellStyle name="Normal 8 12 2" xfId="29142" xr:uid="{00000000-0005-0000-0000-0000455D0000}"/>
    <cellStyle name="Normal 8 12 3" xfId="28836" xr:uid="{00000000-0005-0000-0000-0000465D0000}"/>
    <cellStyle name="Normal 8 13" xfId="25776" xr:uid="{00000000-0005-0000-0000-0000475D0000}"/>
    <cellStyle name="Normal 8 13 2" xfId="29143" xr:uid="{00000000-0005-0000-0000-0000485D0000}"/>
    <cellStyle name="Normal 8 14" xfId="29168" xr:uid="{00000000-0005-0000-0000-0000495D0000}"/>
    <cellStyle name="Normal 8 2" xfId="4546" xr:uid="{00000000-0005-0000-0000-00004A5D0000}"/>
    <cellStyle name="Normal 8 2 10" xfId="28837" xr:uid="{00000000-0005-0000-0000-00004B5D0000}"/>
    <cellStyle name="Normal 8 2 2" xfId="12525" xr:uid="{00000000-0005-0000-0000-00004C5D0000}"/>
    <cellStyle name="Normal 8 2 2 2" xfId="23813" xr:uid="{00000000-0005-0000-0000-00004D5D0000}"/>
    <cellStyle name="Normal 8 2 2 2 2" xfId="24446" xr:uid="{00000000-0005-0000-0000-00004E5D0000}"/>
    <cellStyle name="Normal 8 2 2 2 3" xfId="24890" xr:uid="{00000000-0005-0000-0000-00004F5D0000}"/>
    <cellStyle name="Normal 8 2 2 2 4" xfId="25253" xr:uid="{00000000-0005-0000-0000-0000505D0000}"/>
    <cellStyle name="Normal 8 2 2 3" xfId="24174" xr:uid="{00000000-0005-0000-0000-0000515D0000}"/>
    <cellStyle name="Normal 8 2 2 4" xfId="24743" xr:uid="{00000000-0005-0000-0000-0000525D0000}"/>
    <cellStyle name="Normal 8 2 2 5" xfId="25059" xr:uid="{00000000-0005-0000-0000-0000535D0000}"/>
    <cellStyle name="Normal 8 2 2 6" xfId="29144" xr:uid="{00000000-0005-0000-0000-0000545D0000}"/>
    <cellStyle name="Normal 8 2 3" xfId="10531" xr:uid="{00000000-0005-0000-0000-0000555D0000}"/>
    <cellStyle name="Normal 8 2 3 2" xfId="21819" xr:uid="{00000000-0005-0000-0000-0000565D0000}"/>
    <cellStyle name="Normal 8 2 3 3" xfId="24445" xr:uid="{00000000-0005-0000-0000-0000575D0000}"/>
    <cellStyle name="Normal 8 2 3 4" xfId="24889" xr:uid="{00000000-0005-0000-0000-0000585D0000}"/>
    <cellStyle name="Normal 8 2 3 5" xfId="25252" xr:uid="{00000000-0005-0000-0000-0000595D0000}"/>
    <cellStyle name="Normal 8 2 4" xfId="8537" xr:uid="{00000000-0005-0000-0000-00005A5D0000}"/>
    <cellStyle name="Normal 8 2 4 2" xfId="19825" xr:uid="{00000000-0005-0000-0000-00005B5D0000}"/>
    <cellStyle name="Normal 8 2 5" xfId="6543" xr:uid="{00000000-0005-0000-0000-00005C5D0000}"/>
    <cellStyle name="Normal 8 2 5 2" xfId="17831" xr:uid="{00000000-0005-0000-0000-00005D5D0000}"/>
    <cellStyle name="Normal 8 2 6" xfId="15837" xr:uid="{00000000-0005-0000-0000-00005E5D0000}"/>
    <cellStyle name="Normal 8 2 7" xfId="24173" xr:uid="{00000000-0005-0000-0000-00005F5D0000}"/>
    <cellStyle name="Normal 8 2 8" xfId="24742" xr:uid="{00000000-0005-0000-0000-0000605D0000}"/>
    <cellStyle name="Normal 8 2 9" xfId="25058" xr:uid="{00000000-0005-0000-0000-0000615D0000}"/>
    <cellStyle name="Normal 8 3" xfId="11528" xr:uid="{00000000-0005-0000-0000-0000625D0000}"/>
    <cellStyle name="Normal 8 3 2" xfId="22816" xr:uid="{00000000-0005-0000-0000-0000635D0000}"/>
    <cellStyle name="Normal 8 3 2 2" xfId="24448" xr:uid="{00000000-0005-0000-0000-0000645D0000}"/>
    <cellStyle name="Normal 8 3 2 2 2" xfId="24892" xr:uid="{00000000-0005-0000-0000-0000655D0000}"/>
    <cellStyle name="Normal 8 3 2 2 3" xfId="25255" xr:uid="{00000000-0005-0000-0000-0000665D0000}"/>
    <cellStyle name="Normal 8 3 2 3" xfId="24176" xr:uid="{00000000-0005-0000-0000-0000675D0000}"/>
    <cellStyle name="Normal 8 3 2 4" xfId="24745" xr:uid="{00000000-0005-0000-0000-0000685D0000}"/>
    <cellStyle name="Normal 8 3 2 5" xfId="25061" xr:uid="{00000000-0005-0000-0000-0000695D0000}"/>
    <cellStyle name="Normal 8 3 2 6" xfId="29145" xr:uid="{00000000-0005-0000-0000-00006A5D0000}"/>
    <cellStyle name="Normal 8 3 3" xfId="24447" xr:uid="{00000000-0005-0000-0000-00006B5D0000}"/>
    <cellStyle name="Normal 8 3 3 2" xfId="24891" xr:uid="{00000000-0005-0000-0000-00006C5D0000}"/>
    <cellStyle name="Normal 8 3 3 3" xfId="25254" xr:uid="{00000000-0005-0000-0000-00006D5D0000}"/>
    <cellStyle name="Normal 8 3 4" xfId="24175" xr:uid="{00000000-0005-0000-0000-00006E5D0000}"/>
    <cellStyle name="Normal 8 3 5" xfId="24744" xr:uid="{00000000-0005-0000-0000-00006F5D0000}"/>
    <cellStyle name="Normal 8 3 6" xfId="25060" xr:uid="{00000000-0005-0000-0000-0000705D0000}"/>
    <cellStyle name="Normal 8 3 7" xfId="28838" xr:uid="{00000000-0005-0000-0000-0000715D0000}"/>
    <cellStyle name="Normal 8 4" xfId="9534" xr:uid="{00000000-0005-0000-0000-0000725D0000}"/>
    <cellStyle name="Normal 8 4 2" xfId="20822" xr:uid="{00000000-0005-0000-0000-0000735D0000}"/>
    <cellStyle name="Normal 8 4 2 2" xfId="24449" xr:uid="{00000000-0005-0000-0000-0000745D0000}"/>
    <cellStyle name="Normal 8 4 2 3" xfId="24893" xr:uid="{00000000-0005-0000-0000-0000755D0000}"/>
    <cellStyle name="Normal 8 4 2 4" xfId="25256" xr:uid="{00000000-0005-0000-0000-0000765D0000}"/>
    <cellStyle name="Normal 8 4 2 5" xfId="29146" xr:uid="{00000000-0005-0000-0000-0000775D0000}"/>
    <cellStyle name="Normal 8 4 3" xfId="24177" xr:uid="{00000000-0005-0000-0000-0000785D0000}"/>
    <cellStyle name="Normal 8 4 4" xfId="24746" xr:uid="{00000000-0005-0000-0000-0000795D0000}"/>
    <cellStyle name="Normal 8 4 5" xfId="25062" xr:uid="{00000000-0005-0000-0000-00007A5D0000}"/>
    <cellStyle name="Normal 8 4 6" xfId="28839" xr:uid="{00000000-0005-0000-0000-00007B5D0000}"/>
    <cellStyle name="Normal 8 5" xfId="7540" xr:uid="{00000000-0005-0000-0000-00007C5D0000}"/>
    <cellStyle name="Normal 8 5 2" xfId="18828" xr:uid="{00000000-0005-0000-0000-00007D5D0000}"/>
    <cellStyle name="Normal 8 5 2 2" xfId="29147" xr:uid="{00000000-0005-0000-0000-00007E5D0000}"/>
    <cellStyle name="Normal 8 5 3" xfId="24444" xr:uid="{00000000-0005-0000-0000-00007F5D0000}"/>
    <cellStyle name="Normal 8 5 4" xfId="24888" xr:uid="{00000000-0005-0000-0000-0000805D0000}"/>
    <cellStyle name="Normal 8 5 5" xfId="25251" xr:uid="{00000000-0005-0000-0000-0000815D0000}"/>
    <cellStyle name="Normal 8 5 6" xfId="28840" xr:uid="{00000000-0005-0000-0000-0000825D0000}"/>
    <cellStyle name="Normal 8 6" xfId="5546" xr:uid="{00000000-0005-0000-0000-0000835D0000}"/>
    <cellStyle name="Normal 8 6 2" xfId="16834" xr:uid="{00000000-0005-0000-0000-0000845D0000}"/>
    <cellStyle name="Normal 8 6 2 2" xfId="29148" xr:uid="{00000000-0005-0000-0000-0000855D0000}"/>
    <cellStyle name="Normal 8 6 3" xfId="28841" xr:uid="{00000000-0005-0000-0000-0000865D0000}"/>
    <cellStyle name="Normal 8 7" xfId="3312" xr:uid="{00000000-0005-0000-0000-0000875D0000}"/>
    <cellStyle name="Normal 8 7 2" xfId="14840" xr:uid="{00000000-0005-0000-0000-0000885D0000}"/>
    <cellStyle name="Normal 8 7 2 2" xfId="29149" xr:uid="{00000000-0005-0000-0000-0000895D0000}"/>
    <cellStyle name="Normal 8 7 3" xfId="28842" xr:uid="{00000000-0005-0000-0000-00008A5D0000}"/>
    <cellStyle name="Normal 8 8" xfId="13617" xr:uid="{00000000-0005-0000-0000-00008B5D0000}"/>
    <cellStyle name="Normal 8 8 2" xfId="26560" xr:uid="{00000000-0005-0000-0000-00008C5D0000}"/>
    <cellStyle name="Normal 8 8 2 2" xfId="29150" xr:uid="{00000000-0005-0000-0000-00008D5D0000}"/>
    <cellStyle name="Normal 8 9" xfId="13524" xr:uid="{00000000-0005-0000-0000-00008E5D0000}"/>
    <cellStyle name="Normal 8 9 2" xfId="29151" xr:uid="{00000000-0005-0000-0000-00008F5D0000}"/>
    <cellStyle name="Normal 8 9 3" xfId="28844" xr:uid="{00000000-0005-0000-0000-0000905D0000}"/>
    <cellStyle name="Normal 80" xfId="24554" xr:uid="{00000000-0005-0000-0000-0000915D0000}"/>
    <cellStyle name="Normal 80 2" xfId="27222" xr:uid="{00000000-0005-0000-0000-0000925D0000}"/>
    <cellStyle name="Normal 81" xfId="24767" xr:uid="{00000000-0005-0000-0000-0000935D0000}"/>
    <cellStyle name="Normal 81 2" xfId="27309" xr:uid="{00000000-0005-0000-0000-0000945D0000}"/>
    <cellStyle name="Normal 82" xfId="24903" xr:uid="{00000000-0005-0000-0000-0000955D0000}"/>
    <cellStyle name="Normal 82 2" xfId="27325" xr:uid="{00000000-0005-0000-0000-0000965D0000}"/>
    <cellStyle name="Normal 83" xfId="24935" xr:uid="{00000000-0005-0000-0000-0000975D0000}"/>
    <cellStyle name="Normal 83 2" xfId="27342" xr:uid="{00000000-0005-0000-0000-0000985D0000}"/>
    <cellStyle name="Normal 84" xfId="24705" xr:uid="{00000000-0005-0000-0000-0000995D0000}"/>
    <cellStyle name="Normal 84 2" xfId="27292" xr:uid="{00000000-0005-0000-0000-00009A5D0000}"/>
    <cellStyle name="Normal 85" xfId="24926" xr:uid="{00000000-0005-0000-0000-00009B5D0000}"/>
    <cellStyle name="Normal 85 2" xfId="27335" xr:uid="{00000000-0005-0000-0000-00009C5D0000}"/>
    <cellStyle name="Normal 86" xfId="24768" xr:uid="{00000000-0005-0000-0000-00009D5D0000}"/>
    <cellStyle name="Normal 86 2" xfId="27310" xr:uid="{00000000-0005-0000-0000-00009E5D0000}"/>
    <cellStyle name="Normal 87" xfId="24933" xr:uid="{00000000-0005-0000-0000-00009F5D0000}"/>
    <cellStyle name="Normal 87 2" xfId="27340" xr:uid="{00000000-0005-0000-0000-0000A05D0000}"/>
    <cellStyle name="Normal 88" xfId="24689" xr:uid="{00000000-0005-0000-0000-0000A15D0000}"/>
    <cellStyle name="Normal 88 2" xfId="27279" xr:uid="{00000000-0005-0000-0000-0000A25D0000}"/>
    <cellStyle name="Normal 89" xfId="24690" xr:uid="{00000000-0005-0000-0000-0000A35D0000}"/>
    <cellStyle name="Normal 89 2" xfId="27280" xr:uid="{00000000-0005-0000-0000-0000A45D0000}"/>
    <cellStyle name="Normal 9" xfId="60" xr:uid="{00000000-0005-0000-0000-0000A55D0000}"/>
    <cellStyle name="Normal 9 10" xfId="24178" xr:uid="{00000000-0005-0000-0000-0000A65D0000}"/>
    <cellStyle name="Normal 9 10 2" xfId="29152" xr:uid="{00000000-0005-0000-0000-0000A75D0000}"/>
    <cellStyle name="Normal 9 10 3" xfId="28845" xr:uid="{00000000-0005-0000-0000-0000A85D0000}"/>
    <cellStyle name="Normal 9 11" xfId="24747" xr:uid="{00000000-0005-0000-0000-0000A95D0000}"/>
    <cellStyle name="Normal 9 11 2" xfId="29153" xr:uid="{00000000-0005-0000-0000-0000AA5D0000}"/>
    <cellStyle name="Normal 9 11 3" xfId="28846" xr:uid="{00000000-0005-0000-0000-0000AB5D0000}"/>
    <cellStyle name="Normal 9 12" xfId="25063" xr:uid="{00000000-0005-0000-0000-0000AC5D0000}"/>
    <cellStyle name="Normal 9 12 2" xfId="29154" xr:uid="{00000000-0005-0000-0000-0000AD5D0000}"/>
    <cellStyle name="Normal 9 12 3" xfId="28847" xr:uid="{00000000-0005-0000-0000-0000AE5D0000}"/>
    <cellStyle name="Normal 9 13" xfId="25812" xr:uid="{00000000-0005-0000-0000-0000AF5D0000}"/>
    <cellStyle name="Normal 9 13 2" xfId="29155" xr:uid="{00000000-0005-0000-0000-0000B05D0000}"/>
    <cellStyle name="Normal 9 14" xfId="25765" xr:uid="{00000000-0005-0000-0000-0000B15D0000}"/>
    <cellStyle name="Normal 9 2" xfId="4547" xr:uid="{00000000-0005-0000-0000-0000B25D0000}"/>
    <cellStyle name="Normal 9 2 10" xfId="28848" xr:uid="{00000000-0005-0000-0000-0000B35D0000}"/>
    <cellStyle name="Normal 9 2 2" xfId="12526" xr:uid="{00000000-0005-0000-0000-0000B45D0000}"/>
    <cellStyle name="Normal 9 2 2 2" xfId="23814" xr:uid="{00000000-0005-0000-0000-0000B55D0000}"/>
    <cellStyle name="Normal 9 2 2 2 2" xfId="24452" xr:uid="{00000000-0005-0000-0000-0000B65D0000}"/>
    <cellStyle name="Normal 9 2 2 2 3" xfId="24896" xr:uid="{00000000-0005-0000-0000-0000B75D0000}"/>
    <cellStyle name="Normal 9 2 2 2 4" xfId="25259" xr:uid="{00000000-0005-0000-0000-0000B85D0000}"/>
    <cellStyle name="Normal 9 2 2 3" xfId="24180" xr:uid="{00000000-0005-0000-0000-0000B95D0000}"/>
    <cellStyle name="Normal 9 2 2 4" xfId="24749" xr:uid="{00000000-0005-0000-0000-0000BA5D0000}"/>
    <cellStyle name="Normal 9 2 2 5" xfId="25065" xr:uid="{00000000-0005-0000-0000-0000BB5D0000}"/>
    <cellStyle name="Normal 9 2 2 6" xfId="29156" xr:uid="{00000000-0005-0000-0000-0000BC5D0000}"/>
    <cellStyle name="Normal 9 2 3" xfId="10532" xr:uid="{00000000-0005-0000-0000-0000BD5D0000}"/>
    <cellStyle name="Normal 9 2 3 2" xfId="21820" xr:uid="{00000000-0005-0000-0000-0000BE5D0000}"/>
    <cellStyle name="Normal 9 2 3 3" xfId="24451" xr:uid="{00000000-0005-0000-0000-0000BF5D0000}"/>
    <cellStyle name="Normal 9 2 3 4" xfId="24895" xr:uid="{00000000-0005-0000-0000-0000C05D0000}"/>
    <cellStyle name="Normal 9 2 3 5" xfId="25258" xr:uid="{00000000-0005-0000-0000-0000C15D0000}"/>
    <cellStyle name="Normal 9 2 4" xfId="8538" xr:uid="{00000000-0005-0000-0000-0000C25D0000}"/>
    <cellStyle name="Normal 9 2 4 2" xfId="19826" xr:uid="{00000000-0005-0000-0000-0000C35D0000}"/>
    <cellStyle name="Normal 9 2 5" xfId="6544" xr:uid="{00000000-0005-0000-0000-0000C45D0000}"/>
    <cellStyle name="Normal 9 2 5 2" xfId="17832" xr:uid="{00000000-0005-0000-0000-0000C55D0000}"/>
    <cellStyle name="Normal 9 2 6" xfId="15838" xr:uid="{00000000-0005-0000-0000-0000C65D0000}"/>
    <cellStyle name="Normal 9 2 7" xfId="24179" xr:uid="{00000000-0005-0000-0000-0000C75D0000}"/>
    <cellStyle name="Normal 9 2 8" xfId="24748" xr:uid="{00000000-0005-0000-0000-0000C85D0000}"/>
    <cellStyle name="Normal 9 2 9" xfId="25064" xr:uid="{00000000-0005-0000-0000-0000C95D0000}"/>
    <cellStyle name="Normal 9 3" xfId="11529" xr:uid="{00000000-0005-0000-0000-0000CA5D0000}"/>
    <cellStyle name="Normal 9 3 2" xfId="22817" xr:uid="{00000000-0005-0000-0000-0000CB5D0000}"/>
    <cellStyle name="Normal 9 3 2 2" xfId="24454" xr:uid="{00000000-0005-0000-0000-0000CC5D0000}"/>
    <cellStyle name="Normal 9 3 2 2 2" xfId="24898" xr:uid="{00000000-0005-0000-0000-0000CD5D0000}"/>
    <cellStyle name="Normal 9 3 2 2 3" xfId="25261" xr:uid="{00000000-0005-0000-0000-0000CE5D0000}"/>
    <cellStyle name="Normal 9 3 2 3" xfId="24182" xr:uid="{00000000-0005-0000-0000-0000CF5D0000}"/>
    <cellStyle name="Normal 9 3 2 4" xfId="24751" xr:uid="{00000000-0005-0000-0000-0000D05D0000}"/>
    <cellStyle name="Normal 9 3 2 5" xfId="25067" xr:uid="{00000000-0005-0000-0000-0000D15D0000}"/>
    <cellStyle name="Normal 9 3 2 6" xfId="29157" xr:uid="{00000000-0005-0000-0000-0000D25D0000}"/>
    <cellStyle name="Normal 9 3 3" xfId="24453" xr:uid="{00000000-0005-0000-0000-0000D35D0000}"/>
    <cellStyle name="Normal 9 3 3 2" xfId="24897" xr:uid="{00000000-0005-0000-0000-0000D45D0000}"/>
    <cellStyle name="Normal 9 3 3 3" xfId="25260" xr:uid="{00000000-0005-0000-0000-0000D55D0000}"/>
    <cellStyle name="Normal 9 3 4" xfId="24181" xr:uid="{00000000-0005-0000-0000-0000D65D0000}"/>
    <cellStyle name="Normal 9 3 5" xfId="24750" xr:uid="{00000000-0005-0000-0000-0000D75D0000}"/>
    <cellStyle name="Normal 9 3 6" xfId="25066" xr:uid="{00000000-0005-0000-0000-0000D85D0000}"/>
    <cellStyle name="Normal 9 3 7" xfId="28849" xr:uid="{00000000-0005-0000-0000-0000D95D0000}"/>
    <cellStyle name="Normal 9 4" xfId="9535" xr:uid="{00000000-0005-0000-0000-0000DA5D0000}"/>
    <cellStyle name="Normal 9 4 2" xfId="20823" xr:uid="{00000000-0005-0000-0000-0000DB5D0000}"/>
    <cellStyle name="Normal 9 4 2 2" xfId="24455" xr:uid="{00000000-0005-0000-0000-0000DC5D0000}"/>
    <cellStyle name="Normal 9 4 2 3" xfId="24899" xr:uid="{00000000-0005-0000-0000-0000DD5D0000}"/>
    <cellStyle name="Normal 9 4 2 4" xfId="25262" xr:uid="{00000000-0005-0000-0000-0000DE5D0000}"/>
    <cellStyle name="Normal 9 4 2 5" xfId="29158" xr:uid="{00000000-0005-0000-0000-0000DF5D0000}"/>
    <cellStyle name="Normal 9 4 3" xfId="24183" xr:uid="{00000000-0005-0000-0000-0000E05D0000}"/>
    <cellStyle name="Normal 9 4 4" xfId="24752" xr:uid="{00000000-0005-0000-0000-0000E15D0000}"/>
    <cellStyle name="Normal 9 4 5" xfId="25068" xr:uid="{00000000-0005-0000-0000-0000E25D0000}"/>
    <cellStyle name="Normal 9 4 6" xfId="28850" xr:uid="{00000000-0005-0000-0000-0000E35D0000}"/>
    <cellStyle name="Normal 9 5" xfId="7541" xr:uid="{00000000-0005-0000-0000-0000E45D0000}"/>
    <cellStyle name="Normal 9 5 2" xfId="18829" xr:uid="{00000000-0005-0000-0000-0000E55D0000}"/>
    <cellStyle name="Normal 9 5 2 2" xfId="29159" xr:uid="{00000000-0005-0000-0000-0000E65D0000}"/>
    <cellStyle name="Normal 9 5 3" xfId="24450" xr:uid="{00000000-0005-0000-0000-0000E75D0000}"/>
    <cellStyle name="Normal 9 5 4" xfId="24894" xr:uid="{00000000-0005-0000-0000-0000E85D0000}"/>
    <cellStyle name="Normal 9 5 5" xfId="25257" xr:uid="{00000000-0005-0000-0000-0000E95D0000}"/>
    <cellStyle name="Normal 9 5 6" xfId="28851" xr:uid="{00000000-0005-0000-0000-0000EA5D0000}"/>
    <cellStyle name="Normal 9 6" xfId="5547" xr:uid="{00000000-0005-0000-0000-0000EB5D0000}"/>
    <cellStyle name="Normal 9 6 2" xfId="16835" xr:uid="{00000000-0005-0000-0000-0000EC5D0000}"/>
    <cellStyle name="Normal 9 6 2 2" xfId="29160" xr:uid="{00000000-0005-0000-0000-0000ED5D0000}"/>
    <cellStyle name="Normal 9 6 3" xfId="28852" xr:uid="{00000000-0005-0000-0000-0000EE5D0000}"/>
    <cellStyle name="Normal 9 7" xfId="3313" xr:uid="{00000000-0005-0000-0000-0000EF5D0000}"/>
    <cellStyle name="Normal 9 7 2" xfId="14841" xr:uid="{00000000-0005-0000-0000-0000F05D0000}"/>
    <cellStyle name="Normal 9 7 2 2" xfId="29161" xr:uid="{00000000-0005-0000-0000-0000F15D0000}"/>
    <cellStyle name="Normal 9 7 3" xfId="28853" xr:uid="{00000000-0005-0000-0000-0000F25D0000}"/>
    <cellStyle name="Normal 9 8" xfId="13618" xr:uid="{00000000-0005-0000-0000-0000F35D0000}"/>
    <cellStyle name="Normal 9 8 2" xfId="26561" xr:uid="{00000000-0005-0000-0000-0000F45D0000}"/>
    <cellStyle name="Normal 9 8 2 2" xfId="29162" xr:uid="{00000000-0005-0000-0000-0000F55D0000}"/>
    <cellStyle name="Normal 9 9" xfId="13525" xr:uid="{00000000-0005-0000-0000-0000F65D0000}"/>
    <cellStyle name="Normal 9 9 2" xfId="29163" xr:uid="{00000000-0005-0000-0000-0000F75D0000}"/>
    <cellStyle name="Normal 9 9 3" xfId="28854" xr:uid="{00000000-0005-0000-0000-0000F85D0000}"/>
    <cellStyle name="Normal 90" xfId="24941" xr:uid="{00000000-0005-0000-0000-0000F95D0000}"/>
    <cellStyle name="Normal 90 2" xfId="27345" xr:uid="{00000000-0005-0000-0000-0000FA5D0000}"/>
    <cellStyle name="Normal 91" xfId="24545" xr:uid="{00000000-0005-0000-0000-0000FB5D0000}"/>
    <cellStyle name="Normal 91 2" xfId="27218" xr:uid="{00000000-0005-0000-0000-0000FC5D0000}"/>
    <cellStyle name="Normal 92" xfId="1" xr:uid="{00000000-0005-0000-0000-0000FD5D0000}"/>
    <cellStyle name="Normal 93" xfId="25276" xr:uid="{00000000-0005-0000-0000-0000FE5D0000}"/>
    <cellStyle name="Normal 94" xfId="25295" xr:uid="{00000000-0005-0000-0000-0000FF5D0000}"/>
    <cellStyle name="Normal 95" xfId="25455" xr:uid="{00000000-0005-0000-0000-0000005E0000}"/>
    <cellStyle name="Normal 96" xfId="25746" xr:uid="{00000000-0005-0000-0000-0000015E0000}"/>
    <cellStyle name="Normal 96 2" xfId="27895" xr:uid="{00000000-0005-0000-0000-0000025E0000}"/>
    <cellStyle name="Normal 97" xfId="25752" xr:uid="{00000000-0005-0000-0000-0000035E0000}"/>
    <cellStyle name="Normal 97 2" xfId="27896" xr:uid="{00000000-0005-0000-0000-0000045E0000}"/>
    <cellStyle name="Normal 98" xfId="25755" xr:uid="{00000000-0005-0000-0000-0000055E0000}"/>
    <cellStyle name="Normal 98 2" xfId="27897" xr:uid="{00000000-0005-0000-0000-0000065E0000}"/>
    <cellStyle name="Normal 99" xfId="25757" xr:uid="{00000000-0005-0000-0000-0000075E0000}"/>
    <cellStyle name="Normal 99 2" xfId="27898" xr:uid="{00000000-0005-0000-0000-0000085E0000}"/>
    <cellStyle name="Normal(0)" xfId="61" xr:uid="{00000000-0005-0000-0000-0000095E0000}"/>
    <cellStyle name="Normal_Jan 08" xfId="25743" xr:uid="{00000000-0005-0000-0000-00000A5E0000}"/>
    <cellStyle name="Normal_vcap1299" xfId="25741" xr:uid="{00000000-0005-0000-0000-00000B5E0000}"/>
    <cellStyle name="NormalHelv" xfId="577" xr:uid="{00000000-0005-0000-0000-00000C5E0000}"/>
    <cellStyle name="Note 10" xfId="3314" xr:uid="{00000000-0005-0000-0000-00000D5E0000}"/>
    <cellStyle name="Note 10 10" xfId="24753" xr:uid="{00000000-0005-0000-0000-00000E5E0000}"/>
    <cellStyle name="Note 10 11" xfId="25069" xr:uid="{00000000-0005-0000-0000-00000F5E0000}"/>
    <cellStyle name="Note 10 2" xfId="4548" xr:uid="{00000000-0005-0000-0000-0000105E0000}"/>
    <cellStyle name="Note 10 2 2" xfId="12527" xr:uid="{00000000-0005-0000-0000-0000115E0000}"/>
    <cellStyle name="Note 10 2 2 2" xfId="23815" xr:uid="{00000000-0005-0000-0000-0000125E0000}"/>
    <cellStyle name="Note 10 2 3" xfId="10533" xr:uid="{00000000-0005-0000-0000-0000135E0000}"/>
    <cellStyle name="Note 10 2 3 2" xfId="21821" xr:uid="{00000000-0005-0000-0000-0000145E0000}"/>
    <cellStyle name="Note 10 2 4" xfId="8539" xr:uid="{00000000-0005-0000-0000-0000155E0000}"/>
    <cellStyle name="Note 10 2 4 2" xfId="19827" xr:uid="{00000000-0005-0000-0000-0000165E0000}"/>
    <cellStyle name="Note 10 2 5" xfId="6545" xr:uid="{00000000-0005-0000-0000-0000175E0000}"/>
    <cellStyle name="Note 10 2 5 2" xfId="17833" xr:uid="{00000000-0005-0000-0000-0000185E0000}"/>
    <cellStyle name="Note 10 2 6" xfId="15839" xr:uid="{00000000-0005-0000-0000-0000195E0000}"/>
    <cellStyle name="Note 10 2 7" xfId="24456" xr:uid="{00000000-0005-0000-0000-00001A5E0000}"/>
    <cellStyle name="Note 10 2 8" xfId="24900" xr:uid="{00000000-0005-0000-0000-00001B5E0000}"/>
    <cellStyle name="Note 10 2 9" xfId="25263" xr:uid="{00000000-0005-0000-0000-00001C5E0000}"/>
    <cellStyle name="Note 10 3" xfId="11530" xr:uid="{00000000-0005-0000-0000-00001D5E0000}"/>
    <cellStyle name="Note 10 3 2" xfId="22818" xr:uid="{00000000-0005-0000-0000-00001E5E0000}"/>
    <cellStyle name="Note 10 4" xfId="9536" xr:uid="{00000000-0005-0000-0000-00001F5E0000}"/>
    <cellStyle name="Note 10 4 2" xfId="20824" xr:uid="{00000000-0005-0000-0000-0000205E0000}"/>
    <cellStyle name="Note 10 5" xfId="7542" xr:uid="{00000000-0005-0000-0000-0000215E0000}"/>
    <cellStyle name="Note 10 5 2" xfId="18830" xr:uid="{00000000-0005-0000-0000-0000225E0000}"/>
    <cellStyle name="Note 10 6" xfId="5548" xr:uid="{00000000-0005-0000-0000-0000235E0000}"/>
    <cellStyle name="Note 10 6 2" xfId="16836" xr:uid="{00000000-0005-0000-0000-0000245E0000}"/>
    <cellStyle name="Note 10 7" xfId="14842" xr:uid="{00000000-0005-0000-0000-0000255E0000}"/>
    <cellStyle name="Note 10 8" xfId="13526" xr:uid="{00000000-0005-0000-0000-0000265E0000}"/>
    <cellStyle name="Note 10 9" xfId="24185" xr:uid="{00000000-0005-0000-0000-0000275E0000}"/>
    <cellStyle name="Note 11" xfId="3315" xr:uid="{00000000-0005-0000-0000-0000285E0000}"/>
    <cellStyle name="Note 11 10" xfId="24754" xr:uid="{00000000-0005-0000-0000-0000295E0000}"/>
    <cellStyle name="Note 11 11" xfId="25070" xr:uid="{00000000-0005-0000-0000-00002A5E0000}"/>
    <cellStyle name="Note 11 2" xfId="4549" xr:uid="{00000000-0005-0000-0000-00002B5E0000}"/>
    <cellStyle name="Note 11 2 2" xfId="12528" xr:uid="{00000000-0005-0000-0000-00002C5E0000}"/>
    <cellStyle name="Note 11 2 2 2" xfId="23816" xr:uid="{00000000-0005-0000-0000-00002D5E0000}"/>
    <cellStyle name="Note 11 2 3" xfId="10534" xr:uid="{00000000-0005-0000-0000-00002E5E0000}"/>
    <cellStyle name="Note 11 2 3 2" xfId="21822" xr:uid="{00000000-0005-0000-0000-00002F5E0000}"/>
    <cellStyle name="Note 11 2 4" xfId="8540" xr:uid="{00000000-0005-0000-0000-0000305E0000}"/>
    <cellStyle name="Note 11 2 4 2" xfId="19828" xr:uid="{00000000-0005-0000-0000-0000315E0000}"/>
    <cellStyle name="Note 11 2 5" xfId="6546" xr:uid="{00000000-0005-0000-0000-0000325E0000}"/>
    <cellStyle name="Note 11 2 5 2" xfId="17834" xr:uid="{00000000-0005-0000-0000-0000335E0000}"/>
    <cellStyle name="Note 11 2 6" xfId="15840" xr:uid="{00000000-0005-0000-0000-0000345E0000}"/>
    <cellStyle name="Note 11 2 7" xfId="24457" xr:uid="{00000000-0005-0000-0000-0000355E0000}"/>
    <cellStyle name="Note 11 2 8" xfId="24901" xr:uid="{00000000-0005-0000-0000-0000365E0000}"/>
    <cellStyle name="Note 11 2 9" xfId="25264" xr:uid="{00000000-0005-0000-0000-0000375E0000}"/>
    <cellStyle name="Note 11 3" xfId="11531" xr:uid="{00000000-0005-0000-0000-0000385E0000}"/>
    <cellStyle name="Note 11 3 2" xfId="22819" xr:uid="{00000000-0005-0000-0000-0000395E0000}"/>
    <cellStyle name="Note 11 4" xfId="9537" xr:uid="{00000000-0005-0000-0000-00003A5E0000}"/>
    <cellStyle name="Note 11 4 2" xfId="20825" xr:uid="{00000000-0005-0000-0000-00003B5E0000}"/>
    <cellStyle name="Note 11 5" xfId="7543" xr:uid="{00000000-0005-0000-0000-00003C5E0000}"/>
    <cellStyle name="Note 11 5 2" xfId="18831" xr:uid="{00000000-0005-0000-0000-00003D5E0000}"/>
    <cellStyle name="Note 11 6" xfId="5549" xr:uid="{00000000-0005-0000-0000-00003E5E0000}"/>
    <cellStyle name="Note 11 6 2" xfId="16837" xr:uid="{00000000-0005-0000-0000-00003F5E0000}"/>
    <cellStyle name="Note 11 7" xfId="14843" xr:uid="{00000000-0005-0000-0000-0000405E0000}"/>
    <cellStyle name="Note 11 8" xfId="13527" xr:uid="{00000000-0005-0000-0000-0000415E0000}"/>
    <cellStyle name="Note 11 9" xfId="24186" xr:uid="{00000000-0005-0000-0000-0000425E0000}"/>
    <cellStyle name="Note 12" xfId="3316" xr:uid="{00000000-0005-0000-0000-0000435E0000}"/>
    <cellStyle name="Note 12 10" xfId="24755" xr:uid="{00000000-0005-0000-0000-0000445E0000}"/>
    <cellStyle name="Note 12 11" xfId="25071" xr:uid="{00000000-0005-0000-0000-0000455E0000}"/>
    <cellStyle name="Note 12 2" xfId="4550" xr:uid="{00000000-0005-0000-0000-0000465E0000}"/>
    <cellStyle name="Note 12 2 2" xfId="12529" xr:uid="{00000000-0005-0000-0000-0000475E0000}"/>
    <cellStyle name="Note 12 2 2 2" xfId="23817" xr:uid="{00000000-0005-0000-0000-0000485E0000}"/>
    <cellStyle name="Note 12 2 3" xfId="10535" xr:uid="{00000000-0005-0000-0000-0000495E0000}"/>
    <cellStyle name="Note 12 2 3 2" xfId="21823" xr:uid="{00000000-0005-0000-0000-00004A5E0000}"/>
    <cellStyle name="Note 12 2 4" xfId="8541" xr:uid="{00000000-0005-0000-0000-00004B5E0000}"/>
    <cellStyle name="Note 12 2 4 2" xfId="19829" xr:uid="{00000000-0005-0000-0000-00004C5E0000}"/>
    <cellStyle name="Note 12 2 5" xfId="6547" xr:uid="{00000000-0005-0000-0000-00004D5E0000}"/>
    <cellStyle name="Note 12 2 5 2" xfId="17835" xr:uid="{00000000-0005-0000-0000-00004E5E0000}"/>
    <cellStyle name="Note 12 2 6" xfId="15841" xr:uid="{00000000-0005-0000-0000-00004F5E0000}"/>
    <cellStyle name="Note 12 2 7" xfId="24458" xr:uid="{00000000-0005-0000-0000-0000505E0000}"/>
    <cellStyle name="Note 12 2 8" xfId="24902" xr:uid="{00000000-0005-0000-0000-0000515E0000}"/>
    <cellStyle name="Note 12 2 9" xfId="25265" xr:uid="{00000000-0005-0000-0000-0000525E0000}"/>
    <cellStyle name="Note 12 3" xfId="11532" xr:uid="{00000000-0005-0000-0000-0000535E0000}"/>
    <cellStyle name="Note 12 3 2" xfId="22820" xr:uid="{00000000-0005-0000-0000-0000545E0000}"/>
    <cellStyle name="Note 12 4" xfId="9538" xr:uid="{00000000-0005-0000-0000-0000555E0000}"/>
    <cellStyle name="Note 12 4 2" xfId="20826" xr:uid="{00000000-0005-0000-0000-0000565E0000}"/>
    <cellStyle name="Note 12 5" xfId="7544" xr:uid="{00000000-0005-0000-0000-0000575E0000}"/>
    <cellStyle name="Note 12 5 2" xfId="18832" xr:uid="{00000000-0005-0000-0000-0000585E0000}"/>
    <cellStyle name="Note 12 6" xfId="5550" xr:uid="{00000000-0005-0000-0000-0000595E0000}"/>
    <cellStyle name="Note 12 6 2" xfId="16838" xr:uid="{00000000-0005-0000-0000-00005A5E0000}"/>
    <cellStyle name="Note 12 7" xfId="14844" xr:uid="{00000000-0005-0000-0000-00005B5E0000}"/>
    <cellStyle name="Note 12 8" xfId="13528" xr:uid="{00000000-0005-0000-0000-00005C5E0000}"/>
    <cellStyle name="Note 12 9" xfId="24187" xr:uid="{00000000-0005-0000-0000-00005D5E0000}"/>
    <cellStyle name="Note 13" xfId="3317" xr:uid="{00000000-0005-0000-0000-00005E5E0000}"/>
    <cellStyle name="Note 13 2" xfId="4551" xr:uid="{00000000-0005-0000-0000-00005F5E0000}"/>
    <cellStyle name="Note 13 2 2" xfId="12530" xr:uid="{00000000-0005-0000-0000-0000605E0000}"/>
    <cellStyle name="Note 13 2 2 2" xfId="23818" xr:uid="{00000000-0005-0000-0000-0000615E0000}"/>
    <cellStyle name="Note 13 2 3" xfId="10536" xr:uid="{00000000-0005-0000-0000-0000625E0000}"/>
    <cellStyle name="Note 13 2 3 2" xfId="21824" xr:uid="{00000000-0005-0000-0000-0000635E0000}"/>
    <cellStyle name="Note 13 2 4" xfId="8542" xr:uid="{00000000-0005-0000-0000-0000645E0000}"/>
    <cellStyle name="Note 13 2 4 2" xfId="19830" xr:uid="{00000000-0005-0000-0000-0000655E0000}"/>
    <cellStyle name="Note 13 2 5" xfId="6548" xr:uid="{00000000-0005-0000-0000-0000665E0000}"/>
    <cellStyle name="Note 13 2 5 2" xfId="17836" xr:uid="{00000000-0005-0000-0000-0000675E0000}"/>
    <cellStyle name="Note 13 2 6" xfId="15842" xr:uid="{00000000-0005-0000-0000-0000685E0000}"/>
    <cellStyle name="Note 13 3" xfId="11533" xr:uid="{00000000-0005-0000-0000-0000695E0000}"/>
    <cellStyle name="Note 13 3 2" xfId="22821" xr:uid="{00000000-0005-0000-0000-00006A5E0000}"/>
    <cellStyle name="Note 13 4" xfId="9539" xr:uid="{00000000-0005-0000-0000-00006B5E0000}"/>
    <cellStyle name="Note 13 4 2" xfId="20827" xr:uid="{00000000-0005-0000-0000-00006C5E0000}"/>
    <cellStyle name="Note 13 5" xfId="7545" xr:uid="{00000000-0005-0000-0000-00006D5E0000}"/>
    <cellStyle name="Note 13 5 2" xfId="18833" xr:uid="{00000000-0005-0000-0000-00006E5E0000}"/>
    <cellStyle name="Note 13 6" xfId="5551" xr:uid="{00000000-0005-0000-0000-00006F5E0000}"/>
    <cellStyle name="Note 13 6 2" xfId="16839" xr:uid="{00000000-0005-0000-0000-0000705E0000}"/>
    <cellStyle name="Note 13 7" xfId="14845" xr:uid="{00000000-0005-0000-0000-0000715E0000}"/>
    <cellStyle name="Note 13 8" xfId="13529" xr:uid="{00000000-0005-0000-0000-0000725E0000}"/>
    <cellStyle name="Note 14" xfId="3318" xr:uid="{00000000-0005-0000-0000-0000735E0000}"/>
    <cellStyle name="Note 14 2" xfId="4552" xr:uid="{00000000-0005-0000-0000-0000745E0000}"/>
    <cellStyle name="Note 14 2 2" xfId="12531" xr:uid="{00000000-0005-0000-0000-0000755E0000}"/>
    <cellStyle name="Note 14 2 2 2" xfId="23819" xr:uid="{00000000-0005-0000-0000-0000765E0000}"/>
    <cellStyle name="Note 14 2 3" xfId="10537" xr:uid="{00000000-0005-0000-0000-0000775E0000}"/>
    <cellStyle name="Note 14 2 3 2" xfId="21825" xr:uid="{00000000-0005-0000-0000-0000785E0000}"/>
    <cellStyle name="Note 14 2 4" xfId="8543" xr:uid="{00000000-0005-0000-0000-0000795E0000}"/>
    <cellStyle name="Note 14 2 4 2" xfId="19831" xr:uid="{00000000-0005-0000-0000-00007A5E0000}"/>
    <cellStyle name="Note 14 2 5" xfId="6549" xr:uid="{00000000-0005-0000-0000-00007B5E0000}"/>
    <cellStyle name="Note 14 2 5 2" xfId="17837" xr:uid="{00000000-0005-0000-0000-00007C5E0000}"/>
    <cellStyle name="Note 14 2 6" xfId="15843" xr:uid="{00000000-0005-0000-0000-00007D5E0000}"/>
    <cellStyle name="Note 14 3" xfId="11534" xr:uid="{00000000-0005-0000-0000-00007E5E0000}"/>
    <cellStyle name="Note 14 3 2" xfId="22822" xr:uid="{00000000-0005-0000-0000-00007F5E0000}"/>
    <cellStyle name="Note 14 4" xfId="9540" xr:uid="{00000000-0005-0000-0000-0000805E0000}"/>
    <cellStyle name="Note 14 4 2" xfId="20828" xr:uid="{00000000-0005-0000-0000-0000815E0000}"/>
    <cellStyle name="Note 14 5" xfId="7546" xr:uid="{00000000-0005-0000-0000-0000825E0000}"/>
    <cellStyle name="Note 14 5 2" xfId="18834" xr:uid="{00000000-0005-0000-0000-0000835E0000}"/>
    <cellStyle name="Note 14 6" xfId="5552" xr:uid="{00000000-0005-0000-0000-0000845E0000}"/>
    <cellStyle name="Note 14 6 2" xfId="16840" xr:uid="{00000000-0005-0000-0000-0000855E0000}"/>
    <cellStyle name="Note 14 7" xfId="14846" xr:uid="{00000000-0005-0000-0000-0000865E0000}"/>
    <cellStyle name="Note 14 8" xfId="13530" xr:uid="{00000000-0005-0000-0000-0000875E0000}"/>
    <cellStyle name="Note 15" xfId="3319" xr:uid="{00000000-0005-0000-0000-0000885E0000}"/>
    <cellStyle name="Note 15 2" xfId="4553" xr:uid="{00000000-0005-0000-0000-0000895E0000}"/>
    <cellStyle name="Note 15 2 2" xfId="12532" xr:uid="{00000000-0005-0000-0000-00008A5E0000}"/>
    <cellStyle name="Note 15 2 2 2" xfId="23820" xr:uid="{00000000-0005-0000-0000-00008B5E0000}"/>
    <cellStyle name="Note 15 2 3" xfId="10538" xr:uid="{00000000-0005-0000-0000-00008C5E0000}"/>
    <cellStyle name="Note 15 2 3 2" xfId="21826" xr:uid="{00000000-0005-0000-0000-00008D5E0000}"/>
    <cellStyle name="Note 15 2 4" xfId="8544" xr:uid="{00000000-0005-0000-0000-00008E5E0000}"/>
    <cellStyle name="Note 15 2 4 2" xfId="19832" xr:uid="{00000000-0005-0000-0000-00008F5E0000}"/>
    <cellStyle name="Note 15 2 5" xfId="6550" xr:uid="{00000000-0005-0000-0000-0000905E0000}"/>
    <cellStyle name="Note 15 2 5 2" xfId="17838" xr:uid="{00000000-0005-0000-0000-0000915E0000}"/>
    <cellStyle name="Note 15 2 6" xfId="15844" xr:uid="{00000000-0005-0000-0000-0000925E0000}"/>
    <cellStyle name="Note 15 3" xfId="11535" xr:uid="{00000000-0005-0000-0000-0000935E0000}"/>
    <cellStyle name="Note 15 3 2" xfId="22823" xr:uid="{00000000-0005-0000-0000-0000945E0000}"/>
    <cellStyle name="Note 15 4" xfId="9541" xr:uid="{00000000-0005-0000-0000-0000955E0000}"/>
    <cellStyle name="Note 15 4 2" xfId="20829" xr:uid="{00000000-0005-0000-0000-0000965E0000}"/>
    <cellStyle name="Note 15 5" xfId="7547" xr:uid="{00000000-0005-0000-0000-0000975E0000}"/>
    <cellStyle name="Note 15 5 2" xfId="18835" xr:uid="{00000000-0005-0000-0000-0000985E0000}"/>
    <cellStyle name="Note 15 6" xfId="5553" xr:uid="{00000000-0005-0000-0000-0000995E0000}"/>
    <cellStyle name="Note 15 6 2" xfId="16841" xr:uid="{00000000-0005-0000-0000-00009A5E0000}"/>
    <cellStyle name="Note 15 7" xfId="14847" xr:uid="{00000000-0005-0000-0000-00009B5E0000}"/>
    <cellStyle name="Note 15 8" xfId="13531" xr:uid="{00000000-0005-0000-0000-00009C5E0000}"/>
    <cellStyle name="Note 16" xfId="3320" xr:uid="{00000000-0005-0000-0000-00009D5E0000}"/>
    <cellStyle name="Note 16 2" xfId="4554" xr:uid="{00000000-0005-0000-0000-00009E5E0000}"/>
    <cellStyle name="Note 16 2 2" xfId="12533" xr:uid="{00000000-0005-0000-0000-00009F5E0000}"/>
    <cellStyle name="Note 16 2 2 2" xfId="23821" xr:uid="{00000000-0005-0000-0000-0000A05E0000}"/>
    <cellStyle name="Note 16 2 3" xfId="10539" xr:uid="{00000000-0005-0000-0000-0000A15E0000}"/>
    <cellStyle name="Note 16 2 3 2" xfId="21827" xr:uid="{00000000-0005-0000-0000-0000A25E0000}"/>
    <cellStyle name="Note 16 2 4" xfId="8545" xr:uid="{00000000-0005-0000-0000-0000A35E0000}"/>
    <cellStyle name="Note 16 2 4 2" xfId="19833" xr:uid="{00000000-0005-0000-0000-0000A45E0000}"/>
    <cellStyle name="Note 16 2 5" xfId="6551" xr:uid="{00000000-0005-0000-0000-0000A55E0000}"/>
    <cellStyle name="Note 16 2 5 2" xfId="17839" xr:uid="{00000000-0005-0000-0000-0000A65E0000}"/>
    <cellStyle name="Note 16 2 6" xfId="15845" xr:uid="{00000000-0005-0000-0000-0000A75E0000}"/>
    <cellStyle name="Note 16 3" xfId="11536" xr:uid="{00000000-0005-0000-0000-0000A85E0000}"/>
    <cellStyle name="Note 16 3 2" xfId="22824" xr:uid="{00000000-0005-0000-0000-0000A95E0000}"/>
    <cellStyle name="Note 16 4" xfId="9542" xr:uid="{00000000-0005-0000-0000-0000AA5E0000}"/>
    <cellStyle name="Note 16 4 2" xfId="20830" xr:uid="{00000000-0005-0000-0000-0000AB5E0000}"/>
    <cellStyle name="Note 16 5" xfId="7548" xr:uid="{00000000-0005-0000-0000-0000AC5E0000}"/>
    <cellStyle name="Note 16 5 2" xfId="18836" xr:uid="{00000000-0005-0000-0000-0000AD5E0000}"/>
    <cellStyle name="Note 16 6" xfId="5554" xr:uid="{00000000-0005-0000-0000-0000AE5E0000}"/>
    <cellStyle name="Note 16 6 2" xfId="16842" xr:uid="{00000000-0005-0000-0000-0000AF5E0000}"/>
    <cellStyle name="Note 16 7" xfId="14848" xr:uid="{00000000-0005-0000-0000-0000B05E0000}"/>
    <cellStyle name="Note 16 8" xfId="13532" xr:uid="{00000000-0005-0000-0000-0000B15E0000}"/>
    <cellStyle name="Note 17" xfId="3321" xr:uid="{00000000-0005-0000-0000-0000B25E0000}"/>
    <cellStyle name="Note 17 2" xfId="4555" xr:uid="{00000000-0005-0000-0000-0000B35E0000}"/>
    <cellStyle name="Note 17 2 2" xfId="12534" xr:uid="{00000000-0005-0000-0000-0000B45E0000}"/>
    <cellStyle name="Note 17 2 2 2" xfId="23822" xr:uid="{00000000-0005-0000-0000-0000B55E0000}"/>
    <cellStyle name="Note 17 2 3" xfId="10540" xr:uid="{00000000-0005-0000-0000-0000B65E0000}"/>
    <cellStyle name="Note 17 2 3 2" xfId="21828" xr:uid="{00000000-0005-0000-0000-0000B75E0000}"/>
    <cellStyle name="Note 17 2 4" xfId="8546" xr:uid="{00000000-0005-0000-0000-0000B85E0000}"/>
    <cellStyle name="Note 17 2 4 2" xfId="19834" xr:uid="{00000000-0005-0000-0000-0000B95E0000}"/>
    <cellStyle name="Note 17 2 5" xfId="6552" xr:uid="{00000000-0005-0000-0000-0000BA5E0000}"/>
    <cellStyle name="Note 17 2 5 2" xfId="17840" xr:uid="{00000000-0005-0000-0000-0000BB5E0000}"/>
    <cellStyle name="Note 17 2 6" xfId="15846" xr:uid="{00000000-0005-0000-0000-0000BC5E0000}"/>
    <cellStyle name="Note 17 3" xfId="11537" xr:uid="{00000000-0005-0000-0000-0000BD5E0000}"/>
    <cellStyle name="Note 17 3 2" xfId="22825" xr:uid="{00000000-0005-0000-0000-0000BE5E0000}"/>
    <cellStyle name="Note 17 4" xfId="9543" xr:uid="{00000000-0005-0000-0000-0000BF5E0000}"/>
    <cellStyle name="Note 17 4 2" xfId="20831" xr:uid="{00000000-0005-0000-0000-0000C05E0000}"/>
    <cellStyle name="Note 17 5" xfId="7549" xr:uid="{00000000-0005-0000-0000-0000C15E0000}"/>
    <cellStyle name="Note 17 5 2" xfId="18837" xr:uid="{00000000-0005-0000-0000-0000C25E0000}"/>
    <cellStyle name="Note 17 6" xfId="5555" xr:uid="{00000000-0005-0000-0000-0000C35E0000}"/>
    <cellStyle name="Note 17 6 2" xfId="16843" xr:uid="{00000000-0005-0000-0000-0000C45E0000}"/>
    <cellStyle name="Note 17 7" xfId="14849" xr:uid="{00000000-0005-0000-0000-0000C55E0000}"/>
    <cellStyle name="Note 17 8" xfId="13533" xr:uid="{00000000-0005-0000-0000-0000C65E0000}"/>
    <cellStyle name="Note 18" xfId="3322" xr:uid="{00000000-0005-0000-0000-0000C75E0000}"/>
    <cellStyle name="Note 18 2" xfId="4556" xr:uid="{00000000-0005-0000-0000-0000C85E0000}"/>
    <cellStyle name="Note 18 2 2" xfId="12535" xr:uid="{00000000-0005-0000-0000-0000C95E0000}"/>
    <cellStyle name="Note 18 2 2 2" xfId="23823" xr:uid="{00000000-0005-0000-0000-0000CA5E0000}"/>
    <cellStyle name="Note 18 2 3" xfId="10541" xr:uid="{00000000-0005-0000-0000-0000CB5E0000}"/>
    <cellStyle name="Note 18 2 3 2" xfId="21829" xr:uid="{00000000-0005-0000-0000-0000CC5E0000}"/>
    <cellStyle name="Note 18 2 4" xfId="8547" xr:uid="{00000000-0005-0000-0000-0000CD5E0000}"/>
    <cellStyle name="Note 18 2 4 2" xfId="19835" xr:uid="{00000000-0005-0000-0000-0000CE5E0000}"/>
    <cellStyle name="Note 18 2 5" xfId="6553" xr:uid="{00000000-0005-0000-0000-0000CF5E0000}"/>
    <cellStyle name="Note 18 2 5 2" xfId="17841" xr:uid="{00000000-0005-0000-0000-0000D05E0000}"/>
    <cellStyle name="Note 18 2 6" xfId="15847" xr:uid="{00000000-0005-0000-0000-0000D15E0000}"/>
    <cellStyle name="Note 18 3" xfId="11538" xr:uid="{00000000-0005-0000-0000-0000D25E0000}"/>
    <cellStyle name="Note 18 3 2" xfId="22826" xr:uid="{00000000-0005-0000-0000-0000D35E0000}"/>
    <cellStyle name="Note 18 4" xfId="9544" xr:uid="{00000000-0005-0000-0000-0000D45E0000}"/>
    <cellStyle name="Note 18 4 2" xfId="20832" xr:uid="{00000000-0005-0000-0000-0000D55E0000}"/>
    <cellStyle name="Note 18 5" xfId="7550" xr:uid="{00000000-0005-0000-0000-0000D65E0000}"/>
    <cellStyle name="Note 18 5 2" xfId="18838" xr:uid="{00000000-0005-0000-0000-0000D75E0000}"/>
    <cellStyle name="Note 18 6" xfId="5556" xr:uid="{00000000-0005-0000-0000-0000D85E0000}"/>
    <cellStyle name="Note 18 6 2" xfId="16844" xr:uid="{00000000-0005-0000-0000-0000D95E0000}"/>
    <cellStyle name="Note 18 7" xfId="14850" xr:uid="{00000000-0005-0000-0000-0000DA5E0000}"/>
    <cellStyle name="Note 18 8" xfId="13534" xr:uid="{00000000-0005-0000-0000-0000DB5E0000}"/>
    <cellStyle name="Note 19" xfId="3323" xr:uid="{00000000-0005-0000-0000-0000DC5E0000}"/>
    <cellStyle name="Note 19 2" xfId="4557" xr:uid="{00000000-0005-0000-0000-0000DD5E0000}"/>
    <cellStyle name="Note 19 2 2" xfId="12536" xr:uid="{00000000-0005-0000-0000-0000DE5E0000}"/>
    <cellStyle name="Note 19 2 2 2" xfId="23824" xr:uid="{00000000-0005-0000-0000-0000DF5E0000}"/>
    <cellStyle name="Note 19 2 3" xfId="10542" xr:uid="{00000000-0005-0000-0000-0000E05E0000}"/>
    <cellStyle name="Note 19 2 3 2" xfId="21830" xr:uid="{00000000-0005-0000-0000-0000E15E0000}"/>
    <cellStyle name="Note 19 2 4" xfId="8548" xr:uid="{00000000-0005-0000-0000-0000E25E0000}"/>
    <cellStyle name="Note 19 2 4 2" xfId="19836" xr:uid="{00000000-0005-0000-0000-0000E35E0000}"/>
    <cellStyle name="Note 19 2 5" xfId="6554" xr:uid="{00000000-0005-0000-0000-0000E45E0000}"/>
    <cellStyle name="Note 19 2 5 2" xfId="17842" xr:uid="{00000000-0005-0000-0000-0000E55E0000}"/>
    <cellStyle name="Note 19 2 6" xfId="15848" xr:uid="{00000000-0005-0000-0000-0000E65E0000}"/>
    <cellStyle name="Note 19 3" xfId="11539" xr:uid="{00000000-0005-0000-0000-0000E75E0000}"/>
    <cellStyle name="Note 19 3 2" xfId="22827" xr:uid="{00000000-0005-0000-0000-0000E85E0000}"/>
    <cellStyle name="Note 19 4" xfId="9545" xr:uid="{00000000-0005-0000-0000-0000E95E0000}"/>
    <cellStyle name="Note 19 4 2" xfId="20833" xr:uid="{00000000-0005-0000-0000-0000EA5E0000}"/>
    <cellStyle name="Note 19 5" xfId="7551" xr:uid="{00000000-0005-0000-0000-0000EB5E0000}"/>
    <cellStyle name="Note 19 5 2" xfId="18839" xr:uid="{00000000-0005-0000-0000-0000EC5E0000}"/>
    <cellStyle name="Note 19 6" xfId="5557" xr:uid="{00000000-0005-0000-0000-0000ED5E0000}"/>
    <cellStyle name="Note 19 6 2" xfId="16845" xr:uid="{00000000-0005-0000-0000-0000EE5E0000}"/>
    <cellStyle name="Note 19 7" xfId="14851" xr:uid="{00000000-0005-0000-0000-0000EF5E0000}"/>
    <cellStyle name="Note 19 8" xfId="13535" xr:uid="{00000000-0005-0000-0000-0000F05E0000}"/>
    <cellStyle name="Note 2" xfId="3324" xr:uid="{00000000-0005-0000-0000-0000F15E0000}"/>
    <cellStyle name="Note 2 10" xfId="25072" xr:uid="{00000000-0005-0000-0000-0000F25E0000}"/>
    <cellStyle name="Note 2 10 2" xfId="25396" xr:uid="{00000000-0005-0000-0000-0000F35E0000}"/>
    <cellStyle name="Note 2 10 2 2" xfId="27550" xr:uid="{00000000-0005-0000-0000-0000F45E0000}"/>
    <cellStyle name="Note 2 10 2 2 2" xfId="32141" xr:uid="{ED795074-B4B2-4DEB-9864-3BEC659C2323}"/>
    <cellStyle name="Note 2 10 2 3" xfId="26995" xr:uid="{00000000-0005-0000-0000-0000F55E0000}"/>
    <cellStyle name="Note 2 10 2 3 2" xfId="31756" xr:uid="{E3ED3DC2-EA43-4EDA-B768-D85FFEA8460A}"/>
    <cellStyle name="Note 2 10 2 4" xfId="27022" xr:uid="{00000000-0005-0000-0000-0000F65E0000}"/>
    <cellStyle name="Note 2 10 2 4 2" xfId="31782" xr:uid="{95DD3BD0-AADC-42A6-8647-9EE1F767CE7A}"/>
    <cellStyle name="Note 2 10 2 5" xfId="29314" xr:uid="{00000000-0005-0000-0000-0000F75E0000}"/>
    <cellStyle name="Note 2 10 2 5 2" xfId="33279" xr:uid="{12A2F255-3763-427C-B3D1-D51101DB3453}"/>
    <cellStyle name="Note 2 10 2 6" xfId="30554" xr:uid="{DB5B7E35-8A43-4EB6-8AC8-D2C86280612A}"/>
    <cellStyle name="Note 2 10 3" xfId="25676" xr:uid="{00000000-0005-0000-0000-0000F85E0000}"/>
    <cellStyle name="Note 2 10 3 2" xfId="27829" xr:uid="{00000000-0005-0000-0000-0000F95E0000}"/>
    <cellStyle name="Note 2 10 3 2 2" xfId="32416" xr:uid="{803D59E6-E361-4913-97AB-1E2382A01DEC}"/>
    <cellStyle name="Note 2 10 3 3" xfId="26488" xr:uid="{00000000-0005-0000-0000-0000FA5E0000}"/>
    <cellStyle name="Note 2 10 3 3 2" xfId="31276" xr:uid="{E7654906-ECE5-41D5-B07C-7C34E53F33AB}"/>
    <cellStyle name="Note 2 10 3 4" xfId="26208" xr:uid="{00000000-0005-0000-0000-0000FB5E0000}"/>
    <cellStyle name="Note 2 10 3 4 2" xfId="30996" xr:uid="{BE4F8778-6736-43B5-9773-1266BE68FD56}"/>
    <cellStyle name="Note 2 10 3 5" xfId="29313" xr:uid="{00000000-0005-0000-0000-0000FC5E0000}"/>
    <cellStyle name="Note 2 10 3 5 2" xfId="33278" xr:uid="{AE71FB73-1C04-4406-9E95-AC8B3CC87E05}"/>
    <cellStyle name="Note 2 10 3 6" xfId="30670" xr:uid="{2A5ECE81-5927-460E-B513-2404887CCA4E}"/>
    <cellStyle name="Note 2 10 4" xfId="27363" xr:uid="{00000000-0005-0000-0000-0000FD5E0000}"/>
    <cellStyle name="Note 2 10 4 2" xfId="31961" xr:uid="{65D60B22-CBB4-400A-AC3A-2DED091C8A2B}"/>
    <cellStyle name="Note 2 10 5" xfId="26412" xr:uid="{00000000-0005-0000-0000-0000FE5E0000}"/>
    <cellStyle name="Note 2 10 5 2" xfId="31200" xr:uid="{23F341C7-712E-4D2C-AE5B-DE6A4243D440}"/>
    <cellStyle name="Note 2 10 6" xfId="26234" xr:uid="{00000000-0005-0000-0000-0000FF5E0000}"/>
    <cellStyle name="Note 2 10 6 2" xfId="31022" xr:uid="{95B47169-799D-4793-816C-844DDB67347E}"/>
    <cellStyle name="Note 2 10 7" xfId="29315" xr:uid="{00000000-0005-0000-0000-0000005F0000}"/>
    <cellStyle name="Note 2 10 7 2" xfId="33280" xr:uid="{E52D3C94-8A03-47EC-B69C-65D064DE55EF}"/>
    <cellStyle name="Note 2 10 8" xfId="30378" xr:uid="{67981270-B86C-4BCD-A34E-12A5DE36C781}"/>
    <cellStyle name="Note 2 2" xfId="4558" xr:uid="{00000000-0005-0000-0000-0000015F0000}"/>
    <cellStyle name="Note 2 2 2" xfId="12537" xr:uid="{00000000-0005-0000-0000-0000025F0000}"/>
    <cellStyle name="Note 2 2 2 2" xfId="23825" xr:uid="{00000000-0005-0000-0000-0000035F0000}"/>
    <cellStyle name="Note 2 2 3" xfId="10543" xr:uid="{00000000-0005-0000-0000-0000045F0000}"/>
    <cellStyle name="Note 2 2 3 2" xfId="21831" xr:uid="{00000000-0005-0000-0000-0000055F0000}"/>
    <cellStyle name="Note 2 2 4" xfId="8549" xr:uid="{00000000-0005-0000-0000-0000065F0000}"/>
    <cellStyle name="Note 2 2 4 2" xfId="19837" xr:uid="{00000000-0005-0000-0000-0000075F0000}"/>
    <cellStyle name="Note 2 2 5" xfId="6555" xr:uid="{00000000-0005-0000-0000-0000085F0000}"/>
    <cellStyle name="Note 2 2 5 2" xfId="17843" xr:uid="{00000000-0005-0000-0000-0000095F0000}"/>
    <cellStyle name="Note 2 2 6" xfId="15849" xr:uid="{00000000-0005-0000-0000-00000A5F0000}"/>
    <cellStyle name="Note 2 2 7" xfId="24189" xr:uid="{00000000-0005-0000-0000-00000B5F0000}"/>
    <cellStyle name="Note 2 2 7 2" xfId="25413" xr:uid="{00000000-0005-0000-0000-00000C5F0000}"/>
    <cellStyle name="Note 2 2 7 2 2" xfId="27567" xr:uid="{00000000-0005-0000-0000-00000D5F0000}"/>
    <cellStyle name="Note 2 2 7 2 2 2" xfId="32158" xr:uid="{169D7C43-7A16-489C-9055-F5928126142E}"/>
    <cellStyle name="Note 2 2 7 2 3" xfId="26449" xr:uid="{00000000-0005-0000-0000-00000E5F0000}"/>
    <cellStyle name="Note 2 2 7 2 3 2" xfId="31237" xr:uid="{7A97FE70-2EF5-4225-BBF2-314E19A2FB53}"/>
    <cellStyle name="Note 2 2 7 2 4" xfId="26692" xr:uid="{00000000-0005-0000-0000-00000F5F0000}"/>
    <cellStyle name="Note 2 2 7 2 4 2" xfId="31454" xr:uid="{EC1FEF2A-F609-4CC8-B19E-2820CFD460B4}"/>
    <cellStyle name="Note 2 2 7 2 5" xfId="29311" xr:uid="{00000000-0005-0000-0000-0000105F0000}"/>
    <cellStyle name="Note 2 2 7 2 5 2" xfId="33276" xr:uid="{0BEE830D-C87E-43CF-A79B-1800BE0F3648}"/>
    <cellStyle name="Note 2 2 7 2 6" xfId="30571" xr:uid="{E4C56B17-1813-48AC-BEE6-9B19141E1375}"/>
    <cellStyle name="Note 2 2 7 3" xfId="25564" xr:uid="{00000000-0005-0000-0000-0000115F0000}"/>
    <cellStyle name="Note 2 2 7 3 2" xfId="27717" xr:uid="{00000000-0005-0000-0000-0000125F0000}"/>
    <cellStyle name="Note 2 2 7 3 2 2" xfId="32304" xr:uid="{432BFCAB-7922-44BD-938F-95BBE0249034}"/>
    <cellStyle name="Note 2 2 7 3 3" xfId="26725" xr:uid="{00000000-0005-0000-0000-0000135F0000}"/>
    <cellStyle name="Note 2 2 7 3 3 2" xfId="31486" xr:uid="{F163B9E1-29DA-4E41-81D9-C9582A11C23A}"/>
    <cellStyle name="Note 2 2 7 3 4" xfId="26483" xr:uid="{00000000-0005-0000-0000-0000145F0000}"/>
    <cellStyle name="Note 2 2 7 3 4 2" xfId="31271" xr:uid="{2648E547-47F7-4FE0-AB43-3B4CB4A483E4}"/>
    <cellStyle name="Note 2 2 7 3 5" xfId="29310" xr:uid="{00000000-0005-0000-0000-0000155F0000}"/>
    <cellStyle name="Note 2 2 7 3 5 2" xfId="33275" xr:uid="{1F0ED3A2-0841-4A8B-AFE0-122FA7EAB477}"/>
    <cellStyle name="Note 2 2 7 3 6" xfId="30621" xr:uid="{B54B5947-01C3-4320-827A-4170B89D4A2E}"/>
    <cellStyle name="Note 2 2 7 4" xfId="27089" xr:uid="{00000000-0005-0000-0000-0000165F0000}"/>
    <cellStyle name="Note 2 2 7 4 2" xfId="31813" xr:uid="{3C2F7081-3DAC-452E-B2C9-67543035D0DE}"/>
    <cellStyle name="Note 2 2 7 5" xfId="26967" xr:uid="{00000000-0005-0000-0000-0000175F0000}"/>
    <cellStyle name="Note 2 2 7 5 2" xfId="31728" xr:uid="{7A6AC54E-225A-456C-A992-255426DC1D3A}"/>
    <cellStyle name="Note 2 2 7 6" xfId="26787" xr:uid="{00000000-0005-0000-0000-0000185F0000}"/>
    <cellStyle name="Note 2 2 7 6 2" xfId="31548" xr:uid="{7368A84E-74F8-42A5-866A-141DCF4E1C55}"/>
    <cellStyle name="Note 2 2 7 7" xfId="29312" xr:uid="{00000000-0005-0000-0000-0000195F0000}"/>
    <cellStyle name="Note 2 2 7 7 2" xfId="33277" xr:uid="{4A48E003-899A-4635-A0EE-908E495A489C}"/>
    <cellStyle name="Note 2 2 7 8" xfId="30266" xr:uid="{A8C89ABE-37AC-43B4-A160-C6171A84BDCD}"/>
    <cellStyle name="Note 2 2 8" xfId="25073" xr:uid="{00000000-0005-0000-0000-00001A5F0000}"/>
    <cellStyle name="Note 2 2 8 2" xfId="25305" xr:uid="{00000000-0005-0000-0000-00001B5F0000}"/>
    <cellStyle name="Note 2 2 8 2 2" xfId="27459" xr:uid="{00000000-0005-0000-0000-00001C5F0000}"/>
    <cellStyle name="Note 2 2 8 2 2 2" xfId="32051" xr:uid="{7E7D7BC4-4FF5-4124-A7EB-41943EB6FC6F}"/>
    <cellStyle name="Note 2 2 8 2 3" xfId="26276" xr:uid="{00000000-0005-0000-0000-00001D5F0000}"/>
    <cellStyle name="Note 2 2 8 2 3 2" xfId="31064" xr:uid="{E2F65BB5-69C2-43D6-93D5-FBFE9ECA6728}"/>
    <cellStyle name="Note 2 2 8 2 4" xfId="26501" xr:uid="{00000000-0005-0000-0000-00001E5F0000}"/>
    <cellStyle name="Note 2 2 8 2 4 2" xfId="31289" xr:uid="{E8F2CDAF-71DF-41A5-AA52-50FAD1FA1604}"/>
    <cellStyle name="Note 2 2 8 2 5" xfId="29308" xr:uid="{00000000-0005-0000-0000-00001F5F0000}"/>
    <cellStyle name="Note 2 2 8 2 5 2" xfId="33273" xr:uid="{9502271A-FC77-450B-8BC6-57FECE1FD012}"/>
    <cellStyle name="Note 2 2 8 2 6" xfId="30464" xr:uid="{ED1A8589-C2DD-4525-ABA0-58B9E98F5659}"/>
    <cellStyle name="Note 2 2 8 3" xfId="25677" xr:uid="{00000000-0005-0000-0000-0000205F0000}"/>
    <cellStyle name="Note 2 2 8 3 2" xfId="27830" xr:uid="{00000000-0005-0000-0000-0000215F0000}"/>
    <cellStyle name="Note 2 2 8 3 2 2" xfId="32417" xr:uid="{660D9830-CD92-42FD-8F1B-3A0F9D88FEBD}"/>
    <cellStyle name="Note 2 2 8 3 3" xfId="26871" xr:uid="{00000000-0005-0000-0000-0000225F0000}"/>
    <cellStyle name="Note 2 2 8 3 3 2" xfId="31632" xr:uid="{F444B97D-740D-4D3D-BFA5-35257F062E93}"/>
    <cellStyle name="Note 2 2 8 3 4" xfId="26439" xr:uid="{00000000-0005-0000-0000-0000235F0000}"/>
    <cellStyle name="Note 2 2 8 3 4 2" xfId="31227" xr:uid="{9E32C757-93CD-45CF-805A-EF9C37E64678}"/>
    <cellStyle name="Note 2 2 8 3 5" xfId="29307" xr:uid="{00000000-0005-0000-0000-0000245F0000}"/>
    <cellStyle name="Note 2 2 8 3 5 2" xfId="33272" xr:uid="{BC2B08EC-FC95-4850-953F-262B9AF9911F}"/>
    <cellStyle name="Note 2 2 8 3 6" xfId="30671" xr:uid="{1AEB03C2-F7E1-41A8-B6CD-D9D9FE73473C}"/>
    <cellStyle name="Note 2 2 8 4" xfId="27364" xr:uid="{00000000-0005-0000-0000-0000255F0000}"/>
    <cellStyle name="Note 2 2 8 4 2" xfId="31962" xr:uid="{11C8F833-72BE-4190-A28D-D7173BBC7D9C}"/>
    <cellStyle name="Note 2 2 8 5" xfId="26802" xr:uid="{00000000-0005-0000-0000-0000265F0000}"/>
    <cellStyle name="Note 2 2 8 5 2" xfId="31563" xr:uid="{158345EE-2391-4F34-8E83-E268C7A71CD1}"/>
    <cellStyle name="Note 2 2 8 6" xfId="26854" xr:uid="{00000000-0005-0000-0000-0000275F0000}"/>
    <cellStyle name="Note 2 2 8 6 2" xfId="31615" xr:uid="{A56DD33B-52FF-4AD4-9133-822FED9FF235}"/>
    <cellStyle name="Note 2 2 8 7" xfId="29309" xr:uid="{00000000-0005-0000-0000-0000285F0000}"/>
    <cellStyle name="Note 2 2 8 7 2" xfId="33274" xr:uid="{12E43B7D-1D4F-490D-B6A0-773843719E12}"/>
    <cellStyle name="Note 2 2 8 8" xfId="30379" xr:uid="{018F3373-B5F4-4D1B-AEF7-889B9FC86EA8}"/>
    <cellStyle name="Note 2 3" xfId="11540" xr:uid="{00000000-0005-0000-0000-0000295F0000}"/>
    <cellStyle name="Note 2 3 2" xfId="22828" xr:uid="{00000000-0005-0000-0000-00002A5F0000}"/>
    <cellStyle name="Note 2 4" xfId="9546" xr:uid="{00000000-0005-0000-0000-00002B5F0000}"/>
    <cellStyle name="Note 2 4 2" xfId="20834" xr:uid="{00000000-0005-0000-0000-00002C5F0000}"/>
    <cellStyle name="Note 2 5" xfId="7552" xr:uid="{00000000-0005-0000-0000-00002D5F0000}"/>
    <cellStyle name="Note 2 5 2" xfId="18840" xr:uid="{00000000-0005-0000-0000-00002E5F0000}"/>
    <cellStyle name="Note 2 6" xfId="5558" xr:uid="{00000000-0005-0000-0000-00002F5F0000}"/>
    <cellStyle name="Note 2 6 2" xfId="16846" xr:uid="{00000000-0005-0000-0000-0000305F0000}"/>
    <cellStyle name="Note 2 7" xfId="14852" xr:uid="{00000000-0005-0000-0000-0000315F0000}"/>
    <cellStyle name="Note 2 8" xfId="13536" xr:uid="{00000000-0005-0000-0000-0000325F0000}"/>
    <cellStyle name="Note 2 9" xfId="24188" xr:uid="{00000000-0005-0000-0000-0000335F0000}"/>
    <cellStyle name="Note 2 9 2" xfId="25311" xr:uid="{00000000-0005-0000-0000-0000345F0000}"/>
    <cellStyle name="Note 2 9 2 2" xfId="27465" xr:uid="{00000000-0005-0000-0000-0000355F0000}"/>
    <cellStyle name="Note 2 9 2 2 2" xfId="32057" xr:uid="{75138C7E-A1CF-4881-A064-E8B5D64E8FAA}"/>
    <cellStyle name="Note 2 9 2 3" xfId="26837" xr:uid="{00000000-0005-0000-0000-0000365F0000}"/>
    <cellStyle name="Note 2 9 2 3 2" xfId="31598" xr:uid="{3D56A009-D419-402E-81FD-EC1F04BBE60A}"/>
    <cellStyle name="Note 2 9 2 4" xfId="26293" xr:uid="{00000000-0005-0000-0000-0000375F0000}"/>
    <cellStyle name="Note 2 9 2 4 2" xfId="31081" xr:uid="{55896BA1-B9F8-41FB-B1D7-1F6E32C4E237}"/>
    <cellStyle name="Note 2 9 2 5" xfId="29305" xr:uid="{00000000-0005-0000-0000-0000385F0000}"/>
    <cellStyle name="Note 2 9 2 5 2" xfId="33270" xr:uid="{6938A78F-400E-4825-8311-48C0CB394A15}"/>
    <cellStyle name="Note 2 9 2 6" xfId="30470" xr:uid="{4572FE7E-DF9D-4393-9A56-2C5BEFF59353}"/>
    <cellStyle name="Note 2 9 3" xfId="25563" xr:uid="{00000000-0005-0000-0000-0000395F0000}"/>
    <cellStyle name="Note 2 9 3 2" xfId="27716" xr:uid="{00000000-0005-0000-0000-00003A5F0000}"/>
    <cellStyle name="Note 2 9 3 2 2" xfId="32303" xr:uid="{8239A794-E344-4343-A163-EEF6AB8FA92C}"/>
    <cellStyle name="Note 2 9 3 3" xfId="26310" xr:uid="{00000000-0005-0000-0000-00003B5F0000}"/>
    <cellStyle name="Note 2 9 3 3 2" xfId="31098" xr:uid="{CC66EC9F-1811-42EF-82D3-C9F0568470E9}"/>
    <cellStyle name="Note 2 9 3 4" xfId="26463" xr:uid="{00000000-0005-0000-0000-00003C5F0000}"/>
    <cellStyle name="Note 2 9 3 4 2" xfId="31251" xr:uid="{DF6CBA9F-FD3E-440E-A9C7-59B340C8F2FE}"/>
    <cellStyle name="Note 2 9 3 5" xfId="29304" xr:uid="{00000000-0005-0000-0000-00003D5F0000}"/>
    <cellStyle name="Note 2 9 3 5 2" xfId="33269" xr:uid="{3B2C4CC9-886B-4FAC-9C32-AFA20D0CA4ED}"/>
    <cellStyle name="Note 2 9 3 6" xfId="30620" xr:uid="{F66AB64F-E090-4EB6-AA97-C7972D739FDA}"/>
    <cellStyle name="Note 2 9 4" xfId="27088" xr:uid="{00000000-0005-0000-0000-00003E5F0000}"/>
    <cellStyle name="Note 2 9 4 2" xfId="31812" xr:uid="{7E355FD8-1B45-4CB2-A37C-2AF3611778D5}"/>
    <cellStyle name="Note 2 9 5" xfId="26236" xr:uid="{00000000-0005-0000-0000-00003F5F0000}"/>
    <cellStyle name="Note 2 9 5 2" xfId="31024" xr:uid="{8DAA8540-B2FD-4BD6-B7C7-215B2DE70E36}"/>
    <cellStyle name="Note 2 9 6" xfId="26328" xr:uid="{00000000-0005-0000-0000-0000405F0000}"/>
    <cellStyle name="Note 2 9 6 2" xfId="31116" xr:uid="{9C6DF302-F321-49B8-B606-9806BF2E6D01}"/>
    <cellStyle name="Note 2 9 7" xfId="29306" xr:uid="{00000000-0005-0000-0000-0000415F0000}"/>
    <cellStyle name="Note 2 9 7 2" xfId="33271" xr:uid="{8107E51A-3AC4-4C7C-A01C-75FBB883564B}"/>
    <cellStyle name="Note 2 9 8" xfId="30265" xr:uid="{E0763D03-A217-4FF4-8735-C4249CDD5A2E}"/>
    <cellStyle name="Note 20" xfId="3325" xr:uid="{00000000-0005-0000-0000-0000425F0000}"/>
    <cellStyle name="Note 20 2" xfId="4559" xr:uid="{00000000-0005-0000-0000-0000435F0000}"/>
    <cellStyle name="Note 20 2 2" xfId="12538" xr:uid="{00000000-0005-0000-0000-0000445F0000}"/>
    <cellStyle name="Note 20 2 2 2" xfId="23826" xr:uid="{00000000-0005-0000-0000-0000455F0000}"/>
    <cellStyle name="Note 20 2 3" xfId="10544" xr:uid="{00000000-0005-0000-0000-0000465F0000}"/>
    <cellStyle name="Note 20 2 3 2" xfId="21832" xr:uid="{00000000-0005-0000-0000-0000475F0000}"/>
    <cellStyle name="Note 20 2 4" xfId="8550" xr:uid="{00000000-0005-0000-0000-0000485F0000}"/>
    <cellStyle name="Note 20 2 4 2" xfId="19838" xr:uid="{00000000-0005-0000-0000-0000495F0000}"/>
    <cellStyle name="Note 20 2 5" xfId="6556" xr:uid="{00000000-0005-0000-0000-00004A5F0000}"/>
    <cellStyle name="Note 20 2 5 2" xfId="17844" xr:uid="{00000000-0005-0000-0000-00004B5F0000}"/>
    <cellStyle name="Note 20 2 6" xfId="15850" xr:uid="{00000000-0005-0000-0000-00004C5F0000}"/>
    <cellStyle name="Note 20 3" xfId="11541" xr:uid="{00000000-0005-0000-0000-00004D5F0000}"/>
    <cellStyle name="Note 20 3 2" xfId="22829" xr:uid="{00000000-0005-0000-0000-00004E5F0000}"/>
    <cellStyle name="Note 20 4" xfId="9547" xr:uid="{00000000-0005-0000-0000-00004F5F0000}"/>
    <cellStyle name="Note 20 4 2" xfId="20835" xr:uid="{00000000-0005-0000-0000-0000505F0000}"/>
    <cellStyle name="Note 20 5" xfId="7553" xr:uid="{00000000-0005-0000-0000-0000515F0000}"/>
    <cellStyle name="Note 20 5 2" xfId="18841" xr:uid="{00000000-0005-0000-0000-0000525F0000}"/>
    <cellStyle name="Note 20 6" xfId="5559" xr:uid="{00000000-0005-0000-0000-0000535F0000}"/>
    <cellStyle name="Note 20 6 2" xfId="16847" xr:uid="{00000000-0005-0000-0000-0000545F0000}"/>
    <cellStyle name="Note 20 7" xfId="14853" xr:uid="{00000000-0005-0000-0000-0000555F0000}"/>
    <cellStyle name="Note 20 8" xfId="13537" xr:uid="{00000000-0005-0000-0000-0000565F0000}"/>
    <cellStyle name="Note 21" xfId="3326" xr:uid="{00000000-0005-0000-0000-0000575F0000}"/>
    <cellStyle name="Note 21 2" xfId="4560" xr:uid="{00000000-0005-0000-0000-0000585F0000}"/>
    <cellStyle name="Note 21 2 2" xfId="12539" xr:uid="{00000000-0005-0000-0000-0000595F0000}"/>
    <cellStyle name="Note 21 2 2 2" xfId="23827" xr:uid="{00000000-0005-0000-0000-00005A5F0000}"/>
    <cellStyle name="Note 21 2 3" xfId="10545" xr:uid="{00000000-0005-0000-0000-00005B5F0000}"/>
    <cellStyle name="Note 21 2 3 2" xfId="21833" xr:uid="{00000000-0005-0000-0000-00005C5F0000}"/>
    <cellStyle name="Note 21 2 4" xfId="8551" xr:uid="{00000000-0005-0000-0000-00005D5F0000}"/>
    <cellStyle name="Note 21 2 4 2" xfId="19839" xr:uid="{00000000-0005-0000-0000-00005E5F0000}"/>
    <cellStyle name="Note 21 2 5" xfId="6557" xr:uid="{00000000-0005-0000-0000-00005F5F0000}"/>
    <cellStyle name="Note 21 2 5 2" xfId="17845" xr:uid="{00000000-0005-0000-0000-0000605F0000}"/>
    <cellStyle name="Note 21 2 6" xfId="15851" xr:uid="{00000000-0005-0000-0000-0000615F0000}"/>
    <cellStyle name="Note 21 3" xfId="11542" xr:uid="{00000000-0005-0000-0000-0000625F0000}"/>
    <cellStyle name="Note 21 3 2" xfId="22830" xr:uid="{00000000-0005-0000-0000-0000635F0000}"/>
    <cellStyle name="Note 21 4" xfId="9548" xr:uid="{00000000-0005-0000-0000-0000645F0000}"/>
    <cellStyle name="Note 21 4 2" xfId="20836" xr:uid="{00000000-0005-0000-0000-0000655F0000}"/>
    <cellStyle name="Note 21 5" xfId="7554" xr:uid="{00000000-0005-0000-0000-0000665F0000}"/>
    <cellStyle name="Note 21 5 2" xfId="18842" xr:uid="{00000000-0005-0000-0000-0000675F0000}"/>
    <cellStyle name="Note 21 6" xfId="5560" xr:uid="{00000000-0005-0000-0000-0000685F0000}"/>
    <cellStyle name="Note 21 6 2" xfId="16848" xr:uid="{00000000-0005-0000-0000-0000695F0000}"/>
    <cellStyle name="Note 21 7" xfId="14854" xr:uid="{00000000-0005-0000-0000-00006A5F0000}"/>
    <cellStyle name="Note 21 8" xfId="13538" xr:uid="{00000000-0005-0000-0000-00006B5F0000}"/>
    <cellStyle name="Note 22" xfId="3327" xr:uid="{00000000-0005-0000-0000-00006C5F0000}"/>
    <cellStyle name="Note 22 2" xfId="4561" xr:uid="{00000000-0005-0000-0000-00006D5F0000}"/>
    <cellStyle name="Note 22 2 2" xfId="12540" xr:uid="{00000000-0005-0000-0000-00006E5F0000}"/>
    <cellStyle name="Note 22 2 2 2" xfId="23828" xr:uid="{00000000-0005-0000-0000-00006F5F0000}"/>
    <cellStyle name="Note 22 2 3" xfId="10546" xr:uid="{00000000-0005-0000-0000-0000705F0000}"/>
    <cellStyle name="Note 22 2 3 2" xfId="21834" xr:uid="{00000000-0005-0000-0000-0000715F0000}"/>
    <cellStyle name="Note 22 2 4" xfId="8552" xr:uid="{00000000-0005-0000-0000-0000725F0000}"/>
    <cellStyle name="Note 22 2 4 2" xfId="19840" xr:uid="{00000000-0005-0000-0000-0000735F0000}"/>
    <cellStyle name="Note 22 2 5" xfId="6558" xr:uid="{00000000-0005-0000-0000-0000745F0000}"/>
    <cellStyle name="Note 22 2 5 2" xfId="17846" xr:uid="{00000000-0005-0000-0000-0000755F0000}"/>
    <cellStyle name="Note 22 2 6" xfId="15852" xr:uid="{00000000-0005-0000-0000-0000765F0000}"/>
    <cellStyle name="Note 22 3" xfId="11543" xr:uid="{00000000-0005-0000-0000-0000775F0000}"/>
    <cellStyle name="Note 22 3 2" xfId="22831" xr:uid="{00000000-0005-0000-0000-0000785F0000}"/>
    <cellStyle name="Note 22 4" xfId="9549" xr:uid="{00000000-0005-0000-0000-0000795F0000}"/>
    <cellStyle name="Note 22 4 2" xfId="20837" xr:uid="{00000000-0005-0000-0000-00007A5F0000}"/>
    <cellStyle name="Note 22 5" xfId="7555" xr:uid="{00000000-0005-0000-0000-00007B5F0000}"/>
    <cellStyle name="Note 22 5 2" xfId="18843" xr:uid="{00000000-0005-0000-0000-00007C5F0000}"/>
    <cellStyle name="Note 22 6" xfId="5561" xr:uid="{00000000-0005-0000-0000-00007D5F0000}"/>
    <cellStyle name="Note 22 6 2" xfId="16849" xr:uid="{00000000-0005-0000-0000-00007E5F0000}"/>
    <cellStyle name="Note 22 7" xfId="14855" xr:uid="{00000000-0005-0000-0000-00007F5F0000}"/>
    <cellStyle name="Note 22 8" xfId="13539" xr:uid="{00000000-0005-0000-0000-0000805F0000}"/>
    <cellStyle name="Note 23" xfId="3328" xr:uid="{00000000-0005-0000-0000-0000815F0000}"/>
    <cellStyle name="Note 23 2" xfId="4562" xr:uid="{00000000-0005-0000-0000-0000825F0000}"/>
    <cellStyle name="Note 23 2 2" xfId="12541" xr:uid="{00000000-0005-0000-0000-0000835F0000}"/>
    <cellStyle name="Note 23 2 2 2" xfId="23829" xr:uid="{00000000-0005-0000-0000-0000845F0000}"/>
    <cellStyle name="Note 23 2 3" xfId="10547" xr:uid="{00000000-0005-0000-0000-0000855F0000}"/>
    <cellStyle name="Note 23 2 3 2" xfId="21835" xr:uid="{00000000-0005-0000-0000-0000865F0000}"/>
    <cellStyle name="Note 23 2 4" xfId="8553" xr:uid="{00000000-0005-0000-0000-0000875F0000}"/>
    <cellStyle name="Note 23 2 4 2" xfId="19841" xr:uid="{00000000-0005-0000-0000-0000885F0000}"/>
    <cellStyle name="Note 23 2 5" xfId="6559" xr:uid="{00000000-0005-0000-0000-0000895F0000}"/>
    <cellStyle name="Note 23 2 5 2" xfId="17847" xr:uid="{00000000-0005-0000-0000-00008A5F0000}"/>
    <cellStyle name="Note 23 2 6" xfId="15853" xr:uid="{00000000-0005-0000-0000-00008B5F0000}"/>
    <cellStyle name="Note 23 3" xfId="11544" xr:uid="{00000000-0005-0000-0000-00008C5F0000}"/>
    <cellStyle name="Note 23 3 2" xfId="22832" xr:uid="{00000000-0005-0000-0000-00008D5F0000}"/>
    <cellStyle name="Note 23 4" xfId="9550" xr:uid="{00000000-0005-0000-0000-00008E5F0000}"/>
    <cellStyle name="Note 23 4 2" xfId="20838" xr:uid="{00000000-0005-0000-0000-00008F5F0000}"/>
    <cellStyle name="Note 23 5" xfId="7556" xr:uid="{00000000-0005-0000-0000-0000905F0000}"/>
    <cellStyle name="Note 23 5 2" xfId="18844" xr:uid="{00000000-0005-0000-0000-0000915F0000}"/>
    <cellStyle name="Note 23 6" xfId="5562" xr:uid="{00000000-0005-0000-0000-0000925F0000}"/>
    <cellStyle name="Note 23 6 2" xfId="16850" xr:uid="{00000000-0005-0000-0000-0000935F0000}"/>
    <cellStyle name="Note 23 7" xfId="14856" xr:uid="{00000000-0005-0000-0000-0000945F0000}"/>
    <cellStyle name="Note 23 8" xfId="13540" xr:uid="{00000000-0005-0000-0000-0000955F0000}"/>
    <cellStyle name="Note 24" xfId="3329" xr:uid="{00000000-0005-0000-0000-0000965F0000}"/>
    <cellStyle name="Note 24 2" xfId="4563" xr:uid="{00000000-0005-0000-0000-0000975F0000}"/>
    <cellStyle name="Note 24 2 2" xfId="12542" xr:uid="{00000000-0005-0000-0000-0000985F0000}"/>
    <cellStyle name="Note 24 2 2 2" xfId="23830" xr:uid="{00000000-0005-0000-0000-0000995F0000}"/>
    <cellStyle name="Note 24 2 3" xfId="10548" xr:uid="{00000000-0005-0000-0000-00009A5F0000}"/>
    <cellStyle name="Note 24 2 3 2" xfId="21836" xr:uid="{00000000-0005-0000-0000-00009B5F0000}"/>
    <cellStyle name="Note 24 2 4" xfId="8554" xr:uid="{00000000-0005-0000-0000-00009C5F0000}"/>
    <cellStyle name="Note 24 2 4 2" xfId="19842" xr:uid="{00000000-0005-0000-0000-00009D5F0000}"/>
    <cellStyle name="Note 24 2 5" xfId="6560" xr:uid="{00000000-0005-0000-0000-00009E5F0000}"/>
    <cellStyle name="Note 24 2 5 2" xfId="17848" xr:uid="{00000000-0005-0000-0000-00009F5F0000}"/>
    <cellStyle name="Note 24 2 6" xfId="15854" xr:uid="{00000000-0005-0000-0000-0000A05F0000}"/>
    <cellStyle name="Note 24 3" xfId="11545" xr:uid="{00000000-0005-0000-0000-0000A15F0000}"/>
    <cellStyle name="Note 24 3 2" xfId="22833" xr:uid="{00000000-0005-0000-0000-0000A25F0000}"/>
    <cellStyle name="Note 24 4" xfId="9551" xr:uid="{00000000-0005-0000-0000-0000A35F0000}"/>
    <cellStyle name="Note 24 4 2" xfId="20839" xr:uid="{00000000-0005-0000-0000-0000A45F0000}"/>
    <cellStyle name="Note 24 5" xfId="7557" xr:uid="{00000000-0005-0000-0000-0000A55F0000}"/>
    <cellStyle name="Note 24 5 2" xfId="18845" xr:uid="{00000000-0005-0000-0000-0000A65F0000}"/>
    <cellStyle name="Note 24 6" xfId="5563" xr:uid="{00000000-0005-0000-0000-0000A75F0000}"/>
    <cellStyle name="Note 24 6 2" xfId="16851" xr:uid="{00000000-0005-0000-0000-0000A85F0000}"/>
    <cellStyle name="Note 24 7" xfId="14857" xr:uid="{00000000-0005-0000-0000-0000A95F0000}"/>
    <cellStyle name="Note 24 8" xfId="13541" xr:uid="{00000000-0005-0000-0000-0000AA5F0000}"/>
    <cellStyle name="Note 25" xfId="3330" xr:uid="{00000000-0005-0000-0000-0000AB5F0000}"/>
    <cellStyle name="Note 25 2" xfId="4564" xr:uid="{00000000-0005-0000-0000-0000AC5F0000}"/>
    <cellStyle name="Note 25 2 2" xfId="12543" xr:uid="{00000000-0005-0000-0000-0000AD5F0000}"/>
    <cellStyle name="Note 25 2 2 2" xfId="23831" xr:uid="{00000000-0005-0000-0000-0000AE5F0000}"/>
    <cellStyle name="Note 25 2 3" xfId="10549" xr:uid="{00000000-0005-0000-0000-0000AF5F0000}"/>
    <cellStyle name="Note 25 2 3 2" xfId="21837" xr:uid="{00000000-0005-0000-0000-0000B05F0000}"/>
    <cellStyle name="Note 25 2 4" xfId="8555" xr:uid="{00000000-0005-0000-0000-0000B15F0000}"/>
    <cellStyle name="Note 25 2 4 2" xfId="19843" xr:uid="{00000000-0005-0000-0000-0000B25F0000}"/>
    <cellStyle name="Note 25 2 5" xfId="6561" xr:uid="{00000000-0005-0000-0000-0000B35F0000}"/>
    <cellStyle name="Note 25 2 5 2" xfId="17849" xr:uid="{00000000-0005-0000-0000-0000B45F0000}"/>
    <cellStyle name="Note 25 2 6" xfId="15855" xr:uid="{00000000-0005-0000-0000-0000B55F0000}"/>
    <cellStyle name="Note 25 3" xfId="11546" xr:uid="{00000000-0005-0000-0000-0000B65F0000}"/>
    <cellStyle name="Note 25 3 2" xfId="22834" xr:uid="{00000000-0005-0000-0000-0000B75F0000}"/>
    <cellStyle name="Note 25 4" xfId="9552" xr:uid="{00000000-0005-0000-0000-0000B85F0000}"/>
    <cellStyle name="Note 25 4 2" xfId="20840" xr:uid="{00000000-0005-0000-0000-0000B95F0000}"/>
    <cellStyle name="Note 25 5" xfId="7558" xr:uid="{00000000-0005-0000-0000-0000BA5F0000}"/>
    <cellStyle name="Note 25 5 2" xfId="18846" xr:uid="{00000000-0005-0000-0000-0000BB5F0000}"/>
    <cellStyle name="Note 25 6" xfId="5564" xr:uid="{00000000-0005-0000-0000-0000BC5F0000}"/>
    <cellStyle name="Note 25 6 2" xfId="16852" xr:uid="{00000000-0005-0000-0000-0000BD5F0000}"/>
    <cellStyle name="Note 25 7" xfId="14858" xr:uid="{00000000-0005-0000-0000-0000BE5F0000}"/>
    <cellStyle name="Note 25 8" xfId="13542" xr:uid="{00000000-0005-0000-0000-0000BF5F0000}"/>
    <cellStyle name="Note 26" xfId="3331" xr:uid="{00000000-0005-0000-0000-0000C05F0000}"/>
    <cellStyle name="Note 26 2" xfId="4565" xr:uid="{00000000-0005-0000-0000-0000C15F0000}"/>
    <cellStyle name="Note 26 2 2" xfId="12544" xr:uid="{00000000-0005-0000-0000-0000C25F0000}"/>
    <cellStyle name="Note 26 2 2 2" xfId="23832" xr:uid="{00000000-0005-0000-0000-0000C35F0000}"/>
    <cellStyle name="Note 26 2 3" xfId="10550" xr:uid="{00000000-0005-0000-0000-0000C45F0000}"/>
    <cellStyle name="Note 26 2 3 2" xfId="21838" xr:uid="{00000000-0005-0000-0000-0000C55F0000}"/>
    <cellStyle name="Note 26 2 4" xfId="8556" xr:uid="{00000000-0005-0000-0000-0000C65F0000}"/>
    <cellStyle name="Note 26 2 4 2" xfId="19844" xr:uid="{00000000-0005-0000-0000-0000C75F0000}"/>
    <cellStyle name="Note 26 2 5" xfId="6562" xr:uid="{00000000-0005-0000-0000-0000C85F0000}"/>
    <cellStyle name="Note 26 2 5 2" xfId="17850" xr:uid="{00000000-0005-0000-0000-0000C95F0000}"/>
    <cellStyle name="Note 26 2 6" xfId="15856" xr:uid="{00000000-0005-0000-0000-0000CA5F0000}"/>
    <cellStyle name="Note 26 3" xfId="11547" xr:uid="{00000000-0005-0000-0000-0000CB5F0000}"/>
    <cellStyle name="Note 26 3 2" xfId="22835" xr:uid="{00000000-0005-0000-0000-0000CC5F0000}"/>
    <cellStyle name="Note 26 4" xfId="9553" xr:uid="{00000000-0005-0000-0000-0000CD5F0000}"/>
    <cellStyle name="Note 26 4 2" xfId="20841" xr:uid="{00000000-0005-0000-0000-0000CE5F0000}"/>
    <cellStyle name="Note 26 5" xfId="7559" xr:uid="{00000000-0005-0000-0000-0000CF5F0000}"/>
    <cellStyle name="Note 26 5 2" xfId="18847" xr:uid="{00000000-0005-0000-0000-0000D05F0000}"/>
    <cellStyle name="Note 26 6" xfId="5565" xr:uid="{00000000-0005-0000-0000-0000D15F0000}"/>
    <cellStyle name="Note 26 6 2" xfId="16853" xr:uid="{00000000-0005-0000-0000-0000D25F0000}"/>
    <cellStyle name="Note 26 7" xfId="14859" xr:uid="{00000000-0005-0000-0000-0000D35F0000}"/>
    <cellStyle name="Note 26 8" xfId="13543" xr:uid="{00000000-0005-0000-0000-0000D45F0000}"/>
    <cellStyle name="Note 27" xfId="3332" xr:uid="{00000000-0005-0000-0000-0000D55F0000}"/>
    <cellStyle name="Note 27 2" xfId="4566" xr:uid="{00000000-0005-0000-0000-0000D65F0000}"/>
    <cellStyle name="Note 27 2 2" xfId="12545" xr:uid="{00000000-0005-0000-0000-0000D75F0000}"/>
    <cellStyle name="Note 27 2 2 2" xfId="23833" xr:uid="{00000000-0005-0000-0000-0000D85F0000}"/>
    <cellStyle name="Note 27 2 3" xfId="10551" xr:uid="{00000000-0005-0000-0000-0000D95F0000}"/>
    <cellStyle name="Note 27 2 3 2" xfId="21839" xr:uid="{00000000-0005-0000-0000-0000DA5F0000}"/>
    <cellStyle name="Note 27 2 4" xfId="8557" xr:uid="{00000000-0005-0000-0000-0000DB5F0000}"/>
    <cellStyle name="Note 27 2 4 2" xfId="19845" xr:uid="{00000000-0005-0000-0000-0000DC5F0000}"/>
    <cellStyle name="Note 27 2 5" xfId="6563" xr:uid="{00000000-0005-0000-0000-0000DD5F0000}"/>
    <cellStyle name="Note 27 2 5 2" xfId="17851" xr:uid="{00000000-0005-0000-0000-0000DE5F0000}"/>
    <cellStyle name="Note 27 2 6" xfId="15857" xr:uid="{00000000-0005-0000-0000-0000DF5F0000}"/>
    <cellStyle name="Note 27 3" xfId="11548" xr:uid="{00000000-0005-0000-0000-0000E05F0000}"/>
    <cellStyle name="Note 27 3 2" xfId="22836" xr:uid="{00000000-0005-0000-0000-0000E15F0000}"/>
    <cellStyle name="Note 27 4" xfId="9554" xr:uid="{00000000-0005-0000-0000-0000E25F0000}"/>
    <cellStyle name="Note 27 4 2" xfId="20842" xr:uid="{00000000-0005-0000-0000-0000E35F0000}"/>
    <cellStyle name="Note 27 5" xfId="7560" xr:uid="{00000000-0005-0000-0000-0000E45F0000}"/>
    <cellStyle name="Note 27 5 2" xfId="18848" xr:uid="{00000000-0005-0000-0000-0000E55F0000}"/>
    <cellStyle name="Note 27 6" xfId="5566" xr:uid="{00000000-0005-0000-0000-0000E65F0000}"/>
    <cellStyle name="Note 27 6 2" xfId="16854" xr:uid="{00000000-0005-0000-0000-0000E75F0000}"/>
    <cellStyle name="Note 27 7" xfId="14860" xr:uid="{00000000-0005-0000-0000-0000E85F0000}"/>
    <cellStyle name="Note 27 8" xfId="13544" xr:uid="{00000000-0005-0000-0000-0000E95F0000}"/>
    <cellStyle name="Note 28" xfId="3333" xr:uid="{00000000-0005-0000-0000-0000EA5F0000}"/>
    <cellStyle name="Note 28 2" xfId="4567" xr:uid="{00000000-0005-0000-0000-0000EB5F0000}"/>
    <cellStyle name="Note 28 2 2" xfId="12546" xr:uid="{00000000-0005-0000-0000-0000EC5F0000}"/>
    <cellStyle name="Note 28 2 2 2" xfId="23834" xr:uid="{00000000-0005-0000-0000-0000ED5F0000}"/>
    <cellStyle name="Note 28 2 3" xfId="10552" xr:uid="{00000000-0005-0000-0000-0000EE5F0000}"/>
    <cellStyle name="Note 28 2 3 2" xfId="21840" xr:uid="{00000000-0005-0000-0000-0000EF5F0000}"/>
    <cellStyle name="Note 28 2 4" xfId="8558" xr:uid="{00000000-0005-0000-0000-0000F05F0000}"/>
    <cellStyle name="Note 28 2 4 2" xfId="19846" xr:uid="{00000000-0005-0000-0000-0000F15F0000}"/>
    <cellStyle name="Note 28 2 5" xfId="6564" xr:uid="{00000000-0005-0000-0000-0000F25F0000}"/>
    <cellStyle name="Note 28 2 5 2" xfId="17852" xr:uid="{00000000-0005-0000-0000-0000F35F0000}"/>
    <cellStyle name="Note 28 2 6" xfId="15858" xr:uid="{00000000-0005-0000-0000-0000F45F0000}"/>
    <cellStyle name="Note 28 3" xfId="11549" xr:uid="{00000000-0005-0000-0000-0000F55F0000}"/>
    <cellStyle name="Note 28 3 2" xfId="22837" xr:uid="{00000000-0005-0000-0000-0000F65F0000}"/>
    <cellStyle name="Note 28 4" xfId="9555" xr:uid="{00000000-0005-0000-0000-0000F75F0000}"/>
    <cellStyle name="Note 28 4 2" xfId="20843" xr:uid="{00000000-0005-0000-0000-0000F85F0000}"/>
    <cellStyle name="Note 28 5" xfId="7561" xr:uid="{00000000-0005-0000-0000-0000F95F0000}"/>
    <cellStyle name="Note 28 5 2" xfId="18849" xr:uid="{00000000-0005-0000-0000-0000FA5F0000}"/>
    <cellStyle name="Note 28 6" xfId="5567" xr:uid="{00000000-0005-0000-0000-0000FB5F0000}"/>
    <cellStyle name="Note 28 6 2" xfId="16855" xr:uid="{00000000-0005-0000-0000-0000FC5F0000}"/>
    <cellStyle name="Note 28 7" xfId="14861" xr:uid="{00000000-0005-0000-0000-0000FD5F0000}"/>
    <cellStyle name="Note 28 8" xfId="13545" xr:uid="{00000000-0005-0000-0000-0000FE5F0000}"/>
    <cellStyle name="Note 29" xfId="3334" xr:uid="{00000000-0005-0000-0000-0000FF5F0000}"/>
    <cellStyle name="Note 29 2" xfId="4568" xr:uid="{00000000-0005-0000-0000-000000600000}"/>
    <cellStyle name="Note 29 2 2" xfId="12547" xr:uid="{00000000-0005-0000-0000-000001600000}"/>
    <cellStyle name="Note 29 2 2 2" xfId="23835" xr:uid="{00000000-0005-0000-0000-000002600000}"/>
    <cellStyle name="Note 29 2 3" xfId="10553" xr:uid="{00000000-0005-0000-0000-000003600000}"/>
    <cellStyle name="Note 29 2 3 2" xfId="21841" xr:uid="{00000000-0005-0000-0000-000004600000}"/>
    <cellStyle name="Note 29 2 4" xfId="8559" xr:uid="{00000000-0005-0000-0000-000005600000}"/>
    <cellStyle name="Note 29 2 4 2" xfId="19847" xr:uid="{00000000-0005-0000-0000-000006600000}"/>
    <cellStyle name="Note 29 2 5" xfId="6565" xr:uid="{00000000-0005-0000-0000-000007600000}"/>
    <cellStyle name="Note 29 2 5 2" xfId="17853" xr:uid="{00000000-0005-0000-0000-000008600000}"/>
    <cellStyle name="Note 29 2 6" xfId="15859" xr:uid="{00000000-0005-0000-0000-000009600000}"/>
    <cellStyle name="Note 29 3" xfId="11550" xr:uid="{00000000-0005-0000-0000-00000A600000}"/>
    <cellStyle name="Note 29 3 2" xfId="22838" xr:uid="{00000000-0005-0000-0000-00000B600000}"/>
    <cellStyle name="Note 29 4" xfId="9556" xr:uid="{00000000-0005-0000-0000-00000C600000}"/>
    <cellStyle name="Note 29 4 2" xfId="20844" xr:uid="{00000000-0005-0000-0000-00000D600000}"/>
    <cellStyle name="Note 29 5" xfId="7562" xr:uid="{00000000-0005-0000-0000-00000E600000}"/>
    <cellStyle name="Note 29 5 2" xfId="18850" xr:uid="{00000000-0005-0000-0000-00000F600000}"/>
    <cellStyle name="Note 29 6" xfId="5568" xr:uid="{00000000-0005-0000-0000-000010600000}"/>
    <cellStyle name="Note 29 6 2" xfId="16856" xr:uid="{00000000-0005-0000-0000-000011600000}"/>
    <cellStyle name="Note 29 7" xfId="14862" xr:uid="{00000000-0005-0000-0000-000012600000}"/>
    <cellStyle name="Note 29 8" xfId="13546" xr:uid="{00000000-0005-0000-0000-000013600000}"/>
    <cellStyle name="Note 3" xfId="3335" xr:uid="{00000000-0005-0000-0000-000014600000}"/>
    <cellStyle name="Note 3 10" xfId="25074" xr:uid="{00000000-0005-0000-0000-000015600000}"/>
    <cellStyle name="Note 3 10 2" xfId="25408" xr:uid="{00000000-0005-0000-0000-000016600000}"/>
    <cellStyle name="Note 3 10 2 2" xfId="27562" xr:uid="{00000000-0005-0000-0000-000017600000}"/>
    <cellStyle name="Note 3 10 2 2 2" xfId="32153" xr:uid="{A366B345-6D82-4F71-A18C-E41B9F5E9657}"/>
    <cellStyle name="Note 3 10 2 3" xfId="26759" xr:uid="{00000000-0005-0000-0000-000018600000}"/>
    <cellStyle name="Note 3 10 2 3 2" xfId="31520" xr:uid="{3D2653D0-E5C3-4641-A998-C53A1DB0DAC0}"/>
    <cellStyle name="Note 3 10 2 4" xfId="26423" xr:uid="{00000000-0005-0000-0000-000019600000}"/>
    <cellStyle name="Note 3 10 2 4 2" xfId="31211" xr:uid="{547E7D52-B7A2-4086-AD46-279C422F12D8}"/>
    <cellStyle name="Note 3 10 2 5" xfId="29301" xr:uid="{00000000-0005-0000-0000-00001A600000}"/>
    <cellStyle name="Note 3 10 2 5 2" xfId="33267" xr:uid="{2752310F-A3BA-42A0-AAA7-78546D5C9065}"/>
    <cellStyle name="Note 3 10 2 6" xfId="30566" xr:uid="{963690B8-9E82-4078-ABD8-22C5DFAEC475}"/>
    <cellStyle name="Note 3 10 3" xfId="25678" xr:uid="{00000000-0005-0000-0000-00001B600000}"/>
    <cellStyle name="Note 3 10 3 2" xfId="27831" xr:uid="{00000000-0005-0000-0000-00001C600000}"/>
    <cellStyle name="Note 3 10 3 2 2" xfId="32418" xr:uid="{72E2CE9E-8A2D-4DDC-B99C-FCF569D78855}"/>
    <cellStyle name="Note 3 10 3 3" xfId="26235" xr:uid="{00000000-0005-0000-0000-00001D600000}"/>
    <cellStyle name="Note 3 10 3 3 2" xfId="31023" xr:uid="{96DE35A5-6DD2-4870-BE90-5A22281268E5}"/>
    <cellStyle name="Note 3 10 3 4" xfId="26944" xr:uid="{00000000-0005-0000-0000-00001E600000}"/>
    <cellStyle name="Note 3 10 3 4 2" xfId="31705" xr:uid="{8A3B114E-D7C5-4140-82C3-C5D637CE1206}"/>
    <cellStyle name="Note 3 10 3 5" xfId="29300" xr:uid="{00000000-0005-0000-0000-00001F600000}"/>
    <cellStyle name="Note 3 10 3 5 2" xfId="33266" xr:uid="{71C3FEE1-0F10-426B-81AC-947958D9EB50}"/>
    <cellStyle name="Note 3 10 3 6" xfId="30672" xr:uid="{80DFE0A2-D321-4C04-A79D-C32C81AE9D31}"/>
    <cellStyle name="Note 3 10 4" xfId="27365" xr:uid="{00000000-0005-0000-0000-000020600000}"/>
    <cellStyle name="Note 3 10 4 2" xfId="31963" xr:uid="{2D79059B-2A78-4512-ABC8-C986FB8A495C}"/>
    <cellStyle name="Note 3 10 5" xfId="26690" xr:uid="{00000000-0005-0000-0000-000021600000}"/>
    <cellStyle name="Note 3 10 5 2" xfId="31452" xr:uid="{413462B4-7C6A-4293-9E92-1A58728EB3A5}"/>
    <cellStyle name="Note 3 10 6" xfId="26707" xr:uid="{00000000-0005-0000-0000-000022600000}"/>
    <cellStyle name="Note 3 10 6 2" xfId="31469" xr:uid="{636B27FC-54FE-4E39-86CB-F8BEA84F0FB6}"/>
    <cellStyle name="Note 3 10 7" xfId="29302" xr:uid="{00000000-0005-0000-0000-000023600000}"/>
    <cellStyle name="Note 3 10 7 2" xfId="33268" xr:uid="{4C545B38-5C3B-493D-A106-F6171873F57F}"/>
    <cellStyle name="Note 3 10 8" xfId="30380" xr:uid="{6F45C57A-30D3-4853-B379-E37989859524}"/>
    <cellStyle name="Note 3 2" xfId="4569" xr:uid="{00000000-0005-0000-0000-000024600000}"/>
    <cellStyle name="Note 3 2 2" xfId="12548" xr:uid="{00000000-0005-0000-0000-000025600000}"/>
    <cellStyle name="Note 3 2 2 2" xfId="23836" xr:uid="{00000000-0005-0000-0000-000026600000}"/>
    <cellStyle name="Note 3 2 3" xfId="10554" xr:uid="{00000000-0005-0000-0000-000027600000}"/>
    <cellStyle name="Note 3 2 3 2" xfId="21842" xr:uid="{00000000-0005-0000-0000-000028600000}"/>
    <cellStyle name="Note 3 2 4" xfId="8560" xr:uid="{00000000-0005-0000-0000-000029600000}"/>
    <cellStyle name="Note 3 2 4 2" xfId="19848" xr:uid="{00000000-0005-0000-0000-00002A600000}"/>
    <cellStyle name="Note 3 2 5" xfId="6566" xr:uid="{00000000-0005-0000-0000-00002B600000}"/>
    <cellStyle name="Note 3 2 5 2" xfId="17854" xr:uid="{00000000-0005-0000-0000-00002C600000}"/>
    <cellStyle name="Note 3 2 6" xfId="15860" xr:uid="{00000000-0005-0000-0000-00002D600000}"/>
    <cellStyle name="Note 3 2 7" xfId="24191" xr:uid="{00000000-0005-0000-0000-00002E600000}"/>
    <cellStyle name="Note 3 2 7 2" xfId="25427" xr:uid="{00000000-0005-0000-0000-00002F600000}"/>
    <cellStyle name="Note 3 2 7 2 2" xfId="27581" xr:uid="{00000000-0005-0000-0000-000030600000}"/>
    <cellStyle name="Note 3 2 7 2 2 2" xfId="32172" xr:uid="{77C6C6B2-8B1E-400B-ABB7-25C6084AD3CE}"/>
    <cellStyle name="Note 3 2 7 2 3" xfId="26937" xr:uid="{00000000-0005-0000-0000-000031600000}"/>
    <cellStyle name="Note 3 2 7 2 3 2" xfId="31698" xr:uid="{CFAE1C83-8143-43FF-88DA-2B6F917599D5}"/>
    <cellStyle name="Note 3 2 7 2 4" xfId="26806" xr:uid="{00000000-0005-0000-0000-000032600000}"/>
    <cellStyle name="Note 3 2 7 2 4 2" xfId="31567" xr:uid="{6004F847-545C-40B8-89F5-D4CDB3D38419}"/>
    <cellStyle name="Note 3 2 7 2 5" xfId="29298" xr:uid="{00000000-0005-0000-0000-000033600000}"/>
    <cellStyle name="Note 3 2 7 2 5 2" xfId="33264" xr:uid="{E666C166-48D8-484F-B17B-0D570E0E1588}"/>
    <cellStyle name="Note 3 2 7 2 6" xfId="30585" xr:uid="{4FA51C37-F051-4ED6-B905-FE85B9413FA9}"/>
    <cellStyle name="Note 3 2 7 3" xfId="25566" xr:uid="{00000000-0005-0000-0000-000034600000}"/>
    <cellStyle name="Note 3 2 7 3 2" xfId="27719" xr:uid="{00000000-0005-0000-0000-000035600000}"/>
    <cellStyle name="Note 3 2 7 3 2 2" xfId="32306" xr:uid="{B85A7B22-493A-4723-9917-80FA8E74F8D2}"/>
    <cellStyle name="Note 3 2 7 3 3" xfId="26411" xr:uid="{00000000-0005-0000-0000-000036600000}"/>
    <cellStyle name="Note 3 2 7 3 3 2" xfId="31199" xr:uid="{DDDDB268-AB56-4249-8D7E-B69945DC1906}"/>
    <cellStyle name="Note 3 2 7 3 4" xfId="26970" xr:uid="{00000000-0005-0000-0000-000037600000}"/>
    <cellStyle name="Note 3 2 7 3 4 2" xfId="31731" xr:uid="{AAC11EF9-77F3-475B-A26E-BB62CA89F5C3}"/>
    <cellStyle name="Note 3 2 7 3 5" xfId="29297" xr:uid="{00000000-0005-0000-0000-000038600000}"/>
    <cellStyle name="Note 3 2 7 3 5 2" xfId="33263" xr:uid="{1FF06EDD-146C-4C11-8C70-B0CFFD25ACEC}"/>
    <cellStyle name="Note 3 2 7 3 6" xfId="30623" xr:uid="{31CF4295-217E-44F9-A5E6-C3C10B9C91E7}"/>
    <cellStyle name="Note 3 2 7 4" xfId="27091" xr:uid="{00000000-0005-0000-0000-000039600000}"/>
    <cellStyle name="Note 3 2 7 4 2" xfId="31815" xr:uid="{B3FAA655-124B-4C05-AA3F-C044A3ECC3BC}"/>
    <cellStyle name="Note 3 2 7 5" xfId="26345" xr:uid="{00000000-0005-0000-0000-00003A600000}"/>
    <cellStyle name="Note 3 2 7 5 2" xfId="31133" xr:uid="{757F142D-2422-42D7-B59D-78AE6B15CF6A}"/>
    <cellStyle name="Note 3 2 7 6" xfId="26209" xr:uid="{00000000-0005-0000-0000-00003B600000}"/>
    <cellStyle name="Note 3 2 7 6 2" xfId="30997" xr:uid="{CBFDDC88-9464-4097-9359-D5EF637D72ED}"/>
    <cellStyle name="Note 3 2 7 7" xfId="29299" xr:uid="{00000000-0005-0000-0000-00003C600000}"/>
    <cellStyle name="Note 3 2 7 7 2" xfId="33265" xr:uid="{823E9892-415B-418B-AFD1-DE7108AF5F55}"/>
    <cellStyle name="Note 3 2 7 8" xfId="30268" xr:uid="{75267DA3-DD22-4765-B706-5FE88DF474E8}"/>
    <cellStyle name="Note 3 2 8" xfId="25075" xr:uid="{00000000-0005-0000-0000-00003D600000}"/>
    <cellStyle name="Note 3 2 8 2" xfId="25321" xr:uid="{00000000-0005-0000-0000-00003E600000}"/>
    <cellStyle name="Note 3 2 8 2 2" xfId="27475" xr:uid="{00000000-0005-0000-0000-00003F600000}"/>
    <cellStyle name="Note 3 2 8 2 2 2" xfId="32066" xr:uid="{1A2C4882-9653-4D00-B9D1-305748CC77E0}"/>
    <cellStyle name="Note 3 2 8 2 3" xfId="26487" xr:uid="{00000000-0005-0000-0000-000040600000}"/>
    <cellStyle name="Note 3 2 8 2 3 2" xfId="31275" xr:uid="{8B572B87-0BB9-4A38-853C-9B02E527DC54}"/>
    <cellStyle name="Note 3 2 8 2 4" xfId="26930" xr:uid="{00000000-0005-0000-0000-000041600000}"/>
    <cellStyle name="Note 3 2 8 2 4 2" xfId="31691" xr:uid="{029D527A-A52C-4382-A6A2-166F39365209}"/>
    <cellStyle name="Note 3 2 8 2 5" xfId="29295" xr:uid="{00000000-0005-0000-0000-000042600000}"/>
    <cellStyle name="Note 3 2 8 2 5 2" xfId="33261" xr:uid="{D7824601-6CCB-4A25-9F3D-49B3082108E4}"/>
    <cellStyle name="Note 3 2 8 2 6" xfId="30479" xr:uid="{1D77F2B4-72FE-4210-8129-843751FD59C7}"/>
    <cellStyle name="Note 3 2 8 3" xfId="25679" xr:uid="{00000000-0005-0000-0000-000043600000}"/>
    <cellStyle name="Note 3 2 8 3 2" xfId="27832" xr:uid="{00000000-0005-0000-0000-000044600000}"/>
    <cellStyle name="Note 3 2 8 3 2 2" xfId="32419" xr:uid="{C61199BF-D34D-4816-9593-F664F8D902CA}"/>
    <cellStyle name="Note 3 2 8 3 3" xfId="26202" xr:uid="{00000000-0005-0000-0000-000045600000}"/>
    <cellStyle name="Note 3 2 8 3 3 2" xfId="30990" xr:uid="{A49CE6A2-3767-4D72-B6AB-EC40B9587D11}"/>
    <cellStyle name="Note 3 2 8 3 4" xfId="26131" xr:uid="{00000000-0005-0000-0000-000046600000}"/>
    <cellStyle name="Note 3 2 8 3 4 2" xfId="30921" xr:uid="{784DAFF6-9023-4637-A6AE-D366D159CABF}"/>
    <cellStyle name="Note 3 2 8 3 5" xfId="29294" xr:uid="{00000000-0005-0000-0000-000047600000}"/>
    <cellStyle name="Note 3 2 8 3 5 2" xfId="33260" xr:uid="{C081E624-F64C-41B7-AAD2-42B7CF3239A6}"/>
    <cellStyle name="Note 3 2 8 3 6" xfId="30673" xr:uid="{9F3E5BFA-2060-4F40-9C61-200AFE20FEAE}"/>
    <cellStyle name="Note 3 2 8 4" xfId="27366" xr:uid="{00000000-0005-0000-0000-000048600000}"/>
    <cellStyle name="Note 3 2 8 4 2" xfId="31964" xr:uid="{CAF5ED34-7806-4F81-9985-15D6F27B6C86}"/>
    <cellStyle name="Note 3 2 8 5" xfId="26994" xr:uid="{00000000-0005-0000-0000-000049600000}"/>
    <cellStyle name="Note 3 2 8 5 2" xfId="31755" xr:uid="{6FC70D2C-5E19-4633-96F6-F57F12A4B0D1}"/>
    <cellStyle name="Note 3 2 8 6" xfId="26790" xr:uid="{00000000-0005-0000-0000-00004A600000}"/>
    <cellStyle name="Note 3 2 8 6 2" xfId="31551" xr:uid="{0CBA6B8C-7EE5-43FC-A48C-B90D5ED850BC}"/>
    <cellStyle name="Note 3 2 8 7" xfId="29296" xr:uid="{00000000-0005-0000-0000-00004B600000}"/>
    <cellStyle name="Note 3 2 8 7 2" xfId="33262" xr:uid="{12CAD5D8-ACD6-4CD5-A55C-BC87E86B3BD7}"/>
    <cellStyle name="Note 3 2 8 8" xfId="30381" xr:uid="{CC5A578B-056E-461B-BE32-2885B3F885A0}"/>
    <cellStyle name="Note 3 3" xfId="11551" xr:uid="{00000000-0005-0000-0000-00004C600000}"/>
    <cellStyle name="Note 3 3 2" xfId="22839" xr:uid="{00000000-0005-0000-0000-00004D600000}"/>
    <cellStyle name="Note 3 4" xfId="9557" xr:uid="{00000000-0005-0000-0000-00004E600000}"/>
    <cellStyle name="Note 3 4 2" xfId="20845" xr:uid="{00000000-0005-0000-0000-00004F600000}"/>
    <cellStyle name="Note 3 5" xfId="7563" xr:uid="{00000000-0005-0000-0000-000050600000}"/>
    <cellStyle name="Note 3 5 2" xfId="18851" xr:uid="{00000000-0005-0000-0000-000051600000}"/>
    <cellStyle name="Note 3 6" xfId="5569" xr:uid="{00000000-0005-0000-0000-000052600000}"/>
    <cellStyle name="Note 3 6 2" xfId="16857" xr:uid="{00000000-0005-0000-0000-000053600000}"/>
    <cellStyle name="Note 3 7" xfId="14863" xr:uid="{00000000-0005-0000-0000-000054600000}"/>
    <cellStyle name="Note 3 8" xfId="13547" xr:uid="{00000000-0005-0000-0000-000055600000}"/>
    <cellStyle name="Note 3 9" xfId="24190" xr:uid="{00000000-0005-0000-0000-000056600000}"/>
    <cellStyle name="Note 3 9 2" xfId="25326" xr:uid="{00000000-0005-0000-0000-000057600000}"/>
    <cellStyle name="Note 3 9 2 2" xfId="27480" xr:uid="{00000000-0005-0000-0000-000058600000}"/>
    <cellStyle name="Note 3 9 2 2 2" xfId="32071" xr:uid="{D3C542B0-0A73-47C5-AFAD-DB8C08B936EE}"/>
    <cellStyle name="Note 3 9 2 3" xfId="26724" xr:uid="{00000000-0005-0000-0000-000059600000}"/>
    <cellStyle name="Note 3 9 2 3 2" xfId="31485" xr:uid="{D7B53122-C08A-4823-B36E-B54D217CC5F7}"/>
    <cellStyle name="Note 3 9 2 4" xfId="26217" xr:uid="{00000000-0005-0000-0000-00005A600000}"/>
    <cellStyle name="Note 3 9 2 4 2" xfId="31005" xr:uid="{9C801FF2-409D-4BEF-B4B3-31FAAF77605C}"/>
    <cellStyle name="Note 3 9 2 5" xfId="29292" xr:uid="{00000000-0005-0000-0000-00005B600000}"/>
    <cellStyle name="Note 3 9 2 5 2" xfId="33258" xr:uid="{C67E43F6-1FAB-4C85-B035-0BA00BCF61D8}"/>
    <cellStyle name="Note 3 9 2 6" xfId="30484" xr:uid="{96E18685-F095-42F9-9869-56FF008CABCE}"/>
    <cellStyle name="Note 3 9 3" xfId="25565" xr:uid="{00000000-0005-0000-0000-00005C600000}"/>
    <cellStyle name="Note 3 9 3 2" xfId="27718" xr:uid="{00000000-0005-0000-0000-00005D600000}"/>
    <cellStyle name="Note 3 9 3 2 2" xfId="32305" xr:uid="{76172E83-B61E-4856-97DA-18EA1D109B97}"/>
    <cellStyle name="Note 3 9 3 3" xfId="26801" xr:uid="{00000000-0005-0000-0000-00005E600000}"/>
    <cellStyle name="Note 3 9 3 3 2" xfId="31562" xr:uid="{79CB8BB3-49AA-4AFF-A052-EC42B1D63353}"/>
    <cellStyle name="Note 3 9 3 4" xfId="26742" xr:uid="{00000000-0005-0000-0000-00005F600000}"/>
    <cellStyle name="Note 3 9 3 4 2" xfId="31503" xr:uid="{DE82B7DA-8A46-405F-9AB1-5A4938223C96}"/>
    <cellStyle name="Note 3 9 3 5" xfId="29291" xr:uid="{00000000-0005-0000-0000-000060600000}"/>
    <cellStyle name="Note 3 9 3 5 2" xfId="33257" xr:uid="{CAE3FA41-55B2-4801-8DAE-78E7A4056D84}"/>
    <cellStyle name="Note 3 9 3 6" xfId="30622" xr:uid="{6CCD379D-72E8-48FD-9C17-0FE49D8BFC5A}"/>
    <cellStyle name="Note 3 9 4" xfId="27090" xr:uid="{00000000-0005-0000-0000-000061600000}"/>
    <cellStyle name="Note 3 9 4 2" xfId="31814" xr:uid="{D9A01625-89B2-4719-AFC2-4E3D2363803B}"/>
    <cellStyle name="Note 3 9 5" xfId="26448" xr:uid="{00000000-0005-0000-0000-000062600000}"/>
    <cellStyle name="Note 3 9 5 2" xfId="31236" xr:uid="{BD366477-A3D9-4DAB-9DDD-45FE380FBEB0}"/>
    <cellStyle name="Note 3 9 6" xfId="26263" xr:uid="{00000000-0005-0000-0000-000063600000}"/>
    <cellStyle name="Note 3 9 6 2" xfId="31051" xr:uid="{C5DAAABF-8239-4D3B-A72C-F7621D387C95}"/>
    <cellStyle name="Note 3 9 7" xfId="29293" xr:uid="{00000000-0005-0000-0000-000064600000}"/>
    <cellStyle name="Note 3 9 7 2" xfId="33259" xr:uid="{B116FFF4-A1B5-47CF-AF07-21E288CA7037}"/>
    <cellStyle name="Note 3 9 8" xfId="30267" xr:uid="{D6B57AFE-D4BE-46C1-AF6D-105267EAAC00}"/>
    <cellStyle name="Note 30" xfId="3336" xr:uid="{00000000-0005-0000-0000-000065600000}"/>
    <cellStyle name="Note 30 2" xfId="4570" xr:uid="{00000000-0005-0000-0000-000066600000}"/>
    <cellStyle name="Note 30 2 2" xfId="12549" xr:uid="{00000000-0005-0000-0000-000067600000}"/>
    <cellStyle name="Note 30 2 2 2" xfId="23837" xr:uid="{00000000-0005-0000-0000-000068600000}"/>
    <cellStyle name="Note 30 2 3" xfId="10555" xr:uid="{00000000-0005-0000-0000-000069600000}"/>
    <cellStyle name="Note 30 2 3 2" xfId="21843" xr:uid="{00000000-0005-0000-0000-00006A600000}"/>
    <cellStyle name="Note 30 2 4" xfId="8561" xr:uid="{00000000-0005-0000-0000-00006B600000}"/>
    <cellStyle name="Note 30 2 4 2" xfId="19849" xr:uid="{00000000-0005-0000-0000-00006C600000}"/>
    <cellStyle name="Note 30 2 5" xfId="6567" xr:uid="{00000000-0005-0000-0000-00006D600000}"/>
    <cellStyle name="Note 30 2 5 2" xfId="17855" xr:uid="{00000000-0005-0000-0000-00006E600000}"/>
    <cellStyle name="Note 30 2 6" xfId="15861" xr:uid="{00000000-0005-0000-0000-00006F600000}"/>
    <cellStyle name="Note 30 3" xfId="11552" xr:uid="{00000000-0005-0000-0000-000070600000}"/>
    <cellStyle name="Note 30 3 2" xfId="22840" xr:uid="{00000000-0005-0000-0000-000071600000}"/>
    <cellStyle name="Note 30 4" xfId="9558" xr:uid="{00000000-0005-0000-0000-000072600000}"/>
    <cellStyle name="Note 30 4 2" xfId="20846" xr:uid="{00000000-0005-0000-0000-000073600000}"/>
    <cellStyle name="Note 30 5" xfId="7564" xr:uid="{00000000-0005-0000-0000-000074600000}"/>
    <cellStyle name="Note 30 5 2" xfId="18852" xr:uid="{00000000-0005-0000-0000-000075600000}"/>
    <cellStyle name="Note 30 6" xfId="5570" xr:uid="{00000000-0005-0000-0000-000076600000}"/>
    <cellStyle name="Note 30 6 2" xfId="16858" xr:uid="{00000000-0005-0000-0000-000077600000}"/>
    <cellStyle name="Note 30 7" xfId="14864" xr:uid="{00000000-0005-0000-0000-000078600000}"/>
    <cellStyle name="Note 30 8" xfId="13548" xr:uid="{00000000-0005-0000-0000-000079600000}"/>
    <cellStyle name="Note 31" xfId="3337" xr:uid="{00000000-0005-0000-0000-00007A600000}"/>
    <cellStyle name="Note 31 2" xfId="4571" xr:uid="{00000000-0005-0000-0000-00007B600000}"/>
    <cellStyle name="Note 31 2 2" xfId="12550" xr:uid="{00000000-0005-0000-0000-00007C600000}"/>
    <cellStyle name="Note 31 2 2 2" xfId="23838" xr:uid="{00000000-0005-0000-0000-00007D600000}"/>
    <cellStyle name="Note 31 2 3" xfId="10556" xr:uid="{00000000-0005-0000-0000-00007E600000}"/>
    <cellStyle name="Note 31 2 3 2" xfId="21844" xr:uid="{00000000-0005-0000-0000-00007F600000}"/>
    <cellStyle name="Note 31 2 4" xfId="8562" xr:uid="{00000000-0005-0000-0000-000080600000}"/>
    <cellStyle name="Note 31 2 4 2" xfId="19850" xr:uid="{00000000-0005-0000-0000-000081600000}"/>
    <cellStyle name="Note 31 2 5" xfId="6568" xr:uid="{00000000-0005-0000-0000-000082600000}"/>
    <cellStyle name="Note 31 2 5 2" xfId="17856" xr:uid="{00000000-0005-0000-0000-000083600000}"/>
    <cellStyle name="Note 31 2 6" xfId="15862" xr:uid="{00000000-0005-0000-0000-000084600000}"/>
    <cellStyle name="Note 31 3" xfId="11553" xr:uid="{00000000-0005-0000-0000-000085600000}"/>
    <cellStyle name="Note 31 3 2" xfId="22841" xr:uid="{00000000-0005-0000-0000-000086600000}"/>
    <cellStyle name="Note 31 4" xfId="9559" xr:uid="{00000000-0005-0000-0000-000087600000}"/>
    <cellStyle name="Note 31 4 2" xfId="20847" xr:uid="{00000000-0005-0000-0000-000088600000}"/>
    <cellStyle name="Note 31 5" xfId="7565" xr:uid="{00000000-0005-0000-0000-000089600000}"/>
    <cellStyle name="Note 31 5 2" xfId="18853" xr:uid="{00000000-0005-0000-0000-00008A600000}"/>
    <cellStyle name="Note 31 6" xfId="5571" xr:uid="{00000000-0005-0000-0000-00008B600000}"/>
    <cellStyle name="Note 31 6 2" xfId="16859" xr:uid="{00000000-0005-0000-0000-00008C600000}"/>
    <cellStyle name="Note 31 7" xfId="14865" xr:uid="{00000000-0005-0000-0000-00008D600000}"/>
    <cellStyle name="Note 31 8" xfId="13549" xr:uid="{00000000-0005-0000-0000-00008E600000}"/>
    <cellStyle name="Note 32" xfId="3338" xr:uid="{00000000-0005-0000-0000-00008F600000}"/>
    <cellStyle name="Note 32 2" xfId="4572" xr:uid="{00000000-0005-0000-0000-000090600000}"/>
    <cellStyle name="Note 32 2 2" xfId="12551" xr:uid="{00000000-0005-0000-0000-000091600000}"/>
    <cellStyle name="Note 32 2 2 2" xfId="23839" xr:uid="{00000000-0005-0000-0000-000092600000}"/>
    <cellStyle name="Note 32 2 3" xfId="10557" xr:uid="{00000000-0005-0000-0000-000093600000}"/>
    <cellStyle name="Note 32 2 3 2" xfId="21845" xr:uid="{00000000-0005-0000-0000-000094600000}"/>
    <cellStyle name="Note 32 2 4" xfId="8563" xr:uid="{00000000-0005-0000-0000-000095600000}"/>
    <cellStyle name="Note 32 2 4 2" xfId="19851" xr:uid="{00000000-0005-0000-0000-000096600000}"/>
    <cellStyle name="Note 32 2 5" xfId="6569" xr:uid="{00000000-0005-0000-0000-000097600000}"/>
    <cellStyle name="Note 32 2 5 2" xfId="17857" xr:uid="{00000000-0005-0000-0000-000098600000}"/>
    <cellStyle name="Note 32 2 6" xfId="15863" xr:uid="{00000000-0005-0000-0000-000099600000}"/>
    <cellStyle name="Note 32 3" xfId="11554" xr:uid="{00000000-0005-0000-0000-00009A600000}"/>
    <cellStyle name="Note 32 3 2" xfId="22842" xr:uid="{00000000-0005-0000-0000-00009B600000}"/>
    <cellStyle name="Note 32 4" xfId="9560" xr:uid="{00000000-0005-0000-0000-00009C600000}"/>
    <cellStyle name="Note 32 4 2" xfId="20848" xr:uid="{00000000-0005-0000-0000-00009D600000}"/>
    <cellStyle name="Note 32 5" xfId="7566" xr:uid="{00000000-0005-0000-0000-00009E600000}"/>
    <cellStyle name="Note 32 5 2" xfId="18854" xr:uid="{00000000-0005-0000-0000-00009F600000}"/>
    <cellStyle name="Note 32 6" xfId="5572" xr:uid="{00000000-0005-0000-0000-0000A0600000}"/>
    <cellStyle name="Note 32 6 2" xfId="16860" xr:uid="{00000000-0005-0000-0000-0000A1600000}"/>
    <cellStyle name="Note 32 7" xfId="14866" xr:uid="{00000000-0005-0000-0000-0000A2600000}"/>
    <cellStyle name="Note 32 8" xfId="13550" xr:uid="{00000000-0005-0000-0000-0000A3600000}"/>
    <cellStyle name="Note 33" xfId="3339" xr:uid="{00000000-0005-0000-0000-0000A4600000}"/>
    <cellStyle name="Note 33 2" xfId="4573" xr:uid="{00000000-0005-0000-0000-0000A5600000}"/>
    <cellStyle name="Note 33 2 2" xfId="12552" xr:uid="{00000000-0005-0000-0000-0000A6600000}"/>
    <cellStyle name="Note 33 2 2 2" xfId="23840" xr:uid="{00000000-0005-0000-0000-0000A7600000}"/>
    <cellStyle name="Note 33 2 3" xfId="10558" xr:uid="{00000000-0005-0000-0000-0000A8600000}"/>
    <cellStyle name="Note 33 2 3 2" xfId="21846" xr:uid="{00000000-0005-0000-0000-0000A9600000}"/>
    <cellStyle name="Note 33 2 4" xfId="8564" xr:uid="{00000000-0005-0000-0000-0000AA600000}"/>
    <cellStyle name="Note 33 2 4 2" xfId="19852" xr:uid="{00000000-0005-0000-0000-0000AB600000}"/>
    <cellStyle name="Note 33 2 5" xfId="6570" xr:uid="{00000000-0005-0000-0000-0000AC600000}"/>
    <cellStyle name="Note 33 2 5 2" xfId="17858" xr:uid="{00000000-0005-0000-0000-0000AD600000}"/>
    <cellStyle name="Note 33 2 6" xfId="15864" xr:uid="{00000000-0005-0000-0000-0000AE600000}"/>
    <cellStyle name="Note 33 3" xfId="11555" xr:uid="{00000000-0005-0000-0000-0000AF600000}"/>
    <cellStyle name="Note 33 3 2" xfId="22843" xr:uid="{00000000-0005-0000-0000-0000B0600000}"/>
    <cellStyle name="Note 33 4" xfId="9561" xr:uid="{00000000-0005-0000-0000-0000B1600000}"/>
    <cellStyle name="Note 33 4 2" xfId="20849" xr:uid="{00000000-0005-0000-0000-0000B2600000}"/>
    <cellStyle name="Note 33 5" xfId="7567" xr:uid="{00000000-0005-0000-0000-0000B3600000}"/>
    <cellStyle name="Note 33 5 2" xfId="18855" xr:uid="{00000000-0005-0000-0000-0000B4600000}"/>
    <cellStyle name="Note 33 6" xfId="5573" xr:uid="{00000000-0005-0000-0000-0000B5600000}"/>
    <cellStyle name="Note 33 6 2" xfId="16861" xr:uid="{00000000-0005-0000-0000-0000B6600000}"/>
    <cellStyle name="Note 33 7" xfId="14867" xr:uid="{00000000-0005-0000-0000-0000B7600000}"/>
    <cellStyle name="Note 33 8" xfId="13551" xr:uid="{00000000-0005-0000-0000-0000B8600000}"/>
    <cellStyle name="Note 34" xfId="3340" xr:uid="{00000000-0005-0000-0000-0000B9600000}"/>
    <cellStyle name="Note 34 2" xfId="4574" xr:uid="{00000000-0005-0000-0000-0000BA600000}"/>
    <cellStyle name="Note 34 2 2" xfId="12553" xr:uid="{00000000-0005-0000-0000-0000BB600000}"/>
    <cellStyle name="Note 34 2 2 2" xfId="23841" xr:uid="{00000000-0005-0000-0000-0000BC600000}"/>
    <cellStyle name="Note 34 2 3" xfId="10559" xr:uid="{00000000-0005-0000-0000-0000BD600000}"/>
    <cellStyle name="Note 34 2 3 2" xfId="21847" xr:uid="{00000000-0005-0000-0000-0000BE600000}"/>
    <cellStyle name="Note 34 2 4" xfId="8565" xr:uid="{00000000-0005-0000-0000-0000BF600000}"/>
    <cellStyle name="Note 34 2 4 2" xfId="19853" xr:uid="{00000000-0005-0000-0000-0000C0600000}"/>
    <cellStyle name="Note 34 2 5" xfId="6571" xr:uid="{00000000-0005-0000-0000-0000C1600000}"/>
    <cellStyle name="Note 34 2 5 2" xfId="17859" xr:uid="{00000000-0005-0000-0000-0000C2600000}"/>
    <cellStyle name="Note 34 2 6" xfId="15865" xr:uid="{00000000-0005-0000-0000-0000C3600000}"/>
    <cellStyle name="Note 34 3" xfId="11556" xr:uid="{00000000-0005-0000-0000-0000C4600000}"/>
    <cellStyle name="Note 34 3 2" xfId="22844" xr:uid="{00000000-0005-0000-0000-0000C5600000}"/>
    <cellStyle name="Note 34 4" xfId="9562" xr:uid="{00000000-0005-0000-0000-0000C6600000}"/>
    <cellStyle name="Note 34 4 2" xfId="20850" xr:uid="{00000000-0005-0000-0000-0000C7600000}"/>
    <cellStyle name="Note 34 5" xfId="7568" xr:uid="{00000000-0005-0000-0000-0000C8600000}"/>
    <cellStyle name="Note 34 5 2" xfId="18856" xr:uid="{00000000-0005-0000-0000-0000C9600000}"/>
    <cellStyle name="Note 34 6" xfId="5574" xr:uid="{00000000-0005-0000-0000-0000CA600000}"/>
    <cellStyle name="Note 34 6 2" xfId="16862" xr:uid="{00000000-0005-0000-0000-0000CB600000}"/>
    <cellStyle name="Note 34 7" xfId="14868" xr:uid="{00000000-0005-0000-0000-0000CC600000}"/>
    <cellStyle name="Note 34 8" xfId="13552" xr:uid="{00000000-0005-0000-0000-0000CD600000}"/>
    <cellStyle name="Note 35" xfId="3341" xr:uid="{00000000-0005-0000-0000-0000CE600000}"/>
    <cellStyle name="Note 35 2" xfId="4575" xr:uid="{00000000-0005-0000-0000-0000CF600000}"/>
    <cellStyle name="Note 35 2 2" xfId="12554" xr:uid="{00000000-0005-0000-0000-0000D0600000}"/>
    <cellStyle name="Note 35 2 2 2" xfId="23842" xr:uid="{00000000-0005-0000-0000-0000D1600000}"/>
    <cellStyle name="Note 35 2 3" xfId="10560" xr:uid="{00000000-0005-0000-0000-0000D2600000}"/>
    <cellStyle name="Note 35 2 3 2" xfId="21848" xr:uid="{00000000-0005-0000-0000-0000D3600000}"/>
    <cellStyle name="Note 35 2 4" xfId="8566" xr:uid="{00000000-0005-0000-0000-0000D4600000}"/>
    <cellStyle name="Note 35 2 4 2" xfId="19854" xr:uid="{00000000-0005-0000-0000-0000D5600000}"/>
    <cellStyle name="Note 35 2 5" xfId="6572" xr:uid="{00000000-0005-0000-0000-0000D6600000}"/>
    <cellStyle name="Note 35 2 5 2" xfId="17860" xr:uid="{00000000-0005-0000-0000-0000D7600000}"/>
    <cellStyle name="Note 35 2 6" xfId="15866" xr:uid="{00000000-0005-0000-0000-0000D8600000}"/>
    <cellStyle name="Note 35 3" xfId="11557" xr:uid="{00000000-0005-0000-0000-0000D9600000}"/>
    <cellStyle name="Note 35 3 2" xfId="22845" xr:uid="{00000000-0005-0000-0000-0000DA600000}"/>
    <cellStyle name="Note 35 4" xfId="9563" xr:uid="{00000000-0005-0000-0000-0000DB600000}"/>
    <cellStyle name="Note 35 4 2" xfId="20851" xr:uid="{00000000-0005-0000-0000-0000DC600000}"/>
    <cellStyle name="Note 35 5" xfId="7569" xr:uid="{00000000-0005-0000-0000-0000DD600000}"/>
    <cellStyle name="Note 35 5 2" xfId="18857" xr:uid="{00000000-0005-0000-0000-0000DE600000}"/>
    <cellStyle name="Note 35 6" xfId="5575" xr:uid="{00000000-0005-0000-0000-0000DF600000}"/>
    <cellStyle name="Note 35 6 2" xfId="16863" xr:uid="{00000000-0005-0000-0000-0000E0600000}"/>
    <cellStyle name="Note 35 7" xfId="14869" xr:uid="{00000000-0005-0000-0000-0000E1600000}"/>
    <cellStyle name="Note 35 8" xfId="13553" xr:uid="{00000000-0005-0000-0000-0000E2600000}"/>
    <cellStyle name="Note 36" xfId="3342" xr:uid="{00000000-0005-0000-0000-0000E3600000}"/>
    <cellStyle name="Note 36 2" xfId="4576" xr:uid="{00000000-0005-0000-0000-0000E4600000}"/>
    <cellStyle name="Note 36 2 2" xfId="12555" xr:uid="{00000000-0005-0000-0000-0000E5600000}"/>
    <cellStyle name="Note 36 2 2 2" xfId="23843" xr:uid="{00000000-0005-0000-0000-0000E6600000}"/>
    <cellStyle name="Note 36 2 3" xfId="10561" xr:uid="{00000000-0005-0000-0000-0000E7600000}"/>
    <cellStyle name="Note 36 2 3 2" xfId="21849" xr:uid="{00000000-0005-0000-0000-0000E8600000}"/>
    <cellStyle name="Note 36 2 4" xfId="8567" xr:uid="{00000000-0005-0000-0000-0000E9600000}"/>
    <cellStyle name="Note 36 2 4 2" xfId="19855" xr:uid="{00000000-0005-0000-0000-0000EA600000}"/>
    <cellStyle name="Note 36 2 5" xfId="6573" xr:uid="{00000000-0005-0000-0000-0000EB600000}"/>
    <cellStyle name="Note 36 2 5 2" xfId="17861" xr:uid="{00000000-0005-0000-0000-0000EC600000}"/>
    <cellStyle name="Note 36 2 6" xfId="15867" xr:uid="{00000000-0005-0000-0000-0000ED600000}"/>
    <cellStyle name="Note 36 3" xfId="11558" xr:uid="{00000000-0005-0000-0000-0000EE600000}"/>
    <cellStyle name="Note 36 3 2" xfId="22846" xr:uid="{00000000-0005-0000-0000-0000EF600000}"/>
    <cellStyle name="Note 36 4" xfId="9564" xr:uid="{00000000-0005-0000-0000-0000F0600000}"/>
    <cellStyle name="Note 36 4 2" xfId="20852" xr:uid="{00000000-0005-0000-0000-0000F1600000}"/>
    <cellStyle name="Note 36 5" xfId="7570" xr:uid="{00000000-0005-0000-0000-0000F2600000}"/>
    <cellStyle name="Note 36 5 2" xfId="18858" xr:uid="{00000000-0005-0000-0000-0000F3600000}"/>
    <cellStyle name="Note 36 6" xfId="5576" xr:uid="{00000000-0005-0000-0000-0000F4600000}"/>
    <cellStyle name="Note 36 6 2" xfId="16864" xr:uid="{00000000-0005-0000-0000-0000F5600000}"/>
    <cellStyle name="Note 36 7" xfId="14870" xr:uid="{00000000-0005-0000-0000-0000F6600000}"/>
    <cellStyle name="Note 36 8" xfId="13554" xr:uid="{00000000-0005-0000-0000-0000F7600000}"/>
    <cellStyle name="Note 37" xfId="3343" xr:uid="{00000000-0005-0000-0000-0000F8600000}"/>
    <cellStyle name="Note 37 2" xfId="4577" xr:uid="{00000000-0005-0000-0000-0000F9600000}"/>
    <cellStyle name="Note 37 2 2" xfId="12556" xr:uid="{00000000-0005-0000-0000-0000FA600000}"/>
    <cellStyle name="Note 37 2 2 2" xfId="23844" xr:uid="{00000000-0005-0000-0000-0000FB600000}"/>
    <cellStyle name="Note 37 2 3" xfId="10562" xr:uid="{00000000-0005-0000-0000-0000FC600000}"/>
    <cellStyle name="Note 37 2 3 2" xfId="21850" xr:uid="{00000000-0005-0000-0000-0000FD600000}"/>
    <cellStyle name="Note 37 2 4" xfId="8568" xr:uid="{00000000-0005-0000-0000-0000FE600000}"/>
    <cellStyle name="Note 37 2 4 2" xfId="19856" xr:uid="{00000000-0005-0000-0000-0000FF600000}"/>
    <cellStyle name="Note 37 2 5" xfId="6574" xr:uid="{00000000-0005-0000-0000-000000610000}"/>
    <cellStyle name="Note 37 2 5 2" xfId="17862" xr:uid="{00000000-0005-0000-0000-000001610000}"/>
    <cellStyle name="Note 37 2 6" xfId="15868" xr:uid="{00000000-0005-0000-0000-000002610000}"/>
    <cellStyle name="Note 37 3" xfId="11559" xr:uid="{00000000-0005-0000-0000-000003610000}"/>
    <cellStyle name="Note 37 3 2" xfId="22847" xr:uid="{00000000-0005-0000-0000-000004610000}"/>
    <cellStyle name="Note 37 4" xfId="9565" xr:uid="{00000000-0005-0000-0000-000005610000}"/>
    <cellStyle name="Note 37 4 2" xfId="20853" xr:uid="{00000000-0005-0000-0000-000006610000}"/>
    <cellStyle name="Note 37 5" xfId="7571" xr:uid="{00000000-0005-0000-0000-000007610000}"/>
    <cellStyle name="Note 37 5 2" xfId="18859" xr:uid="{00000000-0005-0000-0000-000008610000}"/>
    <cellStyle name="Note 37 6" xfId="5577" xr:uid="{00000000-0005-0000-0000-000009610000}"/>
    <cellStyle name="Note 37 6 2" xfId="16865" xr:uid="{00000000-0005-0000-0000-00000A610000}"/>
    <cellStyle name="Note 37 7" xfId="14871" xr:uid="{00000000-0005-0000-0000-00000B610000}"/>
    <cellStyle name="Note 37 8" xfId="13555" xr:uid="{00000000-0005-0000-0000-00000C610000}"/>
    <cellStyle name="Note 38" xfId="3344" xr:uid="{00000000-0005-0000-0000-00000D610000}"/>
    <cellStyle name="Note 38 2" xfId="4578" xr:uid="{00000000-0005-0000-0000-00000E610000}"/>
    <cellStyle name="Note 38 2 2" xfId="12557" xr:uid="{00000000-0005-0000-0000-00000F610000}"/>
    <cellStyle name="Note 38 2 2 2" xfId="23845" xr:uid="{00000000-0005-0000-0000-000010610000}"/>
    <cellStyle name="Note 38 2 3" xfId="10563" xr:uid="{00000000-0005-0000-0000-000011610000}"/>
    <cellStyle name="Note 38 2 3 2" xfId="21851" xr:uid="{00000000-0005-0000-0000-000012610000}"/>
    <cellStyle name="Note 38 2 4" xfId="8569" xr:uid="{00000000-0005-0000-0000-000013610000}"/>
    <cellStyle name="Note 38 2 4 2" xfId="19857" xr:uid="{00000000-0005-0000-0000-000014610000}"/>
    <cellStyle name="Note 38 2 5" xfId="6575" xr:uid="{00000000-0005-0000-0000-000015610000}"/>
    <cellStyle name="Note 38 2 5 2" xfId="17863" xr:uid="{00000000-0005-0000-0000-000016610000}"/>
    <cellStyle name="Note 38 2 6" xfId="15869" xr:uid="{00000000-0005-0000-0000-000017610000}"/>
    <cellStyle name="Note 38 3" xfId="11560" xr:uid="{00000000-0005-0000-0000-000018610000}"/>
    <cellStyle name="Note 38 3 2" xfId="22848" xr:uid="{00000000-0005-0000-0000-000019610000}"/>
    <cellStyle name="Note 38 4" xfId="9566" xr:uid="{00000000-0005-0000-0000-00001A610000}"/>
    <cellStyle name="Note 38 4 2" xfId="20854" xr:uid="{00000000-0005-0000-0000-00001B610000}"/>
    <cellStyle name="Note 38 5" xfId="7572" xr:uid="{00000000-0005-0000-0000-00001C610000}"/>
    <cellStyle name="Note 38 5 2" xfId="18860" xr:uid="{00000000-0005-0000-0000-00001D610000}"/>
    <cellStyle name="Note 38 6" xfId="5578" xr:uid="{00000000-0005-0000-0000-00001E610000}"/>
    <cellStyle name="Note 38 6 2" xfId="16866" xr:uid="{00000000-0005-0000-0000-00001F610000}"/>
    <cellStyle name="Note 38 7" xfId="14872" xr:uid="{00000000-0005-0000-0000-000020610000}"/>
    <cellStyle name="Note 38 8" xfId="13556" xr:uid="{00000000-0005-0000-0000-000021610000}"/>
    <cellStyle name="Note 39" xfId="3345" xr:uid="{00000000-0005-0000-0000-000022610000}"/>
    <cellStyle name="Note 39 2" xfId="4579" xr:uid="{00000000-0005-0000-0000-000023610000}"/>
    <cellStyle name="Note 39 2 2" xfId="12558" xr:uid="{00000000-0005-0000-0000-000024610000}"/>
    <cellStyle name="Note 39 2 2 2" xfId="23846" xr:uid="{00000000-0005-0000-0000-000025610000}"/>
    <cellStyle name="Note 39 2 3" xfId="10564" xr:uid="{00000000-0005-0000-0000-000026610000}"/>
    <cellStyle name="Note 39 2 3 2" xfId="21852" xr:uid="{00000000-0005-0000-0000-000027610000}"/>
    <cellStyle name="Note 39 2 4" xfId="8570" xr:uid="{00000000-0005-0000-0000-000028610000}"/>
    <cellStyle name="Note 39 2 4 2" xfId="19858" xr:uid="{00000000-0005-0000-0000-000029610000}"/>
    <cellStyle name="Note 39 2 5" xfId="6576" xr:uid="{00000000-0005-0000-0000-00002A610000}"/>
    <cellStyle name="Note 39 2 5 2" xfId="17864" xr:uid="{00000000-0005-0000-0000-00002B610000}"/>
    <cellStyle name="Note 39 2 6" xfId="15870" xr:uid="{00000000-0005-0000-0000-00002C610000}"/>
    <cellStyle name="Note 39 3" xfId="11561" xr:uid="{00000000-0005-0000-0000-00002D610000}"/>
    <cellStyle name="Note 39 3 2" xfId="22849" xr:uid="{00000000-0005-0000-0000-00002E610000}"/>
    <cellStyle name="Note 39 4" xfId="9567" xr:uid="{00000000-0005-0000-0000-00002F610000}"/>
    <cellStyle name="Note 39 4 2" xfId="20855" xr:uid="{00000000-0005-0000-0000-000030610000}"/>
    <cellStyle name="Note 39 5" xfId="7573" xr:uid="{00000000-0005-0000-0000-000031610000}"/>
    <cellStyle name="Note 39 5 2" xfId="18861" xr:uid="{00000000-0005-0000-0000-000032610000}"/>
    <cellStyle name="Note 39 6" xfId="5579" xr:uid="{00000000-0005-0000-0000-000033610000}"/>
    <cellStyle name="Note 39 6 2" xfId="16867" xr:uid="{00000000-0005-0000-0000-000034610000}"/>
    <cellStyle name="Note 39 7" xfId="14873" xr:uid="{00000000-0005-0000-0000-000035610000}"/>
    <cellStyle name="Note 39 8" xfId="13557" xr:uid="{00000000-0005-0000-0000-000036610000}"/>
    <cellStyle name="Note 4" xfId="3346" xr:uid="{00000000-0005-0000-0000-000037610000}"/>
    <cellStyle name="Note 4 10" xfId="25076" xr:uid="{00000000-0005-0000-0000-000038610000}"/>
    <cellStyle name="Note 4 10 2" xfId="25421" xr:uid="{00000000-0005-0000-0000-000039610000}"/>
    <cellStyle name="Note 4 10 2 2" xfId="27575" xr:uid="{00000000-0005-0000-0000-00003A610000}"/>
    <cellStyle name="Note 4 10 2 2 2" xfId="32166" xr:uid="{EBFE7617-1DF5-49C0-99FD-A32FB5FD2D56}"/>
    <cellStyle name="Note 4 10 2 3" xfId="26966" xr:uid="{00000000-0005-0000-0000-00003B610000}"/>
    <cellStyle name="Note 4 10 2 3 2" xfId="31727" xr:uid="{B3C6097A-F8F9-497B-9C80-B684935CFFE1}"/>
    <cellStyle name="Note 4 10 2 4" xfId="26134" xr:uid="{00000000-0005-0000-0000-00003C610000}"/>
    <cellStyle name="Note 4 10 2 4 2" xfId="30924" xr:uid="{0DAF876A-F0DE-46D7-81E4-16410AF1356F}"/>
    <cellStyle name="Note 4 10 2 5" xfId="29289" xr:uid="{00000000-0005-0000-0000-00003D610000}"/>
    <cellStyle name="Note 4 10 2 5 2" xfId="33255" xr:uid="{C4895E64-E252-4E5E-9A67-BEF64A2F42D0}"/>
    <cellStyle name="Note 4 10 2 6" xfId="30579" xr:uid="{E284860F-50FD-474E-902F-818506795136}"/>
    <cellStyle name="Note 4 10 3" xfId="25680" xr:uid="{00000000-0005-0000-0000-00003E610000}"/>
    <cellStyle name="Note 4 10 3 2" xfId="27833" xr:uid="{00000000-0005-0000-0000-00003F610000}"/>
    <cellStyle name="Note 4 10 3 2 2" xfId="32420" xr:uid="{C434686F-E228-4486-9CDE-FBD7B6F87FDA}"/>
    <cellStyle name="Note 4 10 3 3" xfId="26447" xr:uid="{00000000-0005-0000-0000-000040610000}"/>
    <cellStyle name="Note 4 10 3 3 2" xfId="31235" xr:uid="{BB18DE56-9B57-49AF-8EC1-9AEB70371922}"/>
    <cellStyle name="Note 4 10 3 4" xfId="26354" xr:uid="{00000000-0005-0000-0000-000041610000}"/>
    <cellStyle name="Note 4 10 3 4 2" xfId="31142" xr:uid="{E274F0B3-4786-4726-952C-250E385E37F5}"/>
    <cellStyle name="Note 4 10 3 5" xfId="29288" xr:uid="{00000000-0005-0000-0000-000042610000}"/>
    <cellStyle name="Note 4 10 3 5 2" xfId="33254" xr:uid="{68F66E17-A3AE-458B-9DE6-AE58E3DC6A75}"/>
    <cellStyle name="Note 4 10 3 6" xfId="30674" xr:uid="{2BA25E7D-C1F1-4A67-9114-D49547C701BA}"/>
    <cellStyle name="Note 4 10 4" xfId="27367" xr:uid="{00000000-0005-0000-0000-000043610000}"/>
    <cellStyle name="Note 4 10 4 2" xfId="31965" xr:uid="{20C5BE9F-A843-4E63-9D32-D21B7F83356B}"/>
    <cellStyle name="Note 4 10 5" xfId="26380" xr:uid="{00000000-0005-0000-0000-000044610000}"/>
    <cellStyle name="Note 4 10 5 2" xfId="31168" xr:uid="{29F6580A-A2DF-4B52-8856-1DCB34E4EA5B}"/>
    <cellStyle name="Note 4 10 6" xfId="26280" xr:uid="{00000000-0005-0000-0000-000045610000}"/>
    <cellStyle name="Note 4 10 6 2" xfId="31068" xr:uid="{3FEA28AA-3F60-4843-8F9F-4E604D842475}"/>
    <cellStyle name="Note 4 10 7" xfId="29290" xr:uid="{00000000-0005-0000-0000-000046610000}"/>
    <cellStyle name="Note 4 10 7 2" xfId="33256" xr:uid="{91EA9833-D373-4D67-B953-2DAD5C4A205F}"/>
    <cellStyle name="Note 4 10 8" xfId="30382" xr:uid="{C8D9E4D9-3627-4B5F-8E89-2D974D2B9E1D}"/>
    <cellStyle name="Note 4 2" xfId="4580" xr:uid="{00000000-0005-0000-0000-000047610000}"/>
    <cellStyle name="Note 4 2 2" xfId="12559" xr:uid="{00000000-0005-0000-0000-000048610000}"/>
    <cellStyle name="Note 4 2 2 2" xfId="23847" xr:uid="{00000000-0005-0000-0000-000049610000}"/>
    <cellStyle name="Note 4 2 3" xfId="10565" xr:uid="{00000000-0005-0000-0000-00004A610000}"/>
    <cellStyle name="Note 4 2 3 2" xfId="21853" xr:uid="{00000000-0005-0000-0000-00004B610000}"/>
    <cellStyle name="Note 4 2 4" xfId="8571" xr:uid="{00000000-0005-0000-0000-00004C610000}"/>
    <cellStyle name="Note 4 2 4 2" xfId="19859" xr:uid="{00000000-0005-0000-0000-00004D610000}"/>
    <cellStyle name="Note 4 2 5" xfId="6577" xr:uid="{00000000-0005-0000-0000-00004E610000}"/>
    <cellStyle name="Note 4 2 5 2" xfId="17865" xr:uid="{00000000-0005-0000-0000-00004F610000}"/>
    <cellStyle name="Note 4 2 6" xfId="15871" xr:uid="{00000000-0005-0000-0000-000050610000}"/>
    <cellStyle name="Note 4 3" xfId="11562" xr:uid="{00000000-0005-0000-0000-000051610000}"/>
    <cellStyle name="Note 4 3 2" xfId="22850" xr:uid="{00000000-0005-0000-0000-000052610000}"/>
    <cellStyle name="Note 4 4" xfId="9568" xr:uid="{00000000-0005-0000-0000-000053610000}"/>
    <cellStyle name="Note 4 4 2" xfId="20856" xr:uid="{00000000-0005-0000-0000-000054610000}"/>
    <cellStyle name="Note 4 5" xfId="7574" xr:uid="{00000000-0005-0000-0000-000055610000}"/>
    <cellStyle name="Note 4 5 2" xfId="18862" xr:uid="{00000000-0005-0000-0000-000056610000}"/>
    <cellStyle name="Note 4 6" xfId="5580" xr:uid="{00000000-0005-0000-0000-000057610000}"/>
    <cellStyle name="Note 4 6 2" xfId="16868" xr:uid="{00000000-0005-0000-0000-000058610000}"/>
    <cellStyle name="Note 4 7" xfId="14874" xr:uid="{00000000-0005-0000-0000-000059610000}"/>
    <cellStyle name="Note 4 8" xfId="13558" xr:uid="{00000000-0005-0000-0000-00005A610000}"/>
    <cellStyle name="Note 4 9" xfId="24192" xr:uid="{00000000-0005-0000-0000-00005B610000}"/>
    <cellStyle name="Note 4 9 2" xfId="25343" xr:uid="{00000000-0005-0000-0000-00005C610000}"/>
    <cellStyle name="Note 4 9 2 2" xfId="27497" xr:uid="{00000000-0005-0000-0000-00005D610000}"/>
    <cellStyle name="Note 4 9 2 2 2" xfId="32088" xr:uid="{1B33F6FF-1C11-4FEE-869E-03D39D040970}"/>
    <cellStyle name="Note 4 9 2 3" xfId="26723" xr:uid="{00000000-0005-0000-0000-00005E610000}"/>
    <cellStyle name="Note 4 9 2 3 2" xfId="31484" xr:uid="{63B0EAC9-3713-486C-B1AD-46D59FB4B074}"/>
    <cellStyle name="Note 4 9 2 4" xfId="26386" xr:uid="{00000000-0005-0000-0000-00005F610000}"/>
    <cellStyle name="Note 4 9 2 4 2" xfId="31174" xr:uid="{57823113-B546-4154-9582-2D970F8E0646}"/>
    <cellStyle name="Note 4 9 2 5" xfId="29286" xr:uid="{00000000-0005-0000-0000-000060610000}"/>
    <cellStyle name="Note 4 9 2 5 2" xfId="33252" xr:uid="{B07A43C2-A8C6-49CE-B634-C895EF7A6A13}"/>
    <cellStyle name="Note 4 9 2 6" xfId="30501" xr:uid="{2100FFD0-8804-4D0E-9A46-863B5787E9EF}"/>
    <cellStyle name="Note 4 9 3" xfId="25567" xr:uid="{00000000-0005-0000-0000-000061610000}"/>
    <cellStyle name="Note 4 9 3 2" xfId="27720" xr:uid="{00000000-0005-0000-0000-000062610000}"/>
    <cellStyle name="Note 4 9 3 2 2" xfId="32307" xr:uid="{5516163D-BCC4-4099-A285-6928059C5488}"/>
    <cellStyle name="Note 4 9 3 3" xfId="26800" xr:uid="{00000000-0005-0000-0000-000063610000}"/>
    <cellStyle name="Note 4 9 3 3 2" xfId="31561" xr:uid="{4F1D991D-696F-4485-8499-8EA76A45DA88}"/>
    <cellStyle name="Note 4 9 3 4" xfId="26524" xr:uid="{00000000-0005-0000-0000-000064610000}"/>
    <cellStyle name="Note 4 9 3 4 2" xfId="31311" xr:uid="{FA5CB2CA-5301-4055-99FE-96728A932FD6}"/>
    <cellStyle name="Note 4 9 3 5" xfId="29285" xr:uid="{00000000-0005-0000-0000-000065610000}"/>
    <cellStyle name="Note 4 9 3 5 2" xfId="33251" xr:uid="{31A8CACA-9A16-45F6-BBAE-58D85923AA7C}"/>
    <cellStyle name="Note 4 9 3 6" xfId="30624" xr:uid="{62FB1D9F-87A2-4ED6-8157-CFC8F683CC09}"/>
    <cellStyle name="Note 4 9 4" xfId="27092" xr:uid="{00000000-0005-0000-0000-000066610000}"/>
    <cellStyle name="Note 4 9 4 2" xfId="31816" xr:uid="{AFF142BA-BD7D-49D6-BC66-BA8568021BE9}"/>
    <cellStyle name="Note 4 9 5" xfId="26446" xr:uid="{00000000-0005-0000-0000-000067610000}"/>
    <cellStyle name="Note 4 9 5 2" xfId="31234" xr:uid="{D331D07D-4BA9-4B46-B2DB-D7ECF4BBDCE6}"/>
    <cellStyle name="Note 4 9 6" xfId="26752" xr:uid="{00000000-0005-0000-0000-000068610000}"/>
    <cellStyle name="Note 4 9 6 2" xfId="31513" xr:uid="{2FA07F35-96F5-4ECF-B140-A73C13792DBE}"/>
    <cellStyle name="Note 4 9 7" xfId="29287" xr:uid="{00000000-0005-0000-0000-000069610000}"/>
    <cellStyle name="Note 4 9 7 2" xfId="33253" xr:uid="{F2D42103-4FF7-4D4B-B1E1-DA634570BB50}"/>
    <cellStyle name="Note 4 9 8" xfId="30269" xr:uid="{3B04A0F6-8DFE-455C-8465-7D26DAD0FAEA}"/>
    <cellStyle name="Note 40" xfId="3347" xr:uid="{00000000-0005-0000-0000-00006A610000}"/>
    <cellStyle name="Note 40 2" xfId="4581" xr:uid="{00000000-0005-0000-0000-00006B610000}"/>
    <cellStyle name="Note 40 2 2" xfId="12560" xr:uid="{00000000-0005-0000-0000-00006C610000}"/>
    <cellStyle name="Note 40 2 2 2" xfId="23848" xr:uid="{00000000-0005-0000-0000-00006D610000}"/>
    <cellStyle name="Note 40 2 3" xfId="10566" xr:uid="{00000000-0005-0000-0000-00006E610000}"/>
    <cellStyle name="Note 40 2 3 2" xfId="21854" xr:uid="{00000000-0005-0000-0000-00006F610000}"/>
    <cellStyle name="Note 40 2 4" xfId="8572" xr:uid="{00000000-0005-0000-0000-000070610000}"/>
    <cellStyle name="Note 40 2 4 2" xfId="19860" xr:uid="{00000000-0005-0000-0000-000071610000}"/>
    <cellStyle name="Note 40 2 5" xfId="6578" xr:uid="{00000000-0005-0000-0000-000072610000}"/>
    <cellStyle name="Note 40 2 5 2" xfId="17866" xr:uid="{00000000-0005-0000-0000-000073610000}"/>
    <cellStyle name="Note 40 2 6" xfId="15872" xr:uid="{00000000-0005-0000-0000-000074610000}"/>
    <cellStyle name="Note 40 3" xfId="11563" xr:uid="{00000000-0005-0000-0000-000075610000}"/>
    <cellStyle name="Note 40 3 2" xfId="22851" xr:uid="{00000000-0005-0000-0000-000076610000}"/>
    <cellStyle name="Note 40 4" xfId="9569" xr:uid="{00000000-0005-0000-0000-000077610000}"/>
    <cellStyle name="Note 40 4 2" xfId="20857" xr:uid="{00000000-0005-0000-0000-000078610000}"/>
    <cellStyle name="Note 40 5" xfId="7575" xr:uid="{00000000-0005-0000-0000-000079610000}"/>
    <cellStyle name="Note 40 5 2" xfId="18863" xr:uid="{00000000-0005-0000-0000-00007A610000}"/>
    <cellStyle name="Note 40 6" xfId="5581" xr:uid="{00000000-0005-0000-0000-00007B610000}"/>
    <cellStyle name="Note 40 6 2" xfId="16869" xr:uid="{00000000-0005-0000-0000-00007C610000}"/>
    <cellStyle name="Note 40 7" xfId="14875" xr:uid="{00000000-0005-0000-0000-00007D610000}"/>
    <cellStyle name="Note 40 8" xfId="13559" xr:uid="{00000000-0005-0000-0000-00007E610000}"/>
    <cellStyle name="Note 41" xfId="3348" xr:uid="{00000000-0005-0000-0000-00007F610000}"/>
    <cellStyle name="Note 41 2" xfId="4582" xr:uid="{00000000-0005-0000-0000-000080610000}"/>
    <cellStyle name="Note 41 2 2" xfId="12561" xr:uid="{00000000-0005-0000-0000-000081610000}"/>
    <cellStyle name="Note 41 2 2 2" xfId="23849" xr:uid="{00000000-0005-0000-0000-000082610000}"/>
    <cellStyle name="Note 41 2 3" xfId="10567" xr:uid="{00000000-0005-0000-0000-000083610000}"/>
    <cellStyle name="Note 41 2 3 2" xfId="21855" xr:uid="{00000000-0005-0000-0000-000084610000}"/>
    <cellStyle name="Note 41 2 4" xfId="8573" xr:uid="{00000000-0005-0000-0000-000085610000}"/>
    <cellStyle name="Note 41 2 4 2" xfId="19861" xr:uid="{00000000-0005-0000-0000-000086610000}"/>
    <cellStyle name="Note 41 2 5" xfId="6579" xr:uid="{00000000-0005-0000-0000-000087610000}"/>
    <cellStyle name="Note 41 2 5 2" xfId="17867" xr:uid="{00000000-0005-0000-0000-000088610000}"/>
    <cellStyle name="Note 41 2 6" xfId="15873" xr:uid="{00000000-0005-0000-0000-000089610000}"/>
    <cellStyle name="Note 41 3" xfId="11564" xr:uid="{00000000-0005-0000-0000-00008A610000}"/>
    <cellStyle name="Note 41 3 2" xfId="22852" xr:uid="{00000000-0005-0000-0000-00008B610000}"/>
    <cellStyle name="Note 41 4" xfId="9570" xr:uid="{00000000-0005-0000-0000-00008C610000}"/>
    <cellStyle name="Note 41 4 2" xfId="20858" xr:uid="{00000000-0005-0000-0000-00008D610000}"/>
    <cellStyle name="Note 41 5" xfId="7576" xr:uid="{00000000-0005-0000-0000-00008E610000}"/>
    <cellStyle name="Note 41 5 2" xfId="18864" xr:uid="{00000000-0005-0000-0000-00008F610000}"/>
    <cellStyle name="Note 41 6" xfId="5582" xr:uid="{00000000-0005-0000-0000-000090610000}"/>
    <cellStyle name="Note 41 6 2" xfId="16870" xr:uid="{00000000-0005-0000-0000-000091610000}"/>
    <cellStyle name="Note 41 7" xfId="14876" xr:uid="{00000000-0005-0000-0000-000092610000}"/>
    <cellStyle name="Note 41 8" xfId="13560" xr:uid="{00000000-0005-0000-0000-000093610000}"/>
    <cellStyle name="Note 42" xfId="3349" xr:uid="{00000000-0005-0000-0000-000094610000}"/>
    <cellStyle name="Note 42 2" xfId="4583" xr:uid="{00000000-0005-0000-0000-000095610000}"/>
    <cellStyle name="Note 42 2 2" xfId="12562" xr:uid="{00000000-0005-0000-0000-000096610000}"/>
    <cellStyle name="Note 42 2 2 2" xfId="23850" xr:uid="{00000000-0005-0000-0000-000097610000}"/>
    <cellStyle name="Note 42 2 3" xfId="10568" xr:uid="{00000000-0005-0000-0000-000098610000}"/>
    <cellStyle name="Note 42 2 3 2" xfId="21856" xr:uid="{00000000-0005-0000-0000-000099610000}"/>
    <cellStyle name="Note 42 2 4" xfId="8574" xr:uid="{00000000-0005-0000-0000-00009A610000}"/>
    <cellStyle name="Note 42 2 4 2" xfId="19862" xr:uid="{00000000-0005-0000-0000-00009B610000}"/>
    <cellStyle name="Note 42 2 5" xfId="6580" xr:uid="{00000000-0005-0000-0000-00009C610000}"/>
    <cellStyle name="Note 42 2 5 2" xfId="17868" xr:uid="{00000000-0005-0000-0000-00009D610000}"/>
    <cellStyle name="Note 42 2 6" xfId="15874" xr:uid="{00000000-0005-0000-0000-00009E610000}"/>
    <cellStyle name="Note 42 3" xfId="11565" xr:uid="{00000000-0005-0000-0000-00009F610000}"/>
    <cellStyle name="Note 42 3 2" xfId="22853" xr:uid="{00000000-0005-0000-0000-0000A0610000}"/>
    <cellStyle name="Note 42 4" xfId="9571" xr:uid="{00000000-0005-0000-0000-0000A1610000}"/>
    <cellStyle name="Note 42 4 2" xfId="20859" xr:uid="{00000000-0005-0000-0000-0000A2610000}"/>
    <cellStyle name="Note 42 5" xfId="7577" xr:uid="{00000000-0005-0000-0000-0000A3610000}"/>
    <cellStyle name="Note 42 5 2" xfId="18865" xr:uid="{00000000-0005-0000-0000-0000A4610000}"/>
    <cellStyle name="Note 42 6" xfId="5583" xr:uid="{00000000-0005-0000-0000-0000A5610000}"/>
    <cellStyle name="Note 42 6 2" xfId="16871" xr:uid="{00000000-0005-0000-0000-0000A6610000}"/>
    <cellStyle name="Note 42 7" xfId="14877" xr:uid="{00000000-0005-0000-0000-0000A7610000}"/>
    <cellStyle name="Note 42 8" xfId="13561" xr:uid="{00000000-0005-0000-0000-0000A8610000}"/>
    <cellStyle name="Note 43" xfId="3350" xr:uid="{00000000-0005-0000-0000-0000A9610000}"/>
    <cellStyle name="Note 43 2" xfId="4584" xr:uid="{00000000-0005-0000-0000-0000AA610000}"/>
    <cellStyle name="Note 43 2 2" xfId="12563" xr:uid="{00000000-0005-0000-0000-0000AB610000}"/>
    <cellStyle name="Note 43 2 2 2" xfId="23851" xr:uid="{00000000-0005-0000-0000-0000AC610000}"/>
    <cellStyle name="Note 43 2 3" xfId="10569" xr:uid="{00000000-0005-0000-0000-0000AD610000}"/>
    <cellStyle name="Note 43 2 3 2" xfId="21857" xr:uid="{00000000-0005-0000-0000-0000AE610000}"/>
    <cellStyle name="Note 43 2 4" xfId="8575" xr:uid="{00000000-0005-0000-0000-0000AF610000}"/>
    <cellStyle name="Note 43 2 4 2" xfId="19863" xr:uid="{00000000-0005-0000-0000-0000B0610000}"/>
    <cellStyle name="Note 43 2 5" xfId="6581" xr:uid="{00000000-0005-0000-0000-0000B1610000}"/>
    <cellStyle name="Note 43 2 5 2" xfId="17869" xr:uid="{00000000-0005-0000-0000-0000B2610000}"/>
    <cellStyle name="Note 43 2 6" xfId="15875" xr:uid="{00000000-0005-0000-0000-0000B3610000}"/>
    <cellStyle name="Note 43 3" xfId="11566" xr:uid="{00000000-0005-0000-0000-0000B4610000}"/>
    <cellStyle name="Note 43 3 2" xfId="22854" xr:uid="{00000000-0005-0000-0000-0000B5610000}"/>
    <cellStyle name="Note 43 4" xfId="9572" xr:uid="{00000000-0005-0000-0000-0000B6610000}"/>
    <cellStyle name="Note 43 4 2" xfId="20860" xr:uid="{00000000-0005-0000-0000-0000B7610000}"/>
    <cellStyle name="Note 43 5" xfId="7578" xr:uid="{00000000-0005-0000-0000-0000B8610000}"/>
    <cellStyle name="Note 43 5 2" xfId="18866" xr:uid="{00000000-0005-0000-0000-0000B9610000}"/>
    <cellStyle name="Note 43 6" xfId="5584" xr:uid="{00000000-0005-0000-0000-0000BA610000}"/>
    <cellStyle name="Note 43 6 2" xfId="16872" xr:uid="{00000000-0005-0000-0000-0000BB610000}"/>
    <cellStyle name="Note 43 7" xfId="14878" xr:uid="{00000000-0005-0000-0000-0000BC610000}"/>
    <cellStyle name="Note 43 8" xfId="13562" xr:uid="{00000000-0005-0000-0000-0000BD610000}"/>
    <cellStyle name="Note 44" xfId="3351" xr:uid="{00000000-0005-0000-0000-0000BE610000}"/>
    <cellStyle name="Note 44 2" xfId="4585" xr:uid="{00000000-0005-0000-0000-0000BF610000}"/>
    <cellStyle name="Note 44 2 2" xfId="12564" xr:uid="{00000000-0005-0000-0000-0000C0610000}"/>
    <cellStyle name="Note 44 2 2 2" xfId="23852" xr:uid="{00000000-0005-0000-0000-0000C1610000}"/>
    <cellStyle name="Note 44 2 3" xfId="10570" xr:uid="{00000000-0005-0000-0000-0000C2610000}"/>
    <cellStyle name="Note 44 2 3 2" xfId="21858" xr:uid="{00000000-0005-0000-0000-0000C3610000}"/>
    <cellStyle name="Note 44 2 4" xfId="8576" xr:uid="{00000000-0005-0000-0000-0000C4610000}"/>
    <cellStyle name="Note 44 2 4 2" xfId="19864" xr:uid="{00000000-0005-0000-0000-0000C5610000}"/>
    <cellStyle name="Note 44 2 5" xfId="6582" xr:uid="{00000000-0005-0000-0000-0000C6610000}"/>
    <cellStyle name="Note 44 2 5 2" xfId="17870" xr:uid="{00000000-0005-0000-0000-0000C7610000}"/>
    <cellStyle name="Note 44 2 6" xfId="15876" xr:uid="{00000000-0005-0000-0000-0000C8610000}"/>
    <cellStyle name="Note 44 3" xfId="11567" xr:uid="{00000000-0005-0000-0000-0000C9610000}"/>
    <cellStyle name="Note 44 3 2" xfId="22855" xr:uid="{00000000-0005-0000-0000-0000CA610000}"/>
    <cellStyle name="Note 44 4" xfId="9573" xr:uid="{00000000-0005-0000-0000-0000CB610000}"/>
    <cellStyle name="Note 44 4 2" xfId="20861" xr:uid="{00000000-0005-0000-0000-0000CC610000}"/>
    <cellStyle name="Note 44 5" xfId="7579" xr:uid="{00000000-0005-0000-0000-0000CD610000}"/>
    <cellStyle name="Note 44 5 2" xfId="18867" xr:uid="{00000000-0005-0000-0000-0000CE610000}"/>
    <cellStyle name="Note 44 6" xfId="5585" xr:uid="{00000000-0005-0000-0000-0000CF610000}"/>
    <cellStyle name="Note 44 6 2" xfId="16873" xr:uid="{00000000-0005-0000-0000-0000D0610000}"/>
    <cellStyle name="Note 44 7" xfId="14879" xr:uid="{00000000-0005-0000-0000-0000D1610000}"/>
    <cellStyle name="Note 44 8" xfId="13563" xr:uid="{00000000-0005-0000-0000-0000D2610000}"/>
    <cellStyle name="Note 45" xfId="3352" xr:uid="{00000000-0005-0000-0000-0000D3610000}"/>
    <cellStyle name="Note 45 2" xfId="4586" xr:uid="{00000000-0005-0000-0000-0000D4610000}"/>
    <cellStyle name="Note 45 2 2" xfId="12565" xr:uid="{00000000-0005-0000-0000-0000D5610000}"/>
    <cellStyle name="Note 45 2 2 2" xfId="23853" xr:uid="{00000000-0005-0000-0000-0000D6610000}"/>
    <cellStyle name="Note 45 2 3" xfId="10571" xr:uid="{00000000-0005-0000-0000-0000D7610000}"/>
    <cellStyle name="Note 45 2 3 2" xfId="21859" xr:uid="{00000000-0005-0000-0000-0000D8610000}"/>
    <cellStyle name="Note 45 2 4" xfId="8577" xr:uid="{00000000-0005-0000-0000-0000D9610000}"/>
    <cellStyle name="Note 45 2 4 2" xfId="19865" xr:uid="{00000000-0005-0000-0000-0000DA610000}"/>
    <cellStyle name="Note 45 2 5" xfId="6583" xr:uid="{00000000-0005-0000-0000-0000DB610000}"/>
    <cellStyle name="Note 45 2 5 2" xfId="17871" xr:uid="{00000000-0005-0000-0000-0000DC610000}"/>
    <cellStyle name="Note 45 2 6" xfId="15877" xr:uid="{00000000-0005-0000-0000-0000DD610000}"/>
    <cellStyle name="Note 45 3" xfId="11568" xr:uid="{00000000-0005-0000-0000-0000DE610000}"/>
    <cellStyle name="Note 45 3 2" xfId="22856" xr:uid="{00000000-0005-0000-0000-0000DF610000}"/>
    <cellStyle name="Note 45 4" xfId="9574" xr:uid="{00000000-0005-0000-0000-0000E0610000}"/>
    <cellStyle name="Note 45 4 2" xfId="20862" xr:uid="{00000000-0005-0000-0000-0000E1610000}"/>
    <cellStyle name="Note 45 5" xfId="7580" xr:uid="{00000000-0005-0000-0000-0000E2610000}"/>
    <cellStyle name="Note 45 5 2" xfId="18868" xr:uid="{00000000-0005-0000-0000-0000E3610000}"/>
    <cellStyle name="Note 45 6" xfId="5586" xr:uid="{00000000-0005-0000-0000-0000E4610000}"/>
    <cellStyle name="Note 45 6 2" xfId="16874" xr:uid="{00000000-0005-0000-0000-0000E5610000}"/>
    <cellStyle name="Note 45 7" xfId="14880" xr:uid="{00000000-0005-0000-0000-0000E6610000}"/>
    <cellStyle name="Note 45 8" xfId="13564" xr:uid="{00000000-0005-0000-0000-0000E7610000}"/>
    <cellStyle name="Note 46" xfId="3353" xr:uid="{00000000-0005-0000-0000-0000E8610000}"/>
    <cellStyle name="Note 46 2" xfId="4587" xr:uid="{00000000-0005-0000-0000-0000E9610000}"/>
    <cellStyle name="Note 46 2 2" xfId="12566" xr:uid="{00000000-0005-0000-0000-0000EA610000}"/>
    <cellStyle name="Note 46 2 2 2" xfId="23854" xr:uid="{00000000-0005-0000-0000-0000EB610000}"/>
    <cellStyle name="Note 46 2 3" xfId="10572" xr:uid="{00000000-0005-0000-0000-0000EC610000}"/>
    <cellStyle name="Note 46 2 3 2" xfId="21860" xr:uid="{00000000-0005-0000-0000-0000ED610000}"/>
    <cellStyle name="Note 46 2 4" xfId="8578" xr:uid="{00000000-0005-0000-0000-0000EE610000}"/>
    <cellStyle name="Note 46 2 4 2" xfId="19866" xr:uid="{00000000-0005-0000-0000-0000EF610000}"/>
    <cellStyle name="Note 46 2 5" xfId="6584" xr:uid="{00000000-0005-0000-0000-0000F0610000}"/>
    <cellStyle name="Note 46 2 5 2" xfId="17872" xr:uid="{00000000-0005-0000-0000-0000F1610000}"/>
    <cellStyle name="Note 46 2 6" xfId="15878" xr:uid="{00000000-0005-0000-0000-0000F2610000}"/>
    <cellStyle name="Note 46 3" xfId="11569" xr:uid="{00000000-0005-0000-0000-0000F3610000}"/>
    <cellStyle name="Note 46 3 2" xfId="22857" xr:uid="{00000000-0005-0000-0000-0000F4610000}"/>
    <cellStyle name="Note 46 4" xfId="9575" xr:uid="{00000000-0005-0000-0000-0000F5610000}"/>
    <cellStyle name="Note 46 4 2" xfId="20863" xr:uid="{00000000-0005-0000-0000-0000F6610000}"/>
    <cellStyle name="Note 46 5" xfId="7581" xr:uid="{00000000-0005-0000-0000-0000F7610000}"/>
    <cellStyle name="Note 46 5 2" xfId="18869" xr:uid="{00000000-0005-0000-0000-0000F8610000}"/>
    <cellStyle name="Note 46 6" xfId="5587" xr:uid="{00000000-0005-0000-0000-0000F9610000}"/>
    <cellStyle name="Note 46 6 2" xfId="16875" xr:uid="{00000000-0005-0000-0000-0000FA610000}"/>
    <cellStyle name="Note 46 7" xfId="14881" xr:uid="{00000000-0005-0000-0000-0000FB610000}"/>
    <cellStyle name="Note 46 8" xfId="13565" xr:uid="{00000000-0005-0000-0000-0000FC610000}"/>
    <cellStyle name="Note 47" xfId="3354" xr:uid="{00000000-0005-0000-0000-0000FD610000}"/>
    <cellStyle name="Note 47 2" xfId="4588" xr:uid="{00000000-0005-0000-0000-0000FE610000}"/>
    <cellStyle name="Note 47 2 2" xfId="12567" xr:uid="{00000000-0005-0000-0000-0000FF610000}"/>
    <cellStyle name="Note 47 2 2 2" xfId="23855" xr:uid="{00000000-0005-0000-0000-000000620000}"/>
    <cellStyle name="Note 47 2 3" xfId="10573" xr:uid="{00000000-0005-0000-0000-000001620000}"/>
    <cellStyle name="Note 47 2 3 2" xfId="21861" xr:uid="{00000000-0005-0000-0000-000002620000}"/>
    <cellStyle name="Note 47 2 4" xfId="8579" xr:uid="{00000000-0005-0000-0000-000003620000}"/>
    <cellStyle name="Note 47 2 4 2" xfId="19867" xr:uid="{00000000-0005-0000-0000-000004620000}"/>
    <cellStyle name="Note 47 2 5" xfId="6585" xr:uid="{00000000-0005-0000-0000-000005620000}"/>
    <cellStyle name="Note 47 2 5 2" xfId="17873" xr:uid="{00000000-0005-0000-0000-000006620000}"/>
    <cellStyle name="Note 47 2 6" xfId="15879" xr:uid="{00000000-0005-0000-0000-000007620000}"/>
    <cellStyle name="Note 47 3" xfId="11570" xr:uid="{00000000-0005-0000-0000-000008620000}"/>
    <cellStyle name="Note 47 3 2" xfId="22858" xr:uid="{00000000-0005-0000-0000-000009620000}"/>
    <cellStyle name="Note 47 4" xfId="9576" xr:uid="{00000000-0005-0000-0000-00000A620000}"/>
    <cellStyle name="Note 47 4 2" xfId="20864" xr:uid="{00000000-0005-0000-0000-00000B620000}"/>
    <cellStyle name="Note 47 5" xfId="7582" xr:uid="{00000000-0005-0000-0000-00000C620000}"/>
    <cellStyle name="Note 47 5 2" xfId="18870" xr:uid="{00000000-0005-0000-0000-00000D620000}"/>
    <cellStyle name="Note 47 6" xfId="5588" xr:uid="{00000000-0005-0000-0000-00000E620000}"/>
    <cellStyle name="Note 47 6 2" xfId="16876" xr:uid="{00000000-0005-0000-0000-00000F620000}"/>
    <cellStyle name="Note 47 7" xfId="14882" xr:uid="{00000000-0005-0000-0000-000010620000}"/>
    <cellStyle name="Note 47 8" xfId="13566" xr:uid="{00000000-0005-0000-0000-000011620000}"/>
    <cellStyle name="Note 48" xfId="3355" xr:uid="{00000000-0005-0000-0000-000012620000}"/>
    <cellStyle name="Note 48 2" xfId="4589" xr:uid="{00000000-0005-0000-0000-000013620000}"/>
    <cellStyle name="Note 48 2 2" xfId="12568" xr:uid="{00000000-0005-0000-0000-000014620000}"/>
    <cellStyle name="Note 48 2 2 2" xfId="23856" xr:uid="{00000000-0005-0000-0000-000015620000}"/>
    <cellStyle name="Note 48 2 3" xfId="10574" xr:uid="{00000000-0005-0000-0000-000016620000}"/>
    <cellStyle name="Note 48 2 3 2" xfId="21862" xr:uid="{00000000-0005-0000-0000-000017620000}"/>
    <cellStyle name="Note 48 2 4" xfId="8580" xr:uid="{00000000-0005-0000-0000-000018620000}"/>
    <cellStyle name="Note 48 2 4 2" xfId="19868" xr:uid="{00000000-0005-0000-0000-000019620000}"/>
    <cellStyle name="Note 48 2 5" xfId="6586" xr:uid="{00000000-0005-0000-0000-00001A620000}"/>
    <cellStyle name="Note 48 2 5 2" xfId="17874" xr:uid="{00000000-0005-0000-0000-00001B620000}"/>
    <cellStyle name="Note 48 2 6" xfId="15880" xr:uid="{00000000-0005-0000-0000-00001C620000}"/>
    <cellStyle name="Note 48 3" xfId="11571" xr:uid="{00000000-0005-0000-0000-00001D620000}"/>
    <cellStyle name="Note 48 3 2" xfId="22859" xr:uid="{00000000-0005-0000-0000-00001E620000}"/>
    <cellStyle name="Note 48 4" xfId="9577" xr:uid="{00000000-0005-0000-0000-00001F620000}"/>
    <cellStyle name="Note 48 4 2" xfId="20865" xr:uid="{00000000-0005-0000-0000-000020620000}"/>
    <cellStyle name="Note 48 5" xfId="7583" xr:uid="{00000000-0005-0000-0000-000021620000}"/>
    <cellStyle name="Note 48 5 2" xfId="18871" xr:uid="{00000000-0005-0000-0000-000022620000}"/>
    <cellStyle name="Note 48 6" xfId="5589" xr:uid="{00000000-0005-0000-0000-000023620000}"/>
    <cellStyle name="Note 48 6 2" xfId="16877" xr:uid="{00000000-0005-0000-0000-000024620000}"/>
    <cellStyle name="Note 48 7" xfId="14883" xr:uid="{00000000-0005-0000-0000-000025620000}"/>
    <cellStyle name="Note 48 8" xfId="13567" xr:uid="{00000000-0005-0000-0000-000026620000}"/>
    <cellStyle name="Note 49" xfId="3356" xr:uid="{00000000-0005-0000-0000-000027620000}"/>
    <cellStyle name="Note 49 2" xfId="4590" xr:uid="{00000000-0005-0000-0000-000028620000}"/>
    <cellStyle name="Note 49 2 2" xfId="12569" xr:uid="{00000000-0005-0000-0000-000029620000}"/>
    <cellStyle name="Note 49 2 2 2" xfId="23857" xr:uid="{00000000-0005-0000-0000-00002A620000}"/>
    <cellStyle name="Note 49 2 3" xfId="10575" xr:uid="{00000000-0005-0000-0000-00002B620000}"/>
    <cellStyle name="Note 49 2 3 2" xfId="21863" xr:uid="{00000000-0005-0000-0000-00002C620000}"/>
    <cellStyle name="Note 49 2 4" xfId="8581" xr:uid="{00000000-0005-0000-0000-00002D620000}"/>
    <cellStyle name="Note 49 2 4 2" xfId="19869" xr:uid="{00000000-0005-0000-0000-00002E620000}"/>
    <cellStyle name="Note 49 2 5" xfId="6587" xr:uid="{00000000-0005-0000-0000-00002F620000}"/>
    <cellStyle name="Note 49 2 5 2" xfId="17875" xr:uid="{00000000-0005-0000-0000-000030620000}"/>
    <cellStyle name="Note 49 2 6" xfId="15881" xr:uid="{00000000-0005-0000-0000-000031620000}"/>
    <cellStyle name="Note 49 3" xfId="11572" xr:uid="{00000000-0005-0000-0000-000032620000}"/>
    <cellStyle name="Note 49 3 2" xfId="22860" xr:uid="{00000000-0005-0000-0000-000033620000}"/>
    <cellStyle name="Note 49 4" xfId="9578" xr:uid="{00000000-0005-0000-0000-000034620000}"/>
    <cellStyle name="Note 49 4 2" xfId="20866" xr:uid="{00000000-0005-0000-0000-000035620000}"/>
    <cellStyle name="Note 49 5" xfId="7584" xr:uid="{00000000-0005-0000-0000-000036620000}"/>
    <cellStyle name="Note 49 5 2" xfId="18872" xr:uid="{00000000-0005-0000-0000-000037620000}"/>
    <cellStyle name="Note 49 6" xfId="5590" xr:uid="{00000000-0005-0000-0000-000038620000}"/>
    <cellStyle name="Note 49 6 2" xfId="16878" xr:uid="{00000000-0005-0000-0000-000039620000}"/>
    <cellStyle name="Note 49 7" xfId="14884" xr:uid="{00000000-0005-0000-0000-00003A620000}"/>
    <cellStyle name="Note 49 8" xfId="13568" xr:uid="{00000000-0005-0000-0000-00003B620000}"/>
    <cellStyle name="Note 5" xfId="3357" xr:uid="{00000000-0005-0000-0000-00003C620000}"/>
    <cellStyle name="Note 5 10" xfId="25077" xr:uid="{00000000-0005-0000-0000-00003D620000}"/>
    <cellStyle name="Note 5 10 2" xfId="25338" xr:uid="{00000000-0005-0000-0000-00003E620000}"/>
    <cellStyle name="Note 5 10 2 2" xfId="27492" xr:uid="{00000000-0005-0000-0000-00003F620000}"/>
    <cellStyle name="Note 5 10 2 2 2" xfId="32083" xr:uid="{A19941B5-ED37-42FF-BC94-DAD64BC1B10D}"/>
    <cellStyle name="Note 5 10 2 3" xfId="26965" xr:uid="{00000000-0005-0000-0000-000040620000}"/>
    <cellStyle name="Note 5 10 2 3 2" xfId="31726" xr:uid="{597CCD8D-C10B-4C68-A1F8-5A88FAD14C73}"/>
    <cellStyle name="Note 5 10 2 4" xfId="26913" xr:uid="{00000000-0005-0000-0000-000041620000}"/>
    <cellStyle name="Note 5 10 2 4 2" xfId="31674" xr:uid="{30FD7022-C61C-45F1-919F-F9E343479EB3}"/>
    <cellStyle name="Note 5 10 2 5" xfId="29282" xr:uid="{00000000-0005-0000-0000-000042620000}"/>
    <cellStyle name="Note 5 10 2 5 2" xfId="33249" xr:uid="{C1CC3A9F-43C2-49D4-A3AD-C6F26763B6EB}"/>
    <cellStyle name="Note 5 10 2 6" xfId="30496" xr:uid="{E12D2A96-6A54-4A75-A9E1-579637785F2B}"/>
    <cellStyle name="Note 5 10 3" xfId="25681" xr:uid="{00000000-0005-0000-0000-000043620000}"/>
    <cellStyle name="Note 5 10 3 2" xfId="27834" xr:uid="{00000000-0005-0000-0000-000044620000}"/>
    <cellStyle name="Note 5 10 3 2 2" xfId="32421" xr:uid="{86006B15-C454-4020-98CB-EF934E7D7377}"/>
    <cellStyle name="Note 5 10 3 3" xfId="26445" xr:uid="{00000000-0005-0000-0000-000045620000}"/>
    <cellStyle name="Note 5 10 3 3 2" xfId="31233" xr:uid="{5457A55C-1C23-485E-A60C-FC06AC5456FE}"/>
    <cellStyle name="Note 5 10 3 4" xfId="26179" xr:uid="{00000000-0005-0000-0000-000046620000}"/>
    <cellStyle name="Note 5 10 3 4 2" xfId="30968" xr:uid="{1D1EBE38-6BF2-4907-A084-C88ED1A99BB2}"/>
    <cellStyle name="Note 5 10 3 5" xfId="29281" xr:uid="{00000000-0005-0000-0000-000047620000}"/>
    <cellStyle name="Note 5 10 3 5 2" xfId="33248" xr:uid="{62B9C2E7-4D55-40CC-B524-6DE94C802186}"/>
    <cellStyle name="Note 5 10 3 6" xfId="30675" xr:uid="{0EA4B9F4-3A00-4666-9BFA-914716AA248F}"/>
    <cellStyle name="Note 5 10 4" xfId="27368" xr:uid="{00000000-0005-0000-0000-000048620000}"/>
    <cellStyle name="Note 5 10 4 2" xfId="31966" xr:uid="{66FA2DFB-BBF0-4974-AECF-DFDC43857841}"/>
    <cellStyle name="Note 5 10 5" xfId="26379" xr:uid="{00000000-0005-0000-0000-000049620000}"/>
    <cellStyle name="Note 5 10 5 2" xfId="31167" xr:uid="{3B66F73B-E67C-4E81-AA4E-EEF1D3196F8B}"/>
    <cellStyle name="Note 5 10 6" xfId="26480" xr:uid="{00000000-0005-0000-0000-00004A620000}"/>
    <cellStyle name="Note 5 10 6 2" xfId="31268" xr:uid="{40F0E242-512F-4838-85C3-D53BE1D13AAD}"/>
    <cellStyle name="Note 5 10 7" xfId="29283" xr:uid="{00000000-0005-0000-0000-00004B620000}"/>
    <cellStyle name="Note 5 10 7 2" xfId="33250" xr:uid="{B32A91D5-FDE9-489C-AB26-C5979B2060FC}"/>
    <cellStyle name="Note 5 10 8" xfId="30383" xr:uid="{C07AFF2E-8D08-4755-8815-92C542BA0288}"/>
    <cellStyle name="Note 5 2" xfId="4591" xr:uid="{00000000-0005-0000-0000-00004C620000}"/>
    <cellStyle name="Note 5 2 2" xfId="12570" xr:uid="{00000000-0005-0000-0000-00004D620000}"/>
    <cellStyle name="Note 5 2 2 2" xfId="23858" xr:uid="{00000000-0005-0000-0000-00004E620000}"/>
    <cellStyle name="Note 5 2 3" xfId="10576" xr:uid="{00000000-0005-0000-0000-00004F620000}"/>
    <cellStyle name="Note 5 2 3 2" xfId="21864" xr:uid="{00000000-0005-0000-0000-000050620000}"/>
    <cellStyle name="Note 5 2 4" xfId="8582" xr:uid="{00000000-0005-0000-0000-000051620000}"/>
    <cellStyle name="Note 5 2 4 2" xfId="19870" xr:uid="{00000000-0005-0000-0000-000052620000}"/>
    <cellStyle name="Note 5 2 5" xfId="6588" xr:uid="{00000000-0005-0000-0000-000053620000}"/>
    <cellStyle name="Note 5 2 5 2" xfId="17876" xr:uid="{00000000-0005-0000-0000-000054620000}"/>
    <cellStyle name="Note 5 2 6" xfId="15882" xr:uid="{00000000-0005-0000-0000-000055620000}"/>
    <cellStyle name="Note 5 3" xfId="11573" xr:uid="{00000000-0005-0000-0000-000056620000}"/>
    <cellStyle name="Note 5 3 2" xfId="22861" xr:uid="{00000000-0005-0000-0000-000057620000}"/>
    <cellStyle name="Note 5 4" xfId="9579" xr:uid="{00000000-0005-0000-0000-000058620000}"/>
    <cellStyle name="Note 5 4 2" xfId="20867" xr:uid="{00000000-0005-0000-0000-000059620000}"/>
    <cellStyle name="Note 5 5" xfId="7585" xr:uid="{00000000-0005-0000-0000-00005A620000}"/>
    <cellStyle name="Note 5 5 2" xfId="18873" xr:uid="{00000000-0005-0000-0000-00005B620000}"/>
    <cellStyle name="Note 5 6" xfId="5591" xr:uid="{00000000-0005-0000-0000-00005C620000}"/>
    <cellStyle name="Note 5 6 2" xfId="16879" xr:uid="{00000000-0005-0000-0000-00005D620000}"/>
    <cellStyle name="Note 5 7" xfId="14885" xr:uid="{00000000-0005-0000-0000-00005E620000}"/>
    <cellStyle name="Note 5 8" xfId="13569" xr:uid="{00000000-0005-0000-0000-00005F620000}"/>
    <cellStyle name="Note 5 9" xfId="24193" xr:uid="{00000000-0005-0000-0000-000060620000}"/>
    <cellStyle name="Note 5 9 2" xfId="25444" xr:uid="{00000000-0005-0000-0000-000061620000}"/>
    <cellStyle name="Note 5 9 2 2" xfId="27598" xr:uid="{00000000-0005-0000-0000-000062620000}"/>
    <cellStyle name="Note 5 9 2 2 2" xfId="32189" xr:uid="{EF16FDDD-095A-4838-A08E-C5B4FC001259}"/>
    <cellStyle name="Note 5 9 2 3" xfId="26722" xr:uid="{00000000-0005-0000-0000-000063620000}"/>
    <cellStyle name="Note 5 9 2 3 2" xfId="31483" xr:uid="{F6F0A8C8-7554-4B5B-8964-B92FA1E20924}"/>
    <cellStyle name="Note 5 9 2 4" xfId="26753" xr:uid="{00000000-0005-0000-0000-000064620000}"/>
    <cellStyle name="Note 5 9 2 4 2" xfId="31514" xr:uid="{2E4A1D25-761F-413D-87BF-15DDC0340EFF}"/>
    <cellStyle name="Note 5 9 2 5" xfId="29279" xr:uid="{00000000-0005-0000-0000-000065620000}"/>
    <cellStyle name="Note 5 9 2 5 2" xfId="33246" xr:uid="{AE331B6E-AD76-417B-8E29-8D4B7D08AFB0}"/>
    <cellStyle name="Note 5 9 2 6" xfId="30602" xr:uid="{8390F486-3D8D-4D7E-9B65-8B6857B31F32}"/>
    <cellStyle name="Note 5 9 3" xfId="25568" xr:uid="{00000000-0005-0000-0000-000066620000}"/>
    <cellStyle name="Note 5 9 3 2" xfId="27721" xr:uid="{00000000-0005-0000-0000-000067620000}"/>
    <cellStyle name="Note 5 9 3 2 2" xfId="32308" xr:uid="{F2F8C562-6385-4096-8009-E9646696911F}"/>
    <cellStyle name="Note 5 9 3 3" xfId="26799" xr:uid="{00000000-0005-0000-0000-000068620000}"/>
    <cellStyle name="Note 5 9 3 3 2" xfId="31560" xr:uid="{B7D3E094-FB25-4575-8ED4-08B06C6423A8}"/>
    <cellStyle name="Note 5 9 3 4" xfId="26325" xr:uid="{00000000-0005-0000-0000-000069620000}"/>
    <cellStyle name="Note 5 9 3 4 2" xfId="31113" xr:uid="{B269BE2D-E28C-47B5-8454-75BF784F7BFE}"/>
    <cellStyle name="Note 5 9 3 5" xfId="29278" xr:uid="{00000000-0005-0000-0000-00006A620000}"/>
    <cellStyle name="Note 5 9 3 5 2" xfId="33245" xr:uid="{6229D2C6-BB6D-43F4-AD12-63CFD09329BF}"/>
    <cellStyle name="Note 5 9 3 6" xfId="30625" xr:uid="{E440E51D-DAF7-4BBD-AB3A-3AD671E0E06E}"/>
    <cellStyle name="Note 5 9 4" xfId="27093" xr:uid="{00000000-0005-0000-0000-00006B620000}"/>
    <cellStyle name="Note 5 9 4 2" xfId="31817" xr:uid="{AC16DECE-15B4-44CB-97DE-B65E1D4D71BC}"/>
    <cellStyle name="Note 5 9 5" xfId="26444" xr:uid="{00000000-0005-0000-0000-00006C620000}"/>
    <cellStyle name="Note 5 9 5 2" xfId="31232" xr:uid="{7C5610DD-9DC9-4B5F-98D4-3692B8CDC541}"/>
    <cellStyle name="Note 5 9 6" xfId="26459" xr:uid="{00000000-0005-0000-0000-00006D620000}"/>
    <cellStyle name="Note 5 9 6 2" xfId="31247" xr:uid="{D1CFAE94-B686-43A7-9E6D-359BCBB44923}"/>
    <cellStyle name="Note 5 9 7" xfId="29280" xr:uid="{00000000-0005-0000-0000-00006E620000}"/>
    <cellStyle name="Note 5 9 7 2" xfId="33247" xr:uid="{E65BD71B-46E9-4465-AEDE-7772BBCE7860}"/>
    <cellStyle name="Note 5 9 8" xfId="30270" xr:uid="{6A1B719E-17F3-4D93-A97A-2712D0C2E944}"/>
    <cellStyle name="Note 50" xfId="3358" xr:uid="{00000000-0005-0000-0000-00006F620000}"/>
    <cellStyle name="Note 50 2" xfId="4592" xr:uid="{00000000-0005-0000-0000-000070620000}"/>
    <cellStyle name="Note 50 2 2" xfId="12571" xr:uid="{00000000-0005-0000-0000-000071620000}"/>
    <cellStyle name="Note 50 2 2 2" xfId="23859" xr:uid="{00000000-0005-0000-0000-000072620000}"/>
    <cellStyle name="Note 50 2 3" xfId="10577" xr:uid="{00000000-0005-0000-0000-000073620000}"/>
    <cellStyle name="Note 50 2 3 2" xfId="21865" xr:uid="{00000000-0005-0000-0000-000074620000}"/>
    <cellStyle name="Note 50 2 4" xfId="8583" xr:uid="{00000000-0005-0000-0000-000075620000}"/>
    <cellStyle name="Note 50 2 4 2" xfId="19871" xr:uid="{00000000-0005-0000-0000-000076620000}"/>
    <cellStyle name="Note 50 2 5" xfId="6589" xr:uid="{00000000-0005-0000-0000-000077620000}"/>
    <cellStyle name="Note 50 2 5 2" xfId="17877" xr:uid="{00000000-0005-0000-0000-000078620000}"/>
    <cellStyle name="Note 50 2 6" xfId="15883" xr:uid="{00000000-0005-0000-0000-000079620000}"/>
    <cellStyle name="Note 50 3" xfId="11574" xr:uid="{00000000-0005-0000-0000-00007A620000}"/>
    <cellStyle name="Note 50 3 2" xfId="22862" xr:uid="{00000000-0005-0000-0000-00007B620000}"/>
    <cellStyle name="Note 50 4" xfId="9580" xr:uid="{00000000-0005-0000-0000-00007C620000}"/>
    <cellStyle name="Note 50 4 2" xfId="20868" xr:uid="{00000000-0005-0000-0000-00007D620000}"/>
    <cellStyle name="Note 50 5" xfId="7586" xr:uid="{00000000-0005-0000-0000-00007E620000}"/>
    <cellStyle name="Note 50 5 2" xfId="18874" xr:uid="{00000000-0005-0000-0000-00007F620000}"/>
    <cellStyle name="Note 50 6" xfId="5592" xr:uid="{00000000-0005-0000-0000-000080620000}"/>
    <cellStyle name="Note 50 6 2" xfId="16880" xr:uid="{00000000-0005-0000-0000-000081620000}"/>
    <cellStyle name="Note 50 7" xfId="14886" xr:uid="{00000000-0005-0000-0000-000082620000}"/>
    <cellStyle name="Note 50 8" xfId="13570" xr:uid="{00000000-0005-0000-0000-000083620000}"/>
    <cellStyle name="Note 51" xfId="3359" xr:uid="{00000000-0005-0000-0000-000084620000}"/>
    <cellStyle name="Note 51 2" xfId="4593" xr:uid="{00000000-0005-0000-0000-000085620000}"/>
    <cellStyle name="Note 51 2 2" xfId="12572" xr:uid="{00000000-0005-0000-0000-000086620000}"/>
    <cellStyle name="Note 51 2 2 2" xfId="23860" xr:uid="{00000000-0005-0000-0000-000087620000}"/>
    <cellStyle name="Note 51 2 3" xfId="10578" xr:uid="{00000000-0005-0000-0000-000088620000}"/>
    <cellStyle name="Note 51 2 3 2" xfId="21866" xr:uid="{00000000-0005-0000-0000-000089620000}"/>
    <cellStyle name="Note 51 2 4" xfId="8584" xr:uid="{00000000-0005-0000-0000-00008A620000}"/>
    <cellStyle name="Note 51 2 4 2" xfId="19872" xr:uid="{00000000-0005-0000-0000-00008B620000}"/>
    <cellStyle name="Note 51 2 5" xfId="6590" xr:uid="{00000000-0005-0000-0000-00008C620000}"/>
    <cellStyle name="Note 51 2 5 2" xfId="17878" xr:uid="{00000000-0005-0000-0000-00008D620000}"/>
    <cellStyle name="Note 51 2 6" xfId="15884" xr:uid="{00000000-0005-0000-0000-00008E620000}"/>
    <cellStyle name="Note 51 3" xfId="11575" xr:uid="{00000000-0005-0000-0000-00008F620000}"/>
    <cellStyle name="Note 51 3 2" xfId="22863" xr:uid="{00000000-0005-0000-0000-000090620000}"/>
    <cellStyle name="Note 51 4" xfId="9581" xr:uid="{00000000-0005-0000-0000-000091620000}"/>
    <cellStyle name="Note 51 4 2" xfId="20869" xr:uid="{00000000-0005-0000-0000-000092620000}"/>
    <cellStyle name="Note 51 5" xfId="7587" xr:uid="{00000000-0005-0000-0000-000093620000}"/>
    <cellStyle name="Note 51 5 2" xfId="18875" xr:uid="{00000000-0005-0000-0000-000094620000}"/>
    <cellStyle name="Note 51 6" xfId="5593" xr:uid="{00000000-0005-0000-0000-000095620000}"/>
    <cellStyle name="Note 51 6 2" xfId="16881" xr:uid="{00000000-0005-0000-0000-000096620000}"/>
    <cellStyle name="Note 51 7" xfId="14887" xr:uid="{00000000-0005-0000-0000-000097620000}"/>
    <cellStyle name="Note 51 8" xfId="13571" xr:uid="{00000000-0005-0000-0000-000098620000}"/>
    <cellStyle name="Note 52" xfId="3360" xr:uid="{00000000-0005-0000-0000-000099620000}"/>
    <cellStyle name="Note 52 2" xfId="4594" xr:uid="{00000000-0005-0000-0000-00009A620000}"/>
    <cellStyle name="Note 52 2 2" xfId="12573" xr:uid="{00000000-0005-0000-0000-00009B620000}"/>
    <cellStyle name="Note 52 2 2 2" xfId="23861" xr:uid="{00000000-0005-0000-0000-00009C620000}"/>
    <cellStyle name="Note 52 2 3" xfId="10579" xr:uid="{00000000-0005-0000-0000-00009D620000}"/>
    <cellStyle name="Note 52 2 3 2" xfId="21867" xr:uid="{00000000-0005-0000-0000-00009E620000}"/>
    <cellStyle name="Note 52 2 4" xfId="8585" xr:uid="{00000000-0005-0000-0000-00009F620000}"/>
    <cellStyle name="Note 52 2 4 2" xfId="19873" xr:uid="{00000000-0005-0000-0000-0000A0620000}"/>
    <cellStyle name="Note 52 2 5" xfId="6591" xr:uid="{00000000-0005-0000-0000-0000A1620000}"/>
    <cellStyle name="Note 52 2 5 2" xfId="17879" xr:uid="{00000000-0005-0000-0000-0000A2620000}"/>
    <cellStyle name="Note 52 2 6" xfId="15885" xr:uid="{00000000-0005-0000-0000-0000A3620000}"/>
    <cellStyle name="Note 52 3" xfId="11576" xr:uid="{00000000-0005-0000-0000-0000A4620000}"/>
    <cellStyle name="Note 52 3 2" xfId="22864" xr:uid="{00000000-0005-0000-0000-0000A5620000}"/>
    <cellStyle name="Note 52 4" xfId="9582" xr:uid="{00000000-0005-0000-0000-0000A6620000}"/>
    <cellStyle name="Note 52 4 2" xfId="20870" xr:uid="{00000000-0005-0000-0000-0000A7620000}"/>
    <cellStyle name="Note 52 5" xfId="7588" xr:uid="{00000000-0005-0000-0000-0000A8620000}"/>
    <cellStyle name="Note 52 5 2" xfId="18876" xr:uid="{00000000-0005-0000-0000-0000A9620000}"/>
    <cellStyle name="Note 52 6" xfId="5594" xr:uid="{00000000-0005-0000-0000-0000AA620000}"/>
    <cellStyle name="Note 52 6 2" xfId="16882" xr:uid="{00000000-0005-0000-0000-0000AB620000}"/>
    <cellStyle name="Note 52 7" xfId="14888" xr:uid="{00000000-0005-0000-0000-0000AC620000}"/>
    <cellStyle name="Note 52 8" xfId="13572" xr:uid="{00000000-0005-0000-0000-0000AD620000}"/>
    <cellStyle name="Note 53" xfId="3361" xr:uid="{00000000-0005-0000-0000-0000AE620000}"/>
    <cellStyle name="Note 53 2" xfId="4595" xr:uid="{00000000-0005-0000-0000-0000AF620000}"/>
    <cellStyle name="Note 53 2 2" xfId="12574" xr:uid="{00000000-0005-0000-0000-0000B0620000}"/>
    <cellStyle name="Note 53 2 2 2" xfId="23862" xr:uid="{00000000-0005-0000-0000-0000B1620000}"/>
    <cellStyle name="Note 53 2 3" xfId="10580" xr:uid="{00000000-0005-0000-0000-0000B2620000}"/>
    <cellStyle name="Note 53 2 3 2" xfId="21868" xr:uid="{00000000-0005-0000-0000-0000B3620000}"/>
    <cellStyle name="Note 53 2 4" xfId="8586" xr:uid="{00000000-0005-0000-0000-0000B4620000}"/>
    <cellStyle name="Note 53 2 4 2" xfId="19874" xr:uid="{00000000-0005-0000-0000-0000B5620000}"/>
    <cellStyle name="Note 53 2 5" xfId="6592" xr:uid="{00000000-0005-0000-0000-0000B6620000}"/>
    <cellStyle name="Note 53 2 5 2" xfId="17880" xr:uid="{00000000-0005-0000-0000-0000B7620000}"/>
    <cellStyle name="Note 53 2 6" xfId="15886" xr:uid="{00000000-0005-0000-0000-0000B8620000}"/>
    <cellStyle name="Note 53 3" xfId="11577" xr:uid="{00000000-0005-0000-0000-0000B9620000}"/>
    <cellStyle name="Note 53 3 2" xfId="22865" xr:uid="{00000000-0005-0000-0000-0000BA620000}"/>
    <cellStyle name="Note 53 4" xfId="9583" xr:uid="{00000000-0005-0000-0000-0000BB620000}"/>
    <cellStyle name="Note 53 4 2" xfId="20871" xr:uid="{00000000-0005-0000-0000-0000BC620000}"/>
    <cellStyle name="Note 53 5" xfId="7589" xr:uid="{00000000-0005-0000-0000-0000BD620000}"/>
    <cellStyle name="Note 53 5 2" xfId="18877" xr:uid="{00000000-0005-0000-0000-0000BE620000}"/>
    <cellStyle name="Note 53 6" xfId="5595" xr:uid="{00000000-0005-0000-0000-0000BF620000}"/>
    <cellStyle name="Note 53 6 2" xfId="16883" xr:uid="{00000000-0005-0000-0000-0000C0620000}"/>
    <cellStyle name="Note 53 7" xfId="14889" xr:uid="{00000000-0005-0000-0000-0000C1620000}"/>
    <cellStyle name="Note 53 8" xfId="13573" xr:uid="{00000000-0005-0000-0000-0000C2620000}"/>
    <cellStyle name="Note 54" xfId="3362" xr:uid="{00000000-0005-0000-0000-0000C3620000}"/>
    <cellStyle name="Note 54 2" xfId="4596" xr:uid="{00000000-0005-0000-0000-0000C4620000}"/>
    <cellStyle name="Note 54 2 2" xfId="12575" xr:uid="{00000000-0005-0000-0000-0000C5620000}"/>
    <cellStyle name="Note 54 2 2 2" xfId="23863" xr:uid="{00000000-0005-0000-0000-0000C6620000}"/>
    <cellStyle name="Note 54 2 3" xfId="10581" xr:uid="{00000000-0005-0000-0000-0000C7620000}"/>
    <cellStyle name="Note 54 2 3 2" xfId="21869" xr:uid="{00000000-0005-0000-0000-0000C8620000}"/>
    <cellStyle name="Note 54 2 4" xfId="8587" xr:uid="{00000000-0005-0000-0000-0000C9620000}"/>
    <cellStyle name="Note 54 2 4 2" xfId="19875" xr:uid="{00000000-0005-0000-0000-0000CA620000}"/>
    <cellStyle name="Note 54 2 5" xfId="6593" xr:uid="{00000000-0005-0000-0000-0000CB620000}"/>
    <cellStyle name="Note 54 2 5 2" xfId="17881" xr:uid="{00000000-0005-0000-0000-0000CC620000}"/>
    <cellStyle name="Note 54 2 6" xfId="15887" xr:uid="{00000000-0005-0000-0000-0000CD620000}"/>
    <cellStyle name="Note 54 3" xfId="11578" xr:uid="{00000000-0005-0000-0000-0000CE620000}"/>
    <cellStyle name="Note 54 3 2" xfId="22866" xr:uid="{00000000-0005-0000-0000-0000CF620000}"/>
    <cellStyle name="Note 54 4" xfId="9584" xr:uid="{00000000-0005-0000-0000-0000D0620000}"/>
    <cellStyle name="Note 54 4 2" xfId="20872" xr:uid="{00000000-0005-0000-0000-0000D1620000}"/>
    <cellStyle name="Note 54 5" xfId="7590" xr:uid="{00000000-0005-0000-0000-0000D2620000}"/>
    <cellStyle name="Note 54 5 2" xfId="18878" xr:uid="{00000000-0005-0000-0000-0000D3620000}"/>
    <cellStyle name="Note 54 6" xfId="5596" xr:uid="{00000000-0005-0000-0000-0000D4620000}"/>
    <cellStyle name="Note 54 6 2" xfId="16884" xr:uid="{00000000-0005-0000-0000-0000D5620000}"/>
    <cellStyle name="Note 54 7" xfId="14890" xr:uid="{00000000-0005-0000-0000-0000D6620000}"/>
    <cellStyle name="Note 54 8" xfId="13574" xr:uid="{00000000-0005-0000-0000-0000D7620000}"/>
    <cellStyle name="Note 55" xfId="3363" xr:uid="{00000000-0005-0000-0000-0000D8620000}"/>
    <cellStyle name="Note 55 2" xfId="4597" xr:uid="{00000000-0005-0000-0000-0000D9620000}"/>
    <cellStyle name="Note 55 2 2" xfId="12576" xr:uid="{00000000-0005-0000-0000-0000DA620000}"/>
    <cellStyle name="Note 55 2 2 2" xfId="23864" xr:uid="{00000000-0005-0000-0000-0000DB620000}"/>
    <cellStyle name="Note 55 2 3" xfId="10582" xr:uid="{00000000-0005-0000-0000-0000DC620000}"/>
    <cellStyle name="Note 55 2 3 2" xfId="21870" xr:uid="{00000000-0005-0000-0000-0000DD620000}"/>
    <cellStyle name="Note 55 2 4" xfId="8588" xr:uid="{00000000-0005-0000-0000-0000DE620000}"/>
    <cellStyle name="Note 55 2 4 2" xfId="19876" xr:uid="{00000000-0005-0000-0000-0000DF620000}"/>
    <cellStyle name="Note 55 2 5" xfId="6594" xr:uid="{00000000-0005-0000-0000-0000E0620000}"/>
    <cellStyle name="Note 55 2 5 2" xfId="17882" xr:uid="{00000000-0005-0000-0000-0000E1620000}"/>
    <cellStyle name="Note 55 2 6" xfId="15888" xr:uid="{00000000-0005-0000-0000-0000E2620000}"/>
    <cellStyle name="Note 55 3" xfId="11579" xr:uid="{00000000-0005-0000-0000-0000E3620000}"/>
    <cellStyle name="Note 55 3 2" xfId="22867" xr:uid="{00000000-0005-0000-0000-0000E4620000}"/>
    <cellStyle name="Note 55 4" xfId="9585" xr:uid="{00000000-0005-0000-0000-0000E5620000}"/>
    <cellStyle name="Note 55 4 2" xfId="20873" xr:uid="{00000000-0005-0000-0000-0000E6620000}"/>
    <cellStyle name="Note 55 5" xfId="7591" xr:uid="{00000000-0005-0000-0000-0000E7620000}"/>
    <cellStyle name="Note 55 5 2" xfId="18879" xr:uid="{00000000-0005-0000-0000-0000E8620000}"/>
    <cellStyle name="Note 55 6" xfId="5597" xr:uid="{00000000-0005-0000-0000-0000E9620000}"/>
    <cellStyle name="Note 55 6 2" xfId="16885" xr:uid="{00000000-0005-0000-0000-0000EA620000}"/>
    <cellStyle name="Note 55 7" xfId="14891" xr:uid="{00000000-0005-0000-0000-0000EB620000}"/>
    <cellStyle name="Note 55 8" xfId="13575" xr:uid="{00000000-0005-0000-0000-0000EC620000}"/>
    <cellStyle name="Note 56" xfId="3364" xr:uid="{00000000-0005-0000-0000-0000ED620000}"/>
    <cellStyle name="Note 56 2" xfId="4598" xr:uid="{00000000-0005-0000-0000-0000EE620000}"/>
    <cellStyle name="Note 56 2 2" xfId="12577" xr:uid="{00000000-0005-0000-0000-0000EF620000}"/>
    <cellStyle name="Note 56 2 2 2" xfId="23865" xr:uid="{00000000-0005-0000-0000-0000F0620000}"/>
    <cellStyle name="Note 56 2 3" xfId="10583" xr:uid="{00000000-0005-0000-0000-0000F1620000}"/>
    <cellStyle name="Note 56 2 3 2" xfId="21871" xr:uid="{00000000-0005-0000-0000-0000F2620000}"/>
    <cellStyle name="Note 56 2 4" xfId="8589" xr:uid="{00000000-0005-0000-0000-0000F3620000}"/>
    <cellStyle name="Note 56 2 4 2" xfId="19877" xr:uid="{00000000-0005-0000-0000-0000F4620000}"/>
    <cellStyle name="Note 56 2 5" xfId="6595" xr:uid="{00000000-0005-0000-0000-0000F5620000}"/>
    <cellStyle name="Note 56 2 5 2" xfId="17883" xr:uid="{00000000-0005-0000-0000-0000F6620000}"/>
    <cellStyle name="Note 56 2 6" xfId="15889" xr:uid="{00000000-0005-0000-0000-0000F7620000}"/>
    <cellStyle name="Note 56 3" xfId="11580" xr:uid="{00000000-0005-0000-0000-0000F8620000}"/>
    <cellStyle name="Note 56 3 2" xfId="22868" xr:uid="{00000000-0005-0000-0000-0000F9620000}"/>
    <cellStyle name="Note 56 4" xfId="9586" xr:uid="{00000000-0005-0000-0000-0000FA620000}"/>
    <cellStyle name="Note 56 4 2" xfId="20874" xr:uid="{00000000-0005-0000-0000-0000FB620000}"/>
    <cellStyle name="Note 56 5" xfId="7592" xr:uid="{00000000-0005-0000-0000-0000FC620000}"/>
    <cellStyle name="Note 56 5 2" xfId="18880" xr:uid="{00000000-0005-0000-0000-0000FD620000}"/>
    <cellStyle name="Note 56 6" xfId="5598" xr:uid="{00000000-0005-0000-0000-0000FE620000}"/>
    <cellStyle name="Note 56 6 2" xfId="16886" xr:uid="{00000000-0005-0000-0000-0000FF620000}"/>
    <cellStyle name="Note 56 7" xfId="14892" xr:uid="{00000000-0005-0000-0000-000000630000}"/>
    <cellStyle name="Note 56 8" xfId="13576" xr:uid="{00000000-0005-0000-0000-000001630000}"/>
    <cellStyle name="Note 57" xfId="3365" xr:uid="{00000000-0005-0000-0000-000002630000}"/>
    <cellStyle name="Note 57 2" xfId="4599" xr:uid="{00000000-0005-0000-0000-000003630000}"/>
    <cellStyle name="Note 57 2 2" xfId="12578" xr:uid="{00000000-0005-0000-0000-000004630000}"/>
    <cellStyle name="Note 57 2 2 2" xfId="23866" xr:uid="{00000000-0005-0000-0000-000005630000}"/>
    <cellStyle name="Note 57 2 3" xfId="10584" xr:uid="{00000000-0005-0000-0000-000006630000}"/>
    <cellStyle name="Note 57 2 3 2" xfId="21872" xr:uid="{00000000-0005-0000-0000-000007630000}"/>
    <cellStyle name="Note 57 2 4" xfId="8590" xr:uid="{00000000-0005-0000-0000-000008630000}"/>
    <cellStyle name="Note 57 2 4 2" xfId="19878" xr:uid="{00000000-0005-0000-0000-000009630000}"/>
    <cellStyle name="Note 57 2 5" xfId="6596" xr:uid="{00000000-0005-0000-0000-00000A630000}"/>
    <cellStyle name="Note 57 2 5 2" xfId="17884" xr:uid="{00000000-0005-0000-0000-00000B630000}"/>
    <cellStyle name="Note 57 2 6" xfId="15890" xr:uid="{00000000-0005-0000-0000-00000C630000}"/>
    <cellStyle name="Note 57 3" xfId="11581" xr:uid="{00000000-0005-0000-0000-00000D630000}"/>
    <cellStyle name="Note 57 3 2" xfId="22869" xr:uid="{00000000-0005-0000-0000-00000E630000}"/>
    <cellStyle name="Note 57 4" xfId="9587" xr:uid="{00000000-0005-0000-0000-00000F630000}"/>
    <cellStyle name="Note 57 4 2" xfId="20875" xr:uid="{00000000-0005-0000-0000-000010630000}"/>
    <cellStyle name="Note 57 5" xfId="7593" xr:uid="{00000000-0005-0000-0000-000011630000}"/>
    <cellStyle name="Note 57 5 2" xfId="18881" xr:uid="{00000000-0005-0000-0000-000012630000}"/>
    <cellStyle name="Note 57 6" xfId="5599" xr:uid="{00000000-0005-0000-0000-000013630000}"/>
    <cellStyle name="Note 57 6 2" xfId="16887" xr:uid="{00000000-0005-0000-0000-000014630000}"/>
    <cellStyle name="Note 57 7" xfId="14893" xr:uid="{00000000-0005-0000-0000-000015630000}"/>
    <cellStyle name="Note 57 8" xfId="13577" xr:uid="{00000000-0005-0000-0000-000016630000}"/>
    <cellStyle name="Note 58" xfId="3366" xr:uid="{00000000-0005-0000-0000-000017630000}"/>
    <cellStyle name="Note 58 2" xfId="4600" xr:uid="{00000000-0005-0000-0000-000018630000}"/>
    <cellStyle name="Note 58 2 2" xfId="12579" xr:uid="{00000000-0005-0000-0000-000019630000}"/>
    <cellStyle name="Note 58 2 2 2" xfId="23867" xr:uid="{00000000-0005-0000-0000-00001A630000}"/>
    <cellStyle name="Note 58 2 3" xfId="10585" xr:uid="{00000000-0005-0000-0000-00001B630000}"/>
    <cellStyle name="Note 58 2 3 2" xfId="21873" xr:uid="{00000000-0005-0000-0000-00001C630000}"/>
    <cellStyle name="Note 58 2 4" xfId="8591" xr:uid="{00000000-0005-0000-0000-00001D630000}"/>
    <cellStyle name="Note 58 2 4 2" xfId="19879" xr:uid="{00000000-0005-0000-0000-00001E630000}"/>
    <cellStyle name="Note 58 2 5" xfId="6597" xr:uid="{00000000-0005-0000-0000-00001F630000}"/>
    <cellStyle name="Note 58 2 5 2" xfId="17885" xr:uid="{00000000-0005-0000-0000-000020630000}"/>
    <cellStyle name="Note 58 2 6" xfId="15891" xr:uid="{00000000-0005-0000-0000-000021630000}"/>
    <cellStyle name="Note 58 3" xfId="11582" xr:uid="{00000000-0005-0000-0000-000022630000}"/>
    <cellStyle name="Note 58 3 2" xfId="22870" xr:uid="{00000000-0005-0000-0000-000023630000}"/>
    <cellStyle name="Note 58 4" xfId="9588" xr:uid="{00000000-0005-0000-0000-000024630000}"/>
    <cellStyle name="Note 58 4 2" xfId="20876" xr:uid="{00000000-0005-0000-0000-000025630000}"/>
    <cellStyle name="Note 58 5" xfId="7594" xr:uid="{00000000-0005-0000-0000-000026630000}"/>
    <cellStyle name="Note 58 5 2" xfId="18882" xr:uid="{00000000-0005-0000-0000-000027630000}"/>
    <cellStyle name="Note 58 6" xfId="5600" xr:uid="{00000000-0005-0000-0000-000028630000}"/>
    <cellStyle name="Note 58 6 2" xfId="16888" xr:uid="{00000000-0005-0000-0000-000029630000}"/>
    <cellStyle name="Note 58 7" xfId="14894" xr:uid="{00000000-0005-0000-0000-00002A630000}"/>
    <cellStyle name="Note 58 8" xfId="13578" xr:uid="{00000000-0005-0000-0000-00002B630000}"/>
    <cellStyle name="Note 59" xfId="3367" xr:uid="{00000000-0005-0000-0000-00002C630000}"/>
    <cellStyle name="Note 59 2" xfId="4601" xr:uid="{00000000-0005-0000-0000-00002D630000}"/>
    <cellStyle name="Note 59 2 2" xfId="12580" xr:uid="{00000000-0005-0000-0000-00002E630000}"/>
    <cellStyle name="Note 59 2 2 2" xfId="23868" xr:uid="{00000000-0005-0000-0000-00002F630000}"/>
    <cellStyle name="Note 59 2 3" xfId="10586" xr:uid="{00000000-0005-0000-0000-000030630000}"/>
    <cellStyle name="Note 59 2 3 2" xfId="21874" xr:uid="{00000000-0005-0000-0000-000031630000}"/>
    <cellStyle name="Note 59 2 4" xfId="8592" xr:uid="{00000000-0005-0000-0000-000032630000}"/>
    <cellStyle name="Note 59 2 4 2" xfId="19880" xr:uid="{00000000-0005-0000-0000-000033630000}"/>
    <cellStyle name="Note 59 2 5" xfId="6598" xr:uid="{00000000-0005-0000-0000-000034630000}"/>
    <cellStyle name="Note 59 2 5 2" xfId="17886" xr:uid="{00000000-0005-0000-0000-000035630000}"/>
    <cellStyle name="Note 59 2 6" xfId="15892" xr:uid="{00000000-0005-0000-0000-000036630000}"/>
    <cellStyle name="Note 59 3" xfId="11583" xr:uid="{00000000-0005-0000-0000-000037630000}"/>
    <cellStyle name="Note 59 3 2" xfId="22871" xr:uid="{00000000-0005-0000-0000-000038630000}"/>
    <cellStyle name="Note 59 4" xfId="9589" xr:uid="{00000000-0005-0000-0000-000039630000}"/>
    <cellStyle name="Note 59 4 2" xfId="20877" xr:uid="{00000000-0005-0000-0000-00003A630000}"/>
    <cellStyle name="Note 59 5" xfId="7595" xr:uid="{00000000-0005-0000-0000-00003B630000}"/>
    <cellStyle name="Note 59 5 2" xfId="18883" xr:uid="{00000000-0005-0000-0000-00003C630000}"/>
    <cellStyle name="Note 59 6" xfId="5601" xr:uid="{00000000-0005-0000-0000-00003D630000}"/>
    <cellStyle name="Note 59 6 2" xfId="16889" xr:uid="{00000000-0005-0000-0000-00003E630000}"/>
    <cellStyle name="Note 59 7" xfId="14895" xr:uid="{00000000-0005-0000-0000-00003F630000}"/>
    <cellStyle name="Note 59 8" xfId="13579" xr:uid="{00000000-0005-0000-0000-000040630000}"/>
    <cellStyle name="Note 6" xfId="3368" xr:uid="{00000000-0005-0000-0000-000041630000}"/>
    <cellStyle name="Note 6 10" xfId="24756" xr:uid="{00000000-0005-0000-0000-000042630000}"/>
    <cellStyle name="Note 6 11" xfId="25078" xr:uid="{00000000-0005-0000-0000-000043630000}"/>
    <cellStyle name="Note 6 2" xfId="4602" xr:uid="{00000000-0005-0000-0000-000044630000}"/>
    <cellStyle name="Note 6 2 2" xfId="12581" xr:uid="{00000000-0005-0000-0000-000045630000}"/>
    <cellStyle name="Note 6 2 2 2" xfId="23869" xr:uid="{00000000-0005-0000-0000-000046630000}"/>
    <cellStyle name="Note 6 2 3" xfId="10587" xr:uid="{00000000-0005-0000-0000-000047630000}"/>
    <cellStyle name="Note 6 2 3 2" xfId="21875" xr:uid="{00000000-0005-0000-0000-000048630000}"/>
    <cellStyle name="Note 6 2 4" xfId="8593" xr:uid="{00000000-0005-0000-0000-000049630000}"/>
    <cellStyle name="Note 6 2 4 2" xfId="19881" xr:uid="{00000000-0005-0000-0000-00004A630000}"/>
    <cellStyle name="Note 6 2 5" xfId="6599" xr:uid="{00000000-0005-0000-0000-00004B630000}"/>
    <cellStyle name="Note 6 2 5 2" xfId="17887" xr:uid="{00000000-0005-0000-0000-00004C630000}"/>
    <cellStyle name="Note 6 2 6" xfId="15893" xr:uid="{00000000-0005-0000-0000-00004D630000}"/>
    <cellStyle name="Note 6 2 7" xfId="24460" xr:uid="{00000000-0005-0000-0000-00004E630000}"/>
    <cellStyle name="Note 6 2 8" xfId="24904" xr:uid="{00000000-0005-0000-0000-00004F630000}"/>
    <cellStyle name="Note 6 2 9" xfId="25266" xr:uid="{00000000-0005-0000-0000-000050630000}"/>
    <cellStyle name="Note 6 3" xfId="11584" xr:uid="{00000000-0005-0000-0000-000051630000}"/>
    <cellStyle name="Note 6 3 2" xfId="22872" xr:uid="{00000000-0005-0000-0000-000052630000}"/>
    <cellStyle name="Note 6 4" xfId="9590" xr:uid="{00000000-0005-0000-0000-000053630000}"/>
    <cellStyle name="Note 6 4 2" xfId="20878" xr:uid="{00000000-0005-0000-0000-000054630000}"/>
    <cellStyle name="Note 6 5" xfId="7596" xr:uid="{00000000-0005-0000-0000-000055630000}"/>
    <cellStyle name="Note 6 5 2" xfId="18884" xr:uid="{00000000-0005-0000-0000-000056630000}"/>
    <cellStyle name="Note 6 6" xfId="5602" xr:uid="{00000000-0005-0000-0000-000057630000}"/>
    <cellStyle name="Note 6 6 2" xfId="16890" xr:uid="{00000000-0005-0000-0000-000058630000}"/>
    <cellStyle name="Note 6 7" xfId="14896" xr:uid="{00000000-0005-0000-0000-000059630000}"/>
    <cellStyle name="Note 6 8" xfId="13580" xr:uid="{00000000-0005-0000-0000-00005A630000}"/>
    <cellStyle name="Note 6 9" xfId="24194" xr:uid="{00000000-0005-0000-0000-00005B630000}"/>
    <cellStyle name="Note 60" xfId="3369" xr:uid="{00000000-0005-0000-0000-00005C630000}"/>
    <cellStyle name="Note 60 2" xfId="4603" xr:uid="{00000000-0005-0000-0000-00005D630000}"/>
    <cellStyle name="Note 60 2 2" xfId="12582" xr:uid="{00000000-0005-0000-0000-00005E630000}"/>
    <cellStyle name="Note 60 2 2 2" xfId="23870" xr:uid="{00000000-0005-0000-0000-00005F630000}"/>
    <cellStyle name="Note 60 2 3" xfId="10588" xr:uid="{00000000-0005-0000-0000-000060630000}"/>
    <cellStyle name="Note 60 2 3 2" xfId="21876" xr:uid="{00000000-0005-0000-0000-000061630000}"/>
    <cellStyle name="Note 60 2 4" xfId="8594" xr:uid="{00000000-0005-0000-0000-000062630000}"/>
    <cellStyle name="Note 60 2 4 2" xfId="19882" xr:uid="{00000000-0005-0000-0000-000063630000}"/>
    <cellStyle name="Note 60 2 5" xfId="6600" xr:uid="{00000000-0005-0000-0000-000064630000}"/>
    <cellStyle name="Note 60 2 5 2" xfId="17888" xr:uid="{00000000-0005-0000-0000-000065630000}"/>
    <cellStyle name="Note 60 2 6" xfId="15894" xr:uid="{00000000-0005-0000-0000-000066630000}"/>
    <cellStyle name="Note 60 3" xfId="11585" xr:uid="{00000000-0005-0000-0000-000067630000}"/>
    <cellStyle name="Note 60 3 2" xfId="22873" xr:uid="{00000000-0005-0000-0000-000068630000}"/>
    <cellStyle name="Note 60 4" xfId="9591" xr:uid="{00000000-0005-0000-0000-000069630000}"/>
    <cellStyle name="Note 60 4 2" xfId="20879" xr:uid="{00000000-0005-0000-0000-00006A630000}"/>
    <cellStyle name="Note 60 5" xfId="7597" xr:uid="{00000000-0005-0000-0000-00006B630000}"/>
    <cellStyle name="Note 60 5 2" xfId="18885" xr:uid="{00000000-0005-0000-0000-00006C630000}"/>
    <cellStyle name="Note 60 6" xfId="5603" xr:uid="{00000000-0005-0000-0000-00006D630000}"/>
    <cellStyle name="Note 60 6 2" xfId="16891" xr:uid="{00000000-0005-0000-0000-00006E630000}"/>
    <cellStyle name="Note 60 7" xfId="14897" xr:uid="{00000000-0005-0000-0000-00006F630000}"/>
    <cellStyle name="Note 60 8" xfId="13581" xr:uid="{00000000-0005-0000-0000-000070630000}"/>
    <cellStyle name="Note 61" xfId="3370" xr:uid="{00000000-0005-0000-0000-000071630000}"/>
    <cellStyle name="Note 61 2" xfId="4604" xr:uid="{00000000-0005-0000-0000-000072630000}"/>
    <cellStyle name="Note 61 2 2" xfId="12583" xr:uid="{00000000-0005-0000-0000-000073630000}"/>
    <cellStyle name="Note 61 2 2 2" xfId="23871" xr:uid="{00000000-0005-0000-0000-000074630000}"/>
    <cellStyle name="Note 61 2 3" xfId="10589" xr:uid="{00000000-0005-0000-0000-000075630000}"/>
    <cellStyle name="Note 61 2 3 2" xfId="21877" xr:uid="{00000000-0005-0000-0000-000076630000}"/>
    <cellStyle name="Note 61 2 4" xfId="8595" xr:uid="{00000000-0005-0000-0000-000077630000}"/>
    <cellStyle name="Note 61 2 4 2" xfId="19883" xr:uid="{00000000-0005-0000-0000-000078630000}"/>
    <cellStyle name="Note 61 2 5" xfId="6601" xr:uid="{00000000-0005-0000-0000-000079630000}"/>
    <cellStyle name="Note 61 2 5 2" xfId="17889" xr:uid="{00000000-0005-0000-0000-00007A630000}"/>
    <cellStyle name="Note 61 2 6" xfId="15895" xr:uid="{00000000-0005-0000-0000-00007B630000}"/>
    <cellStyle name="Note 61 3" xfId="11586" xr:uid="{00000000-0005-0000-0000-00007C630000}"/>
    <cellStyle name="Note 61 3 2" xfId="22874" xr:uid="{00000000-0005-0000-0000-00007D630000}"/>
    <cellStyle name="Note 61 4" xfId="9592" xr:uid="{00000000-0005-0000-0000-00007E630000}"/>
    <cellStyle name="Note 61 4 2" xfId="20880" xr:uid="{00000000-0005-0000-0000-00007F630000}"/>
    <cellStyle name="Note 61 5" xfId="7598" xr:uid="{00000000-0005-0000-0000-000080630000}"/>
    <cellStyle name="Note 61 5 2" xfId="18886" xr:uid="{00000000-0005-0000-0000-000081630000}"/>
    <cellStyle name="Note 61 6" xfId="5604" xr:uid="{00000000-0005-0000-0000-000082630000}"/>
    <cellStyle name="Note 61 6 2" xfId="16892" xr:uid="{00000000-0005-0000-0000-000083630000}"/>
    <cellStyle name="Note 61 7" xfId="14898" xr:uid="{00000000-0005-0000-0000-000084630000}"/>
    <cellStyle name="Note 61 8" xfId="13582" xr:uid="{00000000-0005-0000-0000-000085630000}"/>
    <cellStyle name="Note 62" xfId="3371" xr:uid="{00000000-0005-0000-0000-000086630000}"/>
    <cellStyle name="Note 62 2" xfId="4605" xr:uid="{00000000-0005-0000-0000-000087630000}"/>
    <cellStyle name="Note 62 2 2" xfId="12584" xr:uid="{00000000-0005-0000-0000-000088630000}"/>
    <cellStyle name="Note 62 2 2 2" xfId="23872" xr:uid="{00000000-0005-0000-0000-000089630000}"/>
    <cellStyle name="Note 62 2 3" xfId="10590" xr:uid="{00000000-0005-0000-0000-00008A630000}"/>
    <cellStyle name="Note 62 2 3 2" xfId="21878" xr:uid="{00000000-0005-0000-0000-00008B630000}"/>
    <cellStyle name="Note 62 2 4" xfId="8596" xr:uid="{00000000-0005-0000-0000-00008C630000}"/>
    <cellStyle name="Note 62 2 4 2" xfId="19884" xr:uid="{00000000-0005-0000-0000-00008D630000}"/>
    <cellStyle name="Note 62 2 5" xfId="6602" xr:uid="{00000000-0005-0000-0000-00008E630000}"/>
    <cellStyle name="Note 62 2 5 2" xfId="17890" xr:uid="{00000000-0005-0000-0000-00008F630000}"/>
    <cellStyle name="Note 62 2 6" xfId="15896" xr:uid="{00000000-0005-0000-0000-000090630000}"/>
    <cellStyle name="Note 62 3" xfId="11587" xr:uid="{00000000-0005-0000-0000-000091630000}"/>
    <cellStyle name="Note 62 3 2" xfId="22875" xr:uid="{00000000-0005-0000-0000-000092630000}"/>
    <cellStyle name="Note 62 4" xfId="9593" xr:uid="{00000000-0005-0000-0000-000093630000}"/>
    <cellStyle name="Note 62 4 2" xfId="20881" xr:uid="{00000000-0005-0000-0000-000094630000}"/>
    <cellStyle name="Note 62 5" xfId="7599" xr:uid="{00000000-0005-0000-0000-000095630000}"/>
    <cellStyle name="Note 62 5 2" xfId="18887" xr:uid="{00000000-0005-0000-0000-000096630000}"/>
    <cellStyle name="Note 62 6" xfId="5605" xr:uid="{00000000-0005-0000-0000-000097630000}"/>
    <cellStyle name="Note 62 6 2" xfId="16893" xr:uid="{00000000-0005-0000-0000-000098630000}"/>
    <cellStyle name="Note 62 7" xfId="14899" xr:uid="{00000000-0005-0000-0000-000099630000}"/>
    <cellStyle name="Note 62 8" xfId="13583" xr:uid="{00000000-0005-0000-0000-00009A630000}"/>
    <cellStyle name="Note 63" xfId="3372" xr:uid="{00000000-0005-0000-0000-00009B630000}"/>
    <cellStyle name="Note 63 2" xfId="4606" xr:uid="{00000000-0005-0000-0000-00009C630000}"/>
    <cellStyle name="Note 63 2 2" xfId="12585" xr:uid="{00000000-0005-0000-0000-00009D630000}"/>
    <cellStyle name="Note 63 2 2 2" xfId="23873" xr:uid="{00000000-0005-0000-0000-00009E630000}"/>
    <cellStyle name="Note 63 2 3" xfId="10591" xr:uid="{00000000-0005-0000-0000-00009F630000}"/>
    <cellStyle name="Note 63 2 3 2" xfId="21879" xr:uid="{00000000-0005-0000-0000-0000A0630000}"/>
    <cellStyle name="Note 63 2 4" xfId="8597" xr:uid="{00000000-0005-0000-0000-0000A1630000}"/>
    <cellStyle name="Note 63 2 4 2" xfId="19885" xr:uid="{00000000-0005-0000-0000-0000A2630000}"/>
    <cellStyle name="Note 63 2 5" xfId="6603" xr:uid="{00000000-0005-0000-0000-0000A3630000}"/>
    <cellStyle name="Note 63 2 5 2" xfId="17891" xr:uid="{00000000-0005-0000-0000-0000A4630000}"/>
    <cellStyle name="Note 63 2 6" xfId="15897" xr:uid="{00000000-0005-0000-0000-0000A5630000}"/>
    <cellStyle name="Note 63 3" xfId="11588" xr:uid="{00000000-0005-0000-0000-0000A6630000}"/>
    <cellStyle name="Note 63 3 2" xfId="22876" xr:uid="{00000000-0005-0000-0000-0000A7630000}"/>
    <cellStyle name="Note 63 4" xfId="9594" xr:uid="{00000000-0005-0000-0000-0000A8630000}"/>
    <cellStyle name="Note 63 4 2" xfId="20882" xr:uid="{00000000-0005-0000-0000-0000A9630000}"/>
    <cellStyle name="Note 63 5" xfId="7600" xr:uid="{00000000-0005-0000-0000-0000AA630000}"/>
    <cellStyle name="Note 63 5 2" xfId="18888" xr:uid="{00000000-0005-0000-0000-0000AB630000}"/>
    <cellStyle name="Note 63 6" xfId="5606" xr:uid="{00000000-0005-0000-0000-0000AC630000}"/>
    <cellStyle name="Note 63 6 2" xfId="16894" xr:uid="{00000000-0005-0000-0000-0000AD630000}"/>
    <cellStyle name="Note 63 7" xfId="14900" xr:uid="{00000000-0005-0000-0000-0000AE630000}"/>
    <cellStyle name="Note 63 8" xfId="13584" xr:uid="{00000000-0005-0000-0000-0000AF630000}"/>
    <cellStyle name="Note 64" xfId="3373" xr:uid="{00000000-0005-0000-0000-0000B0630000}"/>
    <cellStyle name="Note 64 2" xfId="4607" xr:uid="{00000000-0005-0000-0000-0000B1630000}"/>
    <cellStyle name="Note 64 2 2" xfId="12586" xr:uid="{00000000-0005-0000-0000-0000B2630000}"/>
    <cellStyle name="Note 64 2 2 2" xfId="23874" xr:uid="{00000000-0005-0000-0000-0000B3630000}"/>
    <cellStyle name="Note 64 2 3" xfId="10592" xr:uid="{00000000-0005-0000-0000-0000B4630000}"/>
    <cellStyle name="Note 64 2 3 2" xfId="21880" xr:uid="{00000000-0005-0000-0000-0000B5630000}"/>
    <cellStyle name="Note 64 2 4" xfId="8598" xr:uid="{00000000-0005-0000-0000-0000B6630000}"/>
    <cellStyle name="Note 64 2 4 2" xfId="19886" xr:uid="{00000000-0005-0000-0000-0000B7630000}"/>
    <cellStyle name="Note 64 2 5" xfId="6604" xr:uid="{00000000-0005-0000-0000-0000B8630000}"/>
    <cellStyle name="Note 64 2 5 2" xfId="17892" xr:uid="{00000000-0005-0000-0000-0000B9630000}"/>
    <cellStyle name="Note 64 2 6" xfId="15898" xr:uid="{00000000-0005-0000-0000-0000BA630000}"/>
    <cellStyle name="Note 64 3" xfId="11589" xr:uid="{00000000-0005-0000-0000-0000BB630000}"/>
    <cellStyle name="Note 64 3 2" xfId="22877" xr:uid="{00000000-0005-0000-0000-0000BC630000}"/>
    <cellStyle name="Note 64 4" xfId="9595" xr:uid="{00000000-0005-0000-0000-0000BD630000}"/>
    <cellStyle name="Note 64 4 2" xfId="20883" xr:uid="{00000000-0005-0000-0000-0000BE630000}"/>
    <cellStyle name="Note 64 5" xfId="7601" xr:uid="{00000000-0005-0000-0000-0000BF630000}"/>
    <cellStyle name="Note 64 5 2" xfId="18889" xr:uid="{00000000-0005-0000-0000-0000C0630000}"/>
    <cellStyle name="Note 64 6" xfId="5607" xr:uid="{00000000-0005-0000-0000-0000C1630000}"/>
    <cellStyle name="Note 64 6 2" xfId="16895" xr:uid="{00000000-0005-0000-0000-0000C2630000}"/>
    <cellStyle name="Note 64 7" xfId="14901" xr:uid="{00000000-0005-0000-0000-0000C3630000}"/>
    <cellStyle name="Note 64 8" xfId="13585" xr:uid="{00000000-0005-0000-0000-0000C4630000}"/>
    <cellStyle name="Note 65" xfId="3374" xr:uid="{00000000-0005-0000-0000-0000C5630000}"/>
    <cellStyle name="Note 65 2" xfId="4608" xr:uid="{00000000-0005-0000-0000-0000C6630000}"/>
    <cellStyle name="Note 65 2 2" xfId="12587" xr:uid="{00000000-0005-0000-0000-0000C7630000}"/>
    <cellStyle name="Note 65 2 2 2" xfId="23875" xr:uid="{00000000-0005-0000-0000-0000C8630000}"/>
    <cellStyle name="Note 65 2 3" xfId="10593" xr:uid="{00000000-0005-0000-0000-0000C9630000}"/>
    <cellStyle name="Note 65 2 3 2" xfId="21881" xr:uid="{00000000-0005-0000-0000-0000CA630000}"/>
    <cellStyle name="Note 65 2 4" xfId="8599" xr:uid="{00000000-0005-0000-0000-0000CB630000}"/>
    <cellStyle name="Note 65 2 4 2" xfId="19887" xr:uid="{00000000-0005-0000-0000-0000CC630000}"/>
    <cellStyle name="Note 65 2 5" xfId="6605" xr:uid="{00000000-0005-0000-0000-0000CD630000}"/>
    <cellStyle name="Note 65 2 5 2" xfId="17893" xr:uid="{00000000-0005-0000-0000-0000CE630000}"/>
    <cellStyle name="Note 65 2 6" xfId="15899" xr:uid="{00000000-0005-0000-0000-0000CF630000}"/>
    <cellStyle name="Note 65 3" xfId="11590" xr:uid="{00000000-0005-0000-0000-0000D0630000}"/>
    <cellStyle name="Note 65 3 2" xfId="22878" xr:uid="{00000000-0005-0000-0000-0000D1630000}"/>
    <cellStyle name="Note 65 4" xfId="9596" xr:uid="{00000000-0005-0000-0000-0000D2630000}"/>
    <cellStyle name="Note 65 4 2" xfId="20884" xr:uid="{00000000-0005-0000-0000-0000D3630000}"/>
    <cellStyle name="Note 65 5" xfId="7602" xr:uid="{00000000-0005-0000-0000-0000D4630000}"/>
    <cellStyle name="Note 65 5 2" xfId="18890" xr:uid="{00000000-0005-0000-0000-0000D5630000}"/>
    <cellStyle name="Note 65 6" xfId="5608" xr:uid="{00000000-0005-0000-0000-0000D6630000}"/>
    <cellStyle name="Note 65 6 2" xfId="16896" xr:uid="{00000000-0005-0000-0000-0000D7630000}"/>
    <cellStyle name="Note 65 7" xfId="14902" xr:uid="{00000000-0005-0000-0000-0000D8630000}"/>
    <cellStyle name="Note 65 8" xfId="13586" xr:uid="{00000000-0005-0000-0000-0000D9630000}"/>
    <cellStyle name="Note 66" xfId="3375" xr:uid="{00000000-0005-0000-0000-0000DA630000}"/>
    <cellStyle name="Note 66 2" xfId="4609" xr:uid="{00000000-0005-0000-0000-0000DB630000}"/>
    <cellStyle name="Note 66 2 2" xfId="12588" xr:uid="{00000000-0005-0000-0000-0000DC630000}"/>
    <cellStyle name="Note 66 2 2 2" xfId="23876" xr:uid="{00000000-0005-0000-0000-0000DD630000}"/>
    <cellStyle name="Note 66 2 3" xfId="10594" xr:uid="{00000000-0005-0000-0000-0000DE630000}"/>
    <cellStyle name="Note 66 2 3 2" xfId="21882" xr:uid="{00000000-0005-0000-0000-0000DF630000}"/>
    <cellStyle name="Note 66 2 4" xfId="8600" xr:uid="{00000000-0005-0000-0000-0000E0630000}"/>
    <cellStyle name="Note 66 2 4 2" xfId="19888" xr:uid="{00000000-0005-0000-0000-0000E1630000}"/>
    <cellStyle name="Note 66 2 5" xfId="6606" xr:uid="{00000000-0005-0000-0000-0000E2630000}"/>
    <cellStyle name="Note 66 2 5 2" xfId="17894" xr:uid="{00000000-0005-0000-0000-0000E3630000}"/>
    <cellStyle name="Note 66 2 6" xfId="15900" xr:uid="{00000000-0005-0000-0000-0000E4630000}"/>
    <cellStyle name="Note 66 3" xfId="11591" xr:uid="{00000000-0005-0000-0000-0000E5630000}"/>
    <cellStyle name="Note 66 3 2" xfId="22879" xr:uid="{00000000-0005-0000-0000-0000E6630000}"/>
    <cellStyle name="Note 66 4" xfId="9597" xr:uid="{00000000-0005-0000-0000-0000E7630000}"/>
    <cellStyle name="Note 66 4 2" xfId="20885" xr:uid="{00000000-0005-0000-0000-0000E8630000}"/>
    <cellStyle name="Note 66 5" xfId="7603" xr:uid="{00000000-0005-0000-0000-0000E9630000}"/>
    <cellStyle name="Note 66 5 2" xfId="18891" xr:uid="{00000000-0005-0000-0000-0000EA630000}"/>
    <cellStyle name="Note 66 6" xfId="5609" xr:uid="{00000000-0005-0000-0000-0000EB630000}"/>
    <cellStyle name="Note 66 6 2" xfId="16897" xr:uid="{00000000-0005-0000-0000-0000EC630000}"/>
    <cellStyle name="Note 66 7" xfId="14903" xr:uid="{00000000-0005-0000-0000-0000ED630000}"/>
    <cellStyle name="Note 66 8" xfId="13587" xr:uid="{00000000-0005-0000-0000-0000EE630000}"/>
    <cellStyle name="Note 67" xfId="3376" xr:uid="{00000000-0005-0000-0000-0000EF630000}"/>
    <cellStyle name="Note 67 2" xfId="4610" xr:uid="{00000000-0005-0000-0000-0000F0630000}"/>
    <cellStyle name="Note 67 2 2" xfId="12589" xr:uid="{00000000-0005-0000-0000-0000F1630000}"/>
    <cellStyle name="Note 67 2 2 2" xfId="23877" xr:uid="{00000000-0005-0000-0000-0000F2630000}"/>
    <cellStyle name="Note 67 2 3" xfId="10595" xr:uid="{00000000-0005-0000-0000-0000F3630000}"/>
    <cellStyle name="Note 67 2 3 2" xfId="21883" xr:uid="{00000000-0005-0000-0000-0000F4630000}"/>
    <cellStyle name="Note 67 2 4" xfId="8601" xr:uid="{00000000-0005-0000-0000-0000F5630000}"/>
    <cellStyle name="Note 67 2 4 2" xfId="19889" xr:uid="{00000000-0005-0000-0000-0000F6630000}"/>
    <cellStyle name="Note 67 2 5" xfId="6607" xr:uid="{00000000-0005-0000-0000-0000F7630000}"/>
    <cellStyle name="Note 67 2 5 2" xfId="17895" xr:uid="{00000000-0005-0000-0000-0000F8630000}"/>
    <cellStyle name="Note 67 2 6" xfId="15901" xr:uid="{00000000-0005-0000-0000-0000F9630000}"/>
    <cellStyle name="Note 67 3" xfId="11592" xr:uid="{00000000-0005-0000-0000-0000FA630000}"/>
    <cellStyle name="Note 67 3 2" xfId="22880" xr:uid="{00000000-0005-0000-0000-0000FB630000}"/>
    <cellStyle name="Note 67 4" xfId="9598" xr:uid="{00000000-0005-0000-0000-0000FC630000}"/>
    <cellStyle name="Note 67 4 2" xfId="20886" xr:uid="{00000000-0005-0000-0000-0000FD630000}"/>
    <cellStyle name="Note 67 5" xfId="7604" xr:uid="{00000000-0005-0000-0000-0000FE630000}"/>
    <cellStyle name="Note 67 5 2" xfId="18892" xr:uid="{00000000-0005-0000-0000-0000FF630000}"/>
    <cellStyle name="Note 67 6" xfId="5610" xr:uid="{00000000-0005-0000-0000-000000640000}"/>
    <cellStyle name="Note 67 6 2" xfId="16898" xr:uid="{00000000-0005-0000-0000-000001640000}"/>
    <cellStyle name="Note 67 7" xfId="14904" xr:uid="{00000000-0005-0000-0000-000002640000}"/>
    <cellStyle name="Note 67 8" xfId="13588" xr:uid="{00000000-0005-0000-0000-000003640000}"/>
    <cellStyle name="Note 68" xfId="3377" xr:uid="{00000000-0005-0000-0000-000004640000}"/>
    <cellStyle name="Note 68 2" xfId="4611" xr:uid="{00000000-0005-0000-0000-000005640000}"/>
    <cellStyle name="Note 68 2 2" xfId="12590" xr:uid="{00000000-0005-0000-0000-000006640000}"/>
    <cellStyle name="Note 68 2 2 2" xfId="23878" xr:uid="{00000000-0005-0000-0000-000007640000}"/>
    <cellStyle name="Note 68 2 3" xfId="10596" xr:uid="{00000000-0005-0000-0000-000008640000}"/>
    <cellStyle name="Note 68 2 3 2" xfId="21884" xr:uid="{00000000-0005-0000-0000-000009640000}"/>
    <cellStyle name="Note 68 2 4" xfId="8602" xr:uid="{00000000-0005-0000-0000-00000A640000}"/>
    <cellStyle name="Note 68 2 4 2" xfId="19890" xr:uid="{00000000-0005-0000-0000-00000B640000}"/>
    <cellStyle name="Note 68 2 5" xfId="6608" xr:uid="{00000000-0005-0000-0000-00000C640000}"/>
    <cellStyle name="Note 68 2 5 2" xfId="17896" xr:uid="{00000000-0005-0000-0000-00000D640000}"/>
    <cellStyle name="Note 68 2 6" xfId="15902" xr:uid="{00000000-0005-0000-0000-00000E640000}"/>
    <cellStyle name="Note 68 3" xfId="11593" xr:uid="{00000000-0005-0000-0000-00000F640000}"/>
    <cellStyle name="Note 68 3 2" xfId="22881" xr:uid="{00000000-0005-0000-0000-000010640000}"/>
    <cellStyle name="Note 68 4" xfId="9599" xr:uid="{00000000-0005-0000-0000-000011640000}"/>
    <cellStyle name="Note 68 4 2" xfId="20887" xr:uid="{00000000-0005-0000-0000-000012640000}"/>
    <cellStyle name="Note 68 5" xfId="7605" xr:uid="{00000000-0005-0000-0000-000013640000}"/>
    <cellStyle name="Note 68 5 2" xfId="18893" xr:uid="{00000000-0005-0000-0000-000014640000}"/>
    <cellStyle name="Note 68 6" xfId="5611" xr:uid="{00000000-0005-0000-0000-000015640000}"/>
    <cellStyle name="Note 68 6 2" xfId="16899" xr:uid="{00000000-0005-0000-0000-000016640000}"/>
    <cellStyle name="Note 68 7" xfId="14905" xr:uid="{00000000-0005-0000-0000-000017640000}"/>
    <cellStyle name="Note 68 8" xfId="13589" xr:uid="{00000000-0005-0000-0000-000018640000}"/>
    <cellStyle name="Note 69" xfId="3378" xr:uid="{00000000-0005-0000-0000-000019640000}"/>
    <cellStyle name="Note 69 2" xfId="4612" xr:uid="{00000000-0005-0000-0000-00001A640000}"/>
    <cellStyle name="Note 69 2 2" xfId="12591" xr:uid="{00000000-0005-0000-0000-00001B640000}"/>
    <cellStyle name="Note 69 2 2 2" xfId="23879" xr:uid="{00000000-0005-0000-0000-00001C640000}"/>
    <cellStyle name="Note 69 2 3" xfId="10597" xr:uid="{00000000-0005-0000-0000-00001D640000}"/>
    <cellStyle name="Note 69 2 3 2" xfId="21885" xr:uid="{00000000-0005-0000-0000-00001E640000}"/>
    <cellStyle name="Note 69 2 4" xfId="8603" xr:uid="{00000000-0005-0000-0000-00001F640000}"/>
    <cellStyle name="Note 69 2 4 2" xfId="19891" xr:uid="{00000000-0005-0000-0000-000020640000}"/>
    <cellStyle name="Note 69 2 5" xfId="6609" xr:uid="{00000000-0005-0000-0000-000021640000}"/>
    <cellStyle name="Note 69 2 5 2" xfId="17897" xr:uid="{00000000-0005-0000-0000-000022640000}"/>
    <cellStyle name="Note 69 2 6" xfId="15903" xr:uid="{00000000-0005-0000-0000-000023640000}"/>
    <cellStyle name="Note 69 3" xfId="11594" xr:uid="{00000000-0005-0000-0000-000024640000}"/>
    <cellStyle name="Note 69 3 2" xfId="22882" xr:uid="{00000000-0005-0000-0000-000025640000}"/>
    <cellStyle name="Note 69 4" xfId="9600" xr:uid="{00000000-0005-0000-0000-000026640000}"/>
    <cellStyle name="Note 69 4 2" xfId="20888" xr:uid="{00000000-0005-0000-0000-000027640000}"/>
    <cellStyle name="Note 69 5" xfId="7606" xr:uid="{00000000-0005-0000-0000-000028640000}"/>
    <cellStyle name="Note 69 5 2" xfId="18894" xr:uid="{00000000-0005-0000-0000-000029640000}"/>
    <cellStyle name="Note 69 6" xfId="5612" xr:uid="{00000000-0005-0000-0000-00002A640000}"/>
    <cellStyle name="Note 69 6 2" xfId="16900" xr:uid="{00000000-0005-0000-0000-00002B640000}"/>
    <cellStyle name="Note 69 7" xfId="14906" xr:uid="{00000000-0005-0000-0000-00002C640000}"/>
    <cellStyle name="Note 69 8" xfId="13590" xr:uid="{00000000-0005-0000-0000-00002D640000}"/>
    <cellStyle name="Note 7" xfId="3379" xr:uid="{00000000-0005-0000-0000-00002E640000}"/>
    <cellStyle name="Note 7 10" xfId="24757" xr:uid="{00000000-0005-0000-0000-00002F640000}"/>
    <cellStyle name="Note 7 11" xfId="25079" xr:uid="{00000000-0005-0000-0000-000030640000}"/>
    <cellStyle name="Note 7 2" xfId="4613" xr:uid="{00000000-0005-0000-0000-000031640000}"/>
    <cellStyle name="Note 7 2 2" xfId="12592" xr:uid="{00000000-0005-0000-0000-000032640000}"/>
    <cellStyle name="Note 7 2 2 2" xfId="23880" xr:uid="{00000000-0005-0000-0000-000033640000}"/>
    <cellStyle name="Note 7 2 3" xfId="10598" xr:uid="{00000000-0005-0000-0000-000034640000}"/>
    <cellStyle name="Note 7 2 3 2" xfId="21886" xr:uid="{00000000-0005-0000-0000-000035640000}"/>
    <cellStyle name="Note 7 2 4" xfId="8604" xr:uid="{00000000-0005-0000-0000-000036640000}"/>
    <cellStyle name="Note 7 2 4 2" xfId="19892" xr:uid="{00000000-0005-0000-0000-000037640000}"/>
    <cellStyle name="Note 7 2 5" xfId="6610" xr:uid="{00000000-0005-0000-0000-000038640000}"/>
    <cellStyle name="Note 7 2 5 2" xfId="17898" xr:uid="{00000000-0005-0000-0000-000039640000}"/>
    <cellStyle name="Note 7 2 6" xfId="15904" xr:uid="{00000000-0005-0000-0000-00003A640000}"/>
    <cellStyle name="Note 7 2 7" xfId="24461" xr:uid="{00000000-0005-0000-0000-00003B640000}"/>
    <cellStyle name="Note 7 2 8" xfId="24905" xr:uid="{00000000-0005-0000-0000-00003C640000}"/>
    <cellStyle name="Note 7 2 9" xfId="25267" xr:uid="{00000000-0005-0000-0000-00003D640000}"/>
    <cellStyle name="Note 7 3" xfId="11595" xr:uid="{00000000-0005-0000-0000-00003E640000}"/>
    <cellStyle name="Note 7 3 2" xfId="22883" xr:uid="{00000000-0005-0000-0000-00003F640000}"/>
    <cellStyle name="Note 7 4" xfId="9601" xr:uid="{00000000-0005-0000-0000-000040640000}"/>
    <cellStyle name="Note 7 4 2" xfId="20889" xr:uid="{00000000-0005-0000-0000-000041640000}"/>
    <cellStyle name="Note 7 5" xfId="7607" xr:uid="{00000000-0005-0000-0000-000042640000}"/>
    <cellStyle name="Note 7 5 2" xfId="18895" xr:uid="{00000000-0005-0000-0000-000043640000}"/>
    <cellStyle name="Note 7 6" xfId="5613" xr:uid="{00000000-0005-0000-0000-000044640000}"/>
    <cellStyle name="Note 7 6 2" xfId="16901" xr:uid="{00000000-0005-0000-0000-000045640000}"/>
    <cellStyle name="Note 7 7" xfId="14907" xr:uid="{00000000-0005-0000-0000-000046640000}"/>
    <cellStyle name="Note 7 8" xfId="13591" xr:uid="{00000000-0005-0000-0000-000047640000}"/>
    <cellStyle name="Note 7 9" xfId="24195" xr:uid="{00000000-0005-0000-0000-000048640000}"/>
    <cellStyle name="Note 70" xfId="3380" xr:uid="{00000000-0005-0000-0000-000049640000}"/>
    <cellStyle name="Note 70 2" xfId="4614" xr:uid="{00000000-0005-0000-0000-00004A640000}"/>
    <cellStyle name="Note 70 2 2" xfId="12593" xr:uid="{00000000-0005-0000-0000-00004B640000}"/>
    <cellStyle name="Note 70 2 2 2" xfId="23881" xr:uid="{00000000-0005-0000-0000-00004C640000}"/>
    <cellStyle name="Note 70 2 3" xfId="10599" xr:uid="{00000000-0005-0000-0000-00004D640000}"/>
    <cellStyle name="Note 70 2 3 2" xfId="21887" xr:uid="{00000000-0005-0000-0000-00004E640000}"/>
    <cellStyle name="Note 70 2 4" xfId="8605" xr:uid="{00000000-0005-0000-0000-00004F640000}"/>
    <cellStyle name="Note 70 2 4 2" xfId="19893" xr:uid="{00000000-0005-0000-0000-000050640000}"/>
    <cellStyle name="Note 70 2 5" xfId="6611" xr:uid="{00000000-0005-0000-0000-000051640000}"/>
    <cellStyle name="Note 70 2 5 2" xfId="17899" xr:uid="{00000000-0005-0000-0000-000052640000}"/>
    <cellStyle name="Note 70 2 6" xfId="15905" xr:uid="{00000000-0005-0000-0000-000053640000}"/>
    <cellStyle name="Note 70 3" xfId="11596" xr:uid="{00000000-0005-0000-0000-000054640000}"/>
    <cellStyle name="Note 70 3 2" xfId="22884" xr:uid="{00000000-0005-0000-0000-000055640000}"/>
    <cellStyle name="Note 70 4" xfId="9602" xr:uid="{00000000-0005-0000-0000-000056640000}"/>
    <cellStyle name="Note 70 4 2" xfId="20890" xr:uid="{00000000-0005-0000-0000-000057640000}"/>
    <cellStyle name="Note 70 5" xfId="7608" xr:uid="{00000000-0005-0000-0000-000058640000}"/>
    <cellStyle name="Note 70 5 2" xfId="18896" xr:uid="{00000000-0005-0000-0000-000059640000}"/>
    <cellStyle name="Note 70 6" xfId="5614" xr:uid="{00000000-0005-0000-0000-00005A640000}"/>
    <cellStyle name="Note 70 6 2" xfId="16902" xr:uid="{00000000-0005-0000-0000-00005B640000}"/>
    <cellStyle name="Note 70 7" xfId="14908" xr:uid="{00000000-0005-0000-0000-00005C640000}"/>
    <cellStyle name="Note 70 8" xfId="13592" xr:uid="{00000000-0005-0000-0000-00005D640000}"/>
    <cellStyle name="Note 71" xfId="3381" xr:uid="{00000000-0005-0000-0000-00005E640000}"/>
    <cellStyle name="Note 71 2" xfId="4615" xr:uid="{00000000-0005-0000-0000-00005F640000}"/>
    <cellStyle name="Note 71 2 2" xfId="12594" xr:uid="{00000000-0005-0000-0000-000060640000}"/>
    <cellStyle name="Note 71 2 2 2" xfId="23882" xr:uid="{00000000-0005-0000-0000-000061640000}"/>
    <cellStyle name="Note 71 2 3" xfId="10600" xr:uid="{00000000-0005-0000-0000-000062640000}"/>
    <cellStyle name="Note 71 2 3 2" xfId="21888" xr:uid="{00000000-0005-0000-0000-000063640000}"/>
    <cellStyle name="Note 71 2 4" xfId="8606" xr:uid="{00000000-0005-0000-0000-000064640000}"/>
    <cellStyle name="Note 71 2 4 2" xfId="19894" xr:uid="{00000000-0005-0000-0000-000065640000}"/>
    <cellStyle name="Note 71 2 5" xfId="6612" xr:uid="{00000000-0005-0000-0000-000066640000}"/>
    <cellStyle name="Note 71 2 5 2" xfId="17900" xr:uid="{00000000-0005-0000-0000-000067640000}"/>
    <cellStyle name="Note 71 2 6" xfId="15906" xr:uid="{00000000-0005-0000-0000-000068640000}"/>
    <cellStyle name="Note 71 3" xfId="11597" xr:uid="{00000000-0005-0000-0000-000069640000}"/>
    <cellStyle name="Note 71 3 2" xfId="22885" xr:uid="{00000000-0005-0000-0000-00006A640000}"/>
    <cellStyle name="Note 71 4" xfId="9603" xr:uid="{00000000-0005-0000-0000-00006B640000}"/>
    <cellStyle name="Note 71 4 2" xfId="20891" xr:uid="{00000000-0005-0000-0000-00006C640000}"/>
    <cellStyle name="Note 71 5" xfId="7609" xr:uid="{00000000-0005-0000-0000-00006D640000}"/>
    <cellStyle name="Note 71 5 2" xfId="18897" xr:uid="{00000000-0005-0000-0000-00006E640000}"/>
    <cellStyle name="Note 71 6" xfId="5615" xr:uid="{00000000-0005-0000-0000-00006F640000}"/>
    <cellStyle name="Note 71 6 2" xfId="16903" xr:uid="{00000000-0005-0000-0000-000070640000}"/>
    <cellStyle name="Note 71 7" xfId="14909" xr:uid="{00000000-0005-0000-0000-000071640000}"/>
    <cellStyle name="Note 71 8" xfId="13593" xr:uid="{00000000-0005-0000-0000-000072640000}"/>
    <cellStyle name="Note 72" xfId="3382" xr:uid="{00000000-0005-0000-0000-000073640000}"/>
    <cellStyle name="Note 72 2" xfId="4616" xr:uid="{00000000-0005-0000-0000-000074640000}"/>
    <cellStyle name="Note 72 2 2" xfId="12595" xr:uid="{00000000-0005-0000-0000-000075640000}"/>
    <cellStyle name="Note 72 2 2 2" xfId="23883" xr:uid="{00000000-0005-0000-0000-000076640000}"/>
    <cellStyle name="Note 72 2 3" xfId="10601" xr:uid="{00000000-0005-0000-0000-000077640000}"/>
    <cellStyle name="Note 72 2 3 2" xfId="21889" xr:uid="{00000000-0005-0000-0000-000078640000}"/>
    <cellStyle name="Note 72 2 4" xfId="8607" xr:uid="{00000000-0005-0000-0000-000079640000}"/>
    <cellStyle name="Note 72 2 4 2" xfId="19895" xr:uid="{00000000-0005-0000-0000-00007A640000}"/>
    <cellStyle name="Note 72 2 5" xfId="6613" xr:uid="{00000000-0005-0000-0000-00007B640000}"/>
    <cellStyle name="Note 72 2 5 2" xfId="17901" xr:uid="{00000000-0005-0000-0000-00007C640000}"/>
    <cellStyle name="Note 72 2 6" xfId="15907" xr:uid="{00000000-0005-0000-0000-00007D640000}"/>
    <cellStyle name="Note 72 3" xfId="11598" xr:uid="{00000000-0005-0000-0000-00007E640000}"/>
    <cellStyle name="Note 72 3 2" xfId="22886" xr:uid="{00000000-0005-0000-0000-00007F640000}"/>
    <cellStyle name="Note 72 4" xfId="9604" xr:uid="{00000000-0005-0000-0000-000080640000}"/>
    <cellStyle name="Note 72 4 2" xfId="20892" xr:uid="{00000000-0005-0000-0000-000081640000}"/>
    <cellStyle name="Note 72 5" xfId="7610" xr:uid="{00000000-0005-0000-0000-000082640000}"/>
    <cellStyle name="Note 72 5 2" xfId="18898" xr:uid="{00000000-0005-0000-0000-000083640000}"/>
    <cellStyle name="Note 72 6" xfId="5616" xr:uid="{00000000-0005-0000-0000-000084640000}"/>
    <cellStyle name="Note 72 6 2" xfId="16904" xr:uid="{00000000-0005-0000-0000-000085640000}"/>
    <cellStyle name="Note 72 7" xfId="14910" xr:uid="{00000000-0005-0000-0000-000086640000}"/>
    <cellStyle name="Note 72 8" xfId="13594" xr:uid="{00000000-0005-0000-0000-000087640000}"/>
    <cellStyle name="Note 8" xfId="3383" xr:uid="{00000000-0005-0000-0000-000088640000}"/>
    <cellStyle name="Note 8 10" xfId="24758" xr:uid="{00000000-0005-0000-0000-000089640000}"/>
    <cellStyle name="Note 8 11" xfId="25080" xr:uid="{00000000-0005-0000-0000-00008A640000}"/>
    <cellStyle name="Note 8 2" xfId="4617" xr:uid="{00000000-0005-0000-0000-00008B640000}"/>
    <cellStyle name="Note 8 2 2" xfId="12596" xr:uid="{00000000-0005-0000-0000-00008C640000}"/>
    <cellStyle name="Note 8 2 2 2" xfId="23884" xr:uid="{00000000-0005-0000-0000-00008D640000}"/>
    <cellStyle name="Note 8 2 3" xfId="10602" xr:uid="{00000000-0005-0000-0000-00008E640000}"/>
    <cellStyle name="Note 8 2 3 2" xfId="21890" xr:uid="{00000000-0005-0000-0000-00008F640000}"/>
    <cellStyle name="Note 8 2 4" xfId="8608" xr:uid="{00000000-0005-0000-0000-000090640000}"/>
    <cellStyle name="Note 8 2 4 2" xfId="19896" xr:uid="{00000000-0005-0000-0000-000091640000}"/>
    <cellStyle name="Note 8 2 5" xfId="6614" xr:uid="{00000000-0005-0000-0000-000092640000}"/>
    <cellStyle name="Note 8 2 5 2" xfId="17902" xr:uid="{00000000-0005-0000-0000-000093640000}"/>
    <cellStyle name="Note 8 2 6" xfId="15908" xr:uid="{00000000-0005-0000-0000-000094640000}"/>
    <cellStyle name="Note 8 2 7" xfId="24462" xr:uid="{00000000-0005-0000-0000-000095640000}"/>
    <cellStyle name="Note 8 2 8" xfId="24906" xr:uid="{00000000-0005-0000-0000-000096640000}"/>
    <cellStyle name="Note 8 2 9" xfId="25268" xr:uid="{00000000-0005-0000-0000-000097640000}"/>
    <cellStyle name="Note 8 3" xfId="11599" xr:uid="{00000000-0005-0000-0000-000098640000}"/>
    <cellStyle name="Note 8 3 2" xfId="22887" xr:uid="{00000000-0005-0000-0000-000099640000}"/>
    <cellStyle name="Note 8 4" xfId="9605" xr:uid="{00000000-0005-0000-0000-00009A640000}"/>
    <cellStyle name="Note 8 4 2" xfId="20893" xr:uid="{00000000-0005-0000-0000-00009B640000}"/>
    <cellStyle name="Note 8 5" xfId="7611" xr:uid="{00000000-0005-0000-0000-00009C640000}"/>
    <cellStyle name="Note 8 5 2" xfId="18899" xr:uid="{00000000-0005-0000-0000-00009D640000}"/>
    <cellStyle name="Note 8 6" xfId="5617" xr:uid="{00000000-0005-0000-0000-00009E640000}"/>
    <cellStyle name="Note 8 6 2" xfId="16905" xr:uid="{00000000-0005-0000-0000-00009F640000}"/>
    <cellStyle name="Note 8 7" xfId="14911" xr:uid="{00000000-0005-0000-0000-0000A0640000}"/>
    <cellStyle name="Note 8 8" xfId="13595" xr:uid="{00000000-0005-0000-0000-0000A1640000}"/>
    <cellStyle name="Note 8 9" xfId="24196" xr:uid="{00000000-0005-0000-0000-0000A2640000}"/>
    <cellStyle name="Note 9" xfId="3384" xr:uid="{00000000-0005-0000-0000-0000A3640000}"/>
    <cellStyle name="Note 9 10" xfId="24759" xr:uid="{00000000-0005-0000-0000-0000A4640000}"/>
    <cellStyle name="Note 9 11" xfId="25081" xr:uid="{00000000-0005-0000-0000-0000A5640000}"/>
    <cellStyle name="Note 9 2" xfId="4618" xr:uid="{00000000-0005-0000-0000-0000A6640000}"/>
    <cellStyle name="Note 9 2 2" xfId="12597" xr:uid="{00000000-0005-0000-0000-0000A7640000}"/>
    <cellStyle name="Note 9 2 2 2" xfId="23885" xr:uid="{00000000-0005-0000-0000-0000A8640000}"/>
    <cellStyle name="Note 9 2 3" xfId="10603" xr:uid="{00000000-0005-0000-0000-0000A9640000}"/>
    <cellStyle name="Note 9 2 3 2" xfId="21891" xr:uid="{00000000-0005-0000-0000-0000AA640000}"/>
    <cellStyle name="Note 9 2 4" xfId="8609" xr:uid="{00000000-0005-0000-0000-0000AB640000}"/>
    <cellStyle name="Note 9 2 4 2" xfId="19897" xr:uid="{00000000-0005-0000-0000-0000AC640000}"/>
    <cellStyle name="Note 9 2 5" xfId="6615" xr:uid="{00000000-0005-0000-0000-0000AD640000}"/>
    <cellStyle name="Note 9 2 5 2" xfId="17903" xr:uid="{00000000-0005-0000-0000-0000AE640000}"/>
    <cellStyle name="Note 9 2 6" xfId="15909" xr:uid="{00000000-0005-0000-0000-0000AF640000}"/>
    <cellStyle name="Note 9 2 7" xfId="24463" xr:uid="{00000000-0005-0000-0000-0000B0640000}"/>
    <cellStyle name="Note 9 2 8" xfId="24907" xr:uid="{00000000-0005-0000-0000-0000B1640000}"/>
    <cellStyle name="Note 9 2 9" xfId="25269" xr:uid="{00000000-0005-0000-0000-0000B2640000}"/>
    <cellStyle name="Note 9 3" xfId="11600" xr:uid="{00000000-0005-0000-0000-0000B3640000}"/>
    <cellStyle name="Note 9 3 2" xfId="22888" xr:uid="{00000000-0005-0000-0000-0000B4640000}"/>
    <cellStyle name="Note 9 4" xfId="9606" xr:uid="{00000000-0005-0000-0000-0000B5640000}"/>
    <cellStyle name="Note 9 4 2" xfId="20894" xr:uid="{00000000-0005-0000-0000-0000B6640000}"/>
    <cellStyle name="Note 9 5" xfId="7612" xr:uid="{00000000-0005-0000-0000-0000B7640000}"/>
    <cellStyle name="Note 9 5 2" xfId="18900" xr:uid="{00000000-0005-0000-0000-0000B8640000}"/>
    <cellStyle name="Note 9 6" xfId="5618" xr:uid="{00000000-0005-0000-0000-0000B9640000}"/>
    <cellStyle name="Note 9 6 2" xfId="16906" xr:uid="{00000000-0005-0000-0000-0000BA640000}"/>
    <cellStyle name="Note 9 7" xfId="14912" xr:uid="{00000000-0005-0000-0000-0000BB640000}"/>
    <cellStyle name="Note 9 8" xfId="13596" xr:uid="{00000000-0005-0000-0000-0000BC640000}"/>
    <cellStyle name="Note 9 9" xfId="24197" xr:uid="{00000000-0005-0000-0000-0000BD640000}"/>
    <cellStyle name="Number" xfId="62" xr:uid="{00000000-0005-0000-0000-0000BE640000}"/>
    <cellStyle name="Number 10" xfId="24416" xr:uid="{00000000-0005-0000-0000-0000BF640000}"/>
    <cellStyle name="number 11" xfId="23923" xr:uid="{00000000-0005-0000-0000-0000C0640000}"/>
    <cellStyle name="number 12" xfId="24248" xr:uid="{00000000-0005-0000-0000-0000C1640000}"/>
    <cellStyle name="number 13" xfId="24529" xr:uid="{00000000-0005-0000-0000-0000C2640000}"/>
    <cellStyle name="number 14" xfId="24518" xr:uid="{00000000-0005-0000-0000-0000C3640000}"/>
    <cellStyle name="number 15" xfId="24522" xr:uid="{00000000-0005-0000-0000-0000C4640000}"/>
    <cellStyle name="number 16" xfId="24184" xr:uid="{00000000-0005-0000-0000-0000C5640000}"/>
    <cellStyle name="number 17" xfId="24532" xr:uid="{00000000-0005-0000-0000-0000C6640000}"/>
    <cellStyle name="number 18" xfId="24521" xr:uid="{00000000-0005-0000-0000-0000C7640000}"/>
    <cellStyle name="number 19" xfId="24523" xr:uid="{00000000-0005-0000-0000-0000C8640000}"/>
    <cellStyle name="number 2" xfId="24199" xr:uid="{00000000-0005-0000-0000-0000C9640000}"/>
    <cellStyle name="number 20" xfId="24542" xr:uid="{00000000-0005-0000-0000-0000CA640000}"/>
    <cellStyle name="number 21" xfId="24065" xr:uid="{00000000-0005-0000-0000-0000CB640000}"/>
    <cellStyle name="number 22" xfId="24551" xr:uid="{00000000-0005-0000-0000-0000CC640000}"/>
    <cellStyle name="number 23" xfId="24770" xr:uid="{00000000-0005-0000-0000-0000CD640000}"/>
    <cellStyle name="number 24" xfId="24671" xr:uid="{00000000-0005-0000-0000-0000CE640000}"/>
    <cellStyle name="number 25" xfId="24779" xr:uid="{00000000-0005-0000-0000-0000CF640000}"/>
    <cellStyle name="number 26" xfId="24860" xr:uid="{00000000-0005-0000-0000-0000D0640000}"/>
    <cellStyle name="number 27" xfId="24936" xr:uid="{00000000-0005-0000-0000-0000D1640000}"/>
    <cellStyle name="number 28" xfId="24931" xr:uid="{00000000-0005-0000-0000-0000D2640000}"/>
    <cellStyle name="number 29" xfId="24764" xr:uid="{00000000-0005-0000-0000-0000D3640000}"/>
    <cellStyle name="number 3" xfId="24200" xr:uid="{00000000-0005-0000-0000-0000D4640000}"/>
    <cellStyle name="number 30" xfId="24917" xr:uid="{00000000-0005-0000-0000-0000D5640000}"/>
    <cellStyle name="number 31" xfId="24940" xr:uid="{00000000-0005-0000-0000-0000D6640000}"/>
    <cellStyle name="number 32" xfId="24704" xr:uid="{00000000-0005-0000-0000-0000D7640000}"/>
    <cellStyle name="number 33" xfId="24670" xr:uid="{00000000-0005-0000-0000-0000D8640000}"/>
    <cellStyle name="number 34" xfId="24555" xr:uid="{00000000-0005-0000-0000-0000D9640000}"/>
    <cellStyle name="number 35" xfId="24945" xr:uid="{00000000-0005-0000-0000-0000DA640000}"/>
    <cellStyle name="Number 4" xfId="24198" xr:uid="{00000000-0005-0000-0000-0000DB640000}"/>
    <cellStyle name="Number 5" xfId="24311" xr:uid="{00000000-0005-0000-0000-0000DC640000}"/>
    <cellStyle name="Number 6" xfId="24309" xr:uid="{00000000-0005-0000-0000-0000DD640000}"/>
    <cellStyle name="Number 7" xfId="24310" xr:uid="{00000000-0005-0000-0000-0000DE640000}"/>
    <cellStyle name="Number 8" xfId="24464" xr:uid="{00000000-0005-0000-0000-0000DF640000}"/>
    <cellStyle name="Number 9" xfId="24394" xr:uid="{00000000-0005-0000-0000-0000E0640000}"/>
    <cellStyle name="Numbers" xfId="578" xr:uid="{00000000-0005-0000-0000-0000E1640000}"/>
    <cellStyle name="Numbers - Bold" xfId="579" xr:uid="{00000000-0005-0000-0000-0000E2640000}"/>
    <cellStyle name="Numbers - Bold 2" xfId="24201" xr:uid="{00000000-0005-0000-0000-0000E3640000}"/>
    <cellStyle name="Output 10" xfId="3385" xr:uid="{00000000-0005-0000-0000-0000E4640000}"/>
    <cellStyle name="Output 11" xfId="3386" xr:uid="{00000000-0005-0000-0000-0000E5640000}"/>
    <cellStyle name="Output 12" xfId="3387" xr:uid="{00000000-0005-0000-0000-0000E6640000}"/>
    <cellStyle name="Output 13" xfId="3388" xr:uid="{00000000-0005-0000-0000-0000E7640000}"/>
    <cellStyle name="Output 14" xfId="3389" xr:uid="{00000000-0005-0000-0000-0000E8640000}"/>
    <cellStyle name="Output 15" xfId="3390" xr:uid="{00000000-0005-0000-0000-0000E9640000}"/>
    <cellStyle name="Output 16" xfId="3391" xr:uid="{00000000-0005-0000-0000-0000EA640000}"/>
    <cellStyle name="Output 17" xfId="3392" xr:uid="{00000000-0005-0000-0000-0000EB640000}"/>
    <cellStyle name="Output 18" xfId="3393" xr:uid="{00000000-0005-0000-0000-0000EC640000}"/>
    <cellStyle name="Output 19" xfId="3394" xr:uid="{00000000-0005-0000-0000-0000ED640000}"/>
    <cellStyle name="Output 2" xfId="3395" xr:uid="{00000000-0005-0000-0000-0000EE640000}"/>
    <cellStyle name="Output 2 2" xfId="24203" xr:uid="{00000000-0005-0000-0000-0000EF640000}"/>
    <cellStyle name="Output 2 2 10" xfId="30272" xr:uid="{DCE1C103-3D14-4547-9075-9B6E303A52C0}"/>
    <cellStyle name="Output 2 2 2" xfId="24696" xr:uid="{00000000-0005-0000-0000-0000F0640000}"/>
    <cellStyle name="Output 2 2 2 2" xfId="25348" xr:uid="{00000000-0005-0000-0000-0000F1640000}"/>
    <cellStyle name="Output 2 2 2 2 2" xfId="27502" xr:uid="{00000000-0005-0000-0000-0000F2640000}"/>
    <cellStyle name="Output 2 2 2 2 2 2" xfId="32093" xr:uid="{42C663E5-A371-41F5-996D-3C7F2C7AC786}"/>
    <cellStyle name="Output 2 2 2 2 3" xfId="26899" xr:uid="{00000000-0005-0000-0000-0000F3640000}"/>
    <cellStyle name="Output 2 2 2 2 3 2" xfId="31660" xr:uid="{0B9DEE9B-19F5-4821-A0AB-618AF7C4AD6B}"/>
    <cellStyle name="Output 2 2 2 2 4" xfId="27429" xr:uid="{00000000-0005-0000-0000-0000F4640000}"/>
    <cellStyle name="Output 2 2 2 2 4 2" xfId="32027" xr:uid="{6BE9E15E-3B80-45CB-B0CD-E32F7BE3C48A}"/>
    <cellStyle name="Output 2 2 2 2 5" xfId="29431" xr:uid="{00000000-0005-0000-0000-0000F5640000}"/>
    <cellStyle name="Output 2 2 2 2 6" xfId="30506" xr:uid="{933995D5-1AC7-4DA5-9481-B0BE61836167}"/>
    <cellStyle name="Output 2 2 2 3" xfId="25655" xr:uid="{00000000-0005-0000-0000-0000F6640000}"/>
    <cellStyle name="Output 2 2 2 3 2" xfId="27808" xr:uid="{00000000-0005-0000-0000-0000F7640000}"/>
    <cellStyle name="Output 2 2 2 3 2 2" xfId="32395" xr:uid="{548268A3-880C-475A-85E1-ACF533B9BB83}"/>
    <cellStyle name="Output 2 2 2 3 3" xfId="26373" xr:uid="{00000000-0005-0000-0000-0000F8640000}"/>
    <cellStyle name="Output 2 2 2 3 3 2" xfId="31161" xr:uid="{DB9CDCEC-91A2-469B-AD70-B448B07D06A9}"/>
    <cellStyle name="Output 2 2 2 3 4" xfId="26493" xr:uid="{00000000-0005-0000-0000-0000F9640000}"/>
    <cellStyle name="Output 2 2 2 3 4 2" xfId="31281" xr:uid="{7B1DB79D-B650-4F0F-AE6A-4093819F38CB}"/>
    <cellStyle name="Output 2 2 2 3 5" xfId="29432" xr:uid="{00000000-0005-0000-0000-0000FA640000}"/>
    <cellStyle name="Output 2 2 2 3 6" xfId="30649" xr:uid="{4053F19C-5F21-49D9-A45C-CA1DEEED4E11}"/>
    <cellStyle name="Output 2 2 2 4" xfId="27285" xr:uid="{00000000-0005-0000-0000-0000FB640000}"/>
    <cellStyle name="Output 2 2 2 4 2" xfId="31917" xr:uid="{42D0F2B0-2251-48CD-B1F3-E7D626723E74}"/>
    <cellStyle name="Output 2 2 2 5" xfId="26305" xr:uid="{00000000-0005-0000-0000-0000FC640000}"/>
    <cellStyle name="Output 2 2 2 5 2" xfId="31093" xr:uid="{5A4E41E3-BCA7-430E-8CCB-50DE830400B9}"/>
    <cellStyle name="Output 2 2 2 6" xfId="26113" xr:uid="{00000000-0005-0000-0000-0000FD640000}"/>
    <cellStyle name="Output 2 2 2 6 2" xfId="30903" xr:uid="{B0AD8FCA-C033-44E9-9A25-440F6EF94D36}"/>
    <cellStyle name="Output 2 2 2 7" xfId="29430" xr:uid="{00000000-0005-0000-0000-0000FE640000}"/>
    <cellStyle name="Output 2 2 2 8" xfId="30357" xr:uid="{DB5D011C-02C3-4958-9CCF-41F837F64BF4}"/>
    <cellStyle name="Output 2 2 3" xfId="25083" xr:uid="{00000000-0005-0000-0000-0000FF640000}"/>
    <cellStyle name="Output 2 2 3 2" xfId="25416" xr:uid="{00000000-0005-0000-0000-000000650000}"/>
    <cellStyle name="Output 2 2 3 2 2" xfId="27570" xr:uid="{00000000-0005-0000-0000-000001650000}"/>
    <cellStyle name="Output 2 2 3 2 2 2" xfId="32161" xr:uid="{281CD17C-5843-4712-A418-80D255162421}"/>
    <cellStyle name="Output 2 2 3 2 3" xfId="26442" xr:uid="{00000000-0005-0000-0000-000002650000}"/>
    <cellStyle name="Output 2 2 3 2 3 2" xfId="31230" xr:uid="{25CF1797-FDD9-4BC0-BFD2-3EB87D207F26}"/>
    <cellStyle name="Output 2 2 3 2 4" xfId="27020" xr:uid="{00000000-0005-0000-0000-000003650000}"/>
    <cellStyle name="Output 2 2 3 2 4 2" xfId="31780" xr:uid="{3223D64C-54DD-47F9-8468-0804F0F36C5A}"/>
    <cellStyle name="Output 2 2 3 2 5" xfId="29434" xr:uid="{00000000-0005-0000-0000-000004650000}"/>
    <cellStyle name="Output 2 2 3 2 6" xfId="30574" xr:uid="{87F20BB6-52C3-43AA-8F00-5D03A962B8EF}"/>
    <cellStyle name="Output 2 2 3 3" xfId="25683" xr:uid="{00000000-0005-0000-0000-000005650000}"/>
    <cellStyle name="Output 2 2 3 3 2" xfId="27836" xr:uid="{00000000-0005-0000-0000-000006650000}"/>
    <cellStyle name="Output 2 2 3 3 2 2" xfId="32423" xr:uid="{8CEDCD94-5B53-42A0-A097-E682A2A5A511}"/>
    <cellStyle name="Output 2 2 3 3 3" xfId="26720" xr:uid="{00000000-0005-0000-0000-000007650000}"/>
    <cellStyle name="Output 2 2 3 3 3 2" xfId="31481" xr:uid="{30A982CF-ACB3-4DCF-9820-EFA99B1E051A}"/>
    <cellStyle name="Output 2 2 3 3 4" xfId="26435" xr:uid="{00000000-0005-0000-0000-000008650000}"/>
    <cellStyle name="Output 2 2 3 3 4 2" xfId="31223" xr:uid="{434779A2-B846-42DA-A19E-94A3D862EDA5}"/>
    <cellStyle name="Output 2 2 3 3 5" xfId="29435" xr:uid="{00000000-0005-0000-0000-000009650000}"/>
    <cellStyle name="Output 2 2 3 3 6" xfId="30677" xr:uid="{439641A3-24C0-445C-8649-C3298E89CD74}"/>
    <cellStyle name="Output 2 2 3 4" xfId="27370" xr:uid="{00000000-0005-0000-0000-00000A650000}"/>
    <cellStyle name="Output 2 2 3 4 2" xfId="31968" xr:uid="{B18CD462-96CA-4D13-990D-87A4C3134F28}"/>
    <cellStyle name="Output 2 2 3 5" xfId="26961" xr:uid="{00000000-0005-0000-0000-00000B650000}"/>
    <cellStyle name="Output 2 2 3 5 2" xfId="31722" xr:uid="{C2651AC7-0F41-4B9F-B28C-53AF82CC7690}"/>
    <cellStyle name="Output 2 2 3 6" xfId="26821" xr:uid="{00000000-0005-0000-0000-00000C650000}"/>
    <cellStyle name="Output 2 2 3 6 2" xfId="31582" xr:uid="{E79CB48D-99D7-493F-8204-9A38BDC95899}"/>
    <cellStyle name="Output 2 2 3 7" xfId="29433" xr:uid="{00000000-0005-0000-0000-00000D650000}"/>
    <cellStyle name="Output 2 2 3 8" xfId="30385" xr:uid="{6B307353-4838-44E2-AFBC-3A6B8DF7163E}"/>
    <cellStyle name="Output 2 2 4" xfId="25364" xr:uid="{00000000-0005-0000-0000-00000E650000}"/>
    <cellStyle name="Output 2 2 4 2" xfId="27518" xr:uid="{00000000-0005-0000-0000-00000F650000}"/>
    <cellStyle name="Output 2 2 4 2 2" xfId="32109" xr:uid="{B5CBABE0-75E8-49BF-A5DC-2EDC0B073311}"/>
    <cellStyle name="Output 2 2 4 3" xfId="26797" xr:uid="{00000000-0005-0000-0000-000010650000}"/>
    <cellStyle name="Output 2 2 4 3 2" xfId="31558" xr:uid="{B131AB37-2F0E-492A-891B-45AEA76B3DFE}"/>
    <cellStyle name="Output 2 2 4 4" xfId="26975" xr:uid="{00000000-0005-0000-0000-000011650000}"/>
    <cellStyle name="Output 2 2 4 4 2" xfId="31736" xr:uid="{C68E1A18-1DBA-4C1D-9C77-D48802DDE92A}"/>
    <cellStyle name="Output 2 2 4 5" xfId="29436" xr:uid="{00000000-0005-0000-0000-000012650000}"/>
    <cellStyle name="Output 2 2 4 6" xfId="30522" xr:uid="{29A4D768-C374-4DD4-8BE8-A99A7F8DE486}"/>
    <cellStyle name="Output 2 2 5" xfId="25570" xr:uid="{00000000-0005-0000-0000-000013650000}"/>
    <cellStyle name="Output 2 2 5 2" xfId="27723" xr:uid="{00000000-0005-0000-0000-000014650000}"/>
    <cellStyle name="Output 2 2 5 2 2" xfId="32310" xr:uid="{C2D678DA-A022-41EE-856A-A1139E6C85ED}"/>
    <cellStyle name="Output 2 2 5 3" xfId="26274" xr:uid="{00000000-0005-0000-0000-000015650000}"/>
    <cellStyle name="Output 2 2 5 3 2" xfId="31062" xr:uid="{F471183D-5E99-46F2-AE76-5484F587681C}"/>
    <cellStyle name="Output 2 2 5 4" xfId="26859" xr:uid="{00000000-0005-0000-0000-000016650000}"/>
    <cellStyle name="Output 2 2 5 4 2" xfId="31620" xr:uid="{150CF3B9-B9D0-4100-AD08-8076AC0DC192}"/>
    <cellStyle name="Output 2 2 5 5" xfId="29437" xr:uid="{00000000-0005-0000-0000-000017650000}"/>
    <cellStyle name="Output 2 2 5 6" xfId="30627" xr:uid="{59FCEFA5-C7FE-43F0-A70D-F9F78FC3D0D6}"/>
    <cellStyle name="Output 2 2 6" xfId="27095" xr:uid="{00000000-0005-0000-0000-000018650000}"/>
    <cellStyle name="Output 2 2 6 2" xfId="31819" xr:uid="{8B3B49F8-CDC4-41F2-95AC-3EEF0F401DD3}"/>
    <cellStyle name="Output 2 2 7" xfId="26833" xr:uid="{00000000-0005-0000-0000-000019650000}"/>
    <cellStyle name="Output 2 2 7 2" xfId="31594" xr:uid="{DD555F28-E2A7-49E9-8697-20ED9C57FE38}"/>
    <cellStyle name="Output 2 2 8" xfId="26177" xr:uid="{00000000-0005-0000-0000-00001A650000}"/>
    <cellStyle name="Output 2 2 8 2" xfId="30966" xr:uid="{09ACD90A-DCB4-437E-81EE-6C5EC64BAA5D}"/>
    <cellStyle name="Output 2 2 9" xfId="29429" xr:uid="{00000000-0005-0000-0000-00001B650000}"/>
    <cellStyle name="Output 2 3" xfId="24202" xr:uid="{00000000-0005-0000-0000-00001C650000}"/>
    <cellStyle name="Output 2 3 2" xfId="25453" xr:uid="{00000000-0005-0000-0000-00001D650000}"/>
    <cellStyle name="Output 2 3 2 2" xfId="27607" xr:uid="{00000000-0005-0000-0000-00001E650000}"/>
    <cellStyle name="Output 2 3 2 2 2" xfId="32198" xr:uid="{DF210FFD-3CA1-42B1-93BC-520F0F08C91D}"/>
    <cellStyle name="Output 2 3 2 3" xfId="26342" xr:uid="{00000000-0005-0000-0000-00001F650000}"/>
    <cellStyle name="Output 2 3 2 3 2" xfId="31130" xr:uid="{584CF3C1-DCF4-4200-A239-D07A1AE3F827}"/>
    <cellStyle name="Output 2 3 2 4" xfId="27085" xr:uid="{00000000-0005-0000-0000-000020650000}"/>
    <cellStyle name="Output 2 3 2 4 2" xfId="31809" xr:uid="{DA330AEC-ECA9-48EB-BC1C-D7F1A04A6202}"/>
    <cellStyle name="Output 2 3 2 5" xfId="29439" xr:uid="{00000000-0005-0000-0000-000021650000}"/>
    <cellStyle name="Output 2 3 2 6" xfId="30611" xr:uid="{83BFB739-C260-436E-8BE3-EA36933A9687}"/>
    <cellStyle name="Output 2 3 3" xfId="25569" xr:uid="{00000000-0005-0000-0000-000022650000}"/>
    <cellStyle name="Output 2 3 3 2" xfId="27722" xr:uid="{00000000-0005-0000-0000-000023650000}"/>
    <cellStyle name="Output 2 3 3 2 2" xfId="32309" xr:uid="{9C9437C4-32EC-4C88-B97C-ECD919EB8DA7}"/>
    <cellStyle name="Output 2 3 3 3" xfId="26935" xr:uid="{00000000-0005-0000-0000-000024650000}"/>
    <cellStyle name="Output 2 3 3 3 2" xfId="31696" xr:uid="{D0BCD7A6-9F34-49E2-9EF6-C7B97AF4F58A}"/>
    <cellStyle name="Output 2 3 3 4" xfId="26255" xr:uid="{00000000-0005-0000-0000-000025650000}"/>
    <cellStyle name="Output 2 3 3 4 2" xfId="31043" xr:uid="{E1B8F8F2-9175-4034-A52F-572856526372}"/>
    <cellStyle name="Output 2 3 3 5" xfId="29440" xr:uid="{00000000-0005-0000-0000-000026650000}"/>
    <cellStyle name="Output 2 3 3 6" xfId="30626" xr:uid="{E6E4ADC8-35B2-4189-86F7-4FF2BC0F32AA}"/>
    <cellStyle name="Output 2 3 4" xfId="27094" xr:uid="{00000000-0005-0000-0000-000027650000}"/>
    <cellStyle name="Output 2 3 4 2" xfId="31818" xr:uid="{EB9029CB-4289-4ED1-BDCE-F8F177FFFB23}"/>
    <cellStyle name="Output 2 3 5" xfId="26869" xr:uid="{00000000-0005-0000-0000-000028650000}"/>
    <cellStyle name="Output 2 3 5 2" xfId="31630" xr:uid="{8C63DAA5-7C90-4FE2-9B3A-1E1256155BBD}"/>
    <cellStyle name="Output 2 3 6" xfId="26773" xr:uid="{00000000-0005-0000-0000-000029650000}"/>
    <cellStyle name="Output 2 3 6 2" xfId="31534" xr:uid="{4A78A448-212B-4BCB-B418-29671EAE3C33}"/>
    <cellStyle name="Output 2 3 7" xfId="29438" xr:uid="{00000000-0005-0000-0000-00002A650000}"/>
    <cellStyle name="Output 2 3 8" xfId="30271" xr:uid="{9354A33E-795C-4F12-ADF4-6C4A62A2D882}"/>
    <cellStyle name="Output 2 4" xfId="24697" xr:uid="{00000000-0005-0000-0000-00002B650000}"/>
    <cellStyle name="Output 2 4 2" xfId="25449" xr:uid="{00000000-0005-0000-0000-00002C650000}"/>
    <cellStyle name="Output 2 4 2 2" xfId="27603" xr:uid="{00000000-0005-0000-0000-00002D650000}"/>
    <cellStyle name="Output 2 4 2 2 2" xfId="32194" xr:uid="{CD85BCC6-FB4B-4551-B1B7-A75E086A2075}"/>
    <cellStyle name="Output 2 4 2 3" xfId="26992" xr:uid="{00000000-0005-0000-0000-00002E650000}"/>
    <cellStyle name="Output 2 4 2 3 2" xfId="31753" xr:uid="{F395A3D3-FC9D-4659-9F6A-3DFA14EBD1F0}"/>
    <cellStyle name="Output 2 4 2 4" xfId="26102" xr:uid="{00000000-0005-0000-0000-00002F650000}"/>
    <cellStyle name="Output 2 4 2 4 2" xfId="30892" xr:uid="{AA21A2CC-50B5-4116-8051-5D63C1302F95}"/>
    <cellStyle name="Output 2 4 2 5" xfId="29442" xr:uid="{00000000-0005-0000-0000-000030650000}"/>
    <cellStyle name="Output 2 4 2 6" xfId="30607" xr:uid="{CCCE90C1-4F56-4E62-A061-680004B6F070}"/>
    <cellStyle name="Output 2 4 3" xfId="25656" xr:uid="{00000000-0005-0000-0000-000031650000}"/>
    <cellStyle name="Output 2 4 3 2" xfId="27809" xr:uid="{00000000-0005-0000-0000-000032650000}"/>
    <cellStyle name="Output 2 4 3 2 2" xfId="32396" xr:uid="{82BCBA83-1C2F-4B29-BBE8-DF83E4A4E6E8}"/>
    <cellStyle name="Output 2 4 3 3" xfId="26485" xr:uid="{00000000-0005-0000-0000-000033650000}"/>
    <cellStyle name="Output 2 4 3 3 2" xfId="31273" xr:uid="{926CC5B5-ACD6-4EE0-9B93-BE6FA8452264}"/>
    <cellStyle name="Output 2 4 3 4" xfId="26957" xr:uid="{00000000-0005-0000-0000-000034650000}"/>
    <cellStyle name="Output 2 4 3 4 2" xfId="31718" xr:uid="{0C68EBE7-BCFE-454F-8453-DD84AA81D203}"/>
    <cellStyle name="Output 2 4 3 5" xfId="29443" xr:uid="{00000000-0005-0000-0000-000035650000}"/>
    <cellStyle name="Output 2 4 3 6" xfId="30650" xr:uid="{8F3220D4-05D7-4535-A80E-A57CE1391C87}"/>
    <cellStyle name="Output 2 4 4" xfId="27286" xr:uid="{00000000-0005-0000-0000-000036650000}"/>
    <cellStyle name="Output 2 4 4 2" xfId="31918" xr:uid="{48C23195-ECED-448C-8E64-D6C61A702FD7}"/>
    <cellStyle name="Output 2 4 5" xfId="26409" xr:uid="{00000000-0005-0000-0000-000037650000}"/>
    <cellStyle name="Output 2 4 5 2" xfId="31197" xr:uid="{0EBE9790-BD72-4B9F-BE16-5E68E8292592}"/>
    <cellStyle name="Output 2 4 6" xfId="26847" xr:uid="{00000000-0005-0000-0000-000038650000}"/>
    <cellStyle name="Output 2 4 6 2" xfId="31608" xr:uid="{5CEC1917-AE41-422C-A25C-DF2A7D0B04E5}"/>
    <cellStyle name="Output 2 4 7" xfId="29441" xr:uid="{00000000-0005-0000-0000-000039650000}"/>
    <cellStyle name="Output 2 4 8" xfId="30358" xr:uid="{F82DAA41-799F-4F63-8A3D-BF6B06974826}"/>
    <cellStyle name="Output 2 5" xfId="25082" xr:uid="{00000000-0005-0000-0000-00003A650000}"/>
    <cellStyle name="Output 2 5 2" xfId="25315" xr:uid="{00000000-0005-0000-0000-00003B650000}"/>
    <cellStyle name="Output 2 5 2 2" xfId="27469" xr:uid="{00000000-0005-0000-0000-00003C650000}"/>
    <cellStyle name="Output 2 5 2 2 2" xfId="32060" xr:uid="{3A41A2E8-B23F-4EB7-BE7E-F4DB293C517F}"/>
    <cellStyle name="Output 2 5 2 3" xfId="26058" xr:uid="{00000000-0005-0000-0000-00003D650000}"/>
    <cellStyle name="Output 2 5 2 3 2" xfId="30848" xr:uid="{58E4DA8C-8A37-484E-9E16-5D5635F07810}"/>
    <cellStyle name="Output 2 5 2 4" xfId="26212" xr:uid="{00000000-0005-0000-0000-00003E650000}"/>
    <cellStyle name="Output 2 5 2 4 2" xfId="31000" xr:uid="{C7D2B977-2C02-4A8E-8825-75872F3D2C88}"/>
    <cellStyle name="Output 2 5 2 5" xfId="29445" xr:uid="{00000000-0005-0000-0000-00003F650000}"/>
    <cellStyle name="Output 2 5 2 6" xfId="30473" xr:uid="{1E60F62C-E412-4069-BFA9-D7298A664340}"/>
    <cellStyle name="Output 2 5 3" xfId="25682" xr:uid="{00000000-0005-0000-0000-000040650000}"/>
    <cellStyle name="Output 2 5 3 2" xfId="27835" xr:uid="{00000000-0005-0000-0000-000041650000}"/>
    <cellStyle name="Output 2 5 3 2 2" xfId="32422" xr:uid="{86069AF5-1C14-4489-AF6A-91D062A1CD7C}"/>
    <cellStyle name="Output 2 5 3 3" xfId="26523" xr:uid="{00000000-0005-0000-0000-000042650000}"/>
    <cellStyle name="Output 2 5 3 3 2" xfId="31310" xr:uid="{94A0CF26-9178-4C4D-B8F5-FD4A132E2E0D}"/>
    <cellStyle name="Output 2 5 3 4" xfId="26392" xr:uid="{00000000-0005-0000-0000-000043650000}"/>
    <cellStyle name="Output 2 5 3 4 2" xfId="31180" xr:uid="{211B2FC6-FCE1-4CC7-9DD1-05E0B52528F1}"/>
    <cellStyle name="Output 2 5 3 5" xfId="29446" xr:uid="{00000000-0005-0000-0000-000044650000}"/>
    <cellStyle name="Output 2 5 3 6" xfId="30676" xr:uid="{20ADCEBA-4334-4034-B238-F25CEA94F99E}"/>
    <cellStyle name="Output 2 5 4" xfId="27369" xr:uid="{00000000-0005-0000-0000-000045650000}"/>
    <cellStyle name="Output 2 5 4 2" xfId="31967" xr:uid="{CA8F1301-F33E-4BFE-94CB-2B1E76F724F4}"/>
    <cellStyle name="Output 2 5 5" xfId="26200" xr:uid="{00000000-0005-0000-0000-000046650000}"/>
    <cellStyle name="Output 2 5 5 2" xfId="30988" xr:uid="{FF2D9FD0-8B34-4DCA-9FE6-36B522F41A56}"/>
    <cellStyle name="Output 2 5 6" xfId="26703" xr:uid="{00000000-0005-0000-0000-000047650000}"/>
    <cellStyle name="Output 2 5 6 2" xfId="31465" xr:uid="{65E6843C-F6BA-4F64-8E7D-97B8343C9476}"/>
    <cellStyle name="Output 2 5 7" xfId="29444" xr:uid="{00000000-0005-0000-0000-000048650000}"/>
    <cellStyle name="Output 2 5 8" xfId="30384" xr:uid="{2C97CDBD-11DA-4E6F-870A-5A8EA0B5FB0B}"/>
    <cellStyle name="Output 20" xfId="3396" xr:uid="{00000000-0005-0000-0000-000049650000}"/>
    <cellStyle name="Output 21" xfId="3397" xr:uid="{00000000-0005-0000-0000-00004A650000}"/>
    <cellStyle name="Output 22" xfId="3398" xr:uid="{00000000-0005-0000-0000-00004B650000}"/>
    <cellStyle name="Output 23" xfId="3399" xr:uid="{00000000-0005-0000-0000-00004C650000}"/>
    <cellStyle name="Output 24" xfId="3400" xr:uid="{00000000-0005-0000-0000-00004D650000}"/>
    <cellStyle name="Output 25" xfId="3401" xr:uid="{00000000-0005-0000-0000-00004E650000}"/>
    <cellStyle name="Output 26" xfId="3402" xr:uid="{00000000-0005-0000-0000-00004F650000}"/>
    <cellStyle name="Output 27" xfId="3403" xr:uid="{00000000-0005-0000-0000-000050650000}"/>
    <cellStyle name="Output 28" xfId="3404" xr:uid="{00000000-0005-0000-0000-000051650000}"/>
    <cellStyle name="Output 29" xfId="3405" xr:uid="{00000000-0005-0000-0000-000052650000}"/>
    <cellStyle name="Output 3" xfId="3406" xr:uid="{00000000-0005-0000-0000-000053650000}"/>
    <cellStyle name="Output 3 2" xfId="24205" xr:uid="{00000000-0005-0000-0000-000054650000}"/>
    <cellStyle name="Output 3 2 10" xfId="30274" xr:uid="{2A26B280-7488-48E8-BEEC-3698104A611B}"/>
    <cellStyle name="Output 3 2 2" xfId="24694" xr:uid="{00000000-0005-0000-0000-000055650000}"/>
    <cellStyle name="Output 3 2 2 2" xfId="25331" xr:uid="{00000000-0005-0000-0000-000056650000}"/>
    <cellStyle name="Output 3 2 2 2 2" xfId="27485" xr:uid="{00000000-0005-0000-0000-000057650000}"/>
    <cellStyle name="Output 3 2 2 2 2 2" xfId="32076" xr:uid="{7488E164-165C-4FC0-8719-C5C830A42DA8}"/>
    <cellStyle name="Output 3 2 2 2 3" xfId="26341" xr:uid="{00000000-0005-0000-0000-000058650000}"/>
    <cellStyle name="Output 3 2 2 2 3 2" xfId="31129" xr:uid="{B9CC4A1A-CCA9-47C5-B9E2-B3089B2E1083}"/>
    <cellStyle name="Output 3 2 2 2 4" xfId="26432" xr:uid="{00000000-0005-0000-0000-000059650000}"/>
    <cellStyle name="Output 3 2 2 2 4 2" xfId="31220" xr:uid="{231FEAFC-A004-4C0B-B413-1F737E918851}"/>
    <cellStyle name="Output 3 2 2 2 5" xfId="29449" xr:uid="{00000000-0005-0000-0000-00005A650000}"/>
    <cellStyle name="Output 3 2 2 2 6" xfId="30489" xr:uid="{1F4FBDD3-793D-4AE0-9550-AD6D1CF79B19}"/>
    <cellStyle name="Output 3 2 2 3" xfId="25653" xr:uid="{00000000-0005-0000-0000-00005B650000}"/>
    <cellStyle name="Output 3 2 2 3 2" xfId="27806" xr:uid="{00000000-0005-0000-0000-00005C650000}"/>
    <cellStyle name="Output 3 2 2 3 2 2" xfId="32393" xr:uid="{B540B139-07BB-494C-A263-E7D8FA64B388}"/>
    <cellStyle name="Output 3 2 2 3 3" xfId="26934" xr:uid="{00000000-0005-0000-0000-00005D650000}"/>
    <cellStyle name="Output 3 2 2 3 3 2" xfId="31695" xr:uid="{26960753-72BC-4623-8FE4-A992FD56D167}"/>
    <cellStyle name="Output 3 2 2 3 4" xfId="26399" xr:uid="{00000000-0005-0000-0000-00005E650000}"/>
    <cellStyle name="Output 3 2 2 3 4 2" xfId="31187" xr:uid="{15E5EAAB-B889-427B-AAC8-6D751F819B8B}"/>
    <cellStyle name="Output 3 2 2 3 5" xfId="29450" xr:uid="{00000000-0005-0000-0000-00005F650000}"/>
    <cellStyle name="Output 3 2 2 3 6" xfId="30647" xr:uid="{B91BD17B-ECB3-4665-BD8D-4EE939A94E7F}"/>
    <cellStyle name="Output 3 2 2 4" xfId="27283" xr:uid="{00000000-0005-0000-0000-000060650000}"/>
    <cellStyle name="Output 3 2 2 4 2" xfId="31915" xr:uid="{FB840D84-094C-46CA-B4EA-521E7A952A9C}"/>
    <cellStyle name="Output 3 2 2 5" xfId="26868" xr:uid="{00000000-0005-0000-0000-000061650000}"/>
    <cellStyle name="Output 3 2 2 5 2" xfId="31629" xr:uid="{DED0EA34-B1CE-4CAA-BBD3-8F5462FFCD4F}"/>
    <cellStyle name="Output 3 2 2 6" xfId="26265" xr:uid="{00000000-0005-0000-0000-000062650000}"/>
    <cellStyle name="Output 3 2 2 6 2" xfId="31053" xr:uid="{214EA071-C6DC-42B3-B298-DD2456BD84E8}"/>
    <cellStyle name="Output 3 2 2 7" xfId="29448" xr:uid="{00000000-0005-0000-0000-000063650000}"/>
    <cellStyle name="Output 3 2 2 8" xfId="30355" xr:uid="{750F99AB-77EC-47B7-92A0-80A4AA3C7D43}"/>
    <cellStyle name="Output 3 2 3" xfId="25085" xr:uid="{00000000-0005-0000-0000-000064650000}"/>
    <cellStyle name="Output 3 2 3 2" xfId="25430" xr:uid="{00000000-0005-0000-0000-000065650000}"/>
    <cellStyle name="Output 3 2 3 2 2" xfId="27584" xr:uid="{00000000-0005-0000-0000-000066650000}"/>
    <cellStyle name="Output 3 2 3 2 2 2" xfId="32175" xr:uid="{1913AC51-FC5F-43F2-85E3-D6445D7E3670}"/>
    <cellStyle name="Output 3 2 3 2 3" xfId="26991" xr:uid="{00000000-0005-0000-0000-000067650000}"/>
    <cellStyle name="Output 3 2 3 2 3 2" xfId="31752" xr:uid="{3198CCE6-AFB6-4E91-AB1B-6C745F9D5612}"/>
    <cellStyle name="Output 3 2 3 2 4" xfId="26165" xr:uid="{00000000-0005-0000-0000-000068650000}"/>
    <cellStyle name="Output 3 2 3 2 4 2" xfId="30954" xr:uid="{E9BD259B-4935-471A-9823-6DE778B9AEE7}"/>
    <cellStyle name="Output 3 2 3 2 5" xfId="29452" xr:uid="{00000000-0005-0000-0000-000069650000}"/>
    <cellStyle name="Output 3 2 3 2 6" xfId="30588" xr:uid="{765E5510-97E0-455B-94C2-6D814FCFDD81}"/>
    <cellStyle name="Output 3 2 3 3" xfId="25685" xr:uid="{00000000-0005-0000-0000-00006A650000}"/>
    <cellStyle name="Output 3 2 3 3 2" xfId="27838" xr:uid="{00000000-0005-0000-0000-00006B650000}"/>
    <cellStyle name="Output 3 2 3 3 2 2" xfId="32425" xr:uid="{EAB84C10-6A23-4711-ADE4-726A1767C049}"/>
    <cellStyle name="Output 3 2 3 3 3" xfId="26484" xr:uid="{00000000-0005-0000-0000-00006C650000}"/>
    <cellStyle name="Output 3 2 3 3 3 2" xfId="31272" xr:uid="{D2FE5DE9-56E4-4942-AF2E-D2E292D3B07C}"/>
    <cellStyle name="Output 3 2 3 3 4" xfId="26767" xr:uid="{00000000-0005-0000-0000-00006D650000}"/>
    <cellStyle name="Output 3 2 3 3 4 2" xfId="31528" xr:uid="{32D30248-4F2A-49B1-8BDC-09FD9F178375}"/>
    <cellStyle name="Output 3 2 3 3 5" xfId="29453" xr:uid="{00000000-0005-0000-0000-00006E650000}"/>
    <cellStyle name="Output 3 2 3 3 6" xfId="30679" xr:uid="{897A3A4E-07FC-4BF2-8F34-F205721D4106}"/>
    <cellStyle name="Output 3 2 3 4" xfId="27372" xr:uid="{00000000-0005-0000-0000-00006F650000}"/>
    <cellStyle name="Output 3 2 3 4 2" xfId="31970" xr:uid="{D5A78513-BDCE-46D0-83D6-DFFFF1A9E5DA}"/>
    <cellStyle name="Output 3 2 3 5" xfId="26408" xr:uid="{00000000-0005-0000-0000-000070650000}"/>
    <cellStyle name="Output 3 2 3 5 2" xfId="31196" xr:uid="{E4E7E666-E712-4A12-90B2-83A094DBC823}"/>
    <cellStyle name="Output 3 2 3 6" xfId="26420" xr:uid="{00000000-0005-0000-0000-000071650000}"/>
    <cellStyle name="Output 3 2 3 6 2" xfId="31208" xr:uid="{B94CC6A0-9633-4AF4-B484-6E6470A37FF4}"/>
    <cellStyle name="Output 3 2 3 7" xfId="29451" xr:uid="{00000000-0005-0000-0000-000072650000}"/>
    <cellStyle name="Output 3 2 3 8" xfId="30387" xr:uid="{2230571B-5B73-4BB7-8E28-64CC922C59DF}"/>
    <cellStyle name="Output 3 2 4" xfId="25291" xr:uid="{00000000-0005-0000-0000-000073650000}"/>
    <cellStyle name="Output 3 2 4 2" xfId="27446" xr:uid="{00000000-0005-0000-0000-000074650000}"/>
    <cellStyle name="Output 3 2 4 2 2" xfId="32041" xr:uid="{7F54BF0E-98B5-4F73-9029-6B69E2F0BC81}"/>
    <cellStyle name="Output 3 2 4 3" xfId="26199" xr:uid="{00000000-0005-0000-0000-000075650000}"/>
    <cellStyle name="Output 3 2 4 3 2" xfId="30987" xr:uid="{3B625F35-42BC-4A47-8B58-CC654B1E2728}"/>
    <cellStyle name="Output 3 2 4 4" xfId="26296" xr:uid="{00000000-0005-0000-0000-000076650000}"/>
    <cellStyle name="Output 3 2 4 4 2" xfId="31084" xr:uid="{CDC8CFFF-F326-4E58-89AD-4F8622800C29}"/>
    <cellStyle name="Output 3 2 4 5" xfId="29454" xr:uid="{00000000-0005-0000-0000-000077650000}"/>
    <cellStyle name="Output 3 2 4 6" xfId="30454" xr:uid="{2C3EE11F-AACE-426F-B9F7-85E4717F405C}"/>
    <cellStyle name="Output 3 2 5" xfId="25572" xr:uid="{00000000-0005-0000-0000-000078650000}"/>
    <cellStyle name="Output 3 2 5 2" xfId="27725" xr:uid="{00000000-0005-0000-0000-000079650000}"/>
    <cellStyle name="Output 3 2 5 2 2" xfId="32312" xr:uid="{7E82A170-1061-46C8-9CC7-B8484D222DD6}"/>
    <cellStyle name="Output 3 2 5 3" xfId="26057" xr:uid="{00000000-0005-0000-0000-00007A650000}"/>
    <cellStyle name="Output 3 2 5 3 2" xfId="30847" xr:uid="{36CF5F33-5340-475C-9FB7-A12BAB757050}"/>
    <cellStyle name="Output 3 2 5 4" xfId="26825" xr:uid="{00000000-0005-0000-0000-00007B650000}"/>
    <cellStyle name="Output 3 2 5 4 2" xfId="31586" xr:uid="{7364EC0A-6276-45A3-82A3-65BE6E6B5131}"/>
    <cellStyle name="Output 3 2 5 5" xfId="29455" xr:uid="{00000000-0005-0000-0000-00007C650000}"/>
    <cellStyle name="Output 3 2 5 6" xfId="30629" xr:uid="{3C522C64-083D-4E48-843A-535AAF799AA3}"/>
    <cellStyle name="Output 3 2 6" xfId="27097" xr:uid="{00000000-0005-0000-0000-00007D650000}"/>
    <cellStyle name="Output 3 2 6 2" xfId="31821" xr:uid="{08BF1CD2-E348-417E-8BA8-BBE6E1888014}"/>
    <cellStyle name="Output 3 2 7" xfId="26273" xr:uid="{00000000-0005-0000-0000-00007E650000}"/>
    <cellStyle name="Output 3 2 7 2" xfId="31061" xr:uid="{AE7F386A-B039-4966-8C61-F6A00BDA3C53}"/>
    <cellStyle name="Output 3 2 8" xfId="27087" xr:uid="{00000000-0005-0000-0000-00007F650000}"/>
    <cellStyle name="Output 3 2 8 2" xfId="31811" xr:uid="{1E84F317-68CA-4F0A-B1F9-0469F25ADC7B}"/>
    <cellStyle name="Output 3 2 9" xfId="29447" xr:uid="{00000000-0005-0000-0000-000080650000}"/>
    <cellStyle name="Output 3 3" xfId="24204" xr:uid="{00000000-0005-0000-0000-000081650000}"/>
    <cellStyle name="Output 3 3 2" xfId="25301" xr:uid="{00000000-0005-0000-0000-000082650000}"/>
    <cellStyle name="Output 3 3 2 2" xfId="27455" xr:uid="{00000000-0005-0000-0000-000083650000}"/>
    <cellStyle name="Output 3 3 2 2 2" xfId="32047" xr:uid="{C803FF56-7B9C-441A-94D7-ED884C5B05B8}"/>
    <cellStyle name="Output 3 3 2 3" xfId="26687" xr:uid="{00000000-0005-0000-0000-000084650000}"/>
    <cellStyle name="Output 3 3 2 3 2" xfId="31449" xr:uid="{6B72D10E-0749-4E86-8B4C-AE6368250C62}"/>
    <cellStyle name="Output 3 3 2 4" xfId="26316" xr:uid="{00000000-0005-0000-0000-000085650000}"/>
    <cellStyle name="Output 3 3 2 4 2" xfId="31104" xr:uid="{78F5F27F-897E-4424-AF70-8E28126EC55C}"/>
    <cellStyle name="Output 3 3 2 5" xfId="29457" xr:uid="{00000000-0005-0000-0000-000086650000}"/>
    <cellStyle name="Output 3 3 2 6" xfId="30460" xr:uid="{9FB50E51-8A5D-4CE8-93E0-C582F8739036}"/>
    <cellStyle name="Output 3 3 3" xfId="25571" xr:uid="{00000000-0005-0000-0000-000087650000}"/>
    <cellStyle name="Output 3 3 3 2" xfId="27724" xr:uid="{00000000-0005-0000-0000-000088650000}"/>
    <cellStyle name="Output 3 3 3 2 2" xfId="32311" xr:uid="{0EA6FF67-D80D-47CE-9F04-8EE7A86D3730}"/>
    <cellStyle name="Output 3 3 3 3" xfId="26757" xr:uid="{00000000-0005-0000-0000-000089650000}"/>
    <cellStyle name="Output 3 3 3 3 2" xfId="31518" xr:uid="{B8523047-418B-4933-9F57-776516022B48}"/>
    <cellStyle name="Output 3 3 3 4" xfId="26348" xr:uid="{00000000-0005-0000-0000-00008A650000}"/>
    <cellStyle name="Output 3 3 3 4 2" xfId="31136" xr:uid="{C17F693D-4336-4715-A4F7-2DACC21033FB}"/>
    <cellStyle name="Output 3 3 3 5" xfId="29458" xr:uid="{00000000-0005-0000-0000-00008B650000}"/>
    <cellStyle name="Output 3 3 3 6" xfId="30628" xr:uid="{494D6980-D536-4258-9851-B766800DF1B1}"/>
    <cellStyle name="Output 3 3 4" xfId="27096" xr:uid="{00000000-0005-0000-0000-00008C650000}"/>
    <cellStyle name="Output 3 3 4 2" xfId="31820" xr:uid="{F76C237F-A817-4B8B-A3B0-75B0B7F4B017}"/>
    <cellStyle name="Output 3 3 5" xfId="26522" xr:uid="{00000000-0005-0000-0000-00008D650000}"/>
    <cellStyle name="Output 3 3 5 2" xfId="31309" xr:uid="{E1574523-B1BB-4A6E-ABF4-53A6648D1EC4}"/>
    <cellStyle name="Output 3 3 6" xfId="26466" xr:uid="{00000000-0005-0000-0000-00008E650000}"/>
    <cellStyle name="Output 3 3 6 2" xfId="31254" xr:uid="{0BAB0FF3-3135-45D5-AE31-9FC3F56F3962}"/>
    <cellStyle name="Output 3 3 7" xfId="29456" xr:uid="{00000000-0005-0000-0000-00008F650000}"/>
    <cellStyle name="Output 3 3 8" xfId="30273" xr:uid="{1AF8186D-D079-48E5-A1A4-352BEF5DD113}"/>
    <cellStyle name="Output 3 4" xfId="24695" xr:uid="{00000000-0005-0000-0000-000090650000}"/>
    <cellStyle name="Output 3 4 2" xfId="25432" xr:uid="{00000000-0005-0000-0000-000091650000}"/>
    <cellStyle name="Output 3 4 2 2" xfId="27586" xr:uid="{00000000-0005-0000-0000-000092650000}"/>
    <cellStyle name="Output 3 4 2 2 2" xfId="32177" xr:uid="{81C6FE3D-C914-40E6-B007-0BA59B66C6BD}"/>
    <cellStyle name="Output 3 4 2 3" xfId="26832" xr:uid="{00000000-0005-0000-0000-000093650000}"/>
    <cellStyle name="Output 3 4 2 3 2" xfId="31593" xr:uid="{3A751743-FAE8-433E-B913-B3701EA15B4E}"/>
    <cellStyle name="Output 3 4 2 4" xfId="27301" xr:uid="{00000000-0005-0000-0000-000094650000}"/>
    <cellStyle name="Output 3 4 2 4 2" xfId="31930" xr:uid="{F3EAE003-843F-4ACF-9404-DF4A2D5BA588}"/>
    <cellStyle name="Output 3 4 2 5" xfId="29460" xr:uid="{00000000-0005-0000-0000-000095650000}"/>
    <cellStyle name="Output 3 4 2 6" xfId="30590" xr:uid="{E8F0EF19-6CF6-4900-929F-83575BBEB9DB}"/>
    <cellStyle name="Output 3 4 3" xfId="25654" xr:uid="{00000000-0005-0000-0000-000096650000}"/>
    <cellStyle name="Output 3 4 3 2" xfId="27807" xr:uid="{00000000-0005-0000-0000-000097650000}"/>
    <cellStyle name="Output 3 4 3 2 2" xfId="32394" xr:uid="{B3E4D8F2-166F-4620-AD96-A36C253866D1}"/>
    <cellStyle name="Output 3 4 3 3" xfId="26304" xr:uid="{00000000-0005-0000-0000-000098650000}"/>
    <cellStyle name="Output 3 4 3 3 2" xfId="31092" xr:uid="{FA4903FC-7DC3-462B-BD8C-158A1958EB1D}"/>
    <cellStyle name="Output 3 4 3 4" xfId="26986" xr:uid="{00000000-0005-0000-0000-000099650000}"/>
    <cellStyle name="Output 3 4 3 4 2" xfId="31747" xr:uid="{2637A803-BD27-4E34-85B3-A55DCFE95A00}"/>
    <cellStyle name="Output 3 4 3 5" xfId="29461" xr:uid="{00000000-0005-0000-0000-00009A650000}"/>
    <cellStyle name="Output 3 4 3 6" xfId="30648" xr:uid="{9E888293-0095-41C1-91B2-C09C7DE1D941}"/>
    <cellStyle name="Output 3 4 4" xfId="27284" xr:uid="{00000000-0005-0000-0000-00009B650000}"/>
    <cellStyle name="Output 3 4 4 2" xfId="31916" xr:uid="{FE46649B-CB34-4FAF-8B60-ECB0661E523F}"/>
    <cellStyle name="Output 3 4 5" xfId="26232" xr:uid="{00000000-0005-0000-0000-00009C650000}"/>
    <cellStyle name="Output 3 4 5 2" xfId="31020" xr:uid="{068FBBF0-A979-40FB-A401-D0522AB9EADA}"/>
    <cellStyle name="Output 3 4 6" xfId="26211" xr:uid="{00000000-0005-0000-0000-00009D650000}"/>
    <cellStyle name="Output 3 4 6 2" xfId="30999" xr:uid="{BD79A07E-B0FA-4724-A695-1F9D4DB10FCB}"/>
    <cellStyle name="Output 3 4 7" xfId="29459" xr:uid="{00000000-0005-0000-0000-00009E650000}"/>
    <cellStyle name="Output 3 4 8" xfId="30356" xr:uid="{F7781ABB-DB4B-4D71-971F-E8C1830B035F}"/>
    <cellStyle name="Output 3 5" xfId="25084" xr:uid="{00000000-0005-0000-0000-00009F650000}"/>
    <cellStyle name="Output 3 5 2" xfId="25329" xr:uid="{00000000-0005-0000-0000-0000A0650000}"/>
    <cellStyle name="Output 3 5 2 2" xfId="27483" xr:uid="{00000000-0005-0000-0000-0000A1650000}"/>
    <cellStyle name="Output 3 5 2 2 2" xfId="32074" xr:uid="{1529C002-ACB6-4989-A679-774A0D144E00}"/>
    <cellStyle name="Output 3 5 2 3" xfId="26372" xr:uid="{00000000-0005-0000-0000-0000A2650000}"/>
    <cellStyle name="Output 3 5 2 3 2" xfId="31160" xr:uid="{4D95A527-CD61-4B65-8DBE-A5343F355E80}"/>
    <cellStyle name="Output 3 5 2 4" xfId="26492" xr:uid="{00000000-0005-0000-0000-0000A3650000}"/>
    <cellStyle name="Output 3 5 2 4 2" xfId="31280" xr:uid="{6405EFEA-4612-4912-90F6-172B0F641266}"/>
    <cellStyle name="Output 3 5 2 5" xfId="29463" xr:uid="{00000000-0005-0000-0000-0000A4650000}"/>
    <cellStyle name="Output 3 5 2 6" xfId="30487" xr:uid="{2F1D2CF8-4A5A-4B80-BC9C-6A709A98C3D6}"/>
    <cellStyle name="Output 3 5 3" xfId="25684" xr:uid="{00000000-0005-0000-0000-0000A5650000}"/>
    <cellStyle name="Output 3 5 3 2" xfId="27837" xr:uid="{00000000-0005-0000-0000-0000A6650000}"/>
    <cellStyle name="Output 3 5 3 2 2" xfId="32424" xr:uid="{B18842C8-1A6B-445F-81B7-745147CAC293}"/>
    <cellStyle name="Output 3 5 3 3" xfId="26960" xr:uid="{00000000-0005-0000-0000-0000A7650000}"/>
    <cellStyle name="Output 3 5 3 3 2" xfId="31721" xr:uid="{078F0A7D-D752-40D2-8235-CEBEEA733443}"/>
    <cellStyle name="Output 3 5 3 4" xfId="26791" xr:uid="{00000000-0005-0000-0000-0000A8650000}"/>
    <cellStyle name="Output 3 5 3 4 2" xfId="31552" xr:uid="{2225498F-B6B3-45D4-8F63-2B64E0C41753}"/>
    <cellStyle name="Output 3 5 3 5" xfId="29464" xr:uid="{00000000-0005-0000-0000-0000A9650000}"/>
    <cellStyle name="Output 3 5 3 6" xfId="30678" xr:uid="{7504C6FB-025E-4EE0-B5A6-D04CA296E85E}"/>
    <cellStyle name="Output 3 5 4" xfId="27371" xr:uid="{00000000-0005-0000-0000-0000AA650000}"/>
    <cellStyle name="Output 3 5 4 2" xfId="31969" xr:uid="{042F8C3A-CA1B-4967-AA75-DDA77369E675}"/>
    <cellStyle name="Output 3 5 5" xfId="26898" xr:uid="{00000000-0005-0000-0000-0000AB650000}"/>
    <cellStyle name="Output 3 5 5 2" xfId="31659" xr:uid="{8B426CCF-9543-409D-A8B7-6454DE4CF4E0}"/>
    <cellStyle name="Output 3 5 6" xfId="26512" xr:uid="{00000000-0005-0000-0000-0000AC650000}"/>
    <cellStyle name="Output 3 5 6 2" xfId="31300" xr:uid="{597020EC-C5D3-4EEC-8C65-914C04CF3456}"/>
    <cellStyle name="Output 3 5 7" xfId="29462" xr:uid="{00000000-0005-0000-0000-0000AD650000}"/>
    <cellStyle name="Output 3 5 8" xfId="30386" xr:uid="{A4AB3468-99B1-4BFD-8456-D4C429C5BF66}"/>
    <cellStyle name="Output 30" xfId="3407" xr:uid="{00000000-0005-0000-0000-0000AE650000}"/>
    <cellStyle name="Output 31" xfId="3408" xr:uid="{00000000-0005-0000-0000-0000AF650000}"/>
    <cellStyle name="Output 32" xfId="3409" xr:uid="{00000000-0005-0000-0000-0000B0650000}"/>
    <cellStyle name="Output 33" xfId="3410" xr:uid="{00000000-0005-0000-0000-0000B1650000}"/>
    <cellStyle name="Output 34" xfId="3411" xr:uid="{00000000-0005-0000-0000-0000B2650000}"/>
    <cellStyle name="Output 35" xfId="3412" xr:uid="{00000000-0005-0000-0000-0000B3650000}"/>
    <cellStyle name="Output 36" xfId="3413" xr:uid="{00000000-0005-0000-0000-0000B4650000}"/>
    <cellStyle name="Output 37" xfId="3414" xr:uid="{00000000-0005-0000-0000-0000B5650000}"/>
    <cellStyle name="Output 38" xfId="3415" xr:uid="{00000000-0005-0000-0000-0000B6650000}"/>
    <cellStyle name="Output 39" xfId="3416" xr:uid="{00000000-0005-0000-0000-0000B7650000}"/>
    <cellStyle name="Output 4" xfId="3417" xr:uid="{00000000-0005-0000-0000-0000B8650000}"/>
    <cellStyle name="Output 4 2" xfId="24206" xr:uid="{00000000-0005-0000-0000-0000B9650000}"/>
    <cellStyle name="Output 4 2 2" xfId="25373" xr:uid="{00000000-0005-0000-0000-0000BA650000}"/>
    <cellStyle name="Output 4 2 2 2" xfId="27527" xr:uid="{00000000-0005-0000-0000-0000BB650000}"/>
    <cellStyle name="Output 4 2 2 2 2" xfId="32118" xr:uid="{3D8A2EC9-FCDE-4402-8C54-7AD770E4D412}"/>
    <cellStyle name="Output 4 2 2 3" xfId="26521" xr:uid="{00000000-0005-0000-0000-0000BC650000}"/>
    <cellStyle name="Output 4 2 2 3 2" xfId="31308" xr:uid="{190E44AD-0DCE-48A8-9E6D-35F49CC8A774}"/>
    <cellStyle name="Output 4 2 2 4" xfId="26505" xr:uid="{00000000-0005-0000-0000-0000BD650000}"/>
    <cellStyle name="Output 4 2 2 4 2" xfId="31293" xr:uid="{20A711CF-F736-4C95-BB93-576C4D81ABBB}"/>
    <cellStyle name="Output 4 2 2 5" xfId="29466" xr:uid="{00000000-0005-0000-0000-0000BE650000}"/>
    <cellStyle name="Output 4 2 2 6" xfId="30531" xr:uid="{E73A6EAC-057F-4752-8B55-F733F1A02183}"/>
    <cellStyle name="Output 4 2 3" xfId="25573" xr:uid="{00000000-0005-0000-0000-0000BF650000}"/>
    <cellStyle name="Output 4 2 3 2" xfId="27726" xr:uid="{00000000-0005-0000-0000-0000C0650000}"/>
    <cellStyle name="Output 4 2 3 2 2" xfId="32313" xr:uid="{8EBCF177-B770-443A-A1D9-8B52CB9E0BFE}"/>
    <cellStyle name="Output 4 2 3 3" xfId="26686" xr:uid="{00000000-0005-0000-0000-0000C1650000}"/>
    <cellStyle name="Output 4 2 3 3 2" xfId="31448" xr:uid="{47501D18-58D2-4C58-A9F1-30B97789C270}"/>
    <cellStyle name="Output 4 2 3 4" xfId="26731" xr:uid="{00000000-0005-0000-0000-0000C2650000}"/>
    <cellStyle name="Output 4 2 3 4 2" xfId="31492" xr:uid="{1A71CF52-4D4E-4EFA-9B90-F80838774782}"/>
    <cellStyle name="Output 4 2 3 5" xfId="29467" xr:uid="{00000000-0005-0000-0000-0000C3650000}"/>
    <cellStyle name="Output 4 2 3 6" xfId="30630" xr:uid="{F68B1B98-EE55-44A1-940C-EE7BE2ACFADB}"/>
    <cellStyle name="Output 4 2 4" xfId="27098" xr:uid="{00000000-0005-0000-0000-0000C4650000}"/>
    <cellStyle name="Output 4 2 4 2" xfId="31822" xr:uid="{E9F8F9BB-95C6-4E2E-BC5A-9BBA70910C39}"/>
    <cellStyle name="Output 4 2 5" xfId="26056" xr:uid="{00000000-0005-0000-0000-0000C5650000}"/>
    <cellStyle name="Output 4 2 5 2" xfId="30846" xr:uid="{B527F1C7-BF9A-4B99-8E25-4851191FC4E5}"/>
    <cellStyle name="Output 4 2 6" xfId="26431" xr:uid="{00000000-0005-0000-0000-0000C6650000}"/>
    <cellStyle name="Output 4 2 6 2" xfId="31219" xr:uid="{BFA2808E-F39D-4B8A-B9CF-07768CD78273}"/>
    <cellStyle name="Output 4 2 7" xfId="29465" xr:uid="{00000000-0005-0000-0000-0000C7650000}"/>
    <cellStyle name="Output 4 2 8" xfId="30275" xr:uid="{826C8349-8605-4D62-BC9E-794BCE666ACD}"/>
    <cellStyle name="Output 4 3" xfId="24693" xr:uid="{00000000-0005-0000-0000-0000C8650000}"/>
    <cellStyle name="Output 4 3 2" xfId="25417" xr:uid="{00000000-0005-0000-0000-0000C9650000}"/>
    <cellStyle name="Output 4 3 2 2" xfId="27571" xr:uid="{00000000-0005-0000-0000-0000CA650000}"/>
    <cellStyle name="Output 4 3 2 2 2" xfId="32162" xr:uid="{B2A34967-EFC7-45AA-A1EB-8FFABFC11428}"/>
    <cellStyle name="Output 4 3 2 3" xfId="26231" xr:uid="{00000000-0005-0000-0000-0000CB650000}"/>
    <cellStyle name="Output 4 3 2 3 2" xfId="31019" xr:uid="{9DF52E42-47C3-4EBA-A101-A21696FCCC92}"/>
    <cellStyle name="Output 4 3 2 4" xfId="26510" xr:uid="{00000000-0005-0000-0000-0000CC650000}"/>
    <cellStyle name="Output 4 3 2 4 2" xfId="31298" xr:uid="{6F0F686D-5CFB-4027-98EC-BB2A0C242998}"/>
    <cellStyle name="Output 4 3 2 5" xfId="29469" xr:uid="{00000000-0005-0000-0000-0000CD650000}"/>
    <cellStyle name="Output 4 3 2 6" xfId="30575" xr:uid="{F464DB54-45E7-4A63-A500-DF28582A7A0D}"/>
    <cellStyle name="Output 4 3 3" xfId="25652" xr:uid="{00000000-0005-0000-0000-0000CE650000}"/>
    <cellStyle name="Output 4 3 3 2" xfId="27805" xr:uid="{00000000-0005-0000-0000-0000CF650000}"/>
    <cellStyle name="Output 4 3 3 2 2" xfId="32392" xr:uid="{DA04AE6B-EB07-4CB9-831E-23492BFACE35}"/>
    <cellStyle name="Output 4 3 3 3" xfId="26831" xr:uid="{00000000-0005-0000-0000-0000D0650000}"/>
    <cellStyle name="Output 4 3 3 3 2" xfId="31592" xr:uid="{AC92D269-B1F3-4D41-9369-92711CAFE336}"/>
    <cellStyle name="Output 4 3 3 4" xfId="26471" xr:uid="{00000000-0005-0000-0000-0000D1650000}"/>
    <cellStyle name="Output 4 3 3 4 2" xfId="31259" xr:uid="{728FE5C9-8CFC-4E74-B088-EFBE12B47675}"/>
    <cellStyle name="Output 4 3 3 5" xfId="29470" xr:uid="{00000000-0005-0000-0000-0000D2650000}"/>
    <cellStyle name="Output 4 3 3 6" xfId="30646" xr:uid="{600880FF-D840-43D7-B555-9A5957E9C98E}"/>
    <cellStyle name="Output 4 3 4" xfId="27282" xr:uid="{00000000-0005-0000-0000-0000D3650000}"/>
    <cellStyle name="Output 4 3 4 2" xfId="31914" xr:uid="{ABF405BA-82A0-40E9-908A-FB769B4EC3BD}"/>
    <cellStyle name="Output 4 3 5" xfId="26756" xr:uid="{00000000-0005-0000-0000-0000D4650000}"/>
    <cellStyle name="Output 4 3 5 2" xfId="31517" xr:uid="{79CEAE65-F505-44C4-886C-42EA9D4EC755}"/>
    <cellStyle name="Output 4 3 6" xfId="26509" xr:uid="{00000000-0005-0000-0000-0000D5650000}"/>
    <cellStyle name="Output 4 3 6 2" xfId="31297" xr:uid="{33B13523-CE3B-4118-AEA9-7D76BDECF7EC}"/>
    <cellStyle name="Output 4 3 7" xfId="29468" xr:uid="{00000000-0005-0000-0000-0000D6650000}"/>
    <cellStyle name="Output 4 3 8" xfId="30354" xr:uid="{81EE0AEB-7B18-4244-9A58-1DC964FE0D11}"/>
    <cellStyle name="Output 4 4" xfId="25086" xr:uid="{00000000-0005-0000-0000-0000D7650000}"/>
    <cellStyle name="Output 4 4 2" xfId="25346" xr:uid="{00000000-0005-0000-0000-0000D8650000}"/>
    <cellStyle name="Output 4 4 2 2" xfId="27500" xr:uid="{00000000-0005-0000-0000-0000D9650000}"/>
    <cellStyle name="Output 4 4 2 2 2" xfId="32091" xr:uid="{F5BB273A-1729-4705-A182-2D9E5545EF1B}"/>
    <cellStyle name="Output 4 4 2 3" xfId="26902" xr:uid="{00000000-0005-0000-0000-0000DA650000}"/>
    <cellStyle name="Output 4 4 2 3 2" xfId="31663" xr:uid="{9A848791-22C8-41AF-9B3F-3FD903B00D81}"/>
    <cellStyle name="Output 4 4 2 4" xfId="26169" xr:uid="{00000000-0005-0000-0000-0000DB650000}"/>
    <cellStyle name="Output 4 4 2 4 2" xfId="30958" xr:uid="{746A65C9-7C43-4EA7-B6D1-34D12B31B222}"/>
    <cellStyle name="Output 4 4 2 5" xfId="29472" xr:uid="{00000000-0005-0000-0000-0000DC650000}"/>
    <cellStyle name="Output 4 4 2 6" xfId="30504" xr:uid="{4AC06288-C896-4AF1-A601-A2750F14C762}"/>
    <cellStyle name="Output 4 4 3" xfId="25686" xr:uid="{00000000-0005-0000-0000-0000DD650000}"/>
    <cellStyle name="Output 4 4 3 2" xfId="27839" xr:uid="{00000000-0005-0000-0000-0000DE650000}"/>
    <cellStyle name="Output 4 4 3 2 2" xfId="32426" xr:uid="{70CDABC8-4430-410A-9A85-AE636EAB0401}"/>
    <cellStyle name="Output 4 4 3 3" xfId="26376" xr:uid="{00000000-0005-0000-0000-0000DF650000}"/>
    <cellStyle name="Output 4 4 3 3 2" xfId="31164" xr:uid="{15A44261-61B2-4C87-B666-C2E2CFB7E95A}"/>
    <cellStyle name="Output 4 4 3 4" xfId="26091" xr:uid="{00000000-0005-0000-0000-0000E0650000}"/>
    <cellStyle name="Output 4 4 3 4 2" xfId="30881" xr:uid="{903CA740-CD32-4BA3-AFE2-0CF87691D600}"/>
    <cellStyle name="Output 4 4 3 5" xfId="29473" xr:uid="{00000000-0005-0000-0000-0000E1650000}"/>
    <cellStyle name="Output 4 4 3 6" xfId="30680" xr:uid="{F174372C-933D-4A1E-963F-0E87EC0FC3D5}"/>
    <cellStyle name="Output 4 4 4" xfId="27373" xr:uid="{00000000-0005-0000-0000-0000E2650000}"/>
    <cellStyle name="Output 4 4 4 2" xfId="31971" xr:uid="{1153D6D7-83BC-4B17-A8E8-16161C9E2EEF}"/>
    <cellStyle name="Output 4 4 5" xfId="26303" xr:uid="{00000000-0005-0000-0000-0000E3650000}"/>
    <cellStyle name="Output 4 4 5 2" xfId="31091" xr:uid="{A3C758BF-4EA4-4052-B7CC-4F37FA88F457}"/>
    <cellStyle name="Output 4 4 6" xfId="26112" xr:uid="{00000000-0005-0000-0000-0000E4650000}"/>
    <cellStyle name="Output 4 4 6 2" xfId="30902" xr:uid="{0457C529-81C3-417C-9200-8E23C6B6927F}"/>
    <cellStyle name="Output 4 4 7" xfId="29471" xr:uid="{00000000-0005-0000-0000-0000E5650000}"/>
    <cellStyle name="Output 4 4 8" xfId="30388" xr:uid="{C8A28406-8FF6-43BE-BADF-6DF050F23B9C}"/>
    <cellStyle name="Output 40" xfId="3418" xr:uid="{00000000-0005-0000-0000-0000E6650000}"/>
    <cellStyle name="Output 41" xfId="3419" xr:uid="{00000000-0005-0000-0000-0000E7650000}"/>
    <cellStyle name="Output 42" xfId="3420" xr:uid="{00000000-0005-0000-0000-0000E8650000}"/>
    <cellStyle name="Output 43" xfId="3421" xr:uid="{00000000-0005-0000-0000-0000E9650000}"/>
    <cellStyle name="Output 44" xfId="3422" xr:uid="{00000000-0005-0000-0000-0000EA650000}"/>
    <cellStyle name="Output 45" xfId="3423" xr:uid="{00000000-0005-0000-0000-0000EB650000}"/>
    <cellStyle name="Output 46" xfId="3424" xr:uid="{00000000-0005-0000-0000-0000EC650000}"/>
    <cellStyle name="Output 47" xfId="3425" xr:uid="{00000000-0005-0000-0000-0000ED650000}"/>
    <cellStyle name="Output 48" xfId="3426" xr:uid="{00000000-0005-0000-0000-0000EE650000}"/>
    <cellStyle name="Output 49" xfId="3427" xr:uid="{00000000-0005-0000-0000-0000EF650000}"/>
    <cellStyle name="Output 5" xfId="3428" xr:uid="{00000000-0005-0000-0000-0000F0650000}"/>
    <cellStyle name="Output 5 2" xfId="24207" xr:uid="{00000000-0005-0000-0000-0000F1650000}"/>
    <cellStyle name="Output 5 2 2" xfId="25386" xr:uid="{00000000-0005-0000-0000-0000F2650000}"/>
    <cellStyle name="Output 5 2 2 2" xfId="27540" xr:uid="{00000000-0005-0000-0000-0000F3650000}"/>
    <cellStyle name="Output 5 2 2 2 2" xfId="32131" xr:uid="{C21299F5-DA9E-4C54-A67A-95D720D819F6}"/>
    <cellStyle name="Output 5 2 2 3" xfId="26055" xr:uid="{00000000-0005-0000-0000-0000F4650000}"/>
    <cellStyle name="Output 5 2 2 3 2" xfId="30845" xr:uid="{EF415332-278B-44C4-8208-615650DE093B}"/>
    <cellStyle name="Output 5 2 2 4" xfId="26105" xr:uid="{00000000-0005-0000-0000-0000F5650000}"/>
    <cellStyle name="Output 5 2 2 4 2" xfId="30895" xr:uid="{580B5F9A-5A13-470D-939F-747EB3F1C18B}"/>
    <cellStyle name="Output 5 2 2 5" xfId="29475" xr:uid="{00000000-0005-0000-0000-0000F6650000}"/>
    <cellStyle name="Output 5 2 2 6" xfId="30544" xr:uid="{749853D3-EE64-4713-BBB3-C3BC14602863}"/>
    <cellStyle name="Output 5 2 3" xfId="25574" xr:uid="{00000000-0005-0000-0000-0000F7650000}"/>
    <cellStyle name="Output 5 2 3 2" xfId="27727" xr:uid="{00000000-0005-0000-0000-0000F8650000}"/>
    <cellStyle name="Output 5 2 3 2 2" xfId="32314" xr:uid="{8CB0A743-5058-4DB6-AE0C-F2EDFD7CB0FF}"/>
    <cellStyle name="Output 5 2 3 3" xfId="26520" xr:uid="{00000000-0005-0000-0000-0000F9650000}"/>
    <cellStyle name="Output 5 2 3 3 2" xfId="31307" xr:uid="{6238FD2B-41A9-498E-8B49-B58DACAE9A7B}"/>
    <cellStyle name="Output 5 2 3 4" xfId="26128" xr:uid="{00000000-0005-0000-0000-0000FA650000}"/>
    <cellStyle name="Output 5 2 3 4 2" xfId="30918" xr:uid="{082167CB-57D2-41CF-B6AD-5229A155B581}"/>
    <cellStyle name="Output 5 2 3 5" xfId="29476" xr:uid="{00000000-0005-0000-0000-0000FB650000}"/>
    <cellStyle name="Output 5 2 3 6" xfId="30631" xr:uid="{F11CE463-7741-4D1E-A37A-685A9F7A9BE3}"/>
    <cellStyle name="Output 5 2 4" xfId="27099" xr:uid="{00000000-0005-0000-0000-0000FC650000}"/>
    <cellStyle name="Output 5 2 4 2" xfId="31823" xr:uid="{EDB0AA9C-4AD0-4035-B6AF-236916A0C727}"/>
    <cellStyle name="Output 5 2 5" xfId="26198" xr:uid="{00000000-0005-0000-0000-0000FD650000}"/>
    <cellStyle name="Output 5 2 5 2" xfId="30986" xr:uid="{20A33222-5F4A-4AAE-A1FF-9D6D722B3E65}"/>
    <cellStyle name="Output 5 2 6" xfId="26973" xr:uid="{00000000-0005-0000-0000-0000FE650000}"/>
    <cellStyle name="Output 5 2 6 2" xfId="31734" xr:uid="{80602983-75E9-4400-BA0E-6FFC1343DDD6}"/>
    <cellStyle name="Output 5 2 7" xfId="29474" xr:uid="{00000000-0005-0000-0000-0000FF650000}"/>
    <cellStyle name="Output 5 2 8" xfId="30276" xr:uid="{224B722A-2DC7-470C-858C-9DB2446F1C42}"/>
    <cellStyle name="Output 5 3" xfId="24692" xr:uid="{00000000-0005-0000-0000-000000660000}"/>
    <cellStyle name="Output 5 3 2" xfId="25316" xr:uid="{00000000-0005-0000-0000-000001660000}"/>
    <cellStyle name="Output 5 3 2 2" xfId="27470" xr:uid="{00000000-0005-0000-0000-000002660000}"/>
    <cellStyle name="Output 5 3 2 2 2" xfId="32061" xr:uid="{9FEC8E8F-C04C-4A97-9F74-4830A94CADD1}"/>
    <cellStyle name="Output 5 3 2 3" xfId="26755" xr:uid="{00000000-0005-0000-0000-000003660000}"/>
    <cellStyle name="Output 5 3 2 3 2" xfId="31516" xr:uid="{7A8C561D-2ECC-4EBD-9352-87B17EBE84E0}"/>
    <cellStyle name="Output 5 3 2 4" xfId="26139" xr:uid="{00000000-0005-0000-0000-000004660000}"/>
    <cellStyle name="Output 5 3 2 4 2" xfId="30929" xr:uid="{1973B49D-2C10-4A5D-9BE3-AA81E77CC702}"/>
    <cellStyle name="Output 5 3 2 5" xfId="29478" xr:uid="{00000000-0005-0000-0000-000005660000}"/>
    <cellStyle name="Output 5 3 2 6" xfId="30474" xr:uid="{AFB0E1F2-7B89-4ADC-8B2D-70EC9CDD84A6}"/>
    <cellStyle name="Output 5 3 3" xfId="25651" xr:uid="{00000000-0005-0000-0000-000006660000}"/>
    <cellStyle name="Output 5 3 3 2" xfId="27804" xr:uid="{00000000-0005-0000-0000-000007660000}"/>
    <cellStyle name="Output 5 3 3 2 2" xfId="32391" xr:uid="{DE24E81E-B3D8-4C0C-B94D-5522B9A2F146}"/>
    <cellStyle name="Output 5 3 3 3" xfId="26230" xr:uid="{00000000-0005-0000-0000-000008660000}"/>
    <cellStyle name="Output 5 3 3 3 2" xfId="31018" xr:uid="{5B6473A3-9447-4325-9B53-D5B3C41FCB50}"/>
    <cellStyle name="Output 5 3 3 4" xfId="26835" xr:uid="{00000000-0005-0000-0000-000009660000}"/>
    <cellStyle name="Output 5 3 3 4 2" xfId="31596" xr:uid="{5D65A81A-0872-4220-A8B5-EBA6C9760E14}"/>
    <cellStyle name="Output 5 3 3 5" xfId="29479" xr:uid="{00000000-0005-0000-0000-00000A660000}"/>
    <cellStyle name="Output 5 3 3 6" xfId="30645" xr:uid="{443AA39F-8282-4A09-AE1C-C3B3A9EA33D3}"/>
    <cellStyle name="Output 5 3 4" xfId="27281" xr:uid="{00000000-0005-0000-0000-00000B660000}"/>
    <cellStyle name="Output 5 3 4 2" xfId="31913" xr:uid="{9C12D475-3910-47DA-965D-AF3C3412661E}"/>
    <cellStyle name="Output 5 3 5" xfId="26685" xr:uid="{00000000-0005-0000-0000-00000C660000}"/>
    <cellStyle name="Output 5 3 5 2" xfId="31447" xr:uid="{5A915660-2CB4-47B8-9DD8-7AC570690A8C}"/>
    <cellStyle name="Output 5 3 6" xfId="26851" xr:uid="{00000000-0005-0000-0000-00000D660000}"/>
    <cellStyle name="Output 5 3 6 2" xfId="31612" xr:uid="{59123FFA-454E-4721-8C9E-8E3857274875}"/>
    <cellStyle name="Output 5 3 7" xfId="29477" xr:uid="{00000000-0005-0000-0000-00000E660000}"/>
    <cellStyle name="Output 5 3 8" xfId="30353" xr:uid="{390D1A66-D87E-4166-80E8-4142049C3384}"/>
    <cellStyle name="Output 5 4" xfId="25087" xr:uid="{00000000-0005-0000-0000-00000F660000}"/>
    <cellStyle name="Output 5 4 2" xfId="25447" xr:uid="{00000000-0005-0000-0000-000010660000}"/>
    <cellStyle name="Output 5 4 2 2" xfId="27601" xr:uid="{00000000-0005-0000-0000-000011660000}"/>
    <cellStyle name="Output 5 4 2 2 2" xfId="32192" xr:uid="{C7725F63-0F79-41B1-B97A-FA5CF32977A8}"/>
    <cellStyle name="Output 5 4 2 3" xfId="26302" xr:uid="{00000000-0005-0000-0000-000012660000}"/>
    <cellStyle name="Output 5 4 2 3 2" xfId="31090" xr:uid="{A1BBA7A3-50E7-4A92-B47E-7EC97B0155B0}"/>
    <cellStyle name="Output 5 4 2 4" xfId="26297" xr:uid="{00000000-0005-0000-0000-000013660000}"/>
    <cellStyle name="Output 5 4 2 4 2" xfId="31085" xr:uid="{4DFD09A5-6866-435C-A6C6-C60046A7560A}"/>
    <cellStyle name="Output 5 4 2 5" xfId="29481" xr:uid="{00000000-0005-0000-0000-000014660000}"/>
    <cellStyle name="Output 5 4 2 6" xfId="30605" xr:uid="{20004057-9A16-4489-AFA4-ACA6683613B9}"/>
    <cellStyle name="Output 5 4 3" xfId="25687" xr:uid="{00000000-0005-0000-0000-000015660000}"/>
    <cellStyle name="Output 5 4 3 2" xfId="27840" xr:uid="{00000000-0005-0000-0000-000016660000}"/>
    <cellStyle name="Output 5 4 3 2 2" xfId="32427" xr:uid="{4E8EA835-B3CC-436A-88C7-1C4CAB3A6CDD}"/>
    <cellStyle name="Output 5 4 3 3" xfId="26897" xr:uid="{00000000-0005-0000-0000-000017660000}"/>
    <cellStyle name="Output 5 4 3 3 2" xfId="31658" xr:uid="{2D633D92-955E-4E6F-826B-6D4CEC307816}"/>
    <cellStyle name="Output 5 4 3 4" xfId="26977" xr:uid="{00000000-0005-0000-0000-000018660000}"/>
    <cellStyle name="Output 5 4 3 4 2" xfId="31738" xr:uid="{EABB6049-9B33-4F26-A608-6EB0F6D80D45}"/>
    <cellStyle name="Output 5 4 3 5" xfId="29482" xr:uid="{00000000-0005-0000-0000-000019660000}"/>
    <cellStyle name="Output 5 4 3 6" xfId="30681" xr:uid="{0547B335-1A1D-464D-889E-50868DCBC76D}"/>
    <cellStyle name="Output 5 4 4" xfId="27374" xr:uid="{00000000-0005-0000-0000-00001A660000}"/>
    <cellStyle name="Output 5 4 4 2" xfId="31972" xr:uid="{09B5B18C-0A33-43C6-8F49-0E7E646FAA82}"/>
    <cellStyle name="Output 5 4 5" xfId="26830" xr:uid="{00000000-0005-0000-0000-00001B660000}"/>
    <cellStyle name="Output 5 4 5 2" xfId="31591" xr:uid="{598E9AAB-5CB6-4EFB-8C20-AC1B749AB475}"/>
    <cellStyle name="Output 5 4 6" xfId="26697" xr:uid="{00000000-0005-0000-0000-00001C660000}"/>
    <cellStyle name="Output 5 4 6 2" xfId="31459" xr:uid="{F0D3363E-AC87-470A-8443-A862BFF19447}"/>
    <cellStyle name="Output 5 4 7" xfId="29480" xr:uid="{00000000-0005-0000-0000-00001D660000}"/>
    <cellStyle name="Output 5 4 8" xfId="30389" xr:uid="{3072FB48-8F1B-43E3-90B5-D7C94F566F7A}"/>
    <cellStyle name="Output 50" xfId="3429" xr:uid="{00000000-0005-0000-0000-00001E660000}"/>
    <cellStyle name="Output 51" xfId="3430" xr:uid="{00000000-0005-0000-0000-00001F660000}"/>
    <cellStyle name="Output 52" xfId="3431" xr:uid="{00000000-0005-0000-0000-000020660000}"/>
    <cellStyle name="Output 53" xfId="3432" xr:uid="{00000000-0005-0000-0000-000021660000}"/>
    <cellStyle name="Output 54" xfId="3433" xr:uid="{00000000-0005-0000-0000-000022660000}"/>
    <cellStyle name="Output 55" xfId="3434" xr:uid="{00000000-0005-0000-0000-000023660000}"/>
    <cellStyle name="Output 56" xfId="3435" xr:uid="{00000000-0005-0000-0000-000024660000}"/>
    <cellStyle name="Output 57" xfId="3436" xr:uid="{00000000-0005-0000-0000-000025660000}"/>
    <cellStyle name="Output 58" xfId="3437" xr:uid="{00000000-0005-0000-0000-000026660000}"/>
    <cellStyle name="Output 59" xfId="3438" xr:uid="{00000000-0005-0000-0000-000027660000}"/>
    <cellStyle name="Output 6" xfId="3439" xr:uid="{00000000-0005-0000-0000-000028660000}"/>
    <cellStyle name="Output 60" xfId="3440" xr:uid="{00000000-0005-0000-0000-000029660000}"/>
    <cellStyle name="Output 61" xfId="3441" xr:uid="{00000000-0005-0000-0000-00002A660000}"/>
    <cellStyle name="Output 62" xfId="3442" xr:uid="{00000000-0005-0000-0000-00002B660000}"/>
    <cellStyle name="Output 63" xfId="3443" xr:uid="{00000000-0005-0000-0000-00002C660000}"/>
    <cellStyle name="Output 64" xfId="3444" xr:uid="{00000000-0005-0000-0000-00002D660000}"/>
    <cellStyle name="Output 65" xfId="3445" xr:uid="{00000000-0005-0000-0000-00002E660000}"/>
    <cellStyle name="Output 66" xfId="3446" xr:uid="{00000000-0005-0000-0000-00002F660000}"/>
    <cellStyle name="Output 67" xfId="3447" xr:uid="{00000000-0005-0000-0000-000030660000}"/>
    <cellStyle name="Output 68" xfId="3448" xr:uid="{00000000-0005-0000-0000-000031660000}"/>
    <cellStyle name="Output 69" xfId="3449" xr:uid="{00000000-0005-0000-0000-000032660000}"/>
    <cellStyle name="Output 7" xfId="3450" xr:uid="{00000000-0005-0000-0000-000033660000}"/>
    <cellStyle name="Output 70" xfId="3451" xr:uid="{00000000-0005-0000-0000-000034660000}"/>
    <cellStyle name="Output 71" xfId="3452" xr:uid="{00000000-0005-0000-0000-000035660000}"/>
    <cellStyle name="Output 72" xfId="3453" xr:uid="{00000000-0005-0000-0000-000036660000}"/>
    <cellStyle name="Output 8" xfId="3454" xr:uid="{00000000-0005-0000-0000-000037660000}"/>
    <cellStyle name="Output 9" xfId="3455" xr:uid="{00000000-0005-0000-0000-000038660000}"/>
    <cellStyle name="Output Amounts" xfId="580" xr:uid="{00000000-0005-0000-0000-000039660000}"/>
    <cellStyle name="Output Amounts 2" xfId="3456" xr:uid="{00000000-0005-0000-0000-00003A660000}"/>
    <cellStyle name="Output Amounts 2 2" xfId="24208" xr:uid="{00000000-0005-0000-0000-00003B660000}"/>
    <cellStyle name="Output Amounts 3" xfId="13903" xr:uid="{00000000-0005-0000-0000-00003C660000}"/>
    <cellStyle name="Output Column Headings" xfId="3457" xr:uid="{00000000-0005-0000-0000-00003D660000}"/>
    <cellStyle name="Output Line Items" xfId="581" xr:uid="{00000000-0005-0000-0000-00003E660000}"/>
    <cellStyle name="Output Line Items 2" xfId="3458" xr:uid="{00000000-0005-0000-0000-00003F660000}"/>
    <cellStyle name="Output Line Items 3" xfId="13904" xr:uid="{00000000-0005-0000-0000-000040660000}"/>
    <cellStyle name="Output Report Heading" xfId="3459" xr:uid="{00000000-0005-0000-0000-000041660000}"/>
    <cellStyle name="Output Report Title" xfId="3460" xr:uid="{00000000-0005-0000-0000-000042660000}"/>
    <cellStyle name="Page Heading Large" xfId="582" xr:uid="{00000000-0005-0000-0000-000043660000}"/>
    <cellStyle name="Page Heading Small" xfId="583" xr:uid="{00000000-0005-0000-0000-000044660000}"/>
    <cellStyle name="Password" xfId="63" xr:uid="{00000000-0005-0000-0000-000045660000}"/>
    <cellStyle name="Password 2" xfId="24525" xr:uid="{00000000-0005-0000-0000-000046660000}"/>
    <cellStyle name="Password 2 2" xfId="27923" xr:uid="{00000000-0005-0000-0000-000047660000}"/>
    <cellStyle name="Password 2 2 2" xfId="32481" xr:uid="{4B9F2FAA-841D-4817-9798-5F63593C9445}"/>
    <cellStyle name="pct_sub" xfId="584" xr:uid="{00000000-0005-0000-0000-000048660000}"/>
    <cellStyle name="Percen - Style1" xfId="64" xr:uid="{00000000-0005-0000-0000-000049660000}"/>
    <cellStyle name="Percen - Style2" xfId="65" xr:uid="{00000000-0005-0000-0000-00004A660000}"/>
    <cellStyle name="Percent" xfId="25793" builtinId="5"/>
    <cellStyle name="Percent (0)" xfId="585" xr:uid="{00000000-0005-0000-0000-00004C660000}"/>
    <cellStyle name="Percent (0) 2" xfId="26048" xr:uid="{00000000-0005-0000-0000-00004D660000}"/>
    <cellStyle name="Percent [1]" xfId="586" xr:uid="{00000000-0005-0000-0000-00004E660000}"/>
    <cellStyle name="Percent [2]" xfId="66" xr:uid="{00000000-0005-0000-0000-00004F660000}"/>
    <cellStyle name="Percent [2] 2" xfId="25814" xr:uid="{00000000-0005-0000-0000-000050660000}"/>
    <cellStyle name="Percent 10" xfId="205" xr:uid="{00000000-0005-0000-0000-000051660000}"/>
    <cellStyle name="Percent 10 2" xfId="25895" xr:uid="{00000000-0005-0000-0000-000052660000}"/>
    <cellStyle name="Percent 11" xfId="206" xr:uid="{00000000-0005-0000-0000-000053660000}"/>
    <cellStyle name="Percent 11 2" xfId="25896" xr:uid="{00000000-0005-0000-0000-000054660000}"/>
    <cellStyle name="Percent 12" xfId="207" xr:uid="{00000000-0005-0000-0000-000055660000}"/>
    <cellStyle name="Percent 12 2" xfId="25897" xr:uid="{00000000-0005-0000-0000-000056660000}"/>
    <cellStyle name="Percent 13" xfId="208" xr:uid="{00000000-0005-0000-0000-000057660000}"/>
    <cellStyle name="Percent 13 2" xfId="25898" xr:uid="{00000000-0005-0000-0000-000058660000}"/>
    <cellStyle name="Percent 14" xfId="209" xr:uid="{00000000-0005-0000-0000-000059660000}"/>
    <cellStyle name="Percent 14 2" xfId="25899" xr:uid="{00000000-0005-0000-0000-00005A660000}"/>
    <cellStyle name="Percent 15" xfId="210" xr:uid="{00000000-0005-0000-0000-00005B660000}"/>
    <cellStyle name="Percent 15 2" xfId="25900" xr:uid="{00000000-0005-0000-0000-00005C660000}"/>
    <cellStyle name="Percent 16" xfId="211" xr:uid="{00000000-0005-0000-0000-00005D660000}"/>
    <cellStyle name="Percent 16 2" xfId="25901" xr:uid="{00000000-0005-0000-0000-00005E660000}"/>
    <cellStyle name="Percent 17" xfId="212" xr:uid="{00000000-0005-0000-0000-00005F660000}"/>
    <cellStyle name="Percent 17 2" xfId="25902" xr:uid="{00000000-0005-0000-0000-000060660000}"/>
    <cellStyle name="Percent 18" xfId="286" xr:uid="{00000000-0005-0000-0000-000061660000}"/>
    <cellStyle name="Percent 18 2" xfId="25943" xr:uid="{00000000-0005-0000-0000-000062660000}"/>
    <cellStyle name="Percent 19" xfId="287" xr:uid="{00000000-0005-0000-0000-000063660000}"/>
    <cellStyle name="Percent 19 2" xfId="25944" xr:uid="{00000000-0005-0000-0000-000064660000}"/>
    <cellStyle name="Percent 2" xfId="67" xr:uid="{00000000-0005-0000-0000-000065660000}"/>
    <cellStyle name="Percent 2 10" xfId="12601" xr:uid="{00000000-0005-0000-0000-000066660000}"/>
    <cellStyle name="Percent 2 11" xfId="24210" xr:uid="{00000000-0005-0000-0000-000067660000}"/>
    <cellStyle name="Percent 2 12" xfId="25748" xr:uid="{00000000-0005-0000-0000-000068660000}"/>
    <cellStyle name="Percent 2 2" xfId="213" xr:uid="{00000000-0005-0000-0000-000069660000}"/>
    <cellStyle name="Percent 2 2 2" xfId="467" xr:uid="{00000000-0005-0000-0000-00006A660000}"/>
    <cellStyle name="Percent 2 2 2 2" xfId="13831" xr:uid="{00000000-0005-0000-0000-00006B660000}"/>
    <cellStyle name="Percent 2 2 3" xfId="663" xr:uid="{00000000-0005-0000-0000-00006C660000}"/>
    <cellStyle name="Percent 2 2 4" xfId="23897" xr:uid="{00000000-0005-0000-0000-00006D660000}"/>
    <cellStyle name="Percent 2 2 5" xfId="25903" xr:uid="{00000000-0005-0000-0000-00006E660000}"/>
    <cellStyle name="Percent 2 3" xfId="358" xr:uid="{00000000-0005-0000-0000-00006F660000}"/>
    <cellStyle name="Percent 2 3 2" xfId="441" xr:uid="{00000000-0005-0000-0000-000070660000}"/>
    <cellStyle name="Percent 2 3 2 2" xfId="527" xr:uid="{00000000-0005-0000-0000-000071660000}"/>
    <cellStyle name="Percent 2 3 2 2 2" xfId="13890" xr:uid="{00000000-0005-0000-0000-000072660000}"/>
    <cellStyle name="Percent 2 3 2 3" xfId="13813" xr:uid="{00000000-0005-0000-0000-000073660000}"/>
    <cellStyle name="Percent 2 3 3" xfId="490" xr:uid="{00000000-0005-0000-0000-000074660000}"/>
    <cellStyle name="Percent 2 3 3 2" xfId="13853" xr:uid="{00000000-0005-0000-0000-000075660000}"/>
    <cellStyle name="Percent 2 3 4" xfId="13768" xr:uid="{00000000-0005-0000-0000-000076660000}"/>
    <cellStyle name="Percent 2 3 5" xfId="24211" xr:uid="{00000000-0005-0000-0000-000077660000}"/>
    <cellStyle name="Percent 2 3 5 2" xfId="27101" xr:uid="{00000000-0005-0000-0000-000078660000}"/>
    <cellStyle name="Percent 2 4" xfId="410" xr:uid="{00000000-0005-0000-0000-000079660000}"/>
    <cellStyle name="Percent 2 4 2" xfId="510" xr:uid="{00000000-0005-0000-0000-00007A660000}"/>
    <cellStyle name="Percent 2 4 2 2" xfId="13873" xr:uid="{00000000-0005-0000-0000-00007B660000}"/>
    <cellStyle name="Percent 2 4 3" xfId="13792" xr:uid="{00000000-0005-0000-0000-00007C660000}"/>
    <cellStyle name="Percent 2 4 4" xfId="24212" xr:uid="{00000000-0005-0000-0000-00007D660000}"/>
    <cellStyle name="Percent 2 4 4 2" xfId="27102" xr:uid="{00000000-0005-0000-0000-00007E660000}"/>
    <cellStyle name="Percent 2 5" xfId="466" xr:uid="{00000000-0005-0000-0000-00007F660000}"/>
    <cellStyle name="Percent 2 5 2" xfId="13830" xr:uid="{00000000-0005-0000-0000-000080660000}"/>
    <cellStyle name="Percent 2 5 3" xfId="24213" xr:uid="{00000000-0005-0000-0000-000081660000}"/>
    <cellStyle name="Percent 2 5 3 2" xfId="27103" xr:uid="{00000000-0005-0000-0000-000082660000}"/>
    <cellStyle name="Percent 2 6" xfId="475" xr:uid="{00000000-0005-0000-0000-000083660000}"/>
    <cellStyle name="Percent 2 6 2" xfId="13838" xr:uid="{00000000-0005-0000-0000-000084660000}"/>
    <cellStyle name="Percent 2 6 3" xfId="24214" xr:uid="{00000000-0005-0000-0000-000085660000}"/>
    <cellStyle name="Percent 2 6 3 2" xfId="27104" xr:uid="{00000000-0005-0000-0000-000086660000}"/>
    <cellStyle name="Percent 2 7" xfId="662" xr:uid="{00000000-0005-0000-0000-000087660000}"/>
    <cellStyle name="Percent 2 7 2" xfId="13914" xr:uid="{00000000-0005-0000-0000-000088660000}"/>
    <cellStyle name="Percent 2 7 3" xfId="24215" xr:uid="{00000000-0005-0000-0000-000089660000}"/>
    <cellStyle name="Percent 2 7 3 2" xfId="27105" xr:uid="{00000000-0005-0000-0000-00008A660000}"/>
    <cellStyle name="Percent 2 8" xfId="3461" xr:uid="{00000000-0005-0000-0000-00008B660000}"/>
    <cellStyle name="Percent 2 8 2" xfId="24216" xr:uid="{00000000-0005-0000-0000-00008C660000}"/>
    <cellStyle name="Percent 2 8 2 2" xfId="27106" xr:uid="{00000000-0005-0000-0000-00008D660000}"/>
    <cellStyle name="Percent 2 9" xfId="13619" xr:uid="{00000000-0005-0000-0000-00008E660000}"/>
    <cellStyle name="Percent 20" xfId="296" xr:uid="{00000000-0005-0000-0000-00008F660000}"/>
    <cellStyle name="Percent 20 2" xfId="25949" xr:uid="{00000000-0005-0000-0000-000090660000}"/>
    <cellStyle name="Percent 21" xfId="297" xr:uid="{00000000-0005-0000-0000-000091660000}"/>
    <cellStyle name="Percent 21 2" xfId="25950" xr:uid="{00000000-0005-0000-0000-000092660000}"/>
    <cellStyle name="Percent 22" xfId="298" xr:uid="{00000000-0005-0000-0000-000093660000}"/>
    <cellStyle name="Percent 22 2" xfId="25951" xr:uid="{00000000-0005-0000-0000-000094660000}"/>
    <cellStyle name="Percent 23" xfId="299" xr:uid="{00000000-0005-0000-0000-000095660000}"/>
    <cellStyle name="Percent 23 2" xfId="25952" xr:uid="{00000000-0005-0000-0000-000096660000}"/>
    <cellStyle name="Percent 24" xfId="304" xr:uid="{00000000-0005-0000-0000-000097660000}"/>
    <cellStyle name="Percent 24 2" xfId="25955" xr:uid="{00000000-0005-0000-0000-000098660000}"/>
    <cellStyle name="Percent 25" xfId="305" xr:uid="{00000000-0005-0000-0000-000099660000}"/>
    <cellStyle name="Percent 25 2" xfId="25956" xr:uid="{00000000-0005-0000-0000-00009A660000}"/>
    <cellStyle name="Percent 26" xfId="325" xr:uid="{00000000-0005-0000-0000-00009B660000}"/>
    <cellStyle name="Percent 26 2" xfId="25967" xr:uid="{00000000-0005-0000-0000-00009C660000}"/>
    <cellStyle name="Percent 27" xfId="326" xr:uid="{00000000-0005-0000-0000-00009D660000}"/>
    <cellStyle name="Percent 27 2" xfId="25968" xr:uid="{00000000-0005-0000-0000-00009E660000}"/>
    <cellStyle name="Percent 28" xfId="327" xr:uid="{00000000-0005-0000-0000-00009F660000}"/>
    <cellStyle name="Percent 28 2" xfId="25969" xr:uid="{00000000-0005-0000-0000-0000A0660000}"/>
    <cellStyle name="Percent 29" xfId="328" xr:uid="{00000000-0005-0000-0000-0000A1660000}"/>
    <cellStyle name="Percent 29 2" xfId="25970" xr:uid="{00000000-0005-0000-0000-0000A2660000}"/>
    <cellStyle name="Percent 3" xfId="68" xr:uid="{00000000-0005-0000-0000-0000A3660000}"/>
    <cellStyle name="Percent 3 10" xfId="25088" xr:uid="{00000000-0005-0000-0000-0000A4660000}"/>
    <cellStyle name="Percent 3 11" xfId="25815" xr:uid="{00000000-0005-0000-0000-0000A5660000}"/>
    <cellStyle name="Percent 3 2" xfId="171" xr:uid="{00000000-0005-0000-0000-0000A6660000}"/>
    <cellStyle name="Percent 3 2 2" xfId="362" xr:uid="{00000000-0005-0000-0000-0000A7660000}"/>
    <cellStyle name="Percent 3 2 2 2" xfId="444" xr:uid="{00000000-0005-0000-0000-0000A8660000}"/>
    <cellStyle name="Percent 3 2 2 2 2" xfId="530" xr:uid="{00000000-0005-0000-0000-0000A9660000}"/>
    <cellStyle name="Percent 3 2 2 2 2 2" xfId="13893" xr:uid="{00000000-0005-0000-0000-0000AA660000}"/>
    <cellStyle name="Percent 3 2 2 2 3" xfId="13816" xr:uid="{00000000-0005-0000-0000-0000AB660000}"/>
    <cellStyle name="Percent 3 2 2 3" xfId="493" xr:uid="{00000000-0005-0000-0000-0000AC660000}"/>
    <cellStyle name="Percent 3 2 2 3 2" xfId="13856" xr:uid="{00000000-0005-0000-0000-0000AD660000}"/>
    <cellStyle name="Percent 3 2 2 4" xfId="13772" xr:uid="{00000000-0005-0000-0000-0000AE660000}"/>
    <cellStyle name="Percent 3 2 2 5" xfId="24468" xr:uid="{00000000-0005-0000-0000-0000AF660000}"/>
    <cellStyle name="Percent 3 2 2 6" xfId="24910" xr:uid="{00000000-0005-0000-0000-0000B0660000}"/>
    <cellStyle name="Percent 3 2 2 7" xfId="25271" xr:uid="{00000000-0005-0000-0000-0000B1660000}"/>
    <cellStyle name="Percent 3 2 3" xfId="424" xr:uid="{00000000-0005-0000-0000-0000B2660000}"/>
    <cellStyle name="Percent 3 2 3 2" xfId="515" xr:uid="{00000000-0005-0000-0000-0000B3660000}"/>
    <cellStyle name="Percent 3 2 3 2 2" xfId="13878" xr:uid="{00000000-0005-0000-0000-0000B4660000}"/>
    <cellStyle name="Percent 3 2 3 3" xfId="13801" xr:uid="{00000000-0005-0000-0000-0000B5660000}"/>
    <cellStyle name="Percent 3 2 4" xfId="478" xr:uid="{00000000-0005-0000-0000-0000B6660000}"/>
    <cellStyle name="Percent 3 2 4 2" xfId="13841" xr:uid="{00000000-0005-0000-0000-0000B7660000}"/>
    <cellStyle name="Percent 3 2 5" xfId="13686" xr:uid="{00000000-0005-0000-0000-0000B8660000}"/>
    <cellStyle name="Percent 3 2 6" xfId="24218" xr:uid="{00000000-0005-0000-0000-0000B9660000}"/>
    <cellStyle name="Percent 3 2 7" xfId="24763" xr:uid="{00000000-0005-0000-0000-0000BA660000}"/>
    <cellStyle name="Percent 3 2 8" xfId="25089" xr:uid="{00000000-0005-0000-0000-0000BB660000}"/>
    <cellStyle name="Percent 3 3" xfId="214" xr:uid="{00000000-0005-0000-0000-0000BC660000}"/>
    <cellStyle name="Percent 3 3 2" xfId="368" xr:uid="{00000000-0005-0000-0000-0000BD660000}"/>
    <cellStyle name="Percent 3 3 2 2" xfId="450" xr:uid="{00000000-0005-0000-0000-0000BE660000}"/>
    <cellStyle name="Percent 3 3 2 2 2" xfId="536" xr:uid="{00000000-0005-0000-0000-0000BF660000}"/>
    <cellStyle name="Percent 3 3 2 2 2 2" xfId="13899" xr:uid="{00000000-0005-0000-0000-0000C0660000}"/>
    <cellStyle name="Percent 3 3 2 2 3" xfId="13822" xr:uid="{00000000-0005-0000-0000-0000C1660000}"/>
    <cellStyle name="Percent 3 3 2 3" xfId="499" xr:uid="{00000000-0005-0000-0000-0000C2660000}"/>
    <cellStyle name="Percent 3 3 2 3 2" xfId="13862" xr:uid="{00000000-0005-0000-0000-0000C3660000}"/>
    <cellStyle name="Percent 3 3 2 4" xfId="13778" xr:uid="{00000000-0005-0000-0000-0000C4660000}"/>
    <cellStyle name="Percent 3 3 3" xfId="431" xr:uid="{00000000-0005-0000-0000-0000C5660000}"/>
    <cellStyle name="Percent 3 3 3 2" xfId="521" xr:uid="{00000000-0005-0000-0000-0000C6660000}"/>
    <cellStyle name="Percent 3 3 3 2 2" xfId="13884" xr:uid="{00000000-0005-0000-0000-0000C7660000}"/>
    <cellStyle name="Percent 3 3 3 3" xfId="13807" xr:uid="{00000000-0005-0000-0000-0000C8660000}"/>
    <cellStyle name="Percent 3 3 4" xfId="484" xr:uid="{00000000-0005-0000-0000-0000C9660000}"/>
    <cellStyle name="Percent 3 3 4 2" xfId="13847" xr:uid="{00000000-0005-0000-0000-0000CA660000}"/>
    <cellStyle name="Percent 3 3 5" xfId="13704" xr:uid="{00000000-0005-0000-0000-0000CB660000}"/>
    <cellStyle name="Percent 3 3 6" xfId="24467" xr:uid="{00000000-0005-0000-0000-0000CC660000}"/>
    <cellStyle name="Percent 3 3 7" xfId="24909" xr:uid="{00000000-0005-0000-0000-0000CD660000}"/>
    <cellStyle name="Percent 3 3 8" xfId="25270" xr:uid="{00000000-0005-0000-0000-0000CE660000}"/>
    <cellStyle name="Percent 3 4" xfId="3621" xr:uid="{00000000-0005-0000-0000-0000CF660000}"/>
    <cellStyle name="Percent 3 5" xfId="13620" xr:uid="{00000000-0005-0000-0000-0000D0660000}"/>
    <cellStyle name="Percent 3 5 2" xfId="26562" xr:uid="{00000000-0005-0000-0000-0000D1660000}"/>
    <cellStyle name="Percent 3 6" xfId="13598" xr:uid="{00000000-0005-0000-0000-0000D2660000}"/>
    <cellStyle name="Percent 3 7" xfId="23907" xr:uid="{00000000-0005-0000-0000-0000D3660000}"/>
    <cellStyle name="Percent 3 8" xfId="24217" xr:uid="{00000000-0005-0000-0000-0000D4660000}"/>
    <cellStyle name="Percent 3 9" xfId="24762" xr:uid="{00000000-0005-0000-0000-0000D5660000}"/>
    <cellStyle name="Percent 30" xfId="329" xr:uid="{00000000-0005-0000-0000-0000D6660000}"/>
    <cellStyle name="Percent 30 2" xfId="25971" xr:uid="{00000000-0005-0000-0000-0000D7660000}"/>
    <cellStyle name="Percent 31" xfId="330" xr:uid="{00000000-0005-0000-0000-0000D8660000}"/>
    <cellStyle name="Percent 31 2" xfId="25972" xr:uid="{00000000-0005-0000-0000-0000D9660000}"/>
    <cellStyle name="Percent 32" xfId="331" xr:uid="{00000000-0005-0000-0000-0000DA660000}"/>
    <cellStyle name="Percent 32 2" xfId="25973" xr:uid="{00000000-0005-0000-0000-0000DB660000}"/>
    <cellStyle name="Percent 33" xfId="332" xr:uid="{00000000-0005-0000-0000-0000DC660000}"/>
    <cellStyle name="Percent 33 2" xfId="25974" xr:uid="{00000000-0005-0000-0000-0000DD660000}"/>
    <cellStyle name="Percent 34" xfId="344" xr:uid="{00000000-0005-0000-0000-0000DE660000}"/>
    <cellStyle name="Percent 34 2" xfId="25982" xr:uid="{00000000-0005-0000-0000-0000DF660000}"/>
    <cellStyle name="Percent 35" xfId="345" xr:uid="{00000000-0005-0000-0000-0000E0660000}"/>
    <cellStyle name="Percent 35 2" xfId="25983" xr:uid="{00000000-0005-0000-0000-0000E1660000}"/>
    <cellStyle name="Percent 36" xfId="346" xr:uid="{00000000-0005-0000-0000-0000E2660000}"/>
    <cellStyle name="Percent 36 2" xfId="25984" xr:uid="{00000000-0005-0000-0000-0000E3660000}"/>
    <cellStyle name="Percent 37" xfId="347" xr:uid="{00000000-0005-0000-0000-0000E4660000}"/>
    <cellStyle name="Percent 37 2" xfId="25985" xr:uid="{00000000-0005-0000-0000-0000E5660000}"/>
    <cellStyle name="Percent 38" xfId="396" xr:uid="{00000000-0005-0000-0000-0000E6660000}"/>
    <cellStyle name="Percent 38 2" xfId="26006" xr:uid="{00000000-0005-0000-0000-0000E7660000}"/>
    <cellStyle name="Percent 39" xfId="372" xr:uid="{00000000-0005-0000-0000-0000E8660000}"/>
    <cellStyle name="Percent 39 2" xfId="502" xr:uid="{00000000-0005-0000-0000-0000E9660000}"/>
    <cellStyle name="Percent 39 2 2" xfId="13865" xr:uid="{00000000-0005-0000-0000-0000EA660000}"/>
    <cellStyle name="Percent 39 3" xfId="13781" xr:uid="{00000000-0005-0000-0000-0000EB660000}"/>
    <cellStyle name="Percent 4" xfId="69" xr:uid="{00000000-0005-0000-0000-0000EC660000}"/>
    <cellStyle name="Percent 4 2" xfId="24304" xr:uid="{00000000-0005-0000-0000-0000ED660000}"/>
    <cellStyle name="Percent 4 2 2" xfId="27140" xr:uid="{00000000-0005-0000-0000-0000EE660000}"/>
    <cellStyle name="Percent 4 3" xfId="24219" xr:uid="{00000000-0005-0000-0000-0000EF660000}"/>
    <cellStyle name="Percent 4 4" xfId="25792" xr:uid="{00000000-0005-0000-0000-0000F0660000}"/>
    <cellStyle name="Percent 40" xfId="418" xr:uid="{00000000-0005-0000-0000-0000F1660000}"/>
    <cellStyle name="Percent 40 2" xfId="511" xr:uid="{00000000-0005-0000-0000-0000F2660000}"/>
    <cellStyle name="Percent 40 2 2" xfId="13874" xr:uid="{00000000-0005-0000-0000-0000F3660000}"/>
    <cellStyle name="Percent 40 3" xfId="13797" xr:uid="{00000000-0005-0000-0000-0000F4660000}"/>
    <cellStyle name="Percent 41" xfId="432" xr:uid="{00000000-0005-0000-0000-0000F5660000}"/>
    <cellStyle name="Percent 41 2" xfId="522" xr:uid="{00000000-0005-0000-0000-0000F6660000}"/>
    <cellStyle name="Percent 41 2 2" xfId="13885" xr:uid="{00000000-0005-0000-0000-0000F7660000}"/>
    <cellStyle name="Percent 41 3" xfId="13808" xr:uid="{00000000-0005-0000-0000-0000F8660000}"/>
    <cellStyle name="Percent 42" xfId="453" xr:uid="{00000000-0005-0000-0000-0000F9660000}"/>
    <cellStyle name="Percent 42 2" xfId="539" xr:uid="{00000000-0005-0000-0000-0000FA660000}"/>
    <cellStyle name="Percent 42 2 2" xfId="13902" xr:uid="{00000000-0005-0000-0000-0000FB660000}"/>
    <cellStyle name="Percent 42 3" xfId="13825" xr:uid="{00000000-0005-0000-0000-0000FC660000}"/>
    <cellStyle name="Percent 43" xfId="13602" xr:uid="{00000000-0005-0000-0000-0000FD660000}"/>
    <cellStyle name="Percent 43 2" xfId="26555" xr:uid="{00000000-0005-0000-0000-0000FE660000}"/>
    <cellStyle name="Percent 44" xfId="23887" xr:uid="{00000000-0005-0000-0000-0000FF660000}"/>
    <cellStyle name="Percent 45" xfId="23890" xr:uid="{00000000-0005-0000-0000-000000670000}"/>
    <cellStyle name="Percent 46" xfId="23894" xr:uid="{00000000-0005-0000-0000-000001670000}"/>
    <cellStyle name="Percent 47" xfId="4" xr:uid="{00000000-0005-0000-0000-000002670000}"/>
    <cellStyle name="Percent 47 2" xfId="25798" xr:uid="{00000000-0005-0000-0000-000003670000}"/>
    <cellStyle name="Percent 48" xfId="25279" xr:uid="{00000000-0005-0000-0000-000004670000}"/>
    <cellStyle name="Percent 48 2" xfId="27434" xr:uid="{00000000-0005-0000-0000-000005670000}"/>
    <cellStyle name="Percent 49" xfId="25292" xr:uid="{00000000-0005-0000-0000-000006670000}"/>
    <cellStyle name="Percent 49 2" xfId="27447" xr:uid="{00000000-0005-0000-0000-000007670000}"/>
    <cellStyle name="Percent 5" xfId="70" xr:uid="{00000000-0005-0000-0000-000008670000}"/>
    <cellStyle name="Percent 5 2" xfId="24292" xr:uid="{00000000-0005-0000-0000-000009670000}"/>
    <cellStyle name="Percent 5 3" xfId="25816" xr:uid="{00000000-0005-0000-0000-00000A670000}"/>
    <cellStyle name="Percent 50" xfId="25458" xr:uid="{00000000-0005-0000-0000-00000B670000}"/>
    <cellStyle name="Percent 50 2" xfId="27611" xr:uid="{00000000-0005-0000-0000-00000C670000}"/>
    <cellStyle name="Percent 51" xfId="25749" xr:uid="{00000000-0005-0000-0000-00000D670000}"/>
    <cellStyle name="Percent 52" xfId="25756" xr:uid="{00000000-0005-0000-0000-00000E670000}"/>
    <cellStyle name="Percent 53" xfId="25758" xr:uid="{00000000-0005-0000-0000-00000F670000}"/>
    <cellStyle name="Percent 54" xfId="25762" xr:uid="{00000000-0005-0000-0000-000010670000}"/>
    <cellStyle name="Percent 55" xfId="25763" xr:uid="{00000000-0005-0000-0000-000011670000}"/>
    <cellStyle name="Percent 6" xfId="215" xr:uid="{00000000-0005-0000-0000-000012670000}"/>
    <cellStyle name="Percent 6 2" xfId="664" xr:uid="{00000000-0005-0000-0000-000013670000}"/>
    <cellStyle name="Percent 6 2 2" xfId="24480" xr:uid="{00000000-0005-0000-0000-000014670000}"/>
    <cellStyle name="Percent 6 2 3" xfId="24912" xr:uid="{00000000-0005-0000-0000-000015670000}"/>
    <cellStyle name="Percent 6 2 4" xfId="25272" xr:uid="{00000000-0005-0000-0000-000016670000}"/>
    <cellStyle name="Percent 6 3" xfId="24294" xr:uid="{00000000-0005-0000-0000-000017670000}"/>
    <cellStyle name="Percent 6 4" xfId="24775" xr:uid="{00000000-0005-0000-0000-000018670000}"/>
    <cellStyle name="Percent 6 5" xfId="25144" xr:uid="{00000000-0005-0000-0000-000019670000}"/>
    <cellStyle name="Percent 6 6" xfId="25904" xr:uid="{00000000-0005-0000-0000-00001A670000}"/>
    <cellStyle name="Percent 7" xfId="216" xr:uid="{00000000-0005-0000-0000-00001B670000}"/>
    <cellStyle name="Percent 7 2" xfId="25905" xr:uid="{00000000-0005-0000-0000-00001C670000}"/>
    <cellStyle name="Percent 8" xfId="217" xr:uid="{00000000-0005-0000-0000-00001D670000}"/>
    <cellStyle name="Percent 8 2" xfId="25906" xr:uid="{00000000-0005-0000-0000-00001E670000}"/>
    <cellStyle name="Percent 9" xfId="218" xr:uid="{00000000-0005-0000-0000-00001F670000}"/>
    <cellStyle name="Percent 9 2" xfId="25907" xr:uid="{00000000-0005-0000-0000-000020670000}"/>
    <cellStyle name="Percent Hard" xfId="587" xr:uid="{00000000-0005-0000-0000-000021670000}"/>
    <cellStyle name="Percent Hard 2" xfId="24220" xr:uid="{00000000-0005-0000-0000-000022670000}"/>
    <cellStyle name="Percent(0)" xfId="71" xr:uid="{00000000-0005-0000-0000-000023670000}"/>
    <cellStyle name="Percentage" xfId="588" xr:uid="{00000000-0005-0000-0000-000024670000}"/>
    <cellStyle name="Perlong" xfId="589" xr:uid="{00000000-0005-0000-0000-000025670000}"/>
    <cellStyle name="Private" xfId="590" xr:uid="{00000000-0005-0000-0000-000026670000}"/>
    <cellStyle name="Private 2" xfId="24780" xr:uid="{00000000-0005-0000-0000-000027670000}"/>
    <cellStyle name="Private1" xfId="591" xr:uid="{00000000-0005-0000-0000-000028670000}"/>
    <cellStyle name="Private1 2" xfId="24221" xr:uid="{00000000-0005-0000-0000-000029670000}"/>
    <cellStyle name="r" xfId="592" xr:uid="{00000000-0005-0000-0000-00002A670000}"/>
    <cellStyle name="r 2" xfId="24222" xr:uid="{00000000-0005-0000-0000-00002B670000}"/>
    <cellStyle name="r_10_21 A&amp;G Review" xfId="593" xr:uid="{00000000-0005-0000-0000-00002C670000}"/>
    <cellStyle name="r_10_21 A&amp;G Review 2" xfId="24223" xr:uid="{00000000-0005-0000-0000-00002D670000}"/>
    <cellStyle name="r_10_21 A&amp;G Review Raul" xfId="594" xr:uid="{00000000-0005-0000-0000-00002E670000}"/>
    <cellStyle name="r_10_21 A&amp;G Review Raul 2" xfId="24224" xr:uid="{00000000-0005-0000-0000-00002F670000}"/>
    <cellStyle name="r_10-17" xfId="595" xr:uid="{00000000-0005-0000-0000-000030670000}"/>
    <cellStyle name="r_10-17 2" xfId="24225" xr:uid="{00000000-0005-0000-0000-000031670000}"/>
    <cellStyle name="r_2003 Reduction &amp; Sensitivities" xfId="596" xr:uid="{00000000-0005-0000-0000-000032670000}"/>
    <cellStyle name="r_2003 Reduction &amp; Sensitivities 2" xfId="24226" xr:uid="{00000000-0005-0000-0000-000033670000}"/>
    <cellStyle name="r_2003BudgetVariances" xfId="597" xr:uid="{00000000-0005-0000-0000-000034670000}"/>
    <cellStyle name="r_2003BudgetVariances 2" xfId="24227" xr:uid="{00000000-0005-0000-0000-000035670000}"/>
    <cellStyle name="r_Aug 02 FOR" xfId="598" xr:uid="{00000000-0005-0000-0000-000036670000}"/>
    <cellStyle name="r_Aug 02 FOR 2" xfId="24228" xr:uid="{00000000-0005-0000-0000-000037670000}"/>
    <cellStyle name="r_forecastTools6" xfId="599" xr:uid="{00000000-0005-0000-0000-000038670000}"/>
    <cellStyle name="r_forecastTools6 2" xfId="24229" xr:uid="{00000000-0005-0000-0000-000039670000}"/>
    <cellStyle name="r_Interest model" xfId="600" xr:uid="{00000000-0005-0000-0000-00003A670000}"/>
    <cellStyle name="r_Interest model 2" xfId="24230" xr:uid="{00000000-0005-0000-0000-00003B670000}"/>
    <cellStyle name="r_Interest model_PGE FS 1999 - 2006 10-23 V1 - for budget pres" xfId="601" xr:uid="{00000000-0005-0000-0000-00003C670000}"/>
    <cellStyle name="r_Interest model_PGE FS 1999 - 2006 10-23 V1 - for budget pres 2" xfId="24231" xr:uid="{00000000-0005-0000-0000-00003D670000}"/>
    <cellStyle name="r_Mary Cilia Model with Current Projections (LINKED)" xfId="602" xr:uid="{00000000-0005-0000-0000-00003E670000}"/>
    <cellStyle name="r_Mary Cilia Model with Current Projections (LINKED) 2" xfId="24232" xr:uid="{00000000-0005-0000-0000-00003F670000}"/>
    <cellStyle name="r_OpCo and Prelim Budget-2003 Final" xfId="603" xr:uid="{00000000-0005-0000-0000-000040670000}"/>
    <cellStyle name="r_OpCo and Prelim Budget-2003 Final 2" xfId="24233" xr:uid="{00000000-0005-0000-0000-000041670000}"/>
    <cellStyle name="r_OpCo and Prelim Budget-2003 Final_PGE FS 1999 - 2006 10-23 V1 - for budget pres" xfId="604" xr:uid="{00000000-0005-0000-0000-000042670000}"/>
    <cellStyle name="r_OpCo and Prelim Budget-2003 Final_PGE FS 1999 - 2006 10-23 V1 - for budget pres 2" xfId="24234" xr:uid="{00000000-0005-0000-0000-000043670000}"/>
    <cellStyle name="r_PGE FS 1999 - 2006 10-23 V1 - for budget pres" xfId="605" xr:uid="{00000000-0005-0000-0000-000044670000}"/>
    <cellStyle name="r_PGE FS 1999 - 2006 10-23 V1 - for budget pres 2" xfId="24235" xr:uid="{00000000-0005-0000-0000-000045670000}"/>
    <cellStyle name="r_PGE OpCo Forecast for Budget Presentation" xfId="606" xr:uid="{00000000-0005-0000-0000-000046670000}"/>
    <cellStyle name="r_PGE OpCo Forecast for Budget Presentation 2" xfId="24236" xr:uid="{00000000-0005-0000-0000-000047670000}"/>
    <cellStyle name="r_PGG Draft Cons Forecast 4-14 Revised" xfId="607" xr:uid="{00000000-0005-0000-0000-000048670000}"/>
    <cellStyle name="r_PGG Draft Cons Forecast 4-14 Revised 2" xfId="24237" xr:uid="{00000000-0005-0000-0000-000049670000}"/>
    <cellStyle name="r_PGG Draft Cons Forecast 4-14 Revised_PGE FS 1999 - 2006 10-23 V1 - for budget pres" xfId="608" xr:uid="{00000000-0005-0000-0000-00004A670000}"/>
    <cellStyle name="r_PGG Draft Cons Forecast 4-14 Revised_PGE FS 1999 - 2006 10-23 V1 - for budget pres 2" xfId="24238" xr:uid="{00000000-0005-0000-0000-00004B670000}"/>
    <cellStyle name="r_Reg Assets &amp; Liab" xfId="609" xr:uid="{00000000-0005-0000-0000-00004C670000}"/>
    <cellStyle name="r_Reg Assets &amp; Liab 2" xfId="24239" xr:uid="{00000000-0005-0000-0000-00004D670000}"/>
    <cellStyle name="r_Summary" xfId="610" xr:uid="{00000000-0005-0000-0000-00004E670000}"/>
    <cellStyle name="r_Summary - OpCo and Prelim Budget-2003 Final" xfId="611" xr:uid="{00000000-0005-0000-0000-00004F670000}"/>
    <cellStyle name="r_Summary - OpCo and Prelim Budget-2003 Final 2" xfId="24241" xr:uid="{00000000-0005-0000-0000-000050670000}"/>
    <cellStyle name="r_Summary - OpCo and Prelim Budget-2003 Final_PGE FS 1999 - 2006 10-23 V1 - for budget pres" xfId="612" xr:uid="{00000000-0005-0000-0000-000051670000}"/>
    <cellStyle name="r_Summary - OpCo and Prelim Budget-2003 Final_PGE FS 1999 - 2006 10-23 V1 - for budget pres 2" xfId="24242" xr:uid="{00000000-0005-0000-0000-000052670000}"/>
    <cellStyle name="r_Summary 10" xfId="24465" xr:uid="{00000000-0005-0000-0000-000053670000}"/>
    <cellStyle name="r_Summary 11" xfId="24393" xr:uid="{00000000-0005-0000-0000-000054670000}"/>
    <cellStyle name="r_Summary 12" xfId="24418" xr:uid="{00000000-0005-0000-0000-000055670000}"/>
    <cellStyle name="r_Summary 13" xfId="24395" xr:uid="{00000000-0005-0000-0000-000056670000}"/>
    <cellStyle name="r_Summary 14" xfId="24475" xr:uid="{00000000-0005-0000-0000-000057670000}"/>
    <cellStyle name="r_Summary 15" xfId="24396" xr:uid="{00000000-0005-0000-0000-000058670000}"/>
    <cellStyle name="r_Summary 16" xfId="24415" xr:uid="{00000000-0005-0000-0000-000059670000}"/>
    <cellStyle name="r_Summary 17" xfId="24397" xr:uid="{00000000-0005-0000-0000-00005A670000}"/>
    <cellStyle name="r_Summary 18" xfId="24414" xr:uid="{00000000-0005-0000-0000-00005B670000}"/>
    <cellStyle name="r_Summary 19" xfId="24499" xr:uid="{00000000-0005-0000-0000-00005C670000}"/>
    <cellStyle name="r_Summary 2" xfId="24240" xr:uid="{00000000-0005-0000-0000-00005D670000}"/>
    <cellStyle name="r_Summary 20" xfId="24413" xr:uid="{00000000-0005-0000-0000-00005E670000}"/>
    <cellStyle name="r_Summary 21" xfId="24398" xr:uid="{00000000-0005-0000-0000-00005F670000}"/>
    <cellStyle name="r_Summary 22" xfId="24412" xr:uid="{00000000-0005-0000-0000-000060670000}"/>
    <cellStyle name="r_Summary 23" xfId="24505" xr:uid="{00000000-0005-0000-0000-000061670000}"/>
    <cellStyle name="r_Summary 24" xfId="24410" xr:uid="{00000000-0005-0000-0000-000062670000}"/>
    <cellStyle name="r_Summary 25" xfId="24492" xr:uid="{00000000-0005-0000-0000-000063670000}"/>
    <cellStyle name="r_Summary 26" xfId="24473" xr:uid="{00000000-0005-0000-0000-000064670000}"/>
    <cellStyle name="r_Summary 3" xfId="24312" xr:uid="{00000000-0005-0000-0000-000065670000}"/>
    <cellStyle name="r_Summary 4" xfId="24308" xr:uid="{00000000-0005-0000-0000-000066670000}"/>
    <cellStyle name="r_Summary 5" xfId="24313" xr:uid="{00000000-0005-0000-0000-000067670000}"/>
    <cellStyle name="r_Summary 6" xfId="24472" xr:uid="{00000000-0005-0000-0000-000068670000}"/>
    <cellStyle name="r_Summary 7" xfId="24486" xr:uid="{00000000-0005-0000-0000-000069670000}"/>
    <cellStyle name="r_Summary 8" xfId="24469" xr:uid="{00000000-0005-0000-0000-00006A670000}"/>
    <cellStyle name="r_Summary 9" xfId="24504" xr:uid="{00000000-0005-0000-0000-00006B670000}"/>
    <cellStyle name="r_Summary_PGE FS 1999 - 2006 10-23 V1 - for budget pres" xfId="613" xr:uid="{00000000-0005-0000-0000-00006C670000}"/>
    <cellStyle name="r_Summary_PGE FS 1999 - 2006 10-23 V1 - for budget pres 2" xfId="24243" xr:uid="{00000000-0005-0000-0000-00006D670000}"/>
    <cellStyle name="ReportTitlePrompt" xfId="3462" xr:uid="{00000000-0005-0000-0000-00006E670000}"/>
    <cellStyle name="ReportTitleValue" xfId="3463" xr:uid="{00000000-0005-0000-0000-00006F670000}"/>
    <cellStyle name="Right" xfId="614" xr:uid="{00000000-0005-0000-0000-000070670000}"/>
    <cellStyle name="Right 2" xfId="24244" xr:uid="{00000000-0005-0000-0000-000071670000}"/>
    <cellStyle name="RowAcctAbovePrompt" xfId="3464" xr:uid="{00000000-0005-0000-0000-000072670000}"/>
    <cellStyle name="RowAcctSOBAbovePrompt" xfId="3465" xr:uid="{00000000-0005-0000-0000-000073670000}"/>
    <cellStyle name="RowAcctSOBValue" xfId="3466" xr:uid="{00000000-0005-0000-0000-000074670000}"/>
    <cellStyle name="RowAcctValue" xfId="3467" xr:uid="{00000000-0005-0000-0000-000075670000}"/>
    <cellStyle name="RowAttrAbovePrompt" xfId="3468" xr:uid="{00000000-0005-0000-0000-000076670000}"/>
    <cellStyle name="RowAttrValue" xfId="3469" xr:uid="{00000000-0005-0000-0000-000077670000}"/>
    <cellStyle name="RowColSetAbovePrompt" xfId="3470" xr:uid="{00000000-0005-0000-0000-000078670000}"/>
    <cellStyle name="RowColSetLeftPrompt" xfId="3471" xr:uid="{00000000-0005-0000-0000-000079670000}"/>
    <cellStyle name="RowColSetValue" xfId="3472" xr:uid="{00000000-0005-0000-0000-00007A670000}"/>
    <cellStyle name="RowLeftPrompt" xfId="3473" xr:uid="{00000000-0005-0000-0000-00007B670000}"/>
    <cellStyle name="SampleUsingFormatMask" xfId="3474" xr:uid="{00000000-0005-0000-0000-00007C670000}"/>
    <cellStyle name="SampleWithNoFormatMask" xfId="3475" xr:uid="{00000000-0005-0000-0000-00007D670000}"/>
    <cellStyle name="SAPBEXaggData" xfId="72" xr:uid="{00000000-0005-0000-0000-00007E670000}"/>
    <cellStyle name="SAPBEXaggData 2" xfId="13621" xr:uid="{00000000-0005-0000-0000-00007F670000}"/>
    <cellStyle name="SAPBEXaggData 2 2" xfId="25459" xr:uid="{00000000-0005-0000-0000-000080670000}"/>
    <cellStyle name="SAPBEXaggData 2 2 2" xfId="27612" xr:uid="{00000000-0005-0000-0000-000081670000}"/>
    <cellStyle name="SAPBEXaggData 2 2 2 2" xfId="32199" xr:uid="{7A7BD6F2-74F0-4048-8D37-2C46C5430AF4}"/>
    <cellStyle name="SAPBEXaggData 2 2 3" xfId="27933" xr:uid="{00000000-0005-0000-0000-000082670000}"/>
    <cellStyle name="SAPBEXaggData 2 2 3 2" xfId="32491" xr:uid="{3F83CFB6-827B-45AA-8D60-9E0DBAE8668E}"/>
    <cellStyle name="SAPBEXaggData 2 2 4" xfId="26086" xr:uid="{00000000-0005-0000-0000-000083670000}"/>
    <cellStyle name="SAPBEXaggData 2 2 4 2" xfId="30876" xr:uid="{99B58365-E574-4F2F-A259-B0562D23FF59}"/>
    <cellStyle name="SAPBEXaggData 2 2 5" xfId="29485" xr:uid="{00000000-0005-0000-0000-000084670000}"/>
    <cellStyle name="SAPBEXaggData 2 3" xfId="26563" xr:uid="{00000000-0005-0000-0000-000085670000}"/>
    <cellStyle name="SAPBEXaggData 2 3 2" xfId="31341" xr:uid="{AE0C367D-55E8-4404-BD2F-62CC8EA70B88}"/>
    <cellStyle name="SAPBEXaggData 2 4" xfId="27932" xr:uid="{00000000-0005-0000-0000-000086670000}"/>
    <cellStyle name="SAPBEXaggData 2 4 2" xfId="32490" xr:uid="{43D3AFEE-79CD-4E89-BE34-7C3ADB0ADBA4}"/>
    <cellStyle name="SAPBEXaggData 2 5" xfId="26182" xr:uid="{00000000-0005-0000-0000-000087670000}"/>
    <cellStyle name="SAPBEXaggData 2 5 2" xfId="30970" xr:uid="{76FB0124-5DEF-43D7-B453-15A9F7696749}"/>
    <cellStyle name="SAPBEXaggData 2 6" xfId="29484" xr:uid="{00000000-0005-0000-0000-000088670000}"/>
    <cellStyle name="SAPBEXaggData 2 7" xfId="30161" xr:uid="{92D858B1-E627-4278-8819-66066A4D4964}"/>
    <cellStyle name="SAPBEXaggData 3" xfId="24686" xr:uid="{00000000-0005-0000-0000-000089670000}"/>
    <cellStyle name="SAPBEXaggData 3 2" xfId="25423" xr:uid="{00000000-0005-0000-0000-00008A670000}"/>
    <cellStyle name="SAPBEXaggData 3 2 2" xfId="27577" xr:uid="{00000000-0005-0000-0000-00008B670000}"/>
    <cellStyle name="SAPBEXaggData 3 2 2 2" xfId="32168" xr:uid="{2177028A-E649-4749-8CF0-FE23E34394AA}"/>
    <cellStyle name="SAPBEXaggData 3 2 3" xfId="27935" xr:uid="{00000000-0005-0000-0000-00008C670000}"/>
    <cellStyle name="SAPBEXaggData 3 2 3 2" xfId="32493" xr:uid="{7BE0B56B-1AA1-4FAC-BDE4-7DFF8E096042}"/>
    <cellStyle name="SAPBEXaggData 3 2 4" xfId="26481" xr:uid="{00000000-0005-0000-0000-00008D670000}"/>
    <cellStyle name="SAPBEXaggData 3 2 4 2" xfId="31269" xr:uid="{D1DA1C18-EEF4-42D5-8980-11501320D07B}"/>
    <cellStyle name="SAPBEXaggData 3 2 5" xfId="29487" xr:uid="{00000000-0005-0000-0000-00008E670000}"/>
    <cellStyle name="SAPBEXaggData 3 2 6" xfId="30581" xr:uid="{E6267DBD-8039-4504-902D-3554711A2BB6}"/>
    <cellStyle name="SAPBEXaggData 3 3" xfId="25649" xr:uid="{00000000-0005-0000-0000-00008F670000}"/>
    <cellStyle name="SAPBEXaggData 3 3 2" xfId="27802" xr:uid="{00000000-0005-0000-0000-000090670000}"/>
    <cellStyle name="SAPBEXaggData 3 3 2 2" xfId="32389" xr:uid="{5B7352C9-F2B0-441C-9330-A7D74409D31B}"/>
    <cellStyle name="SAPBEXaggData 3 3 3" xfId="27936" xr:uid="{00000000-0005-0000-0000-000091670000}"/>
    <cellStyle name="SAPBEXaggData 3 3 3 2" xfId="32494" xr:uid="{44C476FD-528D-438E-A0A4-90B87E382C75}"/>
    <cellStyle name="SAPBEXaggData 3 3 4" xfId="26358" xr:uid="{00000000-0005-0000-0000-000092670000}"/>
    <cellStyle name="SAPBEXaggData 3 3 4 2" xfId="31146" xr:uid="{9614230F-CCB2-43FF-AE48-096DA24E68BF}"/>
    <cellStyle name="SAPBEXaggData 3 3 5" xfId="29488" xr:uid="{00000000-0005-0000-0000-000093670000}"/>
    <cellStyle name="SAPBEXaggData 3 4" xfId="27276" xr:uid="{00000000-0005-0000-0000-000094670000}"/>
    <cellStyle name="SAPBEXaggData 3 4 2" xfId="31911" xr:uid="{3CA71A48-4CF2-41B3-95D8-E85DF320C1E4}"/>
    <cellStyle name="SAPBEXaggData 3 5" xfId="27934" xr:uid="{00000000-0005-0000-0000-000095670000}"/>
    <cellStyle name="SAPBEXaggData 3 5 2" xfId="32492" xr:uid="{E48813A4-1068-4662-8CAC-621E63E9FE0E}"/>
    <cellStyle name="SAPBEXaggData 3 6" xfId="27002" xr:uid="{00000000-0005-0000-0000-000096670000}"/>
    <cellStyle name="SAPBEXaggData 3 6 2" xfId="31762" xr:uid="{1BC70BF3-7B93-48B2-871E-B34DAD7E576D}"/>
    <cellStyle name="SAPBEXaggData 3 7" xfId="29486" xr:uid="{00000000-0005-0000-0000-000097670000}"/>
    <cellStyle name="SAPBEXaggData 3 8" xfId="30351" xr:uid="{D5FBE9D2-09EE-41AE-A0D5-FDAB7AB77243}"/>
    <cellStyle name="SAPBEXaggData 4" xfId="25090" xr:uid="{00000000-0005-0000-0000-000098670000}"/>
    <cellStyle name="SAPBEXaggData 4 2" xfId="25284" xr:uid="{00000000-0005-0000-0000-000099670000}"/>
    <cellStyle name="SAPBEXaggData 4 2 2" xfId="27439" xr:uid="{00000000-0005-0000-0000-00009A670000}"/>
    <cellStyle name="SAPBEXaggData 4 2 2 2" xfId="32034" xr:uid="{B7CCC9D9-DA77-4CEE-BDBD-7235D8D30763}"/>
    <cellStyle name="SAPBEXaggData 4 2 3" xfId="27938" xr:uid="{00000000-0005-0000-0000-00009B670000}"/>
    <cellStyle name="SAPBEXaggData 4 2 3 2" xfId="32496" xr:uid="{FDAF7F3A-7EC0-4DCB-BF25-DA2B4B608BAF}"/>
    <cellStyle name="SAPBEXaggData 4 2 4" xfId="26504" xr:uid="{00000000-0005-0000-0000-00009C670000}"/>
    <cellStyle name="SAPBEXaggData 4 2 4 2" xfId="31292" xr:uid="{24268017-52C5-4E53-99C6-95B155F82897}"/>
    <cellStyle name="SAPBEXaggData 4 2 5" xfId="29490" xr:uid="{00000000-0005-0000-0000-00009D670000}"/>
    <cellStyle name="SAPBEXaggData 4 2 6" xfId="30447" xr:uid="{306C7358-CA26-4C50-AC08-159431AB7203}"/>
    <cellStyle name="SAPBEXaggData 4 3" xfId="25688" xr:uid="{00000000-0005-0000-0000-00009E670000}"/>
    <cellStyle name="SAPBEXaggData 4 3 2" xfId="27841" xr:uid="{00000000-0005-0000-0000-00009F670000}"/>
    <cellStyle name="SAPBEXaggData 4 3 2 2" xfId="32428" xr:uid="{07B83BB5-F8BE-4AD7-B2DD-EB548DA503D4}"/>
    <cellStyle name="SAPBEXaggData 4 3 3" xfId="27939" xr:uid="{00000000-0005-0000-0000-0000A0670000}"/>
    <cellStyle name="SAPBEXaggData 4 3 3 2" xfId="32497" xr:uid="{C31DE5D4-A8BD-494B-A31C-0B4EE801E6D3}"/>
    <cellStyle name="SAPBEXaggData 4 3 4" xfId="26153" xr:uid="{00000000-0005-0000-0000-0000A1670000}"/>
    <cellStyle name="SAPBEXaggData 4 3 4 2" xfId="30942" xr:uid="{901AD129-07F0-4424-A1DF-4AA7E9794EF9}"/>
    <cellStyle name="SAPBEXaggData 4 3 5" xfId="29491" xr:uid="{00000000-0005-0000-0000-0000A2670000}"/>
    <cellStyle name="SAPBEXaggData 4 3 6" xfId="30682" xr:uid="{7F262843-D914-46D2-98D9-21C54EBE1B58}"/>
    <cellStyle name="SAPBEXaggData 4 4" xfId="27375" xr:uid="{00000000-0005-0000-0000-0000A3670000}"/>
    <cellStyle name="SAPBEXaggData 4 4 2" xfId="31973" xr:uid="{463B635B-ADB9-49A3-9B5F-83825B88A49E}"/>
    <cellStyle name="SAPBEXaggData 4 5" xfId="27937" xr:uid="{00000000-0005-0000-0000-0000A4670000}"/>
    <cellStyle name="SAPBEXaggData 4 5 2" xfId="32495" xr:uid="{0E83D1A1-AACB-4FA7-BF79-E019B2F1BF1A}"/>
    <cellStyle name="SAPBEXaggData 4 6" xfId="26340" xr:uid="{00000000-0005-0000-0000-0000A5670000}"/>
    <cellStyle name="SAPBEXaggData 4 6 2" xfId="31128" xr:uid="{F8E6DAAB-A447-4C67-A238-00D1C1C24663}"/>
    <cellStyle name="SAPBEXaggData 4 7" xfId="29489" xr:uid="{00000000-0005-0000-0000-0000A6670000}"/>
    <cellStyle name="SAPBEXaggData 4 8" xfId="30390" xr:uid="{9C6A030D-0E4A-4472-9A6F-CE456E731981}"/>
    <cellStyle name="SAPBEXaggData 5" xfId="25817" xr:uid="{00000000-0005-0000-0000-0000A7670000}"/>
    <cellStyle name="SAPBEXaggData 5 2" xfId="30736" xr:uid="{FED3BBE0-F082-4204-B863-D7617B8A5650}"/>
    <cellStyle name="SAPBEXaggData 6" xfId="27931" xr:uid="{00000000-0005-0000-0000-0000A8670000}"/>
    <cellStyle name="SAPBEXaggData 6 2" xfId="32489" xr:uid="{BD633FB8-8F1F-4B50-BEB1-4926BD139C99}"/>
    <cellStyle name="SAPBEXaggData 7" xfId="26998" xr:uid="{00000000-0005-0000-0000-0000A9670000}"/>
    <cellStyle name="SAPBEXaggData 7 2" xfId="31759" xr:uid="{EC77DD63-4189-4254-BF4B-FFE0552C27B4}"/>
    <cellStyle name="SAPBEXaggData 8" xfId="29483" xr:uid="{00000000-0005-0000-0000-0000AA670000}"/>
    <cellStyle name="SAPBEXaggDataEmph" xfId="73" xr:uid="{00000000-0005-0000-0000-0000AB670000}"/>
    <cellStyle name="SAPBEXaggDataEmph 2" xfId="13622" xr:uid="{00000000-0005-0000-0000-0000AC670000}"/>
    <cellStyle name="SAPBEXaggDataEmph 2 2" xfId="25460" xr:uid="{00000000-0005-0000-0000-0000AD670000}"/>
    <cellStyle name="SAPBEXaggDataEmph 2 2 2" xfId="27613" xr:uid="{00000000-0005-0000-0000-0000AE670000}"/>
    <cellStyle name="SAPBEXaggDataEmph 2 2 2 2" xfId="32200" xr:uid="{9943412C-6B52-4057-85AC-B04ACBF651A9}"/>
    <cellStyle name="SAPBEXaggDataEmph 2 2 3" xfId="27942" xr:uid="{00000000-0005-0000-0000-0000AF670000}"/>
    <cellStyle name="SAPBEXaggDataEmph 2 2 3 2" xfId="32500" xr:uid="{3BF38509-B45F-47B1-AEE8-8F7854496A73}"/>
    <cellStyle name="SAPBEXaggDataEmph 2 2 4" xfId="26454" xr:uid="{00000000-0005-0000-0000-0000B0670000}"/>
    <cellStyle name="SAPBEXaggDataEmph 2 2 4 2" xfId="31242" xr:uid="{4A25A63D-F6FA-443A-8064-9F640FDFBA8F}"/>
    <cellStyle name="SAPBEXaggDataEmph 2 2 5" xfId="29494" xr:uid="{00000000-0005-0000-0000-0000B1670000}"/>
    <cellStyle name="SAPBEXaggDataEmph 2 3" xfId="26564" xr:uid="{00000000-0005-0000-0000-0000B2670000}"/>
    <cellStyle name="SAPBEXaggDataEmph 2 3 2" xfId="31342" xr:uid="{7366461D-9A5B-4041-860D-2947FC0B5C30}"/>
    <cellStyle name="SAPBEXaggDataEmph 2 4" xfId="27941" xr:uid="{00000000-0005-0000-0000-0000B3670000}"/>
    <cellStyle name="SAPBEXaggDataEmph 2 4 2" xfId="32499" xr:uid="{79E0896B-F8DA-4D2E-9C7F-02663A4C12AE}"/>
    <cellStyle name="SAPBEXaggDataEmph 2 5" xfId="26221" xr:uid="{00000000-0005-0000-0000-0000B4670000}"/>
    <cellStyle name="SAPBEXaggDataEmph 2 5 2" xfId="31009" xr:uid="{574C99AF-6BE7-40EC-957A-F1188AC7ED24}"/>
    <cellStyle name="SAPBEXaggDataEmph 2 6" xfId="29493" xr:uid="{00000000-0005-0000-0000-0000B5670000}"/>
    <cellStyle name="SAPBEXaggDataEmph 2 7" xfId="30162" xr:uid="{8FE27431-2CAD-4331-8C47-A09783957E5F}"/>
    <cellStyle name="SAPBEXaggDataEmph 3" xfId="24685" xr:uid="{00000000-0005-0000-0000-0000B6670000}"/>
    <cellStyle name="SAPBEXaggDataEmph 3 2" xfId="25322" xr:uid="{00000000-0005-0000-0000-0000B7670000}"/>
    <cellStyle name="SAPBEXaggDataEmph 3 2 2" xfId="27476" xr:uid="{00000000-0005-0000-0000-0000B8670000}"/>
    <cellStyle name="SAPBEXaggDataEmph 3 2 2 2" xfId="32067" xr:uid="{54DF0BB1-1063-4734-9211-483F57E4A3FB}"/>
    <cellStyle name="SAPBEXaggDataEmph 3 2 3" xfId="27944" xr:uid="{00000000-0005-0000-0000-0000B9670000}"/>
    <cellStyle name="SAPBEXaggDataEmph 3 2 3 2" xfId="32502" xr:uid="{D54AF13A-C036-48AA-952E-643A94995A50}"/>
    <cellStyle name="SAPBEXaggDataEmph 3 2 4" xfId="26909" xr:uid="{00000000-0005-0000-0000-0000BA670000}"/>
    <cellStyle name="SAPBEXaggDataEmph 3 2 4 2" xfId="31670" xr:uid="{9C449592-6412-4942-9F70-82C88C19C940}"/>
    <cellStyle name="SAPBEXaggDataEmph 3 2 5" xfId="29496" xr:uid="{00000000-0005-0000-0000-0000BB670000}"/>
    <cellStyle name="SAPBEXaggDataEmph 3 2 6" xfId="30480" xr:uid="{20CF48F5-71EC-45DC-922B-9D2A5F39DF0C}"/>
    <cellStyle name="SAPBEXaggDataEmph 3 3" xfId="25648" xr:uid="{00000000-0005-0000-0000-0000BC670000}"/>
    <cellStyle name="SAPBEXaggDataEmph 3 3 2" xfId="27801" xr:uid="{00000000-0005-0000-0000-0000BD670000}"/>
    <cellStyle name="SAPBEXaggDataEmph 3 3 2 2" xfId="32388" xr:uid="{BFAB6168-AB07-4884-8CFC-CB0608DCBE83}"/>
    <cellStyle name="SAPBEXaggDataEmph 3 3 3" xfId="27945" xr:uid="{00000000-0005-0000-0000-0000BE670000}"/>
    <cellStyle name="SAPBEXaggDataEmph 3 3 3 2" xfId="32503" xr:uid="{31D00C29-2572-4244-B638-06A4A865FAEF}"/>
    <cellStyle name="SAPBEXaggDataEmph 3 3 4" xfId="26754" xr:uid="{00000000-0005-0000-0000-0000BF670000}"/>
    <cellStyle name="SAPBEXaggDataEmph 3 3 4 2" xfId="31515" xr:uid="{F46301EF-2C38-4D50-AD77-C96A69D2628D}"/>
    <cellStyle name="SAPBEXaggDataEmph 3 3 5" xfId="29497" xr:uid="{00000000-0005-0000-0000-0000C0670000}"/>
    <cellStyle name="SAPBEXaggDataEmph 3 4" xfId="27275" xr:uid="{00000000-0005-0000-0000-0000C1670000}"/>
    <cellStyle name="SAPBEXaggDataEmph 3 4 2" xfId="31910" xr:uid="{23641B80-D9D0-4CFF-8D2B-130AD0BF4D03}"/>
    <cellStyle name="SAPBEXaggDataEmph 3 5" xfId="27943" xr:uid="{00000000-0005-0000-0000-0000C2670000}"/>
    <cellStyle name="SAPBEXaggDataEmph 3 5 2" xfId="32501" xr:uid="{13EF1773-6FD1-4D83-A330-8EC15923685B}"/>
    <cellStyle name="SAPBEXaggDataEmph 3 6" xfId="26335" xr:uid="{00000000-0005-0000-0000-0000C3670000}"/>
    <cellStyle name="SAPBEXaggDataEmph 3 6 2" xfId="31123" xr:uid="{B0912D5A-4199-4E2F-82B5-0A57B390166A}"/>
    <cellStyle name="SAPBEXaggDataEmph 3 7" xfId="29495" xr:uid="{00000000-0005-0000-0000-0000C4670000}"/>
    <cellStyle name="SAPBEXaggDataEmph 3 8" xfId="30350" xr:uid="{CE8C22E6-CB94-4204-8026-F5795026450D}"/>
    <cellStyle name="SAPBEXaggDataEmph 4" xfId="25091" xr:uid="{00000000-0005-0000-0000-0000C5670000}"/>
    <cellStyle name="SAPBEXaggDataEmph 4 2" xfId="25367" xr:uid="{00000000-0005-0000-0000-0000C6670000}"/>
    <cellStyle name="SAPBEXaggDataEmph 4 2 2" xfId="27521" xr:uid="{00000000-0005-0000-0000-0000C7670000}"/>
    <cellStyle name="SAPBEXaggDataEmph 4 2 2 2" xfId="32112" xr:uid="{C60A40D3-CA18-440D-84D5-97A0AB28A92B}"/>
    <cellStyle name="SAPBEXaggDataEmph 4 2 3" xfId="27947" xr:uid="{00000000-0005-0000-0000-0000C8670000}"/>
    <cellStyle name="SAPBEXaggDataEmph 4 2 3 2" xfId="32505" xr:uid="{74ADEB43-6520-48C9-93DA-575FF4DF576F}"/>
    <cellStyle name="SAPBEXaggDataEmph 4 2 4" xfId="26168" xr:uid="{00000000-0005-0000-0000-0000C9670000}"/>
    <cellStyle name="SAPBEXaggDataEmph 4 2 4 2" xfId="30957" xr:uid="{7498BD9D-4CFA-4BA3-A766-D10F4DADCFC5}"/>
    <cellStyle name="SAPBEXaggDataEmph 4 2 5" xfId="29499" xr:uid="{00000000-0005-0000-0000-0000CA670000}"/>
    <cellStyle name="SAPBEXaggDataEmph 4 2 6" xfId="30525" xr:uid="{0DF722A9-6088-4F15-8DF4-B550AD786D53}"/>
    <cellStyle name="SAPBEXaggDataEmph 4 3" xfId="25689" xr:uid="{00000000-0005-0000-0000-0000CB670000}"/>
    <cellStyle name="SAPBEXaggDataEmph 4 3 2" xfId="27842" xr:uid="{00000000-0005-0000-0000-0000CC670000}"/>
    <cellStyle name="SAPBEXaggDataEmph 4 3 2 2" xfId="32429" xr:uid="{6D1EF92A-2F89-4686-BD41-5D42C59E3E95}"/>
    <cellStyle name="SAPBEXaggDataEmph 4 3 3" xfId="27948" xr:uid="{00000000-0005-0000-0000-0000CD670000}"/>
    <cellStyle name="SAPBEXaggDataEmph 4 3 3 2" xfId="32506" xr:uid="{014DF5EE-92F5-45CB-84FA-9CC5EC3D2E70}"/>
    <cellStyle name="SAPBEXaggDataEmph 4 3 4" xfId="26948" xr:uid="{00000000-0005-0000-0000-0000CE670000}"/>
    <cellStyle name="SAPBEXaggDataEmph 4 3 4 2" xfId="31709" xr:uid="{1F734CDA-9E62-4294-ABFB-DEDC42CE4FE5}"/>
    <cellStyle name="SAPBEXaggDataEmph 4 3 5" xfId="29500" xr:uid="{00000000-0005-0000-0000-0000CF670000}"/>
    <cellStyle name="SAPBEXaggDataEmph 4 3 6" xfId="30683" xr:uid="{2AE0CF79-EC92-429E-872B-1F1F038F54D9}"/>
    <cellStyle name="SAPBEXaggDataEmph 4 4" xfId="27376" xr:uid="{00000000-0005-0000-0000-0000D0670000}"/>
    <cellStyle name="SAPBEXaggDataEmph 4 4 2" xfId="31974" xr:uid="{08031EE0-56B8-4D53-96A5-435E3924EC4F}"/>
    <cellStyle name="SAPBEXaggDataEmph 4 5" xfId="27946" xr:uid="{00000000-0005-0000-0000-0000D1670000}"/>
    <cellStyle name="SAPBEXaggDataEmph 4 5 2" xfId="32504" xr:uid="{C924DCD7-521E-4822-A44C-DACCFA12BDD1}"/>
    <cellStyle name="SAPBEXaggDataEmph 4 6" xfId="26469" xr:uid="{00000000-0005-0000-0000-0000D2670000}"/>
    <cellStyle name="SAPBEXaggDataEmph 4 6 2" xfId="31257" xr:uid="{17D2FE2B-EE31-4346-A44A-9C14017DC7A2}"/>
    <cellStyle name="SAPBEXaggDataEmph 4 7" xfId="29498" xr:uid="{00000000-0005-0000-0000-0000D3670000}"/>
    <cellStyle name="SAPBEXaggDataEmph 4 8" xfId="30391" xr:uid="{A84C56A4-17F0-4821-9032-911516372ACB}"/>
    <cellStyle name="SAPBEXaggDataEmph 5" xfId="25818" xr:uid="{00000000-0005-0000-0000-0000D4670000}"/>
    <cellStyle name="SAPBEXaggDataEmph 5 2" xfId="30737" xr:uid="{B8528054-D1B1-4038-8ADF-60AA48A9EC58}"/>
    <cellStyle name="SAPBEXaggDataEmph 6" xfId="27940" xr:uid="{00000000-0005-0000-0000-0000D5670000}"/>
    <cellStyle name="SAPBEXaggDataEmph 6 2" xfId="32498" xr:uid="{5847BF2B-83B2-49AD-B8D3-94C31F1E910B}"/>
    <cellStyle name="SAPBEXaggDataEmph 7" xfId="26491" xr:uid="{00000000-0005-0000-0000-0000D6670000}"/>
    <cellStyle name="SAPBEXaggDataEmph 7 2" xfId="31279" xr:uid="{0A8DB18F-F016-424D-97B4-F9ADB4A9F546}"/>
    <cellStyle name="SAPBEXaggDataEmph 8" xfId="29492" xr:uid="{00000000-0005-0000-0000-0000D7670000}"/>
    <cellStyle name="SAPBEXaggItem" xfId="74" xr:uid="{00000000-0005-0000-0000-0000D8670000}"/>
    <cellStyle name="SAPBEXaggItem 10" xfId="24684" xr:uid="{00000000-0005-0000-0000-0000D9670000}"/>
    <cellStyle name="SAPBEXaggItem 10 2" xfId="25409" xr:uid="{00000000-0005-0000-0000-0000DA670000}"/>
    <cellStyle name="SAPBEXaggItem 10 2 2" xfId="27563" xr:uid="{00000000-0005-0000-0000-0000DB670000}"/>
    <cellStyle name="SAPBEXaggItem 10 2 2 2" xfId="32154" xr:uid="{B74521FE-3223-4315-B9F7-61B24C7722D1}"/>
    <cellStyle name="SAPBEXaggItem 10 2 3" xfId="27951" xr:uid="{00000000-0005-0000-0000-0000DC670000}"/>
    <cellStyle name="SAPBEXaggItem 10 2 3 2" xfId="32509" xr:uid="{8E92B197-D23C-46DE-B3A6-F5AEE1E594A1}"/>
    <cellStyle name="SAPBEXaggItem 10 2 4" xfId="26166" xr:uid="{00000000-0005-0000-0000-0000DD670000}"/>
    <cellStyle name="SAPBEXaggItem 10 2 4 2" xfId="30955" xr:uid="{28491B5D-5E3F-4863-993D-5098E5BD2FD5}"/>
    <cellStyle name="SAPBEXaggItem 10 2 5" xfId="29503" xr:uid="{00000000-0005-0000-0000-0000DE670000}"/>
    <cellStyle name="SAPBEXaggItem 10 2 6" xfId="30567" xr:uid="{087DDFF5-E1C2-4399-9217-80D462584BD0}"/>
    <cellStyle name="SAPBEXaggItem 10 3" xfId="25647" xr:uid="{00000000-0005-0000-0000-0000DF670000}"/>
    <cellStyle name="SAPBEXaggItem 10 3 2" xfId="27800" xr:uid="{00000000-0005-0000-0000-0000E0670000}"/>
    <cellStyle name="SAPBEXaggItem 10 3 2 2" xfId="32387" xr:uid="{072507D8-4F56-461F-87DD-3E5504A66281}"/>
    <cellStyle name="SAPBEXaggItem 10 3 3" xfId="27952" xr:uid="{00000000-0005-0000-0000-0000E1670000}"/>
    <cellStyle name="SAPBEXaggItem 10 3 3 2" xfId="32510" xr:uid="{8F26D6BE-33FF-46CF-B902-F04EAB5440C3}"/>
    <cellStyle name="SAPBEXaggItem 10 3 4" xfId="26882" xr:uid="{00000000-0005-0000-0000-0000E2670000}"/>
    <cellStyle name="SAPBEXaggItem 10 3 4 2" xfId="31643" xr:uid="{1F3F05EC-9B52-4B68-8634-3F260E3E6DEC}"/>
    <cellStyle name="SAPBEXaggItem 10 3 5" xfId="29504" xr:uid="{00000000-0005-0000-0000-0000E3670000}"/>
    <cellStyle name="SAPBEXaggItem 10 4" xfId="27274" xr:uid="{00000000-0005-0000-0000-0000E4670000}"/>
    <cellStyle name="SAPBEXaggItem 10 4 2" xfId="31909" xr:uid="{A1C4326E-6013-4ECF-A55C-5471B7C7F821}"/>
    <cellStyle name="SAPBEXaggItem 10 5" xfId="27950" xr:uid="{00000000-0005-0000-0000-0000E5670000}"/>
    <cellStyle name="SAPBEXaggItem 10 5 2" xfId="32508" xr:uid="{F5277112-7DF0-4B8D-9164-B8663DE8CEF8}"/>
    <cellStyle name="SAPBEXaggItem 10 6" xfId="26857" xr:uid="{00000000-0005-0000-0000-0000E6670000}"/>
    <cellStyle name="SAPBEXaggItem 10 6 2" xfId="31618" xr:uid="{9C4842F1-45BB-4F44-88A1-95852B3A1866}"/>
    <cellStyle name="SAPBEXaggItem 10 7" xfId="29502" xr:uid="{00000000-0005-0000-0000-0000E7670000}"/>
    <cellStyle name="SAPBEXaggItem 10 8" xfId="30349" xr:uid="{D4A5156A-0B15-4B6E-A55D-63F7DFA21BE2}"/>
    <cellStyle name="SAPBEXaggItem 11" xfId="25092" xr:uid="{00000000-0005-0000-0000-0000E8670000}"/>
    <cellStyle name="SAPBEXaggItem 11 2" xfId="25381" xr:uid="{00000000-0005-0000-0000-0000E9670000}"/>
    <cellStyle name="SAPBEXaggItem 11 2 2" xfId="27535" xr:uid="{00000000-0005-0000-0000-0000EA670000}"/>
    <cellStyle name="SAPBEXaggItem 11 2 2 2" xfId="32126" xr:uid="{9EF60B37-DA76-47E9-AA2B-F013E73D8547}"/>
    <cellStyle name="SAPBEXaggItem 11 2 3" xfId="27954" xr:uid="{00000000-0005-0000-0000-0000EB670000}"/>
    <cellStyle name="SAPBEXaggItem 11 2 3 2" xfId="32512" xr:uid="{D4AA14C8-5798-4FA9-B1FA-69FD2FF5A912}"/>
    <cellStyle name="SAPBEXaggItem 11 2 4" xfId="26406" xr:uid="{00000000-0005-0000-0000-0000EC670000}"/>
    <cellStyle name="SAPBEXaggItem 11 2 4 2" xfId="31194" xr:uid="{8C113BAD-F87E-4528-B8E6-E39F9AC629DC}"/>
    <cellStyle name="SAPBEXaggItem 11 2 5" xfId="29506" xr:uid="{00000000-0005-0000-0000-0000ED670000}"/>
    <cellStyle name="SAPBEXaggItem 11 2 6" xfId="30539" xr:uid="{9053DE92-000A-4A2D-A739-A4DFF2169072}"/>
    <cellStyle name="SAPBEXaggItem 11 3" xfId="25690" xr:uid="{00000000-0005-0000-0000-0000EE670000}"/>
    <cellStyle name="SAPBEXaggItem 11 3 2" xfId="27843" xr:uid="{00000000-0005-0000-0000-0000EF670000}"/>
    <cellStyle name="SAPBEXaggItem 11 3 2 2" xfId="32430" xr:uid="{3917EC53-AED7-4A4A-A917-7FB25A88AE77}"/>
    <cellStyle name="SAPBEXaggItem 11 3 3" xfId="27955" xr:uid="{00000000-0005-0000-0000-0000F0670000}"/>
    <cellStyle name="SAPBEXaggItem 11 3 3 2" xfId="32513" xr:uid="{21A5235B-3031-4DFB-9FB6-1D326A7F0F52}"/>
    <cellStyle name="SAPBEXaggItem 11 3 4" xfId="26301" xr:uid="{00000000-0005-0000-0000-0000F1670000}"/>
    <cellStyle name="SAPBEXaggItem 11 3 4 2" xfId="31089" xr:uid="{85F038BF-B8F1-465E-82BE-8E5EB06A0DF3}"/>
    <cellStyle name="SAPBEXaggItem 11 3 5" xfId="29507" xr:uid="{00000000-0005-0000-0000-0000F2670000}"/>
    <cellStyle name="SAPBEXaggItem 11 3 6" xfId="30684" xr:uid="{0AECF593-E8A6-48AF-9EAD-894F056B0478}"/>
    <cellStyle name="SAPBEXaggItem 11 4" xfId="27377" xr:uid="{00000000-0005-0000-0000-0000F3670000}"/>
    <cellStyle name="SAPBEXaggItem 11 4 2" xfId="31975" xr:uid="{8304FCC8-0802-4D5D-8448-ED0454F17D0D}"/>
    <cellStyle name="SAPBEXaggItem 11 5" xfId="27953" xr:uid="{00000000-0005-0000-0000-0000F4670000}"/>
    <cellStyle name="SAPBEXaggItem 11 5 2" xfId="32511" xr:uid="{25658C88-2B1B-4681-8D31-1076576BB356}"/>
    <cellStyle name="SAPBEXaggItem 11 6" xfId="26383" xr:uid="{00000000-0005-0000-0000-0000F5670000}"/>
    <cellStyle name="SAPBEXaggItem 11 6 2" xfId="31171" xr:uid="{7D0356DA-B7A3-484B-8302-C3C25C3622A2}"/>
    <cellStyle name="SAPBEXaggItem 11 7" xfId="29505" xr:uid="{00000000-0005-0000-0000-0000F6670000}"/>
    <cellStyle name="SAPBEXaggItem 11 8" xfId="30392" xr:uid="{4D7370D3-43AD-4149-B84C-E3D9D496FBEA}"/>
    <cellStyle name="SAPBEXaggItem 12" xfId="25819" xr:uid="{00000000-0005-0000-0000-0000F7670000}"/>
    <cellStyle name="SAPBEXaggItem 12 2" xfId="30738" xr:uid="{C44E6247-E667-40D1-AD82-825B574EB392}"/>
    <cellStyle name="SAPBEXaggItem 13" xfId="27949" xr:uid="{00000000-0005-0000-0000-0000F8670000}"/>
    <cellStyle name="SAPBEXaggItem 13 2" xfId="32507" xr:uid="{2176C963-0CFC-416B-A0B4-232FAA12E1E8}"/>
    <cellStyle name="SAPBEXaggItem 14" xfId="26205" xr:uid="{00000000-0005-0000-0000-0000F9670000}"/>
    <cellStyle name="SAPBEXaggItem 14 2" xfId="30993" xr:uid="{6862602F-FADD-4028-B18E-34A738147A8F}"/>
    <cellStyle name="SAPBEXaggItem 15" xfId="29501" xr:uid="{00000000-0005-0000-0000-0000FA670000}"/>
    <cellStyle name="SAPBEXaggItem 2" xfId="75" xr:uid="{00000000-0005-0000-0000-0000FB670000}"/>
    <cellStyle name="SAPBEXaggItem 2 2" xfId="13624" xr:uid="{00000000-0005-0000-0000-0000FC670000}"/>
    <cellStyle name="SAPBEXaggItem 2 2 2" xfId="25462" xr:uid="{00000000-0005-0000-0000-0000FD670000}"/>
    <cellStyle name="SAPBEXaggItem 2 2 2 2" xfId="27615" xr:uid="{00000000-0005-0000-0000-0000FE670000}"/>
    <cellStyle name="SAPBEXaggItem 2 2 2 2 2" xfId="32202" xr:uid="{30541DEC-64B5-4BE6-83BD-03894DAA1359}"/>
    <cellStyle name="SAPBEXaggItem 2 2 2 3" xfId="27958" xr:uid="{00000000-0005-0000-0000-0000FF670000}"/>
    <cellStyle name="SAPBEXaggItem 2 2 2 3 2" xfId="32516" xr:uid="{243936E6-9CCC-4ADE-B24B-B103CA1240FE}"/>
    <cellStyle name="SAPBEXaggItem 2 2 2 4" xfId="26317" xr:uid="{00000000-0005-0000-0000-000000680000}"/>
    <cellStyle name="SAPBEXaggItem 2 2 2 4 2" xfId="31105" xr:uid="{3A9F09F0-3B32-45E4-9A11-A75A646612DE}"/>
    <cellStyle name="SAPBEXaggItem 2 2 2 5" xfId="29510" xr:uid="{00000000-0005-0000-0000-000001680000}"/>
    <cellStyle name="SAPBEXaggItem 2 2 3" xfId="26566" xr:uid="{00000000-0005-0000-0000-000002680000}"/>
    <cellStyle name="SAPBEXaggItem 2 2 3 2" xfId="31344" xr:uid="{D6E0D68C-EEF2-410B-8506-72321522D36D}"/>
    <cellStyle name="SAPBEXaggItem 2 2 4" xfId="27957" xr:uid="{00000000-0005-0000-0000-000003680000}"/>
    <cellStyle name="SAPBEXaggItem 2 2 4 2" xfId="32515" xr:uid="{2C7299DB-CE41-4D72-BC5B-6BBED918FD1F}"/>
    <cellStyle name="SAPBEXaggItem 2 2 5" xfId="26904" xr:uid="{00000000-0005-0000-0000-000004680000}"/>
    <cellStyle name="SAPBEXaggItem 2 2 5 2" xfId="31665" xr:uid="{506E356D-917B-44CD-8505-8A3C4CA07E7D}"/>
    <cellStyle name="SAPBEXaggItem 2 2 6" xfId="29509" xr:uid="{00000000-0005-0000-0000-000005680000}"/>
    <cellStyle name="SAPBEXaggItem 2 2 7" xfId="30164" xr:uid="{ED9227BC-E626-4CE1-9D94-689DFC627FD4}"/>
    <cellStyle name="SAPBEXaggItem 2 3" xfId="25820" xr:uid="{00000000-0005-0000-0000-000006680000}"/>
    <cellStyle name="SAPBEXaggItem 2 3 2" xfId="30739" xr:uid="{F5DCAC4C-336B-46A1-AB4B-8FBE0EA3C44E}"/>
    <cellStyle name="SAPBEXaggItem 2 4" xfId="27956" xr:uid="{00000000-0005-0000-0000-000007680000}"/>
    <cellStyle name="SAPBEXaggItem 2 4 2" xfId="32514" xr:uid="{E7BB1285-BFD4-4ED4-B845-0F9ED9341F4A}"/>
    <cellStyle name="SAPBEXaggItem 2 5" xfId="26062" xr:uid="{00000000-0005-0000-0000-000008680000}"/>
    <cellStyle name="SAPBEXaggItem 2 5 2" xfId="30852" xr:uid="{443E3975-48FE-4B9B-B914-3E705D7CDB18}"/>
    <cellStyle name="SAPBEXaggItem 2 6" xfId="29508" xr:uid="{00000000-0005-0000-0000-000009680000}"/>
    <cellStyle name="SAPBEXaggItem 3" xfId="219" xr:uid="{00000000-0005-0000-0000-00000A680000}"/>
    <cellStyle name="SAPBEXaggItem 3 2" xfId="13705" xr:uid="{00000000-0005-0000-0000-00000B680000}"/>
    <cellStyle name="SAPBEXaggItem 3 2 2" xfId="25519" xr:uid="{00000000-0005-0000-0000-00000C680000}"/>
    <cellStyle name="SAPBEXaggItem 3 2 2 2" xfId="27672" xr:uid="{00000000-0005-0000-0000-00000D680000}"/>
    <cellStyle name="SAPBEXaggItem 3 2 2 2 2" xfId="32259" xr:uid="{E0D9915F-48B2-4A39-A1C6-B538D9B38EEF}"/>
    <cellStyle name="SAPBEXaggItem 3 2 2 3" xfId="27961" xr:uid="{00000000-0005-0000-0000-00000E680000}"/>
    <cellStyle name="SAPBEXaggItem 3 2 2 3 2" xfId="32519" xr:uid="{A36459F3-A8BF-46E1-99C3-E1E1370FE7E6}"/>
    <cellStyle name="SAPBEXaggItem 3 2 2 4" xfId="26391" xr:uid="{00000000-0005-0000-0000-00000F680000}"/>
    <cellStyle name="SAPBEXaggItem 3 2 2 4 2" xfId="31179" xr:uid="{2001A3B1-D2F7-40F1-9F97-31ECF3C5AB7E}"/>
    <cellStyle name="SAPBEXaggItem 3 2 2 5" xfId="29513" xr:uid="{00000000-0005-0000-0000-000010680000}"/>
    <cellStyle name="SAPBEXaggItem 3 2 3" xfId="26625" xr:uid="{00000000-0005-0000-0000-000011680000}"/>
    <cellStyle name="SAPBEXaggItem 3 2 3 2" xfId="31402" xr:uid="{55D7E3F3-579D-414B-BDD8-77933C8AE563}"/>
    <cellStyle name="SAPBEXaggItem 3 2 4" xfId="27960" xr:uid="{00000000-0005-0000-0000-000012680000}"/>
    <cellStyle name="SAPBEXaggItem 3 2 4 2" xfId="32518" xr:uid="{C9F67F0F-C2F5-4DB9-8A37-DE5151299EA9}"/>
    <cellStyle name="SAPBEXaggItem 3 2 5" xfId="26266" xr:uid="{00000000-0005-0000-0000-000013680000}"/>
    <cellStyle name="SAPBEXaggItem 3 2 5 2" xfId="31054" xr:uid="{2CB9EBD2-ED97-42D5-8BF5-DC9776F42581}"/>
    <cellStyle name="SAPBEXaggItem 3 2 6" xfId="29512" xr:uid="{00000000-0005-0000-0000-000014680000}"/>
    <cellStyle name="SAPBEXaggItem 3 2 7" xfId="30221" xr:uid="{D10B12E2-130C-4B7C-964C-454B96EA5F50}"/>
    <cellStyle name="SAPBEXaggItem 3 3" xfId="25908" xr:uid="{00000000-0005-0000-0000-000015680000}"/>
    <cellStyle name="SAPBEXaggItem 3 3 2" xfId="30797" xr:uid="{93CC1510-AFC5-4F35-890C-252E33BC0A70}"/>
    <cellStyle name="SAPBEXaggItem 3 4" xfId="27959" xr:uid="{00000000-0005-0000-0000-000016680000}"/>
    <cellStyle name="SAPBEXaggItem 3 4 2" xfId="32517" xr:uid="{D92CA0BD-2D77-45C8-82F1-BF46574C2C5B}"/>
    <cellStyle name="SAPBEXaggItem 3 5" xfId="26052" xr:uid="{00000000-0005-0000-0000-000017680000}"/>
    <cellStyle name="SAPBEXaggItem 3 5 2" xfId="30844" xr:uid="{07EC4D8B-E13C-47C3-91FD-1C8BB3D41CEE}"/>
    <cellStyle name="SAPBEXaggItem 3 6" xfId="29511" xr:uid="{00000000-0005-0000-0000-000018680000}"/>
    <cellStyle name="SAPBEXaggItem 4" xfId="220" xr:uid="{00000000-0005-0000-0000-000019680000}"/>
    <cellStyle name="SAPBEXaggItem 4 2" xfId="13706" xr:uid="{00000000-0005-0000-0000-00001A680000}"/>
    <cellStyle name="SAPBEXaggItem 4 2 2" xfId="25520" xr:uid="{00000000-0005-0000-0000-00001B680000}"/>
    <cellStyle name="SAPBEXaggItem 4 2 2 2" xfId="27673" xr:uid="{00000000-0005-0000-0000-00001C680000}"/>
    <cellStyle name="SAPBEXaggItem 4 2 2 2 2" xfId="32260" xr:uid="{12BE9DC6-3CEC-420A-B5DF-31866BD31115}"/>
    <cellStyle name="SAPBEXaggItem 4 2 2 3" xfId="27964" xr:uid="{00000000-0005-0000-0000-00001D680000}"/>
    <cellStyle name="SAPBEXaggItem 4 2 2 3 2" xfId="32522" xr:uid="{3683C39F-22FE-4CFE-8E83-EF5C4FDE981B}"/>
    <cellStyle name="SAPBEXaggItem 4 2 2 4" xfId="27163" xr:uid="{00000000-0005-0000-0000-00001E680000}"/>
    <cellStyle name="SAPBEXaggItem 4 2 2 4 2" xfId="31854" xr:uid="{2C9E21CE-4E16-4A3E-93F1-2B22D5B5B9FF}"/>
    <cellStyle name="SAPBEXaggItem 4 2 2 5" xfId="29516" xr:uid="{00000000-0005-0000-0000-00001F680000}"/>
    <cellStyle name="SAPBEXaggItem 4 2 3" xfId="26626" xr:uid="{00000000-0005-0000-0000-000020680000}"/>
    <cellStyle name="SAPBEXaggItem 4 2 3 2" xfId="31403" xr:uid="{29E490A9-FFE6-4DBB-8117-4AEE49724ED3}"/>
    <cellStyle name="SAPBEXaggItem 4 2 4" xfId="27963" xr:uid="{00000000-0005-0000-0000-000021680000}"/>
    <cellStyle name="SAPBEXaggItem 4 2 4 2" xfId="32521" xr:uid="{2C5E36BC-A357-4C32-BA7C-D8FE10BE020B}"/>
    <cellStyle name="SAPBEXaggItem 4 2 5" xfId="26768" xr:uid="{00000000-0005-0000-0000-000022680000}"/>
    <cellStyle name="SAPBEXaggItem 4 2 5 2" xfId="31529" xr:uid="{B6F2BA62-FD11-4C09-9643-0B51AD09C6A5}"/>
    <cellStyle name="SAPBEXaggItem 4 2 6" xfId="29515" xr:uid="{00000000-0005-0000-0000-000023680000}"/>
    <cellStyle name="SAPBEXaggItem 4 2 7" xfId="30222" xr:uid="{2BD0EDD7-9FF1-4F38-BB5B-89384F5A2462}"/>
    <cellStyle name="SAPBEXaggItem 4 3" xfId="25909" xr:uid="{00000000-0005-0000-0000-000024680000}"/>
    <cellStyle name="SAPBEXaggItem 4 3 2" xfId="30798" xr:uid="{3BB2477D-00FB-4CDC-97E2-DAC118639692}"/>
    <cellStyle name="SAPBEXaggItem 4 4" xfId="27962" xr:uid="{00000000-0005-0000-0000-000025680000}"/>
    <cellStyle name="SAPBEXaggItem 4 4 2" xfId="32520" xr:uid="{6D5015CE-FF43-4B1C-B7CB-18ACE62B6A46}"/>
    <cellStyle name="SAPBEXaggItem 4 5" xfId="26183" xr:uid="{00000000-0005-0000-0000-000026680000}"/>
    <cellStyle name="SAPBEXaggItem 4 5 2" xfId="30971" xr:uid="{C3C28DB1-4E5B-4A9F-B559-C69A309D466D}"/>
    <cellStyle name="SAPBEXaggItem 4 6" xfId="29514" xr:uid="{00000000-0005-0000-0000-000027680000}"/>
    <cellStyle name="SAPBEXaggItem 5" xfId="221" xr:uid="{00000000-0005-0000-0000-000028680000}"/>
    <cellStyle name="SAPBEXaggItem 5 2" xfId="13707" xr:uid="{00000000-0005-0000-0000-000029680000}"/>
    <cellStyle name="SAPBEXaggItem 5 2 2" xfId="25521" xr:uid="{00000000-0005-0000-0000-00002A680000}"/>
    <cellStyle name="SAPBEXaggItem 5 2 2 2" xfId="27674" xr:uid="{00000000-0005-0000-0000-00002B680000}"/>
    <cellStyle name="SAPBEXaggItem 5 2 2 2 2" xfId="32261" xr:uid="{F182A2F6-136E-4C5C-B752-423E88972946}"/>
    <cellStyle name="SAPBEXaggItem 5 2 2 3" xfId="27967" xr:uid="{00000000-0005-0000-0000-00002C680000}"/>
    <cellStyle name="SAPBEXaggItem 5 2 2 3 2" xfId="32525" xr:uid="{21CE2B0C-82D9-4D40-BBE0-03E0CB1F148F}"/>
    <cellStyle name="SAPBEXaggItem 5 2 2 4" xfId="26981" xr:uid="{00000000-0005-0000-0000-00002D680000}"/>
    <cellStyle name="SAPBEXaggItem 5 2 2 4 2" xfId="31742" xr:uid="{5EDE199C-AC74-4F72-A100-2351A2C24FA1}"/>
    <cellStyle name="SAPBEXaggItem 5 2 2 5" xfId="29519" xr:uid="{00000000-0005-0000-0000-00002E680000}"/>
    <cellStyle name="SAPBEXaggItem 5 2 3" xfId="26627" xr:uid="{00000000-0005-0000-0000-00002F680000}"/>
    <cellStyle name="SAPBEXaggItem 5 2 3 2" xfId="31404" xr:uid="{F06AB396-BE62-4021-B130-0CFFC7C032E9}"/>
    <cellStyle name="SAPBEXaggItem 5 2 4" xfId="27966" xr:uid="{00000000-0005-0000-0000-000030680000}"/>
    <cellStyle name="SAPBEXaggItem 5 2 4 2" xfId="32524" xr:uid="{19737641-C03F-4A72-A575-F51089BCABE1}"/>
    <cellStyle name="SAPBEXaggItem 5 2 5" xfId="26119" xr:uid="{00000000-0005-0000-0000-000031680000}"/>
    <cellStyle name="SAPBEXaggItem 5 2 5 2" xfId="30909" xr:uid="{C9550E93-7063-404A-B355-B3C27B905E31}"/>
    <cellStyle name="SAPBEXaggItem 5 2 6" xfId="29518" xr:uid="{00000000-0005-0000-0000-000032680000}"/>
    <cellStyle name="SAPBEXaggItem 5 2 7" xfId="30223" xr:uid="{EC26C7B1-6A5D-420F-B943-F9928E2DB865}"/>
    <cellStyle name="SAPBEXaggItem 5 3" xfId="25910" xr:uid="{00000000-0005-0000-0000-000033680000}"/>
    <cellStyle name="SAPBEXaggItem 5 3 2" xfId="30799" xr:uid="{C46D9E85-4898-4E54-8A1C-59F7B438F9C1}"/>
    <cellStyle name="SAPBEXaggItem 5 4" xfId="27965" xr:uid="{00000000-0005-0000-0000-000034680000}"/>
    <cellStyle name="SAPBEXaggItem 5 4 2" xfId="32523" xr:uid="{7679A9AF-7641-43FE-B6C7-A5314B750B0C}"/>
    <cellStyle name="SAPBEXaggItem 5 5" xfId="26306" xr:uid="{00000000-0005-0000-0000-000035680000}"/>
    <cellStyle name="SAPBEXaggItem 5 5 2" xfId="31094" xr:uid="{E519DC92-CF95-41D7-8289-DB84D6485529}"/>
    <cellStyle name="SAPBEXaggItem 5 6" xfId="29517" xr:uid="{00000000-0005-0000-0000-000036680000}"/>
    <cellStyle name="SAPBEXaggItem 6" xfId="222" xr:uid="{00000000-0005-0000-0000-000037680000}"/>
    <cellStyle name="SAPBEXaggItem 6 2" xfId="13708" xr:uid="{00000000-0005-0000-0000-000038680000}"/>
    <cellStyle name="SAPBEXaggItem 6 2 2" xfId="25522" xr:uid="{00000000-0005-0000-0000-000039680000}"/>
    <cellStyle name="SAPBEXaggItem 6 2 2 2" xfId="27675" xr:uid="{00000000-0005-0000-0000-00003A680000}"/>
    <cellStyle name="SAPBEXaggItem 6 2 2 2 2" xfId="32262" xr:uid="{70242670-B391-433E-A32A-C92D71F3AD0A}"/>
    <cellStyle name="SAPBEXaggItem 6 2 2 3" xfId="27970" xr:uid="{00000000-0005-0000-0000-00003B680000}"/>
    <cellStyle name="SAPBEXaggItem 6 2 2 3 2" xfId="32528" xr:uid="{64E16CD8-6486-4FE8-8F4E-E69AE53A5526}"/>
    <cellStyle name="SAPBEXaggItem 6 2 2 4" xfId="26906" xr:uid="{00000000-0005-0000-0000-00003C680000}"/>
    <cellStyle name="SAPBEXaggItem 6 2 2 4 2" xfId="31667" xr:uid="{D3E14612-9744-4683-93F9-2B2638AA0336}"/>
    <cellStyle name="SAPBEXaggItem 6 2 2 5" xfId="29522" xr:uid="{00000000-0005-0000-0000-00003D680000}"/>
    <cellStyle name="SAPBEXaggItem 6 2 3" xfId="26628" xr:uid="{00000000-0005-0000-0000-00003E680000}"/>
    <cellStyle name="SAPBEXaggItem 6 2 3 2" xfId="31405" xr:uid="{716FFE8D-5284-49AB-89D9-99DE794BA86D}"/>
    <cellStyle name="SAPBEXaggItem 6 2 4" xfId="27969" xr:uid="{00000000-0005-0000-0000-00003F680000}"/>
    <cellStyle name="SAPBEXaggItem 6 2 4 2" xfId="32527" xr:uid="{78C3EFA7-7D05-4EA5-9401-D28A456615DB}"/>
    <cellStyle name="SAPBEXaggItem 6 2 5" xfId="26461" xr:uid="{00000000-0005-0000-0000-000040680000}"/>
    <cellStyle name="SAPBEXaggItem 6 2 5 2" xfId="31249" xr:uid="{99BEE67C-2864-45E8-BB85-005360524347}"/>
    <cellStyle name="SAPBEXaggItem 6 2 6" xfId="29521" xr:uid="{00000000-0005-0000-0000-000041680000}"/>
    <cellStyle name="SAPBEXaggItem 6 2 7" xfId="30224" xr:uid="{B15A37A5-992A-4823-A40D-4B5688652881}"/>
    <cellStyle name="SAPBEXaggItem 6 3" xfId="25911" xr:uid="{00000000-0005-0000-0000-000042680000}"/>
    <cellStyle name="SAPBEXaggItem 6 3 2" xfId="30800" xr:uid="{A0E1E6C9-5E57-4A3B-953C-13A06DD4CFF2}"/>
    <cellStyle name="SAPBEXaggItem 6 4" xfId="27968" xr:uid="{00000000-0005-0000-0000-000043680000}"/>
    <cellStyle name="SAPBEXaggItem 6 4 2" xfId="32526" xr:uid="{785162A5-177D-43D5-82A9-26E82C406B05}"/>
    <cellStyle name="SAPBEXaggItem 6 5" xfId="28548" xr:uid="{00000000-0005-0000-0000-000044680000}"/>
    <cellStyle name="SAPBEXaggItem 6 5 2" xfId="33106" xr:uid="{2467F98B-6CD6-483E-B94B-CC3FF76D9299}"/>
    <cellStyle name="SAPBEXaggItem 6 6" xfId="29520" xr:uid="{00000000-0005-0000-0000-000045680000}"/>
    <cellStyle name="SAPBEXaggItem 7" xfId="223" xr:uid="{00000000-0005-0000-0000-000046680000}"/>
    <cellStyle name="SAPBEXaggItem 7 2" xfId="13709" xr:uid="{00000000-0005-0000-0000-000047680000}"/>
    <cellStyle name="SAPBEXaggItem 7 2 2" xfId="25523" xr:uid="{00000000-0005-0000-0000-000048680000}"/>
    <cellStyle name="SAPBEXaggItem 7 2 2 2" xfId="27676" xr:uid="{00000000-0005-0000-0000-000049680000}"/>
    <cellStyle name="SAPBEXaggItem 7 2 2 2 2" xfId="32263" xr:uid="{EBD34FBB-AB38-416A-B8B3-69982702EC2D}"/>
    <cellStyle name="SAPBEXaggItem 7 2 2 3" xfId="27973" xr:uid="{00000000-0005-0000-0000-00004A680000}"/>
    <cellStyle name="SAPBEXaggItem 7 2 2 3 2" xfId="32531" xr:uid="{BB800DF0-1DAA-4642-936B-B343D0B7F122}"/>
    <cellStyle name="SAPBEXaggItem 7 2 2 4" xfId="26186" xr:uid="{00000000-0005-0000-0000-00004B680000}"/>
    <cellStyle name="SAPBEXaggItem 7 2 2 4 2" xfId="30974" xr:uid="{0947358E-CCFC-4C3B-A089-E811AFFD7A4F}"/>
    <cellStyle name="SAPBEXaggItem 7 2 2 5" xfId="29525" xr:uid="{00000000-0005-0000-0000-00004C680000}"/>
    <cellStyle name="SAPBEXaggItem 7 2 3" xfId="26629" xr:uid="{00000000-0005-0000-0000-00004D680000}"/>
    <cellStyle name="SAPBEXaggItem 7 2 3 2" xfId="31406" xr:uid="{3C3E1C8D-AF5E-4346-9571-C9A85D4981D3}"/>
    <cellStyle name="SAPBEXaggItem 7 2 4" xfId="27972" xr:uid="{00000000-0005-0000-0000-00004E680000}"/>
    <cellStyle name="SAPBEXaggItem 7 2 4 2" xfId="32530" xr:uid="{DC1BEBE2-944A-499F-BB39-BDE5FDD96BE0}"/>
    <cellStyle name="SAPBEXaggItem 7 2 5" xfId="26674" xr:uid="{00000000-0005-0000-0000-00004F680000}"/>
    <cellStyle name="SAPBEXaggItem 7 2 5 2" xfId="31442" xr:uid="{EFC2B2CC-BD19-48E7-ADD3-7633624B8FD2}"/>
    <cellStyle name="SAPBEXaggItem 7 2 6" xfId="29524" xr:uid="{00000000-0005-0000-0000-000050680000}"/>
    <cellStyle name="SAPBEXaggItem 7 2 7" xfId="30225" xr:uid="{93D4D274-EF56-4D53-A2C2-780C19DB2077}"/>
    <cellStyle name="SAPBEXaggItem 7 3" xfId="25912" xr:uid="{00000000-0005-0000-0000-000051680000}"/>
    <cellStyle name="SAPBEXaggItem 7 3 2" xfId="30801" xr:uid="{24FEE470-F957-4AE2-A667-1246E849CB65}"/>
    <cellStyle name="SAPBEXaggItem 7 4" xfId="27971" xr:uid="{00000000-0005-0000-0000-000052680000}"/>
    <cellStyle name="SAPBEXaggItem 7 4 2" xfId="32529" xr:uid="{3785EF5F-7D19-48B9-A212-019611222EE3}"/>
    <cellStyle name="SAPBEXaggItem 7 5" xfId="26552" xr:uid="{00000000-0005-0000-0000-000053680000}"/>
    <cellStyle name="SAPBEXaggItem 7 5 2" xfId="31339" xr:uid="{6C1414BD-BA99-482D-91DF-8FB1FFA52A56}"/>
    <cellStyle name="SAPBEXaggItem 7 6" xfId="29523" xr:uid="{00000000-0005-0000-0000-000054680000}"/>
    <cellStyle name="SAPBEXaggItem 8" xfId="411" xr:uid="{00000000-0005-0000-0000-000055680000}"/>
    <cellStyle name="SAPBEXaggItem 8 2" xfId="13793" xr:uid="{00000000-0005-0000-0000-000056680000}"/>
    <cellStyle name="SAPBEXaggItem 8 2 2" xfId="25551" xr:uid="{00000000-0005-0000-0000-000057680000}"/>
    <cellStyle name="SAPBEXaggItem 8 2 2 2" xfId="27704" xr:uid="{00000000-0005-0000-0000-000058680000}"/>
    <cellStyle name="SAPBEXaggItem 8 2 2 2 2" xfId="32291" xr:uid="{6DC406AE-AFAB-430F-BB81-C19AC3759CAD}"/>
    <cellStyle name="SAPBEXaggItem 8 2 2 3" xfId="27976" xr:uid="{00000000-0005-0000-0000-000059680000}"/>
    <cellStyle name="SAPBEXaggItem 8 2 2 3 2" xfId="32534" xr:uid="{A62B6919-3A28-4B77-9088-6248D3894C4C}"/>
    <cellStyle name="SAPBEXaggItem 8 2 2 4" xfId="26749" xr:uid="{00000000-0005-0000-0000-00005A680000}"/>
    <cellStyle name="SAPBEXaggItem 8 2 2 4 2" xfId="31510" xr:uid="{C5A1CBE1-0A18-4D98-A417-4D7C7C78A386}"/>
    <cellStyle name="SAPBEXaggItem 8 2 2 5" xfId="29528" xr:uid="{00000000-0005-0000-0000-00005B680000}"/>
    <cellStyle name="SAPBEXaggItem 8 2 3" xfId="26668" xr:uid="{00000000-0005-0000-0000-00005C680000}"/>
    <cellStyle name="SAPBEXaggItem 8 2 3 2" xfId="31436" xr:uid="{B03BDD18-ECB6-4043-9A45-CB0F52B045C9}"/>
    <cellStyle name="SAPBEXaggItem 8 2 4" xfId="27975" xr:uid="{00000000-0005-0000-0000-00005D680000}"/>
    <cellStyle name="SAPBEXaggItem 8 2 4 2" xfId="32533" xr:uid="{0E5B1CAB-01AA-4311-94CA-01FE43D408A0}"/>
    <cellStyle name="SAPBEXaggItem 8 2 5" xfId="26268" xr:uid="{00000000-0005-0000-0000-00005E680000}"/>
    <cellStyle name="SAPBEXaggItem 8 2 5 2" xfId="31056" xr:uid="{EE3482CC-69F4-4A2F-8923-9709F6E4F82F}"/>
    <cellStyle name="SAPBEXaggItem 8 2 6" xfId="29527" xr:uid="{00000000-0005-0000-0000-00005F680000}"/>
    <cellStyle name="SAPBEXaggItem 8 2 7" xfId="30253" xr:uid="{CD4C6A4F-2D00-43B8-A2A1-C00F1C983D88}"/>
    <cellStyle name="SAPBEXaggItem 8 3" xfId="26009" xr:uid="{00000000-0005-0000-0000-000060680000}"/>
    <cellStyle name="SAPBEXaggItem 8 3 2" xfId="30830" xr:uid="{F4355A6D-9509-40F8-B850-5671C68611F1}"/>
    <cellStyle name="SAPBEXaggItem 8 4" xfId="27974" xr:uid="{00000000-0005-0000-0000-000061680000}"/>
    <cellStyle name="SAPBEXaggItem 8 4 2" xfId="32532" xr:uid="{AA875B7C-BC23-4749-92BC-B9B05C4B6BAE}"/>
    <cellStyle name="SAPBEXaggItem 8 5" xfId="29181" xr:uid="{00000000-0005-0000-0000-000062680000}"/>
    <cellStyle name="SAPBEXaggItem 8 5 2" xfId="33164" xr:uid="{044A6D63-FE23-47F8-BDF8-EF2266674E38}"/>
    <cellStyle name="SAPBEXaggItem 8 6" xfId="29526" xr:uid="{00000000-0005-0000-0000-000063680000}"/>
    <cellStyle name="SAPBEXaggItem 9" xfId="13623" xr:uid="{00000000-0005-0000-0000-000064680000}"/>
    <cellStyle name="SAPBEXaggItem 9 2" xfId="25461" xr:uid="{00000000-0005-0000-0000-000065680000}"/>
    <cellStyle name="SAPBEXaggItem 9 2 2" xfId="27614" xr:uid="{00000000-0005-0000-0000-000066680000}"/>
    <cellStyle name="SAPBEXaggItem 9 2 2 2" xfId="32201" xr:uid="{6F39F519-175A-4458-A2E2-F7268719BA68}"/>
    <cellStyle name="SAPBEXaggItem 9 2 3" xfId="27978" xr:uid="{00000000-0005-0000-0000-000067680000}"/>
    <cellStyle name="SAPBEXaggItem 9 2 3 2" xfId="32536" xr:uid="{BA009972-05DE-4CB5-9159-D82C0754E3BF}"/>
    <cellStyle name="SAPBEXaggItem 9 2 4" xfId="26932" xr:uid="{00000000-0005-0000-0000-000068680000}"/>
    <cellStyle name="SAPBEXaggItem 9 2 4 2" xfId="31693" xr:uid="{6E2AEDC1-4E65-4E81-AEDB-CA430703B994}"/>
    <cellStyle name="SAPBEXaggItem 9 2 5" xfId="29530" xr:uid="{00000000-0005-0000-0000-000069680000}"/>
    <cellStyle name="SAPBEXaggItem 9 3" xfId="26565" xr:uid="{00000000-0005-0000-0000-00006A680000}"/>
    <cellStyle name="SAPBEXaggItem 9 3 2" xfId="31343" xr:uid="{D1091849-BA48-47B0-A0E7-37C4271F0CEC}"/>
    <cellStyle name="SAPBEXaggItem 9 4" xfId="27977" xr:uid="{00000000-0005-0000-0000-00006B680000}"/>
    <cellStyle name="SAPBEXaggItem 9 4 2" xfId="32535" xr:uid="{5DDDB630-060D-4F5C-AE8A-7E4F56371789}"/>
    <cellStyle name="SAPBEXaggItem 9 5" xfId="26693" xr:uid="{00000000-0005-0000-0000-00006C680000}"/>
    <cellStyle name="SAPBEXaggItem 9 5 2" xfId="31455" xr:uid="{EA69DF50-6BD8-4607-B275-05982B5FC0D9}"/>
    <cellStyle name="SAPBEXaggItem 9 6" xfId="29529" xr:uid="{00000000-0005-0000-0000-00006D680000}"/>
    <cellStyle name="SAPBEXaggItem 9 7" xfId="30163" xr:uid="{FE338DFF-0566-43F1-9D21-BC40584365A3}"/>
    <cellStyle name="SAPBEXaggItem_Copy of xSAPtemp5457" xfId="224" xr:uid="{00000000-0005-0000-0000-00006E680000}"/>
    <cellStyle name="SAPBEXaggItemX" xfId="76" xr:uid="{00000000-0005-0000-0000-00006F680000}"/>
    <cellStyle name="SAPBEXaggItemX 2" xfId="13625" xr:uid="{00000000-0005-0000-0000-000070680000}"/>
    <cellStyle name="SAPBEXaggItemX 2 2" xfId="25463" xr:uid="{00000000-0005-0000-0000-000071680000}"/>
    <cellStyle name="SAPBEXaggItemX 2 2 2" xfId="27616" xr:uid="{00000000-0005-0000-0000-000072680000}"/>
    <cellStyle name="SAPBEXaggItemX 2 2 2 2" xfId="32203" xr:uid="{3D0DDBDD-ECB6-4C89-A9F5-8B3D42B5B212}"/>
    <cellStyle name="SAPBEXaggItemX 2 2 3" xfId="27981" xr:uid="{00000000-0005-0000-0000-000073680000}"/>
    <cellStyle name="SAPBEXaggItemX 2 2 3 2" xfId="32539" xr:uid="{8DFA4C58-695F-4348-93AD-2BC8D97DE1D8}"/>
    <cellStyle name="SAPBEXaggItemX 2 2 4" xfId="26133" xr:uid="{00000000-0005-0000-0000-000074680000}"/>
    <cellStyle name="SAPBEXaggItemX 2 2 4 2" xfId="30923" xr:uid="{7BD78918-C3F4-4C69-BE60-AD3CD26405E7}"/>
    <cellStyle name="SAPBEXaggItemX 2 2 5" xfId="29533" xr:uid="{00000000-0005-0000-0000-000075680000}"/>
    <cellStyle name="SAPBEXaggItemX 2 3" xfId="26567" xr:uid="{00000000-0005-0000-0000-000076680000}"/>
    <cellStyle name="SAPBEXaggItemX 2 3 2" xfId="31345" xr:uid="{88F7FD74-E7E7-4F12-896A-1A971E1122D2}"/>
    <cellStyle name="SAPBEXaggItemX 2 4" xfId="27980" xr:uid="{00000000-0005-0000-0000-000077680000}"/>
    <cellStyle name="SAPBEXaggItemX 2 4 2" xfId="32538" xr:uid="{6634B7BE-23B0-4015-AB5A-D81307B2A401}"/>
    <cellStyle name="SAPBEXaggItemX 2 5" xfId="26518" xr:uid="{00000000-0005-0000-0000-000078680000}"/>
    <cellStyle name="SAPBEXaggItemX 2 5 2" xfId="31306" xr:uid="{C0E7BED4-4E66-4354-A7F2-BF688CE3F0D2}"/>
    <cellStyle name="SAPBEXaggItemX 2 6" xfId="29532" xr:uid="{00000000-0005-0000-0000-000079680000}"/>
    <cellStyle name="SAPBEXaggItemX 2 7" xfId="30165" xr:uid="{A88E2D5C-E34D-4436-A471-5C092A1AD7D6}"/>
    <cellStyle name="SAPBEXaggItemX 3" xfId="24683" xr:uid="{00000000-0005-0000-0000-00007A680000}"/>
    <cellStyle name="SAPBEXaggItemX 3 2" xfId="25307" xr:uid="{00000000-0005-0000-0000-00007B680000}"/>
    <cellStyle name="SAPBEXaggItemX 3 2 2" xfId="27461" xr:uid="{00000000-0005-0000-0000-00007C680000}"/>
    <cellStyle name="SAPBEXaggItemX 3 2 2 2" xfId="32053" xr:uid="{1AFDC90F-B368-4960-8CA2-66D4AB7968AC}"/>
    <cellStyle name="SAPBEXaggItemX 3 2 3" xfId="27983" xr:uid="{00000000-0005-0000-0000-00007D680000}"/>
    <cellStyle name="SAPBEXaggItemX 3 2 3 2" xfId="32541" xr:uid="{E3D80079-1F75-45FF-8268-96B13D753AA7}"/>
    <cellStyle name="SAPBEXaggItemX 3 2 4" xfId="26219" xr:uid="{00000000-0005-0000-0000-00007E680000}"/>
    <cellStyle name="SAPBEXaggItemX 3 2 4 2" xfId="31007" xr:uid="{0C62C2E9-D7C8-4697-8625-4E7930349DF8}"/>
    <cellStyle name="SAPBEXaggItemX 3 2 5" xfId="29535" xr:uid="{00000000-0005-0000-0000-00007F680000}"/>
    <cellStyle name="SAPBEXaggItemX 3 2 6" xfId="30466" xr:uid="{EB379C1D-B549-4431-B94F-557B600FA736}"/>
    <cellStyle name="SAPBEXaggItemX 3 3" xfId="25646" xr:uid="{00000000-0005-0000-0000-000080680000}"/>
    <cellStyle name="SAPBEXaggItemX 3 3 2" xfId="27799" xr:uid="{00000000-0005-0000-0000-000081680000}"/>
    <cellStyle name="SAPBEXaggItemX 3 3 2 2" xfId="32386" xr:uid="{3D69005C-1E99-47E1-A0DF-C3762968EDF4}"/>
    <cellStyle name="SAPBEXaggItemX 3 3 3" xfId="27984" xr:uid="{00000000-0005-0000-0000-000082680000}"/>
    <cellStyle name="SAPBEXaggItemX 3 3 3 2" xfId="32542" xr:uid="{CA5A6CB4-D863-44E1-9501-FF486F065B2B}"/>
    <cellStyle name="SAPBEXaggItemX 3 3 4" xfId="26155" xr:uid="{00000000-0005-0000-0000-000083680000}"/>
    <cellStyle name="SAPBEXaggItemX 3 3 4 2" xfId="30944" xr:uid="{59538DF5-9FBA-425E-8707-AF093049DF6D}"/>
    <cellStyle name="SAPBEXaggItemX 3 3 5" xfId="29536" xr:uid="{00000000-0005-0000-0000-000084680000}"/>
    <cellStyle name="SAPBEXaggItemX 3 4" xfId="27273" xr:uid="{00000000-0005-0000-0000-000085680000}"/>
    <cellStyle name="SAPBEXaggItemX 3 4 2" xfId="31908" xr:uid="{34208321-D694-4D9A-973D-F5BCD079944D}"/>
    <cellStyle name="SAPBEXaggItemX 3 5" xfId="27982" xr:uid="{00000000-0005-0000-0000-000086680000}"/>
    <cellStyle name="SAPBEXaggItemX 3 5 2" xfId="32540" xr:uid="{A69CFC7F-B0CD-4AD8-99E4-58640D9437AB}"/>
    <cellStyle name="SAPBEXaggItemX 3 6" xfId="26397" xr:uid="{00000000-0005-0000-0000-000087680000}"/>
    <cellStyle name="SAPBEXaggItemX 3 6 2" xfId="31185" xr:uid="{86F95E1E-BC1E-4FF6-8F2B-503A51CC5205}"/>
    <cellStyle name="SAPBEXaggItemX 3 7" xfId="29534" xr:uid="{00000000-0005-0000-0000-000088680000}"/>
    <cellStyle name="SAPBEXaggItemX 3 8" xfId="30348" xr:uid="{4425BD61-A63C-48B8-9A45-44CB2286B401}"/>
    <cellStyle name="SAPBEXaggItemX 4" xfId="25093" xr:uid="{00000000-0005-0000-0000-000089680000}"/>
    <cellStyle name="SAPBEXaggItemX 4 2" xfId="25395" xr:uid="{00000000-0005-0000-0000-00008A680000}"/>
    <cellStyle name="SAPBEXaggItemX 4 2 2" xfId="27549" xr:uid="{00000000-0005-0000-0000-00008B680000}"/>
    <cellStyle name="SAPBEXaggItemX 4 2 2 2" xfId="32140" xr:uid="{BC345D24-6B68-448C-B0B6-4ABFFFCD884B}"/>
    <cellStyle name="SAPBEXaggItemX 4 2 3" xfId="27986" xr:uid="{00000000-0005-0000-0000-00008C680000}"/>
    <cellStyle name="SAPBEXaggItemX 4 2 3 2" xfId="32544" xr:uid="{E063319A-C3FB-4269-BD04-3D3064CC6744}"/>
    <cellStyle name="SAPBEXaggItemX 4 2 4" xfId="26434" xr:uid="{00000000-0005-0000-0000-00008D680000}"/>
    <cellStyle name="SAPBEXaggItemX 4 2 4 2" xfId="31222" xr:uid="{C09F4D9E-8699-4F51-9273-0E9BA5F3AD36}"/>
    <cellStyle name="SAPBEXaggItemX 4 2 5" xfId="29538" xr:uid="{00000000-0005-0000-0000-00008E680000}"/>
    <cellStyle name="SAPBEXaggItemX 4 2 6" xfId="30553" xr:uid="{89CA3523-B029-4017-8D75-D77B5F1D5D6D}"/>
    <cellStyle name="SAPBEXaggItemX 4 3" xfId="25691" xr:uid="{00000000-0005-0000-0000-00008F680000}"/>
    <cellStyle name="SAPBEXaggItemX 4 3 2" xfId="27844" xr:uid="{00000000-0005-0000-0000-000090680000}"/>
    <cellStyle name="SAPBEXaggItemX 4 3 2 2" xfId="32431" xr:uid="{D9ADC7DD-7C60-4DCA-8668-1E03A9C2A4F7}"/>
    <cellStyle name="SAPBEXaggItemX 4 3 3" xfId="27987" xr:uid="{00000000-0005-0000-0000-000091680000}"/>
    <cellStyle name="SAPBEXaggItemX 4 3 3 2" xfId="32545" xr:uid="{2E0BF6CA-7DD3-46B5-A1FF-6047CBCFFABD}"/>
    <cellStyle name="SAPBEXaggItemX 4 3 4" xfId="26430" xr:uid="{00000000-0005-0000-0000-000092680000}"/>
    <cellStyle name="SAPBEXaggItemX 4 3 4 2" xfId="31218" xr:uid="{AF88F052-4CE3-461E-ABB1-6DC5857EB68A}"/>
    <cellStyle name="SAPBEXaggItemX 4 3 5" xfId="29539" xr:uid="{00000000-0005-0000-0000-000093680000}"/>
    <cellStyle name="SAPBEXaggItemX 4 3 6" xfId="30685" xr:uid="{F2CE445F-BA63-4C65-92D1-EA0CD236EB36}"/>
    <cellStyle name="SAPBEXaggItemX 4 4" xfId="27378" xr:uid="{00000000-0005-0000-0000-000094680000}"/>
    <cellStyle name="SAPBEXaggItemX 4 4 2" xfId="31976" xr:uid="{597C89C4-CC5E-46F2-8989-D025EFA05486}"/>
    <cellStyle name="SAPBEXaggItemX 4 5" xfId="27985" xr:uid="{00000000-0005-0000-0000-000095680000}"/>
    <cellStyle name="SAPBEXaggItemX 4 5 2" xfId="32543" xr:uid="{6CE6FC7B-1900-42DD-B9B3-BB72A114F1DF}"/>
    <cellStyle name="SAPBEXaggItemX 4 6" xfId="26836" xr:uid="{00000000-0005-0000-0000-000096680000}"/>
    <cellStyle name="SAPBEXaggItemX 4 6 2" xfId="31597" xr:uid="{A9C8BAAE-F7FA-400F-A25E-19C7F8C6B0E3}"/>
    <cellStyle name="SAPBEXaggItemX 4 7" xfId="29537" xr:uid="{00000000-0005-0000-0000-000097680000}"/>
    <cellStyle name="SAPBEXaggItemX 4 8" xfId="30393" xr:uid="{DC93A99E-E1E2-412C-A040-CB0B41549AB8}"/>
    <cellStyle name="SAPBEXaggItemX 5" xfId="25821" xr:uid="{00000000-0005-0000-0000-000098680000}"/>
    <cellStyle name="SAPBEXaggItemX 5 2" xfId="30740" xr:uid="{9C6525B9-86FD-4687-A552-98344B92E680}"/>
    <cellStyle name="SAPBEXaggItemX 6" xfId="27979" xr:uid="{00000000-0005-0000-0000-000099680000}"/>
    <cellStyle name="SAPBEXaggItemX 6 2" xfId="32537" xr:uid="{3036EDFF-E166-43A4-81D3-86C558783986}"/>
    <cellStyle name="SAPBEXaggItemX 7" xfId="26526" xr:uid="{00000000-0005-0000-0000-00009A680000}"/>
    <cellStyle name="SAPBEXaggItemX 7 2" xfId="31313" xr:uid="{95B57073-E330-4FF9-92A7-0DEC45469DC9}"/>
    <cellStyle name="SAPBEXaggItemX 8" xfId="29531" xr:uid="{00000000-0005-0000-0000-00009B680000}"/>
    <cellStyle name="SAPBEXchaText" xfId="6" xr:uid="{00000000-0005-0000-0000-00009C680000}"/>
    <cellStyle name="SAPBEXchaText 2" xfId="77" xr:uid="{00000000-0005-0000-0000-00009D680000}"/>
    <cellStyle name="SAPBEXchaText 2 2" xfId="459" xr:uid="{00000000-0005-0000-0000-00009E680000}"/>
    <cellStyle name="SAPBEXchaText 2 2 2" xfId="13827" xr:uid="{00000000-0005-0000-0000-00009F680000}"/>
    <cellStyle name="SAPBEXchaText 2 2 2 2" xfId="25377" xr:uid="{00000000-0005-0000-0000-0000A0680000}"/>
    <cellStyle name="SAPBEXchaText 2 2 2 2 2" xfId="27531" xr:uid="{00000000-0005-0000-0000-0000A1680000}"/>
    <cellStyle name="SAPBEXchaText 2 2 2 2 2 2" xfId="32122" xr:uid="{517A5F73-21E4-40DE-84F1-B893B929A254}"/>
    <cellStyle name="SAPBEXchaText 2 2 2 2 3" xfId="27991" xr:uid="{00000000-0005-0000-0000-0000A2680000}"/>
    <cellStyle name="SAPBEXchaText 2 2 2 2 3 2" xfId="32549" xr:uid="{95B6FFD3-1CA5-4B5C-ABE4-129AF2BEA197}"/>
    <cellStyle name="SAPBEXchaText 2 2 2 2 4" xfId="26793" xr:uid="{00000000-0005-0000-0000-0000A3680000}"/>
    <cellStyle name="SAPBEXchaText 2 2 2 2 4 2" xfId="31554" xr:uid="{70C3DCD5-2C5A-4810-B0A4-10B82287F78D}"/>
    <cellStyle name="SAPBEXchaText 2 2 2 2 5" xfId="29543" xr:uid="{00000000-0005-0000-0000-0000A4680000}"/>
    <cellStyle name="SAPBEXchaText 2 2 2 2 6" xfId="30535" xr:uid="{A10E716C-137A-4426-9B3C-9B2840608F9C}"/>
    <cellStyle name="SAPBEXchaText 2 2 2 3" xfId="26676" xr:uid="{00000000-0005-0000-0000-0000A5680000}"/>
    <cellStyle name="SAPBEXchaText 2 2 2 3 2" xfId="31443" xr:uid="{E7038897-4D0B-46F9-BF0D-CC14AE84173F}"/>
    <cellStyle name="SAPBEXchaText 2 2 2 4" xfId="27990" xr:uid="{00000000-0005-0000-0000-0000A6680000}"/>
    <cellStyle name="SAPBEXchaText 2 2 2 4 2" xfId="32548" xr:uid="{CFE10A90-AC74-4910-A08F-96351F4DAD22}"/>
    <cellStyle name="SAPBEXchaText 2 2 2 5" xfId="29542" xr:uid="{00000000-0005-0000-0000-0000A7680000}"/>
    <cellStyle name="SAPBEXchaText 2 2 3" xfId="26024" xr:uid="{00000000-0005-0000-0000-0000A8680000}"/>
    <cellStyle name="SAPBEXchaText 2 2 3 2" xfId="30834" xr:uid="{FD43B60E-CE47-4291-B7B1-EF599EEC9107}"/>
    <cellStyle name="SAPBEXchaText 2 2 4" xfId="27989" xr:uid="{00000000-0005-0000-0000-0000A9680000}"/>
    <cellStyle name="SAPBEXchaText 2 2 4 2" xfId="32547" xr:uid="{68AD3618-1FC3-44DA-8F85-A5DC29FDDE07}"/>
    <cellStyle name="SAPBEXchaText 2 2 5" xfId="29541" xr:uid="{00000000-0005-0000-0000-0000AA680000}"/>
    <cellStyle name="SAPBEXchaText 2 3" xfId="13626" xr:uid="{00000000-0005-0000-0000-0000AB680000}"/>
    <cellStyle name="SAPBEXchaText 2 3 2" xfId="25464" xr:uid="{00000000-0005-0000-0000-0000AC680000}"/>
    <cellStyle name="SAPBEXchaText 2 3 2 2" xfId="27617" xr:uid="{00000000-0005-0000-0000-0000AD680000}"/>
    <cellStyle name="SAPBEXchaText 2 3 2 2 2" xfId="32204" xr:uid="{3BDE0E90-0D5A-4A9A-87E7-45293BB26F63}"/>
    <cellStyle name="SAPBEXchaText 2 3 2 3" xfId="27993" xr:uid="{00000000-0005-0000-0000-0000AE680000}"/>
    <cellStyle name="SAPBEXchaText 2 3 2 3 2" xfId="32551" xr:uid="{9CA5A6D7-FFB7-4D95-85F4-CEE67D218524}"/>
    <cellStyle name="SAPBEXchaText 2 3 2 4" xfId="26286" xr:uid="{00000000-0005-0000-0000-0000AF680000}"/>
    <cellStyle name="SAPBEXchaText 2 3 2 4 2" xfId="31074" xr:uid="{C2B17216-A434-4F85-9D52-2448DA7A68E4}"/>
    <cellStyle name="SAPBEXchaText 2 3 2 5" xfId="29545" xr:uid="{00000000-0005-0000-0000-0000B0680000}"/>
    <cellStyle name="SAPBEXchaText 2 3 3" xfId="26568" xr:uid="{00000000-0005-0000-0000-0000B1680000}"/>
    <cellStyle name="SAPBEXchaText 2 3 3 2" xfId="31346" xr:uid="{2EDAD17F-BA8F-45DB-BB4E-BD5442817DCF}"/>
    <cellStyle name="SAPBEXchaText 2 3 4" xfId="27992" xr:uid="{00000000-0005-0000-0000-0000B2680000}"/>
    <cellStyle name="SAPBEXchaText 2 3 4 2" xfId="32550" xr:uid="{5E657833-0B6A-4719-B011-17FBB558EF2C}"/>
    <cellStyle name="SAPBEXchaText 2 3 5" xfId="26254" xr:uid="{00000000-0005-0000-0000-0000B3680000}"/>
    <cellStyle name="SAPBEXchaText 2 3 5 2" xfId="31042" xr:uid="{EEE72D27-03AE-4A34-B5B6-E0333C3D02EC}"/>
    <cellStyle name="SAPBEXchaText 2 3 6" xfId="29544" xr:uid="{00000000-0005-0000-0000-0000B4680000}"/>
    <cellStyle name="SAPBEXchaText 2 3 7" xfId="30166" xr:uid="{0595B4A8-BA58-41F6-B03E-EB4B668E4A63}"/>
    <cellStyle name="SAPBEXchaText 2 4" xfId="25822" xr:uid="{00000000-0005-0000-0000-0000B5680000}"/>
    <cellStyle name="SAPBEXchaText 2 4 2" xfId="30741" xr:uid="{7E802401-D9F8-47F3-A5B1-F0D625054632}"/>
    <cellStyle name="SAPBEXchaText 2 5" xfId="27988" xr:uid="{00000000-0005-0000-0000-0000B6680000}"/>
    <cellStyle name="SAPBEXchaText 2 5 2" xfId="32546" xr:uid="{CFE6E22C-DFD6-459F-AC7A-CF8B1CED5293}"/>
    <cellStyle name="SAPBEXchaText 2 6" xfId="26197" xr:uid="{00000000-0005-0000-0000-0000B7680000}"/>
    <cellStyle name="SAPBEXchaText 2 6 2" xfId="30985" xr:uid="{EB2351C8-693D-4C07-804D-D4AD7EDD5817}"/>
    <cellStyle name="SAPBEXchaText 2 7" xfId="29540" xr:uid="{00000000-0005-0000-0000-0000B8680000}"/>
    <cellStyle name="SAPBEXchaText 3" xfId="78" xr:uid="{00000000-0005-0000-0000-0000B9680000}"/>
    <cellStyle name="SAPBEXchaText 3 2" xfId="225" xr:uid="{00000000-0005-0000-0000-0000BA680000}"/>
    <cellStyle name="SAPBEXchaText 3 2 2" xfId="13710" xr:uid="{00000000-0005-0000-0000-0000BB680000}"/>
    <cellStyle name="SAPBEXchaText 3 2 2 2" xfId="25524" xr:uid="{00000000-0005-0000-0000-0000BC680000}"/>
    <cellStyle name="SAPBEXchaText 3 2 2 2 2" xfId="27677" xr:uid="{00000000-0005-0000-0000-0000BD680000}"/>
    <cellStyle name="SAPBEXchaText 3 2 2 2 2 2" xfId="32264" xr:uid="{7E294FA4-D9D0-4353-946D-CD0AC4C4C2BB}"/>
    <cellStyle name="SAPBEXchaText 3 2 2 2 3" xfId="27996" xr:uid="{00000000-0005-0000-0000-0000BE680000}"/>
    <cellStyle name="SAPBEXchaText 3 2 2 2 3 2" xfId="32554" xr:uid="{37132518-9494-4D51-92FF-FF36C4F07C3C}"/>
    <cellStyle name="SAPBEXchaText 3 2 2 2 4" xfId="27166" xr:uid="{00000000-0005-0000-0000-0000BF680000}"/>
    <cellStyle name="SAPBEXchaText 3 2 2 2 4 2" xfId="31856" xr:uid="{928CE0B0-0B8C-47E4-9F0A-600A7874C460}"/>
    <cellStyle name="SAPBEXchaText 3 2 2 2 5" xfId="29548" xr:uid="{00000000-0005-0000-0000-0000C0680000}"/>
    <cellStyle name="SAPBEXchaText 3 2 2 3" xfId="26630" xr:uid="{00000000-0005-0000-0000-0000C1680000}"/>
    <cellStyle name="SAPBEXchaText 3 2 2 3 2" xfId="31407" xr:uid="{1EF6FF5A-AD51-4EB0-8C08-C4DD97CAE6ED}"/>
    <cellStyle name="SAPBEXchaText 3 2 2 4" xfId="27995" xr:uid="{00000000-0005-0000-0000-0000C2680000}"/>
    <cellStyle name="SAPBEXchaText 3 2 2 4 2" xfId="32553" xr:uid="{8DAF9132-47F6-47F0-BD66-B95009B883F2}"/>
    <cellStyle name="SAPBEXchaText 3 2 2 5" xfId="26428" xr:uid="{00000000-0005-0000-0000-0000C3680000}"/>
    <cellStyle name="SAPBEXchaText 3 2 2 5 2" xfId="31216" xr:uid="{12152ADC-110A-4DD1-B433-EB74331DD682}"/>
    <cellStyle name="SAPBEXchaText 3 2 2 6" xfId="29547" xr:uid="{00000000-0005-0000-0000-0000C4680000}"/>
    <cellStyle name="SAPBEXchaText 3 2 2 7" xfId="30226" xr:uid="{0CFC239E-80EA-4315-99EA-AAB53E6A5BFE}"/>
    <cellStyle name="SAPBEXchaText 3 2 3" xfId="25913" xr:uid="{00000000-0005-0000-0000-0000C5680000}"/>
    <cellStyle name="SAPBEXchaText 3 2 3 2" xfId="30802" xr:uid="{345C8EED-8C64-42D2-AA14-033B66E8540F}"/>
    <cellStyle name="SAPBEXchaText 3 2 4" xfId="27994" xr:uid="{00000000-0005-0000-0000-0000C6680000}"/>
    <cellStyle name="SAPBEXchaText 3 2 4 2" xfId="32552" xr:uid="{0F203140-2F63-4B68-AC42-9ED28990ABEA}"/>
    <cellStyle name="SAPBEXchaText 3 2 5" xfId="26718" xr:uid="{00000000-0005-0000-0000-0000C7680000}"/>
    <cellStyle name="SAPBEXchaText 3 2 5 2" xfId="31480" xr:uid="{26E5D45F-F8DC-433E-AFD3-483040E37F48}"/>
    <cellStyle name="SAPBEXchaText 3 2 6" xfId="29546" xr:uid="{00000000-0005-0000-0000-0000C8680000}"/>
    <cellStyle name="SAPBEXchaText 4" xfId="226" xr:uid="{00000000-0005-0000-0000-0000C9680000}"/>
    <cellStyle name="SAPBEXchaText 4 2" xfId="13711" xr:uid="{00000000-0005-0000-0000-0000CA680000}"/>
    <cellStyle name="SAPBEXchaText 4 2 2" xfId="25525" xr:uid="{00000000-0005-0000-0000-0000CB680000}"/>
    <cellStyle name="SAPBEXchaText 4 2 2 2" xfId="27678" xr:uid="{00000000-0005-0000-0000-0000CC680000}"/>
    <cellStyle name="SAPBEXchaText 4 2 2 2 2" xfId="32265" xr:uid="{B858C0E6-884F-43C1-856F-02073EDD28BC}"/>
    <cellStyle name="SAPBEXchaText 4 2 2 3" xfId="27999" xr:uid="{00000000-0005-0000-0000-0000CD680000}"/>
    <cellStyle name="SAPBEXchaText 4 2 2 3 2" xfId="32557" xr:uid="{126FAD87-261A-475C-BFB4-9A6DF554F308}"/>
    <cellStyle name="SAPBEXchaText 4 2 2 4" xfId="27223" xr:uid="{00000000-0005-0000-0000-0000CE680000}"/>
    <cellStyle name="SAPBEXchaText 4 2 2 4 2" xfId="31859" xr:uid="{8F1A7A25-B5FC-4A8E-ACC9-71D3496DF3D1}"/>
    <cellStyle name="SAPBEXchaText 4 2 2 5" xfId="29551" xr:uid="{00000000-0005-0000-0000-0000CF680000}"/>
    <cellStyle name="SAPBEXchaText 4 2 3" xfId="26631" xr:uid="{00000000-0005-0000-0000-0000D0680000}"/>
    <cellStyle name="SAPBEXchaText 4 2 3 2" xfId="31408" xr:uid="{AD8A075E-0EEE-41CF-8EAD-959871169ED0}"/>
    <cellStyle name="SAPBEXchaText 4 2 4" xfId="27998" xr:uid="{00000000-0005-0000-0000-0000D1680000}"/>
    <cellStyle name="SAPBEXchaText 4 2 4 2" xfId="32556" xr:uid="{25F0FD44-40FA-4D21-8FCE-55B875B9B62A}"/>
    <cellStyle name="SAPBEXchaText 4 2 5" xfId="26270" xr:uid="{00000000-0005-0000-0000-0000D2680000}"/>
    <cellStyle name="SAPBEXchaText 4 2 5 2" xfId="31058" xr:uid="{402BFFB3-3012-440C-8AEF-3B82D974ADB8}"/>
    <cellStyle name="SAPBEXchaText 4 2 6" xfId="29550" xr:uid="{00000000-0005-0000-0000-0000D3680000}"/>
    <cellStyle name="SAPBEXchaText 4 2 7" xfId="30227" xr:uid="{3DFDBC6F-83DD-4083-81B1-EADFFD07A279}"/>
    <cellStyle name="SAPBEXchaText 4 3" xfId="25914" xr:uid="{00000000-0005-0000-0000-0000D4680000}"/>
    <cellStyle name="SAPBEXchaText 4 3 2" xfId="30803" xr:uid="{C37FD4F3-BFD5-42A9-865D-B5A57A25AE38}"/>
    <cellStyle name="SAPBEXchaText 4 4" xfId="27997" xr:uid="{00000000-0005-0000-0000-0000D5680000}"/>
    <cellStyle name="SAPBEXchaText 4 4 2" xfId="32555" xr:uid="{D32D80FC-7857-4BAD-8490-CE2CCD4055AD}"/>
    <cellStyle name="SAPBEXchaText 4 5" xfId="26375" xr:uid="{00000000-0005-0000-0000-0000D6680000}"/>
    <cellStyle name="SAPBEXchaText 4 5 2" xfId="31163" xr:uid="{7E5B18B3-A912-4228-91F2-BEDE34E9722F}"/>
    <cellStyle name="SAPBEXchaText 4 6" xfId="29549" xr:uid="{00000000-0005-0000-0000-0000D7680000}"/>
    <cellStyle name="SAPBEXchaText 5" xfId="227" xr:uid="{00000000-0005-0000-0000-0000D8680000}"/>
    <cellStyle name="SAPBEXchaText 5 2" xfId="13712" xr:uid="{00000000-0005-0000-0000-0000D9680000}"/>
    <cellStyle name="SAPBEXchaText 5 2 2" xfId="25526" xr:uid="{00000000-0005-0000-0000-0000DA680000}"/>
    <cellStyle name="SAPBEXchaText 5 2 2 2" xfId="27679" xr:uid="{00000000-0005-0000-0000-0000DB680000}"/>
    <cellStyle name="SAPBEXchaText 5 2 2 2 2" xfId="32266" xr:uid="{559D65D3-4284-4BBA-BF6F-9BEE9934CD07}"/>
    <cellStyle name="SAPBEXchaText 5 2 2 3" xfId="28002" xr:uid="{00000000-0005-0000-0000-0000DC680000}"/>
    <cellStyle name="SAPBEXchaText 5 2 2 3 2" xfId="32560" xr:uid="{E51BC055-1EA6-4830-B219-ADFD0E0D7CB9}"/>
    <cellStyle name="SAPBEXchaText 5 2 2 4" xfId="26253" xr:uid="{00000000-0005-0000-0000-0000DD680000}"/>
    <cellStyle name="SAPBEXchaText 5 2 2 4 2" xfId="31041" xr:uid="{B55A74B8-5C8C-4324-A8FA-0A94A0C97580}"/>
    <cellStyle name="SAPBEXchaText 5 2 2 5" xfId="29554" xr:uid="{00000000-0005-0000-0000-0000DE680000}"/>
    <cellStyle name="SAPBEXchaText 5 2 3" xfId="26632" xr:uid="{00000000-0005-0000-0000-0000DF680000}"/>
    <cellStyle name="SAPBEXchaText 5 2 3 2" xfId="31409" xr:uid="{6ACFAD36-E70C-46E7-9053-97FA2C949D7C}"/>
    <cellStyle name="SAPBEXchaText 5 2 4" xfId="28001" xr:uid="{00000000-0005-0000-0000-0000E0680000}"/>
    <cellStyle name="SAPBEXchaText 5 2 4 2" xfId="32559" xr:uid="{287C3159-6452-4C62-9A82-2C8C5B8CFBB3}"/>
    <cellStyle name="SAPBEXchaText 5 2 5" xfId="26781" xr:uid="{00000000-0005-0000-0000-0000E1680000}"/>
    <cellStyle name="SAPBEXchaText 5 2 5 2" xfId="31542" xr:uid="{341607B4-327F-4147-A312-2D0BA2D963C8}"/>
    <cellStyle name="SAPBEXchaText 5 2 6" xfId="29553" xr:uid="{00000000-0005-0000-0000-0000E2680000}"/>
    <cellStyle name="SAPBEXchaText 5 2 7" xfId="30228" xr:uid="{9EB76801-C39F-4F54-8C5F-410EF4173CFB}"/>
    <cellStyle name="SAPBEXchaText 5 3" xfId="25915" xr:uid="{00000000-0005-0000-0000-0000E3680000}"/>
    <cellStyle name="SAPBEXchaText 5 3 2" xfId="30804" xr:uid="{3B7309FB-7002-47D1-A7EA-B0D2082A025B}"/>
    <cellStyle name="SAPBEXchaText 5 4" xfId="28000" xr:uid="{00000000-0005-0000-0000-0000E4680000}"/>
    <cellStyle name="SAPBEXchaText 5 4 2" xfId="32558" xr:uid="{AF5C3298-95BA-4815-BB85-7D0AA9C3A416}"/>
    <cellStyle name="SAPBEXchaText 5 5" xfId="26962" xr:uid="{00000000-0005-0000-0000-0000E5680000}"/>
    <cellStyle name="SAPBEXchaText 5 5 2" xfId="31723" xr:uid="{80BADA1D-B2A5-40FD-B758-7870739A022B}"/>
    <cellStyle name="SAPBEXchaText 5 6" xfId="29552" xr:uid="{00000000-0005-0000-0000-0000E6680000}"/>
    <cellStyle name="SAPBEXchaText 6" xfId="228" xr:uid="{00000000-0005-0000-0000-0000E7680000}"/>
    <cellStyle name="SAPBEXchaText 6 2" xfId="13713" xr:uid="{00000000-0005-0000-0000-0000E8680000}"/>
    <cellStyle name="SAPBEXchaText 6 2 2" xfId="25527" xr:uid="{00000000-0005-0000-0000-0000E9680000}"/>
    <cellStyle name="SAPBEXchaText 6 2 2 2" xfId="27680" xr:uid="{00000000-0005-0000-0000-0000EA680000}"/>
    <cellStyle name="SAPBEXchaText 6 2 2 2 2" xfId="32267" xr:uid="{22A278FE-4785-402F-A704-7DA684524221}"/>
    <cellStyle name="SAPBEXchaText 6 2 2 3" xfId="28005" xr:uid="{00000000-0005-0000-0000-0000EB680000}"/>
    <cellStyle name="SAPBEXchaText 6 2 2 3 2" xfId="32563" xr:uid="{77B492B7-E005-4BDA-9F60-41DA8B159D10}"/>
    <cellStyle name="SAPBEXchaText 6 2 2 4" xfId="26706" xr:uid="{00000000-0005-0000-0000-0000EC680000}"/>
    <cellStyle name="SAPBEXchaText 6 2 2 4 2" xfId="31468" xr:uid="{33769E03-8EF4-4941-B988-B72755493EDE}"/>
    <cellStyle name="SAPBEXchaText 6 2 2 5" xfId="29557" xr:uid="{00000000-0005-0000-0000-0000ED680000}"/>
    <cellStyle name="SAPBEXchaText 6 2 3" xfId="26633" xr:uid="{00000000-0005-0000-0000-0000EE680000}"/>
    <cellStyle name="SAPBEXchaText 6 2 3 2" xfId="31410" xr:uid="{C3F4B057-375E-4E64-AAD1-F9A576842C49}"/>
    <cellStyle name="SAPBEXchaText 6 2 4" xfId="28004" xr:uid="{00000000-0005-0000-0000-0000EF680000}"/>
    <cellStyle name="SAPBEXchaText 6 2 4 2" xfId="32562" xr:uid="{109A7494-49C9-465C-AA2F-E2D6A51FD5CE}"/>
    <cellStyle name="SAPBEXchaText 6 2 5" xfId="26313" xr:uid="{00000000-0005-0000-0000-0000F0680000}"/>
    <cellStyle name="SAPBEXchaText 6 2 5 2" xfId="31101" xr:uid="{AB4DD600-9408-4A1B-81D9-E0FD9C5940C9}"/>
    <cellStyle name="SAPBEXchaText 6 2 6" xfId="29556" xr:uid="{00000000-0005-0000-0000-0000F1680000}"/>
    <cellStyle name="SAPBEXchaText 6 2 7" xfId="30229" xr:uid="{07BFFDE9-19ED-40E2-9E84-D6EE921289DA}"/>
    <cellStyle name="SAPBEXchaText 6 3" xfId="25916" xr:uid="{00000000-0005-0000-0000-0000F2680000}"/>
    <cellStyle name="SAPBEXchaText 6 3 2" xfId="30805" xr:uid="{547E3CD4-5D04-4CA0-BE2A-40E85AA24C77}"/>
    <cellStyle name="SAPBEXchaText 6 4" xfId="28003" xr:uid="{00000000-0005-0000-0000-0000F3680000}"/>
    <cellStyle name="SAPBEXchaText 6 4 2" xfId="32561" xr:uid="{529CEF8C-1B0A-4E5F-AFBD-214A932D0894}"/>
    <cellStyle name="SAPBEXchaText 6 5" xfId="26443" xr:uid="{00000000-0005-0000-0000-0000F4680000}"/>
    <cellStyle name="SAPBEXchaText 6 5 2" xfId="31231" xr:uid="{6E0B9770-2E74-4348-A569-CE7AD2039FC6}"/>
    <cellStyle name="SAPBEXchaText 6 6" xfId="29555" xr:uid="{00000000-0005-0000-0000-0000F5680000}"/>
    <cellStyle name="SAPBEXchaText 7" xfId="229" xr:uid="{00000000-0005-0000-0000-0000F6680000}"/>
    <cellStyle name="SAPBEXchaText 7 2" xfId="485" xr:uid="{00000000-0005-0000-0000-0000F7680000}"/>
    <cellStyle name="SAPBEXchaText 7 2 2" xfId="13848" xr:uid="{00000000-0005-0000-0000-0000F8680000}"/>
    <cellStyle name="SAPBEXchaText 7 2 2 2" xfId="25378" xr:uid="{00000000-0005-0000-0000-0000F9680000}"/>
    <cellStyle name="SAPBEXchaText 7 2 2 2 2" xfId="27532" xr:uid="{00000000-0005-0000-0000-0000FA680000}"/>
    <cellStyle name="SAPBEXchaText 7 2 2 2 2 2" xfId="32123" xr:uid="{52542E1C-A245-421E-A63F-7149ED5CAF07}"/>
    <cellStyle name="SAPBEXchaText 7 2 2 2 3" xfId="28009" xr:uid="{00000000-0005-0000-0000-0000FB680000}"/>
    <cellStyle name="SAPBEXchaText 7 2 2 2 3 2" xfId="32567" xr:uid="{C9C49F1C-1922-46F2-97FA-C73D5DB36765}"/>
    <cellStyle name="SAPBEXchaText 7 2 2 2 4" xfId="26695" xr:uid="{00000000-0005-0000-0000-0000FC680000}"/>
    <cellStyle name="SAPBEXchaText 7 2 2 2 4 2" xfId="31457" xr:uid="{FA22BCDF-DEAB-494D-84F6-B17610115B94}"/>
    <cellStyle name="SAPBEXchaText 7 2 2 2 5" xfId="29561" xr:uid="{00000000-0005-0000-0000-0000FD680000}"/>
    <cellStyle name="SAPBEXchaText 7 2 2 2 6" xfId="30536" xr:uid="{85627ADD-2E70-4E0A-8761-79BD6BCCAF26}"/>
    <cellStyle name="SAPBEXchaText 7 2 2 3" xfId="26682" xr:uid="{00000000-0005-0000-0000-0000FE680000}"/>
    <cellStyle name="SAPBEXchaText 7 2 2 3 2" xfId="31445" xr:uid="{ADD5E1F4-7E87-490E-9C7A-235FE63FBCFB}"/>
    <cellStyle name="SAPBEXchaText 7 2 2 4" xfId="28008" xr:uid="{00000000-0005-0000-0000-0000FF680000}"/>
    <cellStyle name="SAPBEXchaText 7 2 2 4 2" xfId="32566" xr:uid="{E7EE46A1-CD47-4F0F-89F6-A508DD1D2D8D}"/>
    <cellStyle name="SAPBEXchaText 7 2 2 5" xfId="29560" xr:uid="{00000000-0005-0000-0000-000000690000}"/>
    <cellStyle name="SAPBEXchaText 7 2 3" xfId="25281" xr:uid="{00000000-0005-0000-0000-000001690000}"/>
    <cellStyle name="SAPBEXchaText 7 2 3 2" xfId="27436" xr:uid="{00000000-0005-0000-0000-000002690000}"/>
    <cellStyle name="SAPBEXchaText 7 2 3 2 2" xfId="32031" xr:uid="{26E9CF18-7C80-4994-B256-3A233AC3E1B3}"/>
    <cellStyle name="SAPBEXchaText 7 2 3 3" xfId="28010" xr:uid="{00000000-0005-0000-0000-000003690000}"/>
    <cellStyle name="SAPBEXchaText 7 2 3 3 2" xfId="32568" xr:uid="{268CFA2B-9333-4E7F-8E79-30FCCE0F08FB}"/>
    <cellStyle name="SAPBEXchaText 7 2 3 4" xfId="26172" xr:uid="{00000000-0005-0000-0000-000004690000}"/>
    <cellStyle name="SAPBEXchaText 7 2 3 4 2" xfId="30961" xr:uid="{6211BFA3-F975-4ADC-B443-86342960E308}"/>
    <cellStyle name="SAPBEXchaText 7 2 3 5" xfId="29562" xr:uid="{00000000-0005-0000-0000-000005690000}"/>
    <cellStyle name="SAPBEXchaText 7 2 3 6" xfId="30444" xr:uid="{D48E3575-3E9D-49E2-A962-DA2D92976549}"/>
    <cellStyle name="SAPBEXchaText 7 2 4" xfId="26035" xr:uid="{00000000-0005-0000-0000-000006690000}"/>
    <cellStyle name="SAPBEXchaText 7 2 4 2" xfId="30836" xr:uid="{BE4AE009-DB32-4BEF-B9BE-B1E8BE6C7331}"/>
    <cellStyle name="SAPBEXchaText 7 2 5" xfId="28007" xr:uid="{00000000-0005-0000-0000-000007690000}"/>
    <cellStyle name="SAPBEXchaText 7 2 5 2" xfId="32565" xr:uid="{D16DF65E-1078-4433-B752-4F6539E88B19}"/>
    <cellStyle name="SAPBEXchaText 7 2 6" xfId="29559" xr:uid="{00000000-0005-0000-0000-000008690000}"/>
    <cellStyle name="SAPBEXchaText 7 3" xfId="13714" xr:uid="{00000000-0005-0000-0000-000009690000}"/>
    <cellStyle name="SAPBEXchaText 7 3 2" xfId="25375" xr:uid="{00000000-0005-0000-0000-00000A690000}"/>
    <cellStyle name="SAPBEXchaText 7 3 2 2" xfId="27529" xr:uid="{00000000-0005-0000-0000-00000B690000}"/>
    <cellStyle name="SAPBEXchaText 7 3 2 2 2" xfId="32120" xr:uid="{A647E9DF-6CCA-4031-A463-0DD6CEDC2378}"/>
    <cellStyle name="SAPBEXchaText 7 3 2 3" xfId="28012" xr:uid="{00000000-0005-0000-0000-00000C690000}"/>
    <cellStyle name="SAPBEXchaText 7 3 2 3 2" xfId="32570" xr:uid="{24C38923-1612-4E01-A24D-179F16D43DE4}"/>
    <cellStyle name="SAPBEXchaText 7 3 2 4" xfId="26437" xr:uid="{00000000-0005-0000-0000-00000D690000}"/>
    <cellStyle name="SAPBEXchaText 7 3 2 4 2" xfId="31225" xr:uid="{450E58AE-F4B2-4393-B864-ED097D7AD114}"/>
    <cellStyle name="SAPBEXchaText 7 3 2 5" xfId="29564" xr:uid="{00000000-0005-0000-0000-00000E690000}"/>
    <cellStyle name="SAPBEXchaText 7 3 2 6" xfId="30533" xr:uid="{770AF651-E803-4298-890B-DA6387FB1EBB}"/>
    <cellStyle name="SAPBEXchaText 7 3 3" xfId="26634" xr:uid="{00000000-0005-0000-0000-00000F690000}"/>
    <cellStyle name="SAPBEXchaText 7 3 3 2" xfId="31411" xr:uid="{B3C62764-76AC-4CB8-BAFF-FCE08627574B}"/>
    <cellStyle name="SAPBEXchaText 7 3 4" xfId="28011" xr:uid="{00000000-0005-0000-0000-000010690000}"/>
    <cellStyle name="SAPBEXchaText 7 3 4 2" xfId="32569" xr:uid="{8E3A5CBB-D14F-4674-B376-9FA70177463D}"/>
    <cellStyle name="SAPBEXchaText 7 3 5" xfId="29563" xr:uid="{00000000-0005-0000-0000-000011690000}"/>
    <cellStyle name="SAPBEXchaText 7 4" xfId="25917" xr:uid="{00000000-0005-0000-0000-000012690000}"/>
    <cellStyle name="SAPBEXchaText 7 4 2" xfId="30806" xr:uid="{191C6D76-E4B9-4333-A259-1764C903BE3F}"/>
    <cellStyle name="SAPBEXchaText 7 5" xfId="28006" xr:uid="{00000000-0005-0000-0000-000013690000}"/>
    <cellStyle name="SAPBEXchaText 7 5 2" xfId="32564" xr:uid="{CE1F5832-9711-46C6-A2C8-4E99971A8664}"/>
    <cellStyle name="SAPBEXchaText 7 6" xfId="29558" xr:uid="{00000000-0005-0000-0000-000014690000}"/>
    <cellStyle name="SAPBEXchaText_Copy of xSAPtemp5457" xfId="230" xr:uid="{00000000-0005-0000-0000-000015690000}"/>
    <cellStyle name="SAPBEXexcBad7" xfId="79" xr:uid="{00000000-0005-0000-0000-000016690000}"/>
    <cellStyle name="SAPBEXexcBad7 2" xfId="13627" xr:uid="{00000000-0005-0000-0000-000017690000}"/>
    <cellStyle name="SAPBEXexcBad7 2 2" xfId="25465" xr:uid="{00000000-0005-0000-0000-000018690000}"/>
    <cellStyle name="SAPBEXexcBad7 2 2 2" xfId="27618" xr:uid="{00000000-0005-0000-0000-000019690000}"/>
    <cellStyle name="SAPBEXexcBad7 2 2 2 2" xfId="32205" xr:uid="{F6AD5AA4-ECBC-418A-A7E1-42E606DA1138}"/>
    <cellStyle name="SAPBEXexcBad7 2 2 3" xfId="28015" xr:uid="{00000000-0005-0000-0000-00001A690000}"/>
    <cellStyle name="SAPBEXexcBad7 2 2 3 2" xfId="32573" xr:uid="{026DF6A2-58DD-4587-AB07-5DDD7569B7C3}"/>
    <cellStyle name="SAPBEXexcBad7 2 2 4" xfId="26828" xr:uid="{00000000-0005-0000-0000-00001B690000}"/>
    <cellStyle name="SAPBEXexcBad7 2 2 4 2" xfId="31589" xr:uid="{ED6B7712-49D8-4AC5-9613-5B7648C281F3}"/>
    <cellStyle name="SAPBEXexcBad7 2 2 5" xfId="29567" xr:uid="{00000000-0005-0000-0000-00001C690000}"/>
    <cellStyle name="SAPBEXexcBad7 2 3" xfId="26569" xr:uid="{00000000-0005-0000-0000-00001D690000}"/>
    <cellStyle name="SAPBEXexcBad7 2 3 2" xfId="31347" xr:uid="{E481D17E-DB36-4148-8BD9-7983806C7D2E}"/>
    <cellStyle name="SAPBEXexcBad7 2 4" xfId="28014" xr:uid="{00000000-0005-0000-0000-00001E690000}"/>
    <cellStyle name="SAPBEXexcBad7 2 4 2" xfId="32572" xr:uid="{B6290ED8-9888-4644-B6FC-F4A47D8DED48}"/>
    <cellStyle name="SAPBEXexcBad7 2 5" xfId="26331" xr:uid="{00000000-0005-0000-0000-00001F690000}"/>
    <cellStyle name="SAPBEXexcBad7 2 5 2" xfId="31119" xr:uid="{53FBD389-691E-47E6-8664-A65B6E39A4F2}"/>
    <cellStyle name="SAPBEXexcBad7 2 6" xfId="29566" xr:uid="{00000000-0005-0000-0000-000020690000}"/>
    <cellStyle name="SAPBEXexcBad7 2 7" xfId="30167" xr:uid="{9AC65CE3-3E18-421D-BBD1-75D1B22F539E}"/>
    <cellStyle name="SAPBEXexcBad7 3" xfId="24682" xr:uid="{00000000-0005-0000-0000-000021690000}"/>
    <cellStyle name="SAPBEXexcBad7 3 2" xfId="25399" xr:uid="{00000000-0005-0000-0000-000022690000}"/>
    <cellStyle name="SAPBEXexcBad7 3 2 2" xfId="27553" xr:uid="{00000000-0005-0000-0000-000023690000}"/>
    <cellStyle name="SAPBEXexcBad7 3 2 2 2" xfId="32144" xr:uid="{A3D1E332-B276-4048-8F3F-270228DE3347}"/>
    <cellStyle name="SAPBEXexcBad7 3 2 3" xfId="28017" xr:uid="{00000000-0005-0000-0000-000024690000}"/>
    <cellStyle name="SAPBEXexcBad7 3 2 3 2" xfId="32575" xr:uid="{0B2F08D5-842A-416F-9D9B-C01C498C1ADF}"/>
    <cellStyle name="SAPBEXexcBad7 3 2 4" xfId="26769" xr:uid="{00000000-0005-0000-0000-000025690000}"/>
    <cellStyle name="SAPBEXexcBad7 3 2 4 2" xfId="31530" xr:uid="{52A2D7A2-1FC3-4E37-A58B-87DF89BCF9F6}"/>
    <cellStyle name="SAPBEXexcBad7 3 2 5" xfId="29569" xr:uid="{00000000-0005-0000-0000-000026690000}"/>
    <cellStyle name="SAPBEXexcBad7 3 2 6" xfId="30557" xr:uid="{8278BFE8-B196-4672-B445-CC80D6A98836}"/>
    <cellStyle name="SAPBEXexcBad7 3 3" xfId="25645" xr:uid="{00000000-0005-0000-0000-000027690000}"/>
    <cellStyle name="SAPBEXexcBad7 3 3 2" xfId="27798" xr:uid="{00000000-0005-0000-0000-000028690000}"/>
    <cellStyle name="SAPBEXexcBad7 3 3 2 2" xfId="32385" xr:uid="{F2119AA1-EDD3-491F-88FF-0347398E06C8}"/>
    <cellStyle name="SAPBEXexcBad7 3 3 3" xfId="28018" xr:uid="{00000000-0005-0000-0000-000029690000}"/>
    <cellStyle name="SAPBEXexcBad7 3 3 3 2" xfId="32576" xr:uid="{480CEA6E-DAF1-462E-9D0B-3B8941B61CB8}"/>
    <cellStyle name="SAPBEXexcBad7 3 3 4" xfId="26911" xr:uid="{00000000-0005-0000-0000-00002A690000}"/>
    <cellStyle name="SAPBEXexcBad7 3 3 4 2" xfId="31672" xr:uid="{AEC26E8F-A103-4FA9-A7F1-8BF1A2521750}"/>
    <cellStyle name="SAPBEXexcBad7 3 3 5" xfId="29570" xr:uid="{00000000-0005-0000-0000-00002B690000}"/>
    <cellStyle name="SAPBEXexcBad7 3 4" xfId="27272" xr:uid="{00000000-0005-0000-0000-00002C690000}"/>
    <cellStyle name="SAPBEXexcBad7 3 4 2" xfId="31907" xr:uid="{20113CD8-D19F-4F06-998C-0F238747D050}"/>
    <cellStyle name="SAPBEXexcBad7 3 5" xfId="28016" xr:uid="{00000000-0005-0000-0000-00002D690000}"/>
    <cellStyle name="SAPBEXexcBad7 3 5 2" xfId="32574" xr:uid="{57FF2C4B-ED26-469F-9020-53E139B0CB3F}"/>
    <cellStyle name="SAPBEXexcBad7 3 6" xfId="26377" xr:uid="{00000000-0005-0000-0000-00002E690000}"/>
    <cellStyle name="SAPBEXexcBad7 3 6 2" xfId="31165" xr:uid="{B8F6F46E-F3B9-4988-B763-D012B07ADF1A}"/>
    <cellStyle name="SAPBEXexcBad7 3 7" xfId="29568" xr:uid="{00000000-0005-0000-0000-00002F690000}"/>
    <cellStyle name="SAPBEXexcBad7 3 8" xfId="30347" xr:uid="{C438EF61-56CC-443D-B94B-C158C7907B5D}"/>
    <cellStyle name="SAPBEXexcBad7 4" xfId="25094" xr:uid="{00000000-0005-0000-0000-000030690000}"/>
    <cellStyle name="SAPBEXexcBad7 4 2" xfId="25304" xr:uid="{00000000-0005-0000-0000-000031690000}"/>
    <cellStyle name="SAPBEXexcBad7 4 2 2" xfId="27458" xr:uid="{00000000-0005-0000-0000-000032690000}"/>
    <cellStyle name="SAPBEXexcBad7 4 2 2 2" xfId="32050" xr:uid="{DC0AC1C3-3A0B-4C51-B482-90730169D534}"/>
    <cellStyle name="SAPBEXexcBad7 4 2 3" xfId="28020" xr:uid="{00000000-0005-0000-0000-000033690000}"/>
    <cellStyle name="SAPBEXexcBad7 4 2 3 2" xfId="32578" xr:uid="{A5DD4115-76F8-458B-97E7-994376CB98E9}"/>
    <cellStyle name="SAPBEXexcBad7 4 2 4" xfId="26171" xr:uid="{00000000-0005-0000-0000-000034690000}"/>
    <cellStyle name="SAPBEXexcBad7 4 2 4 2" xfId="30960" xr:uid="{396F3595-FB48-4E71-B1AF-03BB8F7F7B72}"/>
    <cellStyle name="SAPBEXexcBad7 4 2 5" xfId="29572" xr:uid="{00000000-0005-0000-0000-000035690000}"/>
    <cellStyle name="SAPBEXexcBad7 4 2 6" xfId="30463" xr:uid="{27A585FC-FFB6-454E-A6AB-F7CA56A56366}"/>
    <cellStyle name="SAPBEXexcBad7 4 3" xfId="25692" xr:uid="{00000000-0005-0000-0000-000036690000}"/>
    <cellStyle name="SAPBEXexcBad7 4 3 2" xfId="27845" xr:uid="{00000000-0005-0000-0000-000037690000}"/>
    <cellStyle name="SAPBEXexcBad7 4 3 2 2" xfId="32432" xr:uid="{6BA12DF8-8B2F-44B9-9EF2-978B0395EDA0}"/>
    <cellStyle name="SAPBEXexcBad7 4 3 3" xfId="28021" xr:uid="{00000000-0005-0000-0000-000038690000}"/>
    <cellStyle name="SAPBEXexcBad7 4 3 3 2" xfId="32579" xr:uid="{49B39C9B-31D8-4869-ACCD-9EDCB33B5E92}"/>
    <cellStyle name="SAPBEXexcBad7 4 3 4" xfId="26347" xr:uid="{00000000-0005-0000-0000-000039690000}"/>
    <cellStyle name="SAPBEXexcBad7 4 3 4 2" xfId="31135" xr:uid="{BE02F2D0-D3F5-4BFF-999F-2BD977846F25}"/>
    <cellStyle name="SAPBEXexcBad7 4 3 5" xfId="29573" xr:uid="{00000000-0005-0000-0000-00003A690000}"/>
    <cellStyle name="SAPBEXexcBad7 4 3 6" xfId="30686" xr:uid="{313CAF11-3654-4251-A8FE-A1E3486C57E4}"/>
    <cellStyle name="SAPBEXexcBad7 4 4" xfId="27379" xr:uid="{00000000-0005-0000-0000-00003B690000}"/>
    <cellStyle name="SAPBEXexcBad7 4 4 2" xfId="31977" xr:uid="{F565D8CC-E8DD-4837-8B46-DB948B1A2BD3}"/>
    <cellStyle name="SAPBEXexcBad7 4 5" xfId="28019" xr:uid="{00000000-0005-0000-0000-00003C690000}"/>
    <cellStyle name="SAPBEXexcBad7 4 5 2" xfId="32577" xr:uid="{00507B9B-AD04-436E-BE7A-0D8C06798B90}"/>
    <cellStyle name="SAPBEXexcBad7 4 6" xfId="26326" xr:uid="{00000000-0005-0000-0000-00003D690000}"/>
    <cellStyle name="SAPBEXexcBad7 4 6 2" xfId="31114" xr:uid="{78C2E43B-6293-449B-8D6D-B3866686CDDB}"/>
    <cellStyle name="SAPBEXexcBad7 4 7" xfId="29571" xr:uid="{00000000-0005-0000-0000-00003E690000}"/>
    <cellStyle name="SAPBEXexcBad7 4 8" xfId="30394" xr:uid="{FA2A5D41-B10D-424E-B95E-AFEE97770A6C}"/>
    <cellStyle name="SAPBEXexcBad7 5" xfId="25823" xr:uid="{00000000-0005-0000-0000-00003F690000}"/>
    <cellStyle name="SAPBEXexcBad7 5 2" xfId="30742" xr:uid="{0D73545B-EB51-4FF6-AE12-49D0D0152D10}"/>
    <cellStyle name="SAPBEXexcBad7 6" xfId="28013" xr:uid="{00000000-0005-0000-0000-000040690000}"/>
    <cellStyle name="SAPBEXexcBad7 6 2" xfId="32571" xr:uid="{9D5EAA66-2CBD-47B0-B41F-483478D1FBDC}"/>
    <cellStyle name="SAPBEXexcBad7 7" xfId="26762" xr:uid="{00000000-0005-0000-0000-000041690000}"/>
    <cellStyle name="SAPBEXexcBad7 7 2" xfId="31523" xr:uid="{5C276D8F-829A-4AEA-9CDD-E9CDA20805B5}"/>
    <cellStyle name="SAPBEXexcBad7 8" xfId="29565" xr:uid="{00000000-0005-0000-0000-000042690000}"/>
    <cellStyle name="SAPBEXexcBad8" xfId="80" xr:uid="{00000000-0005-0000-0000-000043690000}"/>
    <cellStyle name="SAPBEXexcBad8 2" xfId="13628" xr:uid="{00000000-0005-0000-0000-000044690000}"/>
    <cellStyle name="SAPBEXexcBad8 2 2" xfId="25466" xr:uid="{00000000-0005-0000-0000-000045690000}"/>
    <cellStyle name="SAPBEXexcBad8 2 2 2" xfId="27619" xr:uid="{00000000-0005-0000-0000-000046690000}"/>
    <cellStyle name="SAPBEXexcBad8 2 2 2 2" xfId="32206" xr:uid="{CDD3FB0F-3B32-4792-BAD7-01135437722A}"/>
    <cellStyle name="SAPBEXexcBad8 2 2 3" xfId="28024" xr:uid="{00000000-0005-0000-0000-000047690000}"/>
    <cellStyle name="SAPBEXexcBad8 2 2 3 2" xfId="32582" xr:uid="{852CDD5A-CFDD-41BD-884F-0764829DD48B}"/>
    <cellStyle name="SAPBEXexcBad8 2 2 4" xfId="26218" xr:uid="{00000000-0005-0000-0000-000048690000}"/>
    <cellStyle name="SAPBEXexcBad8 2 2 4 2" xfId="31006" xr:uid="{59F473EF-FFC9-47AC-AE9D-1D01CABA42AE}"/>
    <cellStyle name="SAPBEXexcBad8 2 2 5" xfId="29576" xr:uid="{00000000-0005-0000-0000-000049690000}"/>
    <cellStyle name="SAPBEXexcBad8 2 3" xfId="26570" xr:uid="{00000000-0005-0000-0000-00004A690000}"/>
    <cellStyle name="SAPBEXexcBad8 2 3 2" xfId="31348" xr:uid="{4FAA151D-0B1D-4247-AE0E-106F5F863E86}"/>
    <cellStyle name="SAPBEXexcBad8 2 4" xfId="28023" xr:uid="{00000000-0005-0000-0000-00004B690000}"/>
    <cellStyle name="SAPBEXexcBad8 2 4 2" xfId="32581" xr:uid="{16F42EA7-92D7-401F-B360-936F52931500}"/>
    <cellStyle name="SAPBEXexcBad8 2 5" xfId="27149" xr:uid="{00000000-0005-0000-0000-00004C690000}"/>
    <cellStyle name="SAPBEXexcBad8 2 5 2" xfId="31851" xr:uid="{A7C9056D-9180-4EF6-A8EF-7AFCE465DBD2}"/>
    <cellStyle name="SAPBEXexcBad8 2 6" xfId="29575" xr:uid="{00000000-0005-0000-0000-00004D690000}"/>
    <cellStyle name="SAPBEXexcBad8 2 7" xfId="30168" xr:uid="{121A054E-F96F-4E7D-A7D5-F5A6086CD662}"/>
    <cellStyle name="SAPBEXexcBad8 3" xfId="24681" xr:uid="{00000000-0005-0000-0000-00004E690000}"/>
    <cellStyle name="SAPBEXexcBad8 3 2" xfId="25383" xr:uid="{00000000-0005-0000-0000-00004F690000}"/>
    <cellStyle name="SAPBEXexcBad8 3 2 2" xfId="27537" xr:uid="{00000000-0005-0000-0000-000050690000}"/>
    <cellStyle name="SAPBEXexcBad8 3 2 2 2" xfId="32128" xr:uid="{F80C21A3-8BB8-446F-97B9-203291513ACD}"/>
    <cellStyle name="SAPBEXexcBad8 3 2 3" xfId="28026" xr:uid="{00000000-0005-0000-0000-000051690000}"/>
    <cellStyle name="SAPBEXexcBad8 3 2 3 2" xfId="32584" xr:uid="{F16DB7E5-F56D-4541-BA28-D3E480CE4FCD}"/>
    <cellStyle name="SAPBEXexcBad8 3 2 4" xfId="26788" xr:uid="{00000000-0005-0000-0000-000052690000}"/>
    <cellStyle name="SAPBEXexcBad8 3 2 4 2" xfId="31549" xr:uid="{58E2C0DA-65C7-4E44-8ED8-2A596A0076DC}"/>
    <cellStyle name="SAPBEXexcBad8 3 2 5" xfId="29578" xr:uid="{00000000-0005-0000-0000-000053690000}"/>
    <cellStyle name="SAPBEXexcBad8 3 2 6" xfId="30541" xr:uid="{3A15369D-004C-445B-8405-78A515CBFA0F}"/>
    <cellStyle name="SAPBEXexcBad8 3 3" xfId="25644" xr:uid="{00000000-0005-0000-0000-000054690000}"/>
    <cellStyle name="SAPBEXexcBad8 3 3 2" xfId="27797" xr:uid="{00000000-0005-0000-0000-000055690000}"/>
    <cellStyle name="SAPBEXexcBad8 3 3 2 2" xfId="32384" xr:uid="{26D793D6-4ED2-428F-BABF-41F68C2542AB}"/>
    <cellStyle name="SAPBEXexcBad8 3 3 3" xfId="28027" xr:uid="{00000000-0005-0000-0000-000056690000}"/>
    <cellStyle name="SAPBEXexcBad8 3 3 3 2" xfId="32585" xr:uid="{328ECF25-030C-449C-857B-3A0E8035D72C}"/>
    <cellStyle name="SAPBEXexcBad8 3 3 4" xfId="26093" xr:uid="{00000000-0005-0000-0000-000057690000}"/>
    <cellStyle name="SAPBEXexcBad8 3 3 4 2" xfId="30883" xr:uid="{DA520042-7A94-45D0-BDA5-7697230027FE}"/>
    <cellStyle name="SAPBEXexcBad8 3 3 5" xfId="29579" xr:uid="{00000000-0005-0000-0000-000058690000}"/>
    <cellStyle name="SAPBEXexcBad8 3 4" xfId="27271" xr:uid="{00000000-0005-0000-0000-000059690000}"/>
    <cellStyle name="SAPBEXexcBad8 3 4 2" xfId="31906" xr:uid="{741DA6BA-C344-46FA-82A5-C36E8F827DBA}"/>
    <cellStyle name="SAPBEXexcBad8 3 5" xfId="28025" xr:uid="{00000000-0005-0000-0000-00005A690000}"/>
    <cellStyle name="SAPBEXexcBad8 3 5 2" xfId="32583" xr:uid="{F9DE1F9E-A864-495D-BFC6-A9E860F5D52E}"/>
    <cellStyle name="SAPBEXexcBad8 3 6" xfId="26453" xr:uid="{00000000-0005-0000-0000-00005B690000}"/>
    <cellStyle name="SAPBEXexcBad8 3 6 2" xfId="31241" xr:uid="{A68E2025-D99A-431C-908B-1DFF8A453799}"/>
    <cellStyle name="SAPBEXexcBad8 3 7" xfId="29577" xr:uid="{00000000-0005-0000-0000-00005C690000}"/>
    <cellStyle name="SAPBEXexcBad8 3 8" xfId="30346" xr:uid="{8EBBC0D5-37FF-4FAA-BA5F-5BFF8369F726}"/>
    <cellStyle name="SAPBEXexcBad8 4" xfId="25095" xr:uid="{00000000-0005-0000-0000-00005D690000}"/>
    <cellStyle name="SAPBEXexcBad8 4 2" xfId="25407" xr:uid="{00000000-0005-0000-0000-00005E690000}"/>
    <cellStyle name="SAPBEXexcBad8 4 2 2" xfId="27561" xr:uid="{00000000-0005-0000-0000-00005F690000}"/>
    <cellStyle name="SAPBEXexcBad8 4 2 2 2" xfId="32152" xr:uid="{4C604C83-579A-4275-B506-5B2247491A78}"/>
    <cellStyle name="SAPBEXexcBad8 4 2 3" xfId="28029" xr:uid="{00000000-0005-0000-0000-000060690000}"/>
    <cellStyle name="SAPBEXexcBad8 4 2 3 2" xfId="32587" xr:uid="{7E77D617-98FF-4E59-A025-AD3A5B0E6444}"/>
    <cellStyle name="SAPBEXexcBad8 4 2 4" xfId="26104" xr:uid="{00000000-0005-0000-0000-000061690000}"/>
    <cellStyle name="SAPBEXexcBad8 4 2 4 2" xfId="30894" xr:uid="{C1DEDFA8-7657-4D64-8CDC-41E6BF6B7207}"/>
    <cellStyle name="SAPBEXexcBad8 4 2 5" xfId="29581" xr:uid="{00000000-0005-0000-0000-000062690000}"/>
    <cellStyle name="SAPBEXexcBad8 4 2 6" xfId="30565" xr:uid="{3B46A29E-DE8B-45F9-BE1F-4659838470C7}"/>
    <cellStyle name="SAPBEXexcBad8 4 3" xfId="25693" xr:uid="{00000000-0005-0000-0000-000063690000}"/>
    <cellStyle name="SAPBEXexcBad8 4 3 2" xfId="27846" xr:uid="{00000000-0005-0000-0000-000064690000}"/>
    <cellStyle name="SAPBEXexcBad8 4 3 2 2" xfId="32433" xr:uid="{8A2D5EE9-267D-4015-B097-FE5A481D2AF9}"/>
    <cellStyle name="SAPBEXexcBad8 4 3 3" xfId="28030" xr:uid="{00000000-0005-0000-0000-000065690000}"/>
    <cellStyle name="SAPBEXexcBad8 4 3 3 2" xfId="32588" xr:uid="{FA891C18-4D79-4A97-8002-B27C3CCFDBAF}"/>
    <cellStyle name="SAPBEXexcBad8 4 3 4" xfId="26900" xr:uid="{00000000-0005-0000-0000-000066690000}"/>
    <cellStyle name="SAPBEXexcBad8 4 3 4 2" xfId="31661" xr:uid="{C35F3C85-EC52-486B-BECD-F168DFDAA926}"/>
    <cellStyle name="SAPBEXexcBad8 4 3 5" xfId="29582" xr:uid="{00000000-0005-0000-0000-000067690000}"/>
    <cellStyle name="SAPBEXexcBad8 4 3 6" xfId="30687" xr:uid="{0805A494-1235-4227-9F3C-AEC439FDCD09}"/>
    <cellStyle name="SAPBEXexcBad8 4 4" xfId="27380" xr:uid="{00000000-0005-0000-0000-000068690000}"/>
    <cellStyle name="SAPBEXexcBad8 4 4 2" xfId="31978" xr:uid="{F0FEA23A-5C77-4FA6-AE45-94940C566A56}"/>
    <cellStyle name="SAPBEXexcBad8 4 5" xfId="28028" xr:uid="{00000000-0005-0000-0000-000069690000}"/>
    <cellStyle name="SAPBEXexcBad8 4 5 2" xfId="32586" xr:uid="{4B5902EA-D4CD-4A5B-8A5A-0401112C48E2}"/>
    <cellStyle name="SAPBEXexcBad8 4 6" xfId="26785" xr:uid="{00000000-0005-0000-0000-00006A690000}"/>
    <cellStyle name="SAPBEXexcBad8 4 6 2" xfId="31546" xr:uid="{1F66D3C7-B6ED-4FD8-A58B-E3C553854D24}"/>
    <cellStyle name="SAPBEXexcBad8 4 7" xfId="29580" xr:uid="{00000000-0005-0000-0000-00006B690000}"/>
    <cellStyle name="SAPBEXexcBad8 4 8" xfId="30395" xr:uid="{08675E25-B07C-4CA5-A6A7-C14738973FF5}"/>
    <cellStyle name="SAPBEXexcBad8 5" xfId="25824" xr:uid="{00000000-0005-0000-0000-00006C690000}"/>
    <cellStyle name="SAPBEXexcBad8 5 2" xfId="30743" xr:uid="{3E372EA9-0ED3-4A1E-9999-5127CCA3674D}"/>
    <cellStyle name="SAPBEXexcBad8 6" xfId="28022" xr:uid="{00000000-0005-0000-0000-00006D690000}"/>
    <cellStyle name="SAPBEXexcBad8 6 2" xfId="32580" xr:uid="{2CB1FFE1-73C1-48D3-B832-C247E2C55BB0}"/>
    <cellStyle name="SAPBEXexcBad8 7" xfId="26238" xr:uid="{00000000-0005-0000-0000-00006E690000}"/>
    <cellStyle name="SAPBEXexcBad8 7 2" xfId="31026" xr:uid="{26EA9E22-F38C-4C7E-8B09-A86D266C206F}"/>
    <cellStyle name="SAPBEXexcBad8 8" xfId="29574" xr:uid="{00000000-0005-0000-0000-00006F690000}"/>
    <cellStyle name="SAPBEXexcBad9" xfId="81" xr:uid="{00000000-0005-0000-0000-000070690000}"/>
    <cellStyle name="SAPBEXexcBad9 2" xfId="13629" xr:uid="{00000000-0005-0000-0000-000071690000}"/>
    <cellStyle name="SAPBEXexcBad9 2 2" xfId="25467" xr:uid="{00000000-0005-0000-0000-000072690000}"/>
    <cellStyle name="SAPBEXexcBad9 2 2 2" xfId="27620" xr:uid="{00000000-0005-0000-0000-000073690000}"/>
    <cellStyle name="SAPBEXexcBad9 2 2 2 2" xfId="32207" xr:uid="{9219C994-1373-4C88-8225-2AAE9430DDC0}"/>
    <cellStyle name="SAPBEXexcBad9 2 2 3" xfId="28033" xr:uid="{00000000-0005-0000-0000-000074690000}"/>
    <cellStyle name="SAPBEXexcBad9 2 2 3 2" xfId="32591" xr:uid="{147B5E01-F6E4-40B2-80F8-3A1C91AC2264}"/>
    <cellStyle name="SAPBEXexcBad9 2 2 4" xfId="26927" xr:uid="{00000000-0005-0000-0000-000075690000}"/>
    <cellStyle name="SAPBEXexcBad9 2 2 4 2" xfId="31688" xr:uid="{66310ED7-13E0-475D-943C-1B92209832B0}"/>
    <cellStyle name="SAPBEXexcBad9 2 2 5" xfId="29585" xr:uid="{00000000-0005-0000-0000-000076690000}"/>
    <cellStyle name="SAPBEXexcBad9 2 3" xfId="26571" xr:uid="{00000000-0005-0000-0000-000077690000}"/>
    <cellStyle name="SAPBEXexcBad9 2 3 2" xfId="31349" xr:uid="{468C88E9-5348-4798-A7FB-656C57D4C49D}"/>
    <cellStyle name="SAPBEXexcBad9 2 4" xfId="28032" xr:uid="{00000000-0005-0000-0000-000078690000}"/>
    <cellStyle name="SAPBEXexcBad9 2 4 2" xfId="32590" xr:uid="{FDAF5511-97AE-4C91-9200-BD6139B1CCD4}"/>
    <cellStyle name="SAPBEXexcBad9 2 5" xfId="26418" xr:uid="{00000000-0005-0000-0000-000079690000}"/>
    <cellStyle name="SAPBEXexcBad9 2 5 2" xfId="31206" xr:uid="{817733A6-CA2D-4868-A91E-D5F88F616E6C}"/>
    <cellStyle name="SAPBEXexcBad9 2 6" xfId="29584" xr:uid="{00000000-0005-0000-0000-00007A690000}"/>
    <cellStyle name="SAPBEXexcBad9 2 7" xfId="30169" xr:uid="{5A46BD8B-99BA-4ADD-BD92-D2EDF95E3C6C}"/>
    <cellStyle name="SAPBEXexcBad9 3" xfId="24680" xr:uid="{00000000-0005-0000-0000-00007B690000}"/>
    <cellStyle name="SAPBEXexcBad9 3 2" xfId="25370" xr:uid="{00000000-0005-0000-0000-00007C690000}"/>
    <cellStyle name="SAPBEXexcBad9 3 2 2" xfId="27524" xr:uid="{00000000-0005-0000-0000-00007D690000}"/>
    <cellStyle name="SAPBEXexcBad9 3 2 2 2" xfId="32115" xr:uid="{5904040C-3BBB-423B-8860-5CC46C45B118}"/>
    <cellStyle name="SAPBEXexcBad9 3 2 3" xfId="28035" xr:uid="{00000000-0005-0000-0000-00007E690000}"/>
    <cellStyle name="SAPBEXexcBad9 3 2 3 2" xfId="32593" xr:uid="{93D296E2-06AB-4437-921B-1E975D5F7F06}"/>
    <cellStyle name="SAPBEXexcBad9 3 2 4" xfId="26704" xr:uid="{00000000-0005-0000-0000-00007F690000}"/>
    <cellStyle name="SAPBEXexcBad9 3 2 4 2" xfId="31466" xr:uid="{71DE239D-58B4-48FA-83E7-39092D3A3F62}"/>
    <cellStyle name="SAPBEXexcBad9 3 2 5" xfId="29587" xr:uid="{00000000-0005-0000-0000-000080690000}"/>
    <cellStyle name="SAPBEXexcBad9 3 2 6" xfId="30528" xr:uid="{BE9D39FA-F8D5-4FCD-880A-65D34BEEBDD0}"/>
    <cellStyle name="SAPBEXexcBad9 3 3" xfId="25643" xr:uid="{00000000-0005-0000-0000-000081690000}"/>
    <cellStyle name="SAPBEXexcBad9 3 3 2" xfId="27796" xr:uid="{00000000-0005-0000-0000-000082690000}"/>
    <cellStyle name="SAPBEXexcBad9 3 3 2 2" xfId="32383" xr:uid="{E5EE7670-C79F-4A61-BB0E-8D5B921C5D6A}"/>
    <cellStyle name="SAPBEXexcBad9 3 3 3" xfId="28036" xr:uid="{00000000-0005-0000-0000-000083690000}"/>
    <cellStyle name="SAPBEXexcBad9 3 3 3 2" xfId="32594" xr:uid="{9F72F696-A5AD-430D-8B4F-5E7A509BF504}"/>
    <cellStyle name="SAPBEXexcBad9 3 3 4" xfId="26530" xr:uid="{00000000-0005-0000-0000-000084690000}"/>
    <cellStyle name="SAPBEXexcBad9 3 3 4 2" xfId="31317" xr:uid="{0AF54538-BDD5-451D-B991-E41725C3156C}"/>
    <cellStyle name="SAPBEXexcBad9 3 3 5" xfId="29588" xr:uid="{00000000-0005-0000-0000-000085690000}"/>
    <cellStyle name="SAPBEXexcBad9 3 4" xfId="27270" xr:uid="{00000000-0005-0000-0000-000086690000}"/>
    <cellStyle name="SAPBEXexcBad9 3 4 2" xfId="31905" xr:uid="{8D260CF6-18A3-468A-BC1F-EF8242DA7411}"/>
    <cellStyle name="SAPBEXexcBad9 3 5" xfId="28034" xr:uid="{00000000-0005-0000-0000-000087690000}"/>
    <cellStyle name="SAPBEXexcBad9 3 5 2" xfId="32592" xr:uid="{92BF6394-75C1-4E2B-A1A7-0B62F3217125}"/>
    <cellStyle name="SAPBEXexcBad9 3 6" xfId="26886" xr:uid="{00000000-0005-0000-0000-000088690000}"/>
    <cellStyle name="SAPBEXexcBad9 3 6 2" xfId="31647" xr:uid="{2CA139E6-A935-4D43-9079-DF3D0C324EC1}"/>
    <cellStyle name="SAPBEXexcBad9 3 7" xfId="29586" xr:uid="{00000000-0005-0000-0000-000089690000}"/>
    <cellStyle name="SAPBEXexcBad9 3 8" xfId="30345" xr:uid="{7723DB4C-AAD9-44A2-86D4-2332F61D552D}"/>
    <cellStyle name="SAPBEXexcBad9 4" xfId="25096" xr:uid="{00000000-0005-0000-0000-00008A690000}"/>
    <cellStyle name="SAPBEXexcBad9 4 2" xfId="25320" xr:uid="{00000000-0005-0000-0000-00008B690000}"/>
    <cellStyle name="SAPBEXexcBad9 4 2 2" xfId="27474" xr:uid="{00000000-0005-0000-0000-00008C690000}"/>
    <cellStyle name="SAPBEXexcBad9 4 2 2 2" xfId="32065" xr:uid="{D3264A37-97E2-4BFF-8403-2B0F38FB2298}"/>
    <cellStyle name="SAPBEXexcBad9 4 2 3" xfId="28038" xr:uid="{00000000-0005-0000-0000-00008D690000}"/>
    <cellStyle name="SAPBEXexcBad9 4 2 3 2" xfId="32596" xr:uid="{ECE4F3D6-7129-48B1-8496-F77E5A7631A6}"/>
    <cellStyle name="SAPBEXexcBad9 4 2 4" xfId="26083" xr:uid="{00000000-0005-0000-0000-00008E690000}"/>
    <cellStyle name="SAPBEXexcBad9 4 2 4 2" xfId="30873" xr:uid="{EF3785BF-319D-48F7-8611-86DE9D9805DD}"/>
    <cellStyle name="SAPBEXexcBad9 4 2 5" xfId="29590" xr:uid="{00000000-0005-0000-0000-00008F690000}"/>
    <cellStyle name="SAPBEXexcBad9 4 2 6" xfId="30478" xr:uid="{55512588-FCE6-4E34-9525-10C463DEDDB6}"/>
    <cellStyle name="SAPBEXexcBad9 4 3" xfId="25694" xr:uid="{00000000-0005-0000-0000-000090690000}"/>
    <cellStyle name="SAPBEXexcBad9 4 3 2" xfId="27847" xr:uid="{00000000-0005-0000-0000-000091690000}"/>
    <cellStyle name="SAPBEXexcBad9 4 3 2 2" xfId="32434" xr:uid="{7977C168-4F68-4452-B0C1-4E2C277010CA}"/>
    <cellStyle name="SAPBEXexcBad9 4 3 3" xfId="28039" xr:uid="{00000000-0005-0000-0000-000092690000}"/>
    <cellStyle name="SAPBEXexcBad9 4 3 3 2" xfId="32597" xr:uid="{F43F0C88-FE17-43C5-B8D0-A84D84C581B3}"/>
    <cellStyle name="SAPBEXexcBad9 4 3 4" xfId="27316" xr:uid="{00000000-0005-0000-0000-000093690000}"/>
    <cellStyle name="SAPBEXexcBad9 4 3 4 2" xfId="31936" xr:uid="{072C2996-7E58-48FA-9C3C-E0F1FDF93C39}"/>
    <cellStyle name="SAPBEXexcBad9 4 3 5" xfId="29591" xr:uid="{00000000-0005-0000-0000-000094690000}"/>
    <cellStyle name="SAPBEXexcBad9 4 3 6" xfId="30688" xr:uid="{E7B6A86E-F651-4499-A81A-9D2E5C8EA0D3}"/>
    <cellStyle name="SAPBEXexcBad9 4 4" xfId="27381" xr:uid="{00000000-0005-0000-0000-000095690000}"/>
    <cellStyle name="SAPBEXexcBad9 4 4 2" xfId="31979" xr:uid="{04528EAB-C978-4019-ADE5-1EB760ED5A63}"/>
    <cellStyle name="SAPBEXexcBad9 4 5" xfId="28037" xr:uid="{00000000-0005-0000-0000-000096690000}"/>
    <cellStyle name="SAPBEXexcBad9 4 5 2" xfId="32595" xr:uid="{E63F6B05-8010-4AEA-B68C-AD363D2196B2}"/>
    <cellStyle name="SAPBEXexcBad9 4 6" xfId="26261" xr:uid="{00000000-0005-0000-0000-000097690000}"/>
    <cellStyle name="SAPBEXexcBad9 4 6 2" xfId="31049" xr:uid="{036F90B6-FA9D-4D6C-9A07-816B59726EDE}"/>
    <cellStyle name="SAPBEXexcBad9 4 7" xfId="29589" xr:uid="{00000000-0005-0000-0000-000098690000}"/>
    <cellStyle name="SAPBEXexcBad9 4 8" xfId="30396" xr:uid="{5497B413-3269-428A-ADFF-E39FDCFD8C2C}"/>
    <cellStyle name="SAPBEXexcBad9 5" xfId="25825" xr:uid="{00000000-0005-0000-0000-000099690000}"/>
    <cellStyle name="SAPBEXexcBad9 5 2" xfId="30744" xr:uid="{B9FDB609-DEC1-4553-856F-FF209B25523E}"/>
    <cellStyle name="SAPBEXexcBad9 6" xfId="28031" xr:uid="{00000000-0005-0000-0000-00009A690000}"/>
    <cellStyle name="SAPBEXexcBad9 6 2" xfId="32589" xr:uid="{742128E4-5277-4C17-A150-4CB06F50C9E8}"/>
    <cellStyle name="SAPBEXexcBad9 7" xfId="26839" xr:uid="{00000000-0005-0000-0000-00009B690000}"/>
    <cellStyle name="SAPBEXexcBad9 7 2" xfId="31600" xr:uid="{1476D7C8-A60A-4FB1-B4A2-CAF306157B4B}"/>
    <cellStyle name="SAPBEXexcBad9 8" xfId="29583" xr:uid="{00000000-0005-0000-0000-00009C690000}"/>
    <cellStyle name="SAPBEXexcCritical4" xfId="82" xr:uid="{00000000-0005-0000-0000-00009D690000}"/>
    <cellStyle name="SAPBEXexcCritical4 2" xfId="13630" xr:uid="{00000000-0005-0000-0000-00009E690000}"/>
    <cellStyle name="SAPBEXexcCritical4 2 2" xfId="25468" xr:uid="{00000000-0005-0000-0000-00009F690000}"/>
    <cellStyle name="SAPBEXexcCritical4 2 2 2" xfId="27621" xr:uid="{00000000-0005-0000-0000-0000A0690000}"/>
    <cellStyle name="SAPBEXexcCritical4 2 2 2 2" xfId="32208" xr:uid="{4C1A3557-8559-446F-BEE3-03BF902472E1}"/>
    <cellStyle name="SAPBEXexcCritical4 2 2 3" xfId="28042" xr:uid="{00000000-0005-0000-0000-0000A1690000}"/>
    <cellStyle name="SAPBEXexcCritical4 2 2 3 2" xfId="32600" xr:uid="{1EC165D3-BD9F-40F4-A9A5-5784127958E8}"/>
    <cellStyle name="SAPBEXexcCritical4 2 2 4" xfId="26891" xr:uid="{00000000-0005-0000-0000-0000A2690000}"/>
    <cellStyle name="SAPBEXexcCritical4 2 2 4 2" xfId="31652" xr:uid="{B19CE2F8-6FA7-4669-BC20-9C52A5C86E66}"/>
    <cellStyle name="SAPBEXexcCritical4 2 2 5" xfId="29594" xr:uid="{00000000-0005-0000-0000-0000A3690000}"/>
    <cellStyle name="SAPBEXexcCritical4 2 3" xfId="26572" xr:uid="{00000000-0005-0000-0000-0000A4690000}"/>
    <cellStyle name="SAPBEXexcCritical4 2 3 2" xfId="31350" xr:uid="{2CEA8ACE-5515-4B13-A8A3-7F63E30DE0FA}"/>
    <cellStyle name="SAPBEXexcCritical4 2 4" xfId="28041" xr:uid="{00000000-0005-0000-0000-0000A5690000}"/>
    <cellStyle name="SAPBEXexcCritical4 2 4 2" xfId="32599" xr:uid="{91E586E4-3882-4DF8-A48E-1CBB37128C11}"/>
    <cellStyle name="SAPBEXexcCritical4 2 5" xfId="26440" xr:uid="{00000000-0005-0000-0000-0000A6690000}"/>
    <cellStyle name="SAPBEXexcCritical4 2 5 2" xfId="31228" xr:uid="{0A11A3EE-4D47-4AF6-BD3B-57C75A471220}"/>
    <cellStyle name="SAPBEXexcCritical4 2 6" xfId="29593" xr:uid="{00000000-0005-0000-0000-0000A7690000}"/>
    <cellStyle name="SAPBEXexcCritical4 2 7" xfId="30170" xr:uid="{58A3AECB-2DA0-425D-9D17-340E10EDBC4A}"/>
    <cellStyle name="SAPBEXexcCritical4 3" xfId="24679" xr:uid="{00000000-0005-0000-0000-0000A8690000}"/>
    <cellStyle name="SAPBEXexcCritical4 3 2" xfId="25288" xr:uid="{00000000-0005-0000-0000-0000A9690000}"/>
    <cellStyle name="SAPBEXexcCritical4 3 2 2" xfId="27443" xr:uid="{00000000-0005-0000-0000-0000AA690000}"/>
    <cellStyle name="SAPBEXexcCritical4 3 2 2 2" xfId="32038" xr:uid="{0C834BEA-1894-4C1F-B9A4-DEB4E7C18754}"/>
    <cellStyle name="SAPBEXexcCritical4 3 2 3" xfId="28044" xr:uid="{00000000-0005-0000-0000-0000AB690000}"/>
    <cellStyle name="SAPBEXexcCritical4 3 2 3 2" xfId="32602" xr:uid="{ADA7A4CD-29BC-4F1A-8F0B-96057CE648F7}"/>
    <cellStyle name="SAPBEXexcCritical4 3 2 4" xfId="26721" xr:uid="{00000000-0005-0000-0000-0000AC690000}"/>
    <cellStyle name="SAPBEXexcCritical4 3 2 4 2" xfId="31482" xr:uid="{23AA9DE3-CCD4-456B-83D4-945869CDD871}"/>
    <cellStyle name="SAPBEXexcCritical4 3 2 5" xfId="29596" xr:uid="{00000000-0005-0000-0000-0000AD690000}"/>
    <cellStyle name="SAPBEXexcCritical4 3 2 6" xfId="30451" xr:uid="{C9F467A4-EC64-4110-8658-0E9CC956A4AE}"/>
    <cellStyle name="SAPBEXexcCritical4 3 3" xfId="25642" xr:uid="{00000000-0005-0000-0000-0000AE690000}"/>
    <cellStyle name="SAPBEXexcCritical4 3 3 2" xfId="27795" xr:uid="{00000000-0005-0000-0000-0000AF690000}"/>
    <cellStyle name="SAPBEXexcCritical4 3 3 2 2" xfId="32382" xr:uid="{1BCD7247-65D7-4B38-A22A-30576908620A}"/>
    <cellStyle name="SAPBEXexcCritical4 3 3 3" xfId="28045" xr:uid="{00000000-0005-0000-0000-0000B0690000}"/>
    <cellStyle name="SAPBEXexcCritical4 3 3 3 2" xfId="32603" xr:uid="{6420519A-2F43-44DF-913D-2727A45F7DD6}"/>
    <cellStyle name="SAPBEXexcCritical4 3 3 4" xfId="26545" xr:uid="{00000000-0005-0000-0000-0000B1690000}"/>
    <cellStyle name="SAPBEXexcCritical4 3 3 4 2" xfId="31332" xr:uid="{D8E73EB4-E864-437B-8056-746880BFBB26}"/>
    <cellStyle name="SAPBEXexcCritical4 3 3 5" xfId="29597" xr:uid="{00000000-0005-0000-0000-0000B2690000}"/>
    <cellStyle name="SAPBEXexcCritical4 3 4" xfId="27269" xr:uid="{00000000-0005-0000-0000-0000B3690000}"/>
    <cellStyle name="SAPBEXexcCritical4 3 4 2" xfId="31904" xr:uid="{B939282D-E9C7-4A38-BC31-D08288318DAB}"/>
    <cellStyle name="SAPBEXexcCritical4 3 5" xfId="28043" xr:uid="{00000000-0005-0000-0000-0000B4690000}"/>
    <cellStyle name="SAPBEXexcCritical4 3 5 2" xfId="32601" xr:uid="{E511E918-D7D8-4C6F-9BF1-EF4F9A4F79B7}"/>
    <cellStyle name="SAPBEXexcCritical4 3 6" xfId="27431" xr:uid="{00000000-0005-0000-0000-0000B5690000}"/>
    <cellStyle name="SAPBEXexcCritical4 3 6 2" xfId="32029" xr:uid="{E734B8A6-8438-40C5-8402-F8A9F89A88E0}"/>
    <cellStyle name="SAPBEXexcCritical4 3 7" xfId="29595" xr:uid="{00000000-0005-0000-0000-0000B6690000}"/>
    <cellStyle name="SAPBEXexcCritical4 3 8" xfId="30344" xr:uid="{C74F7E1B-840F-45DA-A86A-EB45BC080B92}"/>
    <cellStyle name="SAPBEXexcCritical4 4" xfId="25097" xr:uid="{00000000-0005-0000-0000-0000B7690000}"/>
    <cellStyle name="SAPBEXexcCritical4 4 2" xfId="25419" xr:uid="{00000000-0005-0000-0000-0000B8690000}"/>
    <cellStyle name="SAPBEXexcCritical4 4 2 2" xfId="27573" xr:uid="{00000000-0005-0000-0000-0000B9690000}"/>
    <cellStyle name="SAPBEXexcCritical4 4 2 2 2" xfId="32164" xr:uid="{6C533E4F-C7F3-401D-A2CF-74009D23DA54}"/>
    <cellStyle name="SAPBEXexcCritical4 4 2 3" xfId="28047" xr:uid="{00000000-0005-0000-0000-0000BA690000}"/>
    <cellStyle name="SAPBEXexcCritical4 4 2 3 2" xfId="32605" xr:uid="{ABB5BBFD-C752-47A0-A672-E72912235D69}"/>
    <cellStyle name="SAPBEXexcCritical4 4 2 4" xfId="26864" xr:uid="{00000000-0005-0000-0000-0000BB690000}"/>
    <cellStyle name="SAPBEXexcCritical4 4 2 4 2" xfId="31625" xr:uid="{AC5EBFA1-63FE-4CC3-A54A-19267982CF04}"/>
    <cellStyle name="SAPBEXexcCritical4 4 2 5" xfId="29599" xr:uid="{00000000-0005-0000-0000-0000BC690000}"/>
    <cellStyle name="SAPBEXexcCritical4 4 2 6" xfId="30577" xr:uid="{7ED3A99F-705A-411B-830D-64F6E5CF8980}"/>
    <cellStyle name="SAPBEXexcCritical4 4 3" xfId="25695" xr:uid="{00000000-0005-0000-0000-0000BD690000}"/>
    <cellStyle name="SAPBEXexcCritical4 4 3 2" xfId="27848" xr:uid="{00000000-0005-0000-0000-0000BE690000}"/>
    <cellStyle name="SAPBEXexcCritical4 4 3 2 2" xfId="32435" xr:uid="{A739D6FD-5B35-4406-9571-BF10110B53C2}"/>
    <cellStyle name="SAPBEXexcCritical4 4 3 3" xfId="28048" xr:uid="{00000000-0005-0000-0000-0000BF690000}"/>
    <cellStyle name="SAPBEXexcCritical4 4 3 3 2" xfId="32606" xr:uid="{636F7462-3337-4DFB-8DE2-44497B315D7F}"/>
    <cellStyle name="SAPBEXexcCritical4 4 3 4" xfId="26473" xr:uid="{00000000-0005-0000-0000-0000C0690000}"/>
    <cellStyle name="SAPBEXexcCritical4 4 3 4 2" xfId="31261" xr:uid="{E5E4E37D-D955-4DEA-B86C-2DC3C6C64B46}"/>
    <cellStyle name="SAPBEXexcCritical4 4 3 5" xfId="29600" xr:uid="{00000000-0005-0000-0000-0000C1690000}"/>
    <cellStyle name="SAPBEXexcCritical4 4 3 6" xfId="30689" xr:uid="{F46028BE-D214-4024-B49F-8181E8E1C8F2}"/>
    <cellStyle name="SAPBEXexcCritical4 4 4" xfId="27382" xr:uid="{00000000-0005-0000-0000-0000C2690000}"/>
    <cellStyle name="SAPBEXexcCritical4 4 4 2" xfId="31980" xr:uid="{EDE1B859-C2C2-4F53-B8E3-BA10D956968C}"/>
    <cellStyle name="SAPBEXexcCritical4 4 5" xfId="28046" xr:uid="{00000000-0005-0000-0000-0000C3690000}"/>
    <cellStyle name="SAPBEXexcCritical4 4 5 2" xfId="32604" xr:uid="{3A204148-B177-4470-A7EE-47BDF5C2BCED}"/>
    <cellStyle name="SAPBEXexcCritical4 4 6" xfId="26875" xr:uid="{00000000-0005-0000-0000-0000C4690000}"/>
    <cellStyle name="SAPBEXexcCritical4 4 6 2" xfId="31636" xr:uid="{2F5DB930-50CA-4BDB-B31A-D8DD74879E2A}"/>
    <cellStyle name="SAPBEXexcCritical4 4 7" xfId="29598" xr:uid="{00000000-0005-0000-0000-0000C5690000}"/>
    <cellStyle name="SAPBEXexcCritical4 4 8" xfId="30397" xr:uid="{CC0440E0-F90D-4E0B-AC5F-21FF8BBE30C6}"/>
    <cellStyle name="SAPBEXexcCritical4 5" xfId="25826" xr:uid="{00000000-0005-0000-0000-0000C6690000}"/>
    <cellStyle name="SAPBEXexcCritical4 5 2" xfId="30745" xr:uid="{FB75A25C-B024-4FCB-9184-F92F74F57870}"/>
    <cellStyle name="SAPBEXexcCritical4 6" xfId="28040" xr:uid="{00000000-0005-0000-0000-0000C7690000}"/>
    <cellStyle name="SAPBEXexcCritical4 6 2" xfId="32598" xr:uid="{9407BCAC-FC5C-4527-914B-98099D843D16}"/>
    <cellStyle name="SAPBEXexcCritical4 7" xfId="28544" xr:uid="{00000000-0005-0000-0000-0000C8690000}"/>
    <cellStyle name="SAPBEXexcCritical4 7 2" xfId="33102" xr:uid="{2796E429-B2A0-4461-8D28-4C03E84A230C}"/>
    <cellStyle name="SAPBEXexcCritical4 8" xfId="29592" xr:uid="{00000000-0005-0000-0000-0000C9690000}"/>
    <cellStyle name="SAPBEXexcCritical5" xfId="83" xr:uid="{00000000-0005-0000-0000-0000CA690000}"/>
    <cellStyle name="SAPBEXexcCritical5 2" xfId="13631" xr:uid="{00000000-0005-0000-0000-0000CB690000}"/>
    <cellStyle name="SAPBEXexcCritical5 2 2" xfId="25469" xr:uid="{00000000-0005-0000-0000-0000CC690000}"/>
    <cellStyle name="SAPBEXexcCritical5 2 2 2" xfId="27622" xr:uid="{00000000-0005-0000-0000-0000CD690000}"/>
    <cellStyle name="SAPBEXexcCritical5 2 2 2 2" xfId="32209" xr:uid="{99E80E00-0114-4690-AA88-FBBFD0A6923A}"/>
    <cellStyle name="SAPBEXexcCritical5 2 2 3" xfId="28051" xr:uid="{00000000-0005-0000-0000-0000CE690000}"/>
    <cellStyle name="SAPBEXexcCritical5 2 2 3 2" xfId="32609" xr:uid="{5F50C9B8-F086-42FF-A2A1-B5A66226DE78}"/>
    <cellStyle name="SAPBEXexcCritical5 2 2 4" xfId="26876" xr:uid="{00000000-0005-0000-0000-0000CF690000}"/>
    <cellStyle name="SAPBEXexcCritical5 2 2 4 2" xfId="31637" xr:uid="{45822982-4981-4072-8B74-CEA78E3A33D3}"/>
    <cellStyle name="SAPBEXexcCritical5 2 2 5" xfId="29603" xr:uid="{00000000-0005-0000-0000-0000D0690000}"/>
    <cellStyle name="SAPBEXexcCritical5 2 3" xfId="26573" xr:uid="{00000000-0005-0000-0000-0000D1690000}"/>
    <cellStyle name="SAPBEXexcCritical5 2 3 2" xfId="31351" xr:uid="{E8207FE1-76BA-456B-9EF4-2E9F13EAE089}"/>
    <cellStyle name="SAPBEXexcCritical5 2 4" xfId="28050" xr:uid="{00000000-0005-0000-0000-0000D2690000}"/>
    <cellStyle name="SAPBEXexcCritical5 2 4 2" xfId="32608" xr:uid="{B399BDED-9CA3-4D65-BEAB-B6C374479F24}"/>
    <cellStyle name="SAPBEXexcCritical5 2 5" xfId="26879" xr:uid="{00000000-0005-0000-0000-0000D3690000}"/>
    <cellStyle name="SAPBEXexcCritical5 2 5 2" xfId="31640" xr:uid="{1564924A-79FD-4C8F-BB53-CC3E151FCB18}"/>
    <cellStyle name="SAPBEXexcCritical5 2 6" xfId="29602" xr:uid="{00000000-0005-0000-0000-0000D4690000}"/>
    <cellStyle name="SAPBEXexcCritical5 2 7" xfId="30171" xr:uid="{8AB3656F-2BD5-4509-9FE2-535ACCE267AF}"/>
    <cellStyle name="SAPBEXexcCritical5 3" xfId="24678" xr:uid="{00000000-0005-0000-0000-0000D5690000}"/>
    <cellStyle name="SAPBEXexcCritical5 3 2" xfId="25299" xr:uid="{00000000-0005-0000-0000-0000D6690000}"/>
    <cellStyle name="SAPBEXexcCritical5 3 2 2" xfId="27453" xr:uid="{00000000-0005-0000-0000-0000D7690000}"/>
    <cellStyle name="SAPBEXexcCritical5 3 2 2 2" xfId="32045" xr:uid="{4BBE141B-12A2-4264-B2A9-8AE31239A911}"/>
    <cellStyle name="SAPBEXexcCritical5 3 2 3" xfId="28053" xr:uid="{00000000-0005-0000-0000-0000D8690000}"/>
    <cellStyle name="SAPBEXexcCritical5 3 2 3 2" xfId="32611" xr:uid="{23E69A51-8BD5-47C3-B992-1976428EF0F8}"/>
    <cellStyle name="SAPBEXexcCritical5 3 2 4" xfId="27224" xr:uid="{00000000-0005-0000-0000-0000D9690000}"/>
    <cellStyle name="SAPBEXexcCritical5 3 2 4 2" xfId="31860" xr:uid="{FBF18294-D765-4281-B22C-CD3B9D4DAD4B}"/>
    <cellStyle name="SAPBEXexcCritical5 3 2 5" xfId="29605" xr:uid="{00000000-0005-0000-0000-0000DA690000}"/>
    <cellStyle name="SAPBEXexcCritical5 3 2 6" xfId="30458" xr:uid="{CE5A29A8-8F55-4042-9E8F-1DCC7629A69D}"/>
    <cellStyle name="SAPBEXexcCritical5 3 3" xfId="25641" xr:uid="{00000000-0005-0000-0000-0000DB690000}"/>
    <cellStyle name="SAPBEXexcCritical5 3 3 2" xfId="27794" xr:uid="{00000000-0005-0000-0000-0000DC690000}"/>
    <cellStyle name="SAPBEXexcCritical5 3 3 2 2" xfId="32381" xr:uid="{D4555CD7-9F7D-4217-BCE6-F19E7255C716}"/>
    <cellStyle name="SAPBEXexcCritical5 3 3 3" xfId="28054" xr:uid="{00000000-0005-0000-0000-0000DD690000}"/>
    <cellStyle name="SAPBEXexcCritical5 3 3 3 2" xfId="32612" xr:uid="{F74E00A1-BA2A-422F-9613-802CCF1AB182}"/>
    <cellStyle name="SAPBEXexcCritical5 3 3 4" xfId="26362" xr:uid="{00000000-0005-0000-0000-0000DE690000}"/>
    <cellStyle name="SAPBEXexcCritical5 3 3 4 2" xfId="31150" xr:uid="{E03FF879-4919-455B-AE32-1FFA11BD9809}"/>
    <cellStyle name="SAPBEXexcCritical5 3 3 5" xfId="29606" xr:uid="{00000000-0005-0000-0000-0000DF690000}"/>
    <cellStyle name="SAPBEXexcCritical5 3 4" xfId="27268" xr:uid="{00000000-0005-0000-0000-0000E0690000}"/>
    <cellStyle name="SAPBEXexcCritical5 3 4 2" xfId="31903" xr:uid="{774B2D2F-858E-4ACE-9046-DF90B26CCDDC}"/>
    <cellStyle name="SAPBEXexcCritical5 3 5" xfId="28052" xr:uid="{00000000-0005-0000-0000-0000E1690000}"/>
    <cellStyle name="SAPBEXexcCritical5 3 5 2" xfId="32610" xr:uid="{38F06F44-77DC-4238-BF75-A05E771BEB52}"/>
    <cellStyle name="SAPBEXexcCritical5 3 6" xfId="26740" xr:uid="{00000000-0005-0000-0000-0000E2690000}"/>
    <cellStyle name="SAPBEXexcCritical5 3 6 2" xfId="31501" xr:uid="{505BB946-528C-4EF9-A6DD-0F03651AEBD4}"/>
    <cellStyle name="SAPBEXexcCritical5 3 7" xfId="29604" xr:uid="{00000000-0005-0000-0000-0000E3690000}"/>
    <cellStyle name="SAPBEXexcCritical5 3 8" xfId="30343" xr:uid="{1A1A846D-0107-4192-B410-F868EDB2E91D}"/>
    <cellStyle name="SAPBEXexcCritical5 4" xfId="25098" xr:uid="{00000000-0005-0000-0000-0000E4690000}"/>
    <cellStyle name="SAPBEXexcCritical5 4 2" xfId="25336" xr:uid="{00000000-0005-0000-0000-0000E5690000}"/>
    <cellStyle name="SAPBEXexcCritical5 4 2 2" xfId="27490" xr:uid="{00000000-0005-0000-0000-0000E6690000}"/>
    <cellStyle name="SAPBEXexcCritical5 4 2 2 2" xfId="32081" xr:uid="{EC655B21-FA03-4566-A5C9-5B4F5A22BD5D}"/>
    <cellStyle name="SAPBEXexcCritical5 4 2 3" xfId="28056" xr:uid="{00000000-0005-0000-0000-0000E7690000}"/>
    <cellStyle name="SAPBEXexcCritical5 4 2 3 2" xfId="32614" xr:uid="{324C3DB6-A13C-4944-A644-ECBE3F5AD5DA}"/>
    <cellStyle name="SAPBEXexcCritical5 4 2 4" xfId="26070" xr:uid="{00000000-0005-0000-0000-0000E8690000}"/>
    <cellStyle name="SAPBEXexcCritical5 4 2 4 2" xfId="30860" xr:uid="{497AF3F7-8308-45D8-9571-DDE5783F35A6}"/>
    <cellStyle name="SAPBEXexcCritical5 4 2 5" xfId="29608" xr:uid="{00000000-0005-0000-0000-0000E9690000}"/>
    <cellStyle name="SAPBEXexcCritical5 4 2 6" xfId="30494" xr:uid="{B8293346-A057-4C86-AD9F-4FBFDE061BB6}"/>
    <cellStyle name="SAPBEXexcCritical5 4 3" xfId="25696" xr:uid="{00000000-0005-0000-0000-0000EA690000}"/>
    <cellStyle name="SAPBEXexcCritical5 4 3 2" xfId="27849" xr:uid="{00000000-0005-0000-0000-0000EB690000}"/>
    <cellStyle name="SAPBEXexcCritical5 4 3 2 2" xfId="32436" xr:uid="{7B598F7F-51CF-45D7-A39D-51AB66D6AECE}"/>
    <cellStyle name="SAPBEXexcCritical5 4 3 3" xfId="28057" xr:uid="{00000000-0005-0000-0000-0000EC690000}"/>
    <cellStyle name="SAPBEXexcCritical5 4 3 3 2" xfId="32615" xr:uid="{5A54520A-9397-4886-A10A-B596197A9C33}"/>
    <cellStyle name="SAPBEXexcCritical5 4 3 4" xfId="26746" xr:uid="{00000000-0005-0000-0000-0000ED690000}"/>
    <cellStyle name="SAPBEXexcCritical5 4 3 4 2" xfId="31507" xr:uid="{E5CFDEE8-8CF9-4105-846A-3BB297C1271D}"/>
    <cellStyle name="SAPBEXexcCritical5 4 3 5" xfId="29609" xr:uid="{00000000-0005-0000-0000-0000EE690000}"/>
    <cellStyle name="SAPBEXexcCritical5 4 3 6" xfId="30690" xr:uid="{27E4E16B-454C-42F5-9427-31E95FD262FC}"/>
    <cellStyle name="SAPBEXexcCritical5 4 4" xfId="27383" xr:uid="{00000000-0005-0000-0000-0000EF690000}"/>
    <cellStyle name="SAPBEXexcCritical5 4 4 2" xfId="31981" xr:uid="{406C21E6-E7F5-47DE-9F9E-6C269E9EEFE7}"/>
    <cellStyle name="SAPBEXexcCritical5 4 5" xfId="28055" xr:uid="{00000000-0005-0000-0000-0000F0690000}"/>
    <cellStyle name="SAPBEXexcCritical5 4 5 2" xfId="32613" xr:uid="{E0003B20-0BC9-4348-B8BE-1D760071D72D}"/>
    <cellStyle name="SAPBEXexcCritical5 4 6" xfId="26750" xr:uid="{00000000-0005-0000-0000-0000F1690000}"/>
    <cellStyle name="SAPBEXexcCritical5 4 6 2" xfId="31511" xr:uid="{2063EC52-EE65-42E4-8938-3E60A26469C7}"/>
    <cellStyle name="SAPBEXexcCritical5 4 7" xfId="29607" xr:uid="{00000000-0005-0000-0000-0000F2690000}"/>
    <cellStyle name="SAPBEXexcCritical5 4 8" xfId="30398" xr:uid="{C41AB15E-E90E-4BB9-8F6A-F12EFC0AED99}"/>
    <cellStyle name="SAPBEXexcCritical5 5" xfId="25827" xr:uid="{00000000-0005-0000-0000-0000F3690000}"/>
    <cellStyle name="SAPBEXexcCritical5 5 2" xfId="30746" xr:uid="{74FF13CE-F034-4FD7-9E48-C85A29E46F45}"/>
    <cellStyle name="SAPBEXexcCritical5 6" xfId="28049" xr:uid="{00000000-0005-0000-0000-0000F4690000}"/>
    <cellStyle name="SAPBEXexcCritical5 6 2" xfId="32607" xr:uid="{3BED9352-1054-45B8-B18B-651B6F8F5287}"/>
    <cellStyle name="SAPBEXexcCritical5 7" xfId="28545" xr:uid="{00000000-0005-0000-0000-0000F5690000}"/>
    <cellStyle name="SAPBEXexcCritical5 7 2" xfId="33103" xr:uid="{277E054A-76F1-451C-9F15-8E953D37490C}"/>
    <cellStyle name="SAPBEXexcCritical5 8" xfId="29601" xr:uid="{00000000-0005-0000-0000-0000F6690000}"/>
    <cellStyle name="SAPBEXexcCritical6" xfId="84" xr:uid="{00000000-0005-0000-0000-0000F7690000}"/>
    <cellStyle name="SAPBEXexcCritical6 2" xfId="13632" xr:uid="{00000000-0005-0000-0000-0000F8690000}"/>
    <cellStyle name="SAPBEXexcCritical6 2 2" xfId="25470" xr:uid="{00000000-0005-0000-0000-0000F9690000}"/>
    <cellStyle name="SAPBEXexcCritical6 2 2 2" xfId="27623" xr:uid="{00000000-0005-0000-0000-0000FA690000}"/>
    <cellStyle name="SAPBEXexcCritical6 2 2 2 2" xfId="32210" xr:uid="{26C34A81-857B-4B50-939F-847D5EF8BB0D}"/>
    <cellStyle name="SAPBEXexcCritical6 2 2 3" xfId="28060" xr:uid="{00000000-0005-0000-0000-0000FB690000}"/>
    <cellStyle name="SAPBEXexcCritical6 2 2 3 2" xfId="32618" xr:uid="{9C795C82-91F9-403D-BF84-8B9387B1E136}"/>
    <cellStyle name="SAPBEXexcCritical6 2 2 4" xfId="26101" xr:uid="{00000000-0005-0000-0000-0000FC690000}"/>
    <cellStyle name="SAPBEXexcCritical6 2 2 4 2" xfId="30891" xr:uid="{198236DB-A634-4026-B64F-F2770ABC047B}"/>
    <cellStyle name="SAPBEXexcCritical6 2 2 5" xfId="29612" xr:uid="{00000000-0005-0000-0000-0000FD690000}"/>
    <cellStyle name="SAPBEXexcCritical6 2 3" xfId="26574" xr:uid="{00000000-0005-0000-0000-0000FE690000}"/>
    <cellStyle name="SAPBEXexcCritical6 2 3 2" xfId="31352" xr:uid="{CAF24C9A-4ECE-461C-BC9A-38F31EBA7F13}"/>
    <cellStyle name="SAPBEXexcCritical6 2 4" xfId="28059" xr:uid="{00000000-0005-0000-0000-0000FF690000}"/>
    <cellStyle name="SAPBEXexcCritical6 2 4 2" xfId="32617" xr:uid="{FFE45A90-A2D8-4636-B93B-14DCCE8CF8F4}"/>
    <cellStyle name="SAPBEXexcCritical6 2 5" xfId="26150" xr:uid="{00000000-0005-0000-0000-0000006A0000}"/>
    <cellStyle name="SAPBEXexcCritical6 2 5 2" xfId="30939" xr:uid="{F85CE9DF-CF3C-4896-B486-D92EE7387B9D}"/>
    <cellStyle name="SAPBEXexcCritical6 2 6" xfId="29611" xr:uid="{00000000-0005-0000-0000-0000016A0000}"/>
    <cellStyle name="SAPBEXexcCritical6 2 7" xfId="30172" xr:uid="{BEA7DEE5-39EA-4D09-A6A1-EE3EFE981962}"/>
    <cellStyle name="SAPBEXexcCritical6 3" xfId="24677" xr:uid="{00000000-0005-0000-0000-0000026A0000}"/>
    <cellStyle name="SAPBEXexcCritical6 3 2" xfId="25362" xr:uid="{00000000-0005-0000-0000-0000036A0000}"/>
    <cellStyle name="SAPBEXexcCritical6 3 2 2" xfId="27516" xr:uid="{00000000-0005-0000-0000-0000046A0000}"/>
    <cellStyle name="SAPBEXexcCritical6 3 2 2 2" xfId="32107" xr:uid="{BC9DF1E4-ED4D-46DB-BBE4-982402979D81}"/>
    <cellStyle name="SAPBEXexcCritical6 3 2 3" xfId="28062" xr:uid="{00000000-0005-0000-0000-0000056A0000}"/>
    <cellStyle name="SAPBEXexcCritical6 3 2 3 2" xfId="32620" xr:uid="{90446207-9C44-49F8-89C4-5FB73ED2BD27}"/>
    <cellStyle name="SAPBEXexcCritical6 3 2 4" xfId="26708" xr:uid="{00000000-0005-0000-0000-0000066A0000}"/>
    <cellStyle name="SAPBEXexcCritical6 3 2 4 2" xfId="31470" xr:uid="{F720F3AE-7E85-43D0-BC11-C09B8DD7E7E9}"/>
    <cellStyle name="SAPBEXexcCritical6 3 2 5" xfId="29614" xr:uid="{00000000-0005-0000-0000-0000076A0000}"/>
    <cellStyle name="SAPBEXexcCritical6 3 2 6" xfId="30520" xr:uid="{252FAF12-B543-42ED-83AC-CE978A12E063}"/>
    <cellStyle name="SAPBEXexcCritical6 3 3" xfId="25640" xr:uid="{00000000-0005-0000-0000-0000086A0000}"/>
    <cellStyle name="SAPBEXexcCritical6 3 3 2" xfId="27793" xr:uid="{00000000-0005-0000-0000-0000096A0000}"/>
    <cellStyle name="SAPBEXexcCritical6 3 3 2 2" xfId="32380" xr:uid="{6FBC0C63-F853-459F-8F94-DFAB32193DEE}"/>
    <cellStyle name="SAPBEXexcCritical6 3 3 3" xfId="28063" xr:uid="{00000000-0005-0000-0000-00000A6A0000}"/>
    <cellStyle name="SAPBEXexcCritical6 3 3 3 2" xfId="32621" xr:uid="{90FF20C9-4445-4035-9AE5-2B0AA56AFDC2}"/>
    <cellStyle name="SAPBEXexcCritical6 3 3 4" xfId="26323" xr:uid="{00000000-0005-0000-0000-00000B6A0000}"/>
    <cellStyle name="SAPBEXexcCritical6 3 3 4 2" xfId="31111" xr:uid="{C867DDB9-90FA-403C-87C9-6A7843DAC652}"/>
    <cellStyle name="SAPBEXexcCritical6 3 3 5" xfId="29615" xr:uid="{00000000-0005-0000-0000-00000C6A0000}"/>
    <cellStyle name="SAPBEXexcCritical6 3 4" xfId="27267" xr:uid="{00000000-0005-0000-0000-00000D6A0000}"/>
    <cellStyle name="SAPBEXexcCritical6 3 4 2" xfId="31902" xr:uid="{8AE1FEEC-5E97-42A6-8F8A-8893BBEF5439}"/>
    <cellStyle name="SAPBEXexcCritical6 3 5" xfId="28061" xr:uid="{00000000-0005-0000-0000-00000E6A0000}"/>
    <cellStyle name="SAPBEXexcCritical6 3 5 2" xfId="32619" xr:uid="{479103A8-09C6-435C-8787-413CCEE292EA}"/>
    <cellStyle name="SAPBEXexcCritical6 3 6" xfId="27073" xr:uid="{00000000-0005-0000-0000-00000F6A0000}"/>
    <cellStyle name="SAPBEXexcCritical6 3 6 2" xfId="31804" xr:uid="{9F829EA6-CB8A-4632-B09E-AAA8DCBD6EF6}"/>
    <cellStyle name="SAPBEXexcCritical6 3 7" xfId="29613" xr:uid="{00000000-0005-0000-0000-0000106A0000}"/>
    <cellStyle name="SAPBEXexcCritical6 3 8" xfId="30342" xr:uid="{C7D8BE66-880E-4138-87EE-70045B017C2E}"/>
    <cellStyle name="SAPBEXexcCritical6 4" xfId="25099" xr:uid="{00000000-0005-0000-0000-0000116A0000}"/>
    <cellStyle name="SAPBEXexcCritical6 4 2" xfId="25438" xr:uid="{00000000-0005-0000-0000-0000126A0000}"/>
    <cellStyle name="SAPBEXexcCritical6 4 2 2" xfId="27592" xr:uid="{00000000-0005-0000-0000-0000136A0000}"/>
    <cellStyle name="SAPBEXexcCritical6 4 2 2 2" xfId="32183" xr:uid="{F7C952EB-8E06-403B-BBBA-6063029C6FAF}"/>
    <cellStyle name="SAPBEXexcCritical6 4 2 3" xfId="28065" xr:uid="{00000000-0005-0000-0000-0000146A0000}"/>
    <cellStyle name="SAPBEXexcCritical6 4 2 3 2" xfId="32623" xr:uid="{7D0C2908-1570-4C01-A1F5-1CE5F8CA8898}"/>
    <cellStyle name="SAPBEXexcCritical6 4 2 4" xfId="26224" xr:uid="{00000000-0005-0000-0000-0000156A0000}"/>
    <cellStyle name="SAPBEXexcCritical6 4 2 4 2" xfId="31012" xr:uid="{53832BBB-09D3-47C5-9B82-3288F6E9F6C8}"/>
    <cellStyle name="SAPBEXexcCritical6 4 2 5" xfId="29617" xr:uid="{00000000-0005-0000-0000-0000166A0000}"/>
    <cellStyle name="SAPBEXexcCritical6 4 2 6" xfId="30596" xr:uid="{86D1E3E9-3B9D-43FF-A852-2F508F91F0E4}"/>
    <cellStyle name="SAPBEXexcCritical6 4 3" xfId="25697" xr:uid="{00000000-0005-0000-0000-0000176A0000}"/>
    <cellStyle name="SAPBEXexcCritical6 4 3 2" xfId="27850" xr:uid="{00000000-0005-0000-0000-0000186A0000}"/>
    <cellStyle name="SAPBEXexcCritical6 4 3 2 2" xfId="32437" xr:uid="{7C0F64B8-8EFE-41B7-98F7-1CD676F8CE85}"/>
    <cellStyle name="SAPBEXexcCritical6 4 3 3" xfId="28066" xr:uid="{00000000-0005-0000-0000-0000196A0000}"/>
    <cellStyle name="SAPBEXexcCritical6 4 3 3 2" xfId="32624" xr:uid="{AC94CA22-EC00-4B1D-A0EB-E7A016E748AC}"/>
    <cellStyle name="SAPBEXexcCritical6 4 3 4" xfId="26065" xr:uid="{00000000-0005-0000-0000-00001A6A0000}"/>
    <cellStyle name="SAPBEXexcCritical6 4 3 4 2" xfId="30855" xr:uid="{A5465FA8-96D4-4D8A-8D59-7BB960916B85}"/>
    <cellStyle name="SAPBEXexcCritical6 4 3 5" xfId="29618" xr:uid="{00000000-0005-0000-0000-00001B6A0000}"/>
    <cellStyle name="SAPBEXexcCritical6 4 3 6" xfId="30691" xr:uid="{4440E5C3-E176-4791-83D3-9407B017EC12}"/>
    <cellStyle name="SAPBEXexcCritical6 4 4" xfId="27384" xr:uid="{00000000-0005-0000-0000-00001C6A0000}"/>
    <cellStyle name="SAPBEXexcCritical6 4 4 2" xfId="31982" xr:uid="{CFCD3C9B-61D8-4770-8909-8B5FC2C06F08}"/>
    <cellStyle name="SAPBEXexcCritical6 4 5" xfId="28064" xr:uid="{00000000-0005-0000-0000-00001D6A0000}"/>
    <cellStyle name="SAPBEXexcCritical6 4 5 2" xfId="32622" xr:uid="{07AB86AD-AD5F-48C9-8DE5-5371188711FA}"/>
    <cellStyle name="SAPBEXexcCritical6 4 6" xfId="26457" xr:uid="{00000000-0005-0000-0000-00001E6A0000}"/>
    <cellStyle name="SAPBEXexcCritical6 4 6 2" xfId="31245" xr:uid="{09EDA572-A7D9-4C55-92A3-8D39A9581983}"/>
    <cellStyle name="SAPBEXexcCritical6 4 7" xfId="29616" xr:uid="{00000000-0005-0000-0000-00001F6A0000}"/>
    <cellStyle name="SAPBEXexcCritical6 4 8" xfId="30399" xr:uid="{3B66F580-6130-4CE1-8FF4-609101A2D878}"/>
    <cellStyle name="SAPBEXexcCritical6 5" xfId="25828" xr:uid="{00000000-0005-0000-0000-0000206A0000}"/>
    <cellStyle name="SAPBEXexcCritical6 5 2" xfId="30747" xr:uid="{9DB1144A-4394-47BF-BA7F-C4B0DF001748}"/>
    <cellStyle name="SAPBEXexcCritical6 6" xfId="28058" xr:uid="{00000000-0005-0000-0000-0000216A0000}"/>
    <cellStyle name="SAPBEXexcCritical6 6 2" xfId="32616" xr:uid="{4293D8B5-777B-4FAA-93F0-CE6ED28DDDB6}"/>
    <cellStyle name="SAPBEXexcCritical6 7" xfId="28546" xr:uid="{00000000-0005-0000-0000-0000226A0000}"/>
    <cellStyle name="SAPBEXexcCritical6 7 2" xfId="33104" xr:uid="{F1E41F9A-04E7-4B63-A2CB-753D8A8D55DC}"/>
    <cellStyle name="SAPBEXexcCritical6 8" xfId="29610" xr:uid="{00000000-0005-0000-0000-0000236A0000}"/>
    <cellStyle name="SAPBEXexcGood1" xfId="85" xr:uid="{00000000-0005-0000-0000-0000246A0000}"/>
    <cellStyle name="SAPBEXexcGood1 2" xfId="13633" xr:uid="{00000000-0005-0000-0000-0000256A0000}"/>
    <cellStyle name="SAPBEXexcGood1 2 2" xfId="25471" xr:uid="{00000000-0005-0000-0000-0000266A0000}"/>
    <cellStyle name="SAPBEXexcGood1 2 2 2" xfId="27624" xr:uid="{00000000-0005-0000-0000-0000276A0000}"/>
    <cellStyle name="SAPBEXexcGood1 2 2 2 2" xfId="32211" xr:uid="{1554FC34-CDD6-4716-B0A9-E70B8A3D823C}"/>
    <cellStyle name="SAPBEXexcGood1 2 2 3" xfId="28069" xr:uid="{00000000-0005-0000-0000-0000286A0000}"/>
    <cellStyle name="SAPBEXexcGood1 2 2 3 2" xfId="32627" xr:uid="{1A193866-2C2A-4907-88AC-68478140D504}"/>
    <cellStyle name="SAPBEXexcGood1 2 2 4" xfId="26213" xr:uid="{00000000-0005-0000-0000-0000296A0000}"/>
    <cellStyle name="SAPBEXexcGood1 2 2 4 2" xfId="31001" xr:uid="{04288C11-B811-4AD9-92D5-2C5808BD5AD0}"/>
    <cellStyle name="SAPBEXexcGood1 2 2 5" xfId="29621" xr:uid="{00000000-0005-0000-0000-00002A6A0000}"/>
    <cellStyle name="SAPBEXexcGood1 2 3" xfId="26575" xr:uid="{00000000-0005-0000-0000-00002B6A0000}"/>
    <cellStyle name="SAPBEXexcGood1 2 3 2" xfId="31353" xr:uid="{D865EBC2-1568-495B-A788-86B26AE5F652}"/>
    <cellStyle name="SAPBEXexcGood1 2 4" xfId="28068" xr:uid="{00000000-0005-0000-0000-00002C6A0000}"/>
    <cellStyle name="SAPBEXexcGood1 2 4 2" xfId="32626" xr:uid="{A744162D-BA2C-41C3-9E23-FB6D1E30AF91}"/>
    <cellStyle name="SAPBEXexcGood1 2 5" xfId="26074" xr:uid="{00000000-0005-0000-0000-00002D6A0000}"/>
    <cellStyle name="SAPBEXexcGood1 2 5 2" xfId="30864" xr:uid="{CCBB113D-9534-4DF0-8282-31CBBB3F1285}"/>
    <cellStyle name="SAPBEXexcGood1 2 6" xfId="29620" xr:uid="{00000000-0005-0000-0000-00002E6A0000}"/>
    <cellStyle name="SAPBEXexcGood1 2 7" xfId="30173" xr:uid="{694AA585-5977-4FA0-B1BD-977082E313E0}"/>
    <cellStyle name="SAPBEXexcGood1 3" xfId="24676" xr:uid="{00000000-0005-0000-0000-00002F6A0000}"/>
    <cellStyle name="SAPBEXexcGood1 3 2" xfId="25450" xr:uid="{00000000-0005-0000-0000-0000306A0000}"/>
    <cellStyle name="SAPBEXexcGood1 3 2 2" xfId="27604" xr:uid="{00000000-0005-0000-0000-0000316A0000}"/>
    <cellStyle name="SAPBEXexcGood1 3 2 2 2" xfId="32195" xr:uid="{FCA0D5DE-D0AF-484D-BAB1-2174FD15E82E}"/>
    <cellStyle name="SAPBEXexcGood1 3 2 3" xfId="28071" xr:uid="{00000000-0005-0000-0000-0000326A0000}"/>
    <cellStyle name="SAPBEXexcGood1 3 2 3 2" xfId="32629" xr:uid="{C6CA798F-7E2F-49BC-82EB-D4004B74CF47}"/>
    <cellStyle name="SAPBEXexcGood1 3 2 4" xfId="26498" xr:uid="{00000000-0005-0000-0000-0000336A0000}"/>
    <cellStyle name="SAPBEXexcGood1 3 2 4 2" xfId="31286" xr:uid="{1A12BBAF-9EB6-41FF-A454-804CA27CAB32}"/>
    <cellStyle name="SAPBEXexcGood1 3 2 5" xfId="29623" xr:uid="{00000000-0005-0000-0000-0000346A0000}"/>
    <cellStyle name="SAPBEXexcGood1 3 2 6" xfId="30608" xr:uid="{27031809-4567-4529-94B6-D33DC6040BF8}"/>
    <cellStyle name="SAPBEXexcGood1 3 3" xfId="25639" xr:uid="{00000000-0005-0000-0000-0000356A0000}"/>
    <cellStyle name="SAPBEXexcGood1 3 3 2" xfId="27792" xr:uid="{00000000-0005-0000-0000-0000366A0000}"/>
    <cellStyle name="SAPBEXexcGood1 3 3 2 2" xfId="32379" xr:uid="{44F5446D-57FA-4C85-A406-FC1DE840F46C}"/>
    <cellStyle name="SAPBEXexcGood1 3 3 3" xfId="28072" xr:uid="{00000000-0005-0000-0000-0000376A0000}"/>
    <cellStyle name="SAPBEXexcGood1 3 3 3 2" xfId="32630" xr:uid="{E7F42345-24C6-43AB-BD6B-1B455E6AE0F5}"/>
    <cellStyle name="SAPBEXexcGood1 3 3 4" xfId="26228" xr:uid="{00000000-0005-0000-0000-0000386A0000}"/>
    <cellStyle name="SAPBEXexcGood1 3 3 4 2" xfId="31016" xr:uid="{D11218D4-AD56-4805-83AA-84CAB136D96A}"/>
    <cellStyle name="SAPBEXexcGood1 3 3 5" xfId="29624" xr:uid="{00000000-0005-0000-0000-0000396A0000}"/>
    <cellStyle name="SAPBEXexcGood1 3 4" xfId="27266" xr:uid="{00000000-0005-0000-0000-00003A6A0000}"/>
    <cellStyle name="SAPBEXexcGood1 3 4 2" xfId="31901" xr:uid="{3AF74F43-1478-4578-A364-EE2105D3CD5A}"/>
    <cellStyle name="SAPBEXexcGood1 3 5" xfId="28070" xr:uid="{00000000-0005-0000-0000-00003B6A0000}"/>
    <cellStyle name="SAPBEXexcGood1 3 5 2" xfId="32628" xr:uid="{707429E0-E0BF-4936-B632-87809561496C}"/>
    <cellStyle name="SAPBEXexcGood1 3 6" xfId="26246" xr:uid="{00000000-0005-0000-0000-00003C6A0000}"/>
    <cellStyle name="SAPBEXexcGood1 3 6 2" xfId="31034" xr:uid="{1EF74320-2807-43A2-ABAF-14D5B247D390}"/>
    <cellStyle name="SAPBEXexcGood1 3 7" xfId="29622" xr:uid="{00000000-0005-0000-0000-00003D6A0000}"/>
    <cellStyle name="SAPBEXexcGood1 3 8" xfId="30341" xr:uid="{41692377-6B35-4149-8304-115CFD5774E4}"/>
    <cellStyle name="SAPBEXexcGood1 4" xfId="25100" xr:uid="{00000000-0005-0000-0000-00003E6A0000}"/>
    <cellStyle name="SAPBEXexcGood1 4 2" xfId="25355" xr:uid="{00000000-0005-0000-0000-00003F6A0000}"/>
    <cellStyle name="SAPBEXexcGood1 4 2 2" xfId="27509" xr:uid="{00000000-0005-0000-0000-0000406A0000}"/>
    <cellStyle name="SAPBEXexcGood1 4 2 2 2" xfId="32100" xr:uid="{8E86C159-6546-42A9-A894-DF8699F4DE07}"/>
    <cellStyle name="SAPBEXexcGood1 4 2 3" xfId="28074" xr:uid="{00000000-0005-0000-0000-0000416A0000}"/>
    <cellStyle name="SAPBEXexcGood1 4 2 3 2" xfId="32632" xr:uid="{21DDFAA8-12AE-4B69-8C9E-03CA46089785}"/>
    <cellStyle name="SAPBEXexcGood1 4 2 4" xfId="26843" xr:uid="{00000000-0005-0000-0000-0000426A0000}"/>
    <cellStyle name="SAPBEXexcGood1 4 2 4 2" xfId="31604" xr:uid="{14E5F535-9B4A-450E-AEDC-88C4695A50AA}"/>
    <cellStyle name="SAPBEXexcGood1 4 2 5" xfId="29626" xr:uid="{00000000-0005-0000-0000-0000436A0000}"/>
    <cellStyle name="SAPBEXexcGood1 4 2 6" xfId="30513" xr:uid="{2531F6A2-FB06-4F55-8C64-AE2CE6308E97}"/>
    <cellStyle name="SAPBEXexcGood1 4 3" xfId="25698" xr:uid="{00000000-0005-0000-0000-0000446A0000}"/>
    <cellStyle name="SAPBEXexcGood1 4 3 2" xfId="27851" xr:uid="{00000000-0005-0000-0000-0000456A0000}"/>
    <cellStyle name="SAPBEXexcGood1 4 3 2 2" xfId="32438" xr:uid="{DDFBE7E5-8675-41FD-9C03-E40A631AB6AC}"/>
    <cellStyle name="SAPBEXexcGood1 4 3 3" xfId="28075" xr:uid="{00000000-0005-0000-0000-0000466A0000}"/>
    <cellStyle name="SAPBEXexcGood1 4 3 3 2" xfId="32633" xr:uid="{4770C9A7-DBBD-4CC1-BDDD-321449B2001E}"/>
    <cellStyle name="SAPBEXexcGood1 4 3 4" xfId="27024" xr:uid="{00000000-0005-0000-0000-0000476A0000}"/>
    <cellStyle name="SAPBEXexcGood1 4 3 4 2" xfId="31784" xr:uid="{3F8C1EC1-203E-4B3B-B840-0C24A179E8A9}"/>
    <cellStyle name="SAPBEXexcGood1 4 3 5" xfId="29627" xr:uid="{00000000-0005-0000-0000-0000486A0000}"/>
    <cellStyle name="SAPBEXexcGood1 4 3 6" xfId="30692" xr:uid="{D4CFF224-BEC7-499F-9402-EC58E069D31A}"/>
    <cellStyle name="SAPBEXexcGood1 4 4" xfId="27385" xr:uid="{00000000-0005-0000-0000-0000496A0000}"/>
    <cellStyle name="SAPBEXexcGood1 4 4 2" xfId="31983" xr:uid="{A2F1DF43-FC5F-441C-A782-052B657CB537}"/>
    <cellStyle name="SAPBEXexcGood1 4 5" xfId="28073" xr:uid="{00000000-0005-0000-0000-00004A6A0000}"/>
    <cellStyle name="SAPBEXexcGood1 4 5 2" xfId="32631" xr:uid="{D97346D4-F5C7-4FFD-8CEB-47F92E852D94}"/>
    <cellStyle name="SAPBEXexcGood1 4 6" xfId="26142" xr:uid="{00000000-0005-0000-0000-00004B6A0000}"/>
    <cellStyle name="SAPBEXexcGood1 4 6 2" xfId="30932" xr:uid="{E80A8D29-2682-486A-8253-F6F50016B787}"/>
    <cellStyle name="SAPBEXexcGood1 4 7" xfId="29625" xr:uid="{00000000-0005-0000-0000-00004C6A0000}"/>
    <cellStyle name="SAPBEXexcGood1 4 8" xfId="30400" xr:uid="{EC650EDD-9D71-4E77-8657-55783BCDA62B}"/>
    <cellStyle name="SAPBEXexcGood1 5" xfId="25829" xr:uid="{00000000-0005-0000-0000-00004D6A0000}"/>
    <cellStyle name="SAPBEXexcGood1 5 2" xfId="30748" xr:uid="{D4958BCC-8F06-4590-8FAE-490F1E3D21B6}"/>
    <cellStyle name="SAPBEXexcGood1 6" xfId="28067" xr:uid="{00000000-0005-0000-0000-00004E6A0000}"/>
    <cellStyle name="SAPBEXexcGood1 6 2" xfId="32625" xr:uid="{150F3749-7AD9-4907-A67B-2E799E00C8F4}"/>
    <cellStyle name="SAPBEXexcGood1 7" xfId="26896" xr:uid="{00000000-0005-0000-0000-00004F6A0000}"/>
    <cellStyle name="SAPBEXexcGood1 7 2" xfId="31657" xr:uid="{0A46D05A-E537-486A-A31C-CBED703883B6}"/>
    <cellStyle name="SAPBEXexcGood1 8" xfId="29619" xr:uid="{00000000-0005-0000-0000-0000506A0000}"/>
    <cellStyle name="SAPBEXexcGood2" xfId="86" xr:uid="{00000000-0005-0000-0000-0000516A0000}"/>
    <cellStyle name="SAPBEXexcGood2 2" xfId="13634" xr:uid="{00000000-0005-0000-0000-0000526A0000}"/>
    <cellStyle name="SAPBEXexcGood2 2 2" xfId="25472" xr:uid="{00000000-0005-0000-0000-0000536A0000}"/>
    <cellStyle name="SAPBEXexcGood2 2 2 2" xfId="27625" xr:uid="{00000000-0005-0000-0000-0000546A0000}"/>
    <cellStyle name="SAPBEXexcGood2 2 2 2 2" xfId="32212" xr:uid="{BD69BBB3-9687-4497-8F4F-B08F89A7B84A}"/>
    <cellStyle name="SAPBEXexcGood2 2 2 3" xfId="28078" xr:uid="{00000000-0005-0000-0000-0000556A0000}"/>
    <cellStyle name="SAPBEXexcGood2 2 2 3 2" xfId="32636" xr:uid="{72D861A5-ACF2-432F-84D0-5C18991D134E}"/>
    <cellStyle name="SAPBEXexcGood2 2 2 4" xfId="26163" xr:uid="{00000000-0005-0000-0000-0000566A0000}"/>
    <cellStyle name="SAPBEXexcGood2 2 2 4 2" xfId="30952" xr:uid="{46DDA0E1-6C1F-4551-B71C-92443BD04DE4}"/>
    <cellStyle name="SAPBEXexcGood2 2 2 5" xfId="29630" xr:uid="{00000000-0005-0000-0000-0000576A0000}"/>
    <cellStyle name="SAPBEXexcGood2 2 3" xfId="26576" xr:uid="{00000000-0005-0000-0000-0000586A0000}"/>
    <cellStyle name="SAPBEXexcGood2 2 3 2" xfId="31354" xr:uid="{216F7E7B-AAEE-4318-AAD7-176A2AD17B32}"/>
    <cellStyle name="SAPBEXexcGood2 2 4" xfId="28077" xr:uid="{00000000-0005-0000-0000-0000596A0000}"/>
    <cellStyle name="SAPBEXexcGood2 2 4 2" xfId="32635" xr:uid="{9DD9FC08-F2D3-4FE8-83C1-156620C5F18A}"/>
    <cellStyle name="SAPBEXexcGood2 2 5" xfId="27298" xr:uid="{00000000-0005-0000-0000-00005A6A0000}"/>
    <cellStyle name="SAPBEXexcGood2 2 5 2" xfId="31927" xr:uid="{9FEC5567-EA59-42CC-A79D-D4DB02762D0C}"/>
    <cellStyle name="SAPBEXexcGood2 2 6" xfId="29629" xr:uid="{00000000-0005-0000-0000-00005B6A0000}"/>
    <cellStyle name="SAPBEXexcGood2 2 7" xfId="30174" xr:uid="{3BAAA5C4-B903-4A36-B9E9-D4D9ECDA51CC}"/>
    <cellStyle name="SAPBEXexcGood2 3" xfId="24675" xr:uid="{00000000-0005-0000-0000-00005C6A0000}"/>
    <cellStyle name="SAPBEXexcGood2 3 2" xfId="25349" xr:uid="{00000000-0005-0000-0000-00005D6A0000}"/>
    <cellStyle name="SAPBEXexcGood2 3 2 2" xfId="27503" xr:uid="{00000000-0005-0000-0000-00005E6A0000}"/>
    <cellStyle name="SAPBEXexcGood2 3 2 2 2" xfId="32094" xr:uid="{6F96B1DB-4DF2-471B-BF87-EF2C0C7B2DE1}"/>
    <cellStyle name="SAPBEXexcGood2 3 2 3" xfId="28080" xr:uid="{00000000-0005-0000-0000-00005F6A0000}"/>
    <cellStyle name="SAPBEXexcGood2 3 2 3 2" xfId="32638" xr:uid="{CE68B3BA-3870-4696-AB4F-D988852EFDE1}"/>
    <cellStyle name="SAPBEXexcGood2 3 2 4" xfId="26538" xr:uid="{00000000-0005-0000-0000-0000606A0000}"/>
    <cellStyle name="SAPBEXexcGood2 3 2 4 2" xfId="31325" xr:uid="{C24BF63E-DF61-4479-9FE7-69E4CE8F0F64}"/>
    <cellStyle name="SAPBEXexcGood2 3 2 5" xfId="29632" xr:uid="{00000000-0005-0000-0000-0000616A0000}"/>
    <cellStyle name="SAPBEXexcGood2 3 2 6" xfId="30507" xr:uid="{595524C6-3DAB-49B0-A494-40E2E8AB83F2}"/>
    <cellStyle name="SAPBEXexcGood2 3 3" xfId="25638" xr:uid="{00000000-0005-0000-0000-0000626A0000}"/>
    <cellStyle name="SAPBEXexcGood2 3 3 2" xfId="27791" xr:uid="{00000000-0005-0000-0000-0000636A0000}"/>
    <cellStyle name="SAPBEXexcGood2 3 3 2 2" xfId="32378" xr:uid="{C8588750-E75A-4F59-B9A7-C7DFBA7CEF2F}"/>
    <cellStyle name="SAPBEXexcGood2 3 3 3" xfId="28081" xr:uid="{00000000-0005-0000-0000-0000646A0000}"/>
    <cellStyle name="SAPBEXexcGood2 3 3 3 2" xfId="32639" xr:uid="{68B64CCE-0B3D-4906-A5DF-0FD4A808BC59}"/>
    <cellStyle name="SAPBEXexcGood2 3 3 4" xfId="26774" xr:uid="{00000000-0005-0000-0000-0000656A0000}"/>
    <cellStyle name="SAPBEXexcGood2 3 3 4 2" xfId="31535" xr:uid="{7E05FCE6-CE01-40A6-B74C-27A45924EE2B}"/>
    <cellStyle name="SAPBEXexcGood2 3 3 5" xfId="29633" xr:uid="{00000000-0005-0000-0000-0000666A0000}"/>
    <cellStyle name="SAPBEXexcGood2 3 4" xfId="27265" xr:uid="{00000000-0005-0000-0000-0000676A0000}"/>
    <cellStyle name="SAPBEXexcGood2 3 4 2" xfId="31900" xr:uid="{8FC7BFFD-5F99-4FA9-AD9C-52A0239F0200}"/>
    <cellStyle name="SAPBEXexcGood2 3 5" xfId="28079" xr:uid="{00000000-0005-0000-0000-0000686A0000}"/>
    <cellStyle name="SAPBEXexcGood2 3 5 2" xfId="32637" xr:uid="{1A2CCA56-4E77-4FAA-A9F5-84F2822592EE}"/>
    <cellStyle name="SAPBEXexcGood2 3 6" xfId="26114" xr:uid="{00000000-0005-0000-0000-0000696A0000}"/>
    <cellStyle name="SAPBEXexcGood2 3 6 2" xfId="30904" xr:uid="{ED82B3D5-FE3E-4E59-BDCA-1452FA01E688}"/>
    <cellStyle name="SAPBEXexcGood2 3 7" xfId="29631" xr:uid="{00000000-0005-0000-0000-00006A6A0000}"/>
    <cellStyle name="SAPBEXexcGood2 3 8" xfId="30340" xr:uid="{B87C0325-503B-4E78-82B8-B77F65A2A6C9}"/>
    <cellStyle name="SAPBEXexcGood2 4" xfId="25101" xr:uid="{00000000-0005-0000-0000-00006B6A0000}"/>
    <cellStyle name="SAPBEXexcGood2 4 2" xfId="25389" xr:uid="{00000000-0005-0000-0000-00006C6A0000}"/>
    <cellStyle name="SAPBEXexcGood2 4 2 2" xfId="27543" xr:uid="{00000000-0005-0000-0000-00006D6A0000}"/>
    <cellStyle name="SAPBEXexcGood2 4 2 2 2" xfId="32134" xr:uid="{7675364F-0E93-416C-BF6B-FCC235F13888}"/>
    <cellStyle name="SAPBEXexcGood2 4 2 3" xfId="28083" xr:uid="{00000000-0005-0000-0000-00006E6A0000}"/>
    <cellStyle name="SAPBEXexcGood2 4 2 3 2" xfId="32641" xr:uid="{99A7084F-3A70-4F75-828D-19DA62E0CE1A}"/>
    <cellStyle name="SAPBEXexcGood2 4 2 4" xfId="26701" xr:uid="{00000000-0005-0000-0000-00006F6A0000}"/>
    <cellStyle name="SAPBEXexcGood2 4 2 4 2" xfId="31463" xr:uid="{FE819582-987C-46FC-865A-59163CBAA526}"/>
    <cellStyle name="SAPBEXexcGood2 4 2 5" xfId="29635" xr:uid="{00000000-0005-0000-0000-0000706A0000}"/>
    <cellStyle name="SAPBEXexcGood2 4 2 6" xfId="30547" xr:uid="{6C180AF8-F9FB-415F-85CE-E35E80562A24}"/>
    <cellStyle name="SAPBEXexcGood2 4 3" xfId="25699" xr:uid="{00000000-0005-0000-0000-0000716A0000}"/>
    <cellStyle name="SAPBEXexcGood2 4 3 2" xfId="27852" xr:uid="{00000000-0005-0000-0000-0000726A0000}"/>
    <cellStyle name="SAPBEXexcGood2 4 3 2 2" xfId="32439" xr:uid="{96EC0925-E6D8-43CC-95E3-B253057684E6}"/>
    <cellStyle name="SAPBEXexcGood2 4 3 3" xfId="28084" xr:uid="{00000000-0005-0000-0000-0000736A0000}"/>
    <cellStyle name="SAPBEXexcGood2 4 3 3 2" xfId="32642" xr:uid="{250934E6-CCE8-4E01-BE72-9CB3A8DB6B01}"/>
    <cellStyle name="SAPBEXexcGood2 4 3 4" xfId="26422" xr:uid="{00000000-0005-0000-0000-0000746A0000}"/>
    <cellStyle name="SAPBEXexcGood2 4 3 4 2" xfId="31210" xr:uid="{49BAD80E-2BC0-4DA3-B172-F8B58244A9FA}"/>
    <cellStyle name="SAPBEXexcGood2 4 3 5" xfId="29636" xr:uid="{00000000-0005-0000-0000-0000756A0000}"/>
    <cellStyle name="SAPBEXexcGood2 4 3 6" xfId="30693" xr:uid="{222B41BF-E9D8-426F-AAB9-BE653F407B35}"/>
    <cellStyle name="SAPBEXexcGood2 4 4" xfId="27386" xr:uid="{00000000-0005-0000-0000-0000766A0000}"/>
    <cellStyle name="SAPBEXexcGood2 4 4 2" xfId="31984" xr:uid="{5B4FA06C-1289-40EA-8C0C-7B49C58A48DE}"/>
    <cellStyle name="SAPBEXexcGood2 4 5" xfId="28082" xr:uid="{00000000-0005-0000-0000-0000776A0000}"/>
    <cellStyle name="SAPBEXexcGood2 4 5 2" xfId="32640" xr:uid="{D6114681-6D13-43F9-9715-B1F38D1BB53D}"/>
    <cellStyle name="SAPBEXexcGood2 4 6" xfId="26425" xr:uid="{00000000-0005-0000-0000-0000786A0000}"/>
    <cellStyle name="SAPBEXexcGood2 4 6 2" xfId="31213" xr:uid="{C82DD26D-FBD8-45AC-BBCA-A760CD788471}"/>
    <cellStyle name="SAPBEXexcGood2 4 7" xfId="29634" xr:uid="{00000000-0005-0000-0000-0000796A0000}"/>
    <cellStyle name="SAPBEXexcGood2 4 8" xfId="30401" xr:uid="{6C36F019-58B0-4C8D-84F1-D4D42765D3B7}"/>
    <cellStyle name="SAPBEXexcGood2 5" xfId="25830" xr:uid="{00000000-0005-0000-0000-00007A6A0000}"/>
    <cellStyle name="SAPBEXexcGood2 5 2" xfId="30749" xr:uid="{155F6BB7-0B12-422B-B9A6-F3D7A35B2E5A}"/>
    <cellStyle name="SAPBEXexcGood2 6" xfId="28076" xr:uid="{00000000-0005-0000-0000-00007B6A0000}"/>
    <cellStyle name="SAPBEXexcGood2 6 2" xfId="32634" xr:uid="{4390D5DC-DFE4-4901-9CD2-331CF3D24E28}"/>
    <cellStyle name="SAPBEXexcGood2 7" xfId="26834" xr:uid="{00000000-0005-0000-0000-00007C6A0000}"/>
    <cellStyle name="SAPBEXexcGood2 7 2" xfId="31595" xr:uid="{352FA75F-B9F5-44C6-A434-15029B45A5A3}"/>
    <cellStyle name="SAPBEXexcGood2 8" xfId="29628" xr:uid="{00000000-0005-0000-0000-00007D6A0000}"/>
    <cellStyle name="SAPBEXexcGood3" xfId="87" xr:uid="{00000000-0005-0000-0000-00007E6A0000}"/>
    <cellStyle name="SAPBEXexcGood3 2" xfId="13635" xr:uid="{00000000-0005-0000-0000-00007F6A0000}"/>
    <cellStyle name="SAPBEXexcGood3 2 2" xfId="25473" xr:uid="{00000000-0005-0000-0000-0000806A0000}"/>
    <cellStyle name="SAPBEXexcGood3 2 2 2" xfId="27626" xr:uid="{00000000-0005-0000-0000-0000816A0000}"/>
    <cellStyle name="SAPBEXexcGood3 2 2 2 2" xfId="32213" xr:uid="{308820AF-EA17-4165-8CB7-7173CBB6D535}"/>
    <cellStyle name="SAPBEXexcGood3 2 2 3" xfId="28087" xr:uid="{00000000-0005-0000-0000-0000826A0000}"/>
    <cellStyle name="SAPBEXexcGood3 2 2 3 2" xfId="32645" xr:uid="{B1A9B84F-CD48-4909-81D2-674130ABC560}"/>
    <cellStyle name="SAPBEXexcGood3 2 2 4" xfId="26321" xr:uid="{00000000-0005-0000-0000-0000836A0000}"/>
    <cellStyle name="SAPBEXexcGood3 2 2 4 2" xfId="31109" xr:uid="{2A2788E4-45DA-408E-9195-1DAC38F5CF7A}"/>
    <cellStyle name="SAPBEXexcGood3 2 2 5" xfId="29639" xr:uid="{00000000-0005-0000-0000-0000846A0000}"/>
    <cellStyle name="SAPBEXexcGood3 2 3" xfId="26577" xr:uid="{00000000-0005-0000-0000-0000856A0000}"/>
    <cellStyle name="SAPBEXexcGood3 2 3 2" xfId="31355" xr:uid="{B43766C2-2CDC-48FC-B6F9-418E16E51639}"/>
    <cellStyle name="SAPBEXexcGood3 2 4" xfId="28086" xr:uid="{00000000-0005-0000-0000-0000866A0000}"/>
    <cellStyle name="SAPBEXexcGood3 2 4 2" xfId="32644" xr:uid="{92D8CE86-9B32-4449-97FE-2A77309F59E0}"/>
    <cellStyle name="SAPBEXexcGood3 2 5" xfId="26918" xr:uid="{00000000-0005-0000-0000-0000876A0000}"/>
    <cellStyle name="SAPBEXexcGood3 2 5 2" xfId="31679" xr:uid="{96392683-3B26-48A7-B64D-276B7C277673}"/>
    <cellStyle name="SAPBEXexcGood3 2 6" xfId="29638" xr:uid="{00000000-0005-0000-0000-0000886A0000}"/>
    <cellStyle name="SAPBEXexcGood3 2 7" xfId="30175" xr:uid="{216BBBA7-92D6-4F0B-8D6E-F4AFC7622EEE}"/>
    <cellStyle name="SAPBEXexcGood3 3" xfId="24674" xr:uid="{00000000-0005-0000-0000-0000896A0000}"/>
    <cellStyle name="SAPBEXexcGood3 3 2" xfId="25433" xr:uid="{00000000-0005-0000-0000-00008A6A0000}"/>
    <cellStyle name="SAPBEXexcGood3 3 2 2" xfId="27587" xr:uid="{00000000-0005-0000-0000-00008B6A0000}"/>
    <cellStyle name="SAPBEXexcGood3 3 2 2 2" xfId="32178" xr:uid="{FA6B6EAE-9199-4A5F-9B96-7797C8C78F58}"/>
    <cellStyle name="SAPBEXexcGood3 3 2 3" xfId="28089" xr:uid="{00000000-0005-0000-0000-00008C6A0000}"/>
    <cellStyle name="SAPBEXexcGood3 3 2 3 2" xfId="32647" xr:uid="{9EFBE913-686F-4E8E-8ED1-3A81D116D952}"/>
    <cellStyle name="SAPBEXexcGood3 3 2 4" xfId="26852" xr:uid="{00000000-0005-0000-0000-00008D6A0000}"/>
    <cellStyle name="SAPBEXexcGood3 3 2 4 2" xfId="31613" xr:uid="{074EE185-0A89-4EBA-9DC5-2B4F090A3A94}"/>
    <cellStyle name="SAPBEXexcGood3 3 2 5" xfId="29641" xr:uid="{00000000-0005-0000-0000-00008E6A0000}"/>
    <cellStyle name="SAPBEXexcGood3 3 2 6" xfId="30591" xr:uid="{838D04DD-103B-414F-BC58-4C6DF5DF7315}"/>
    <cellStyle name="SAPBEXexcGood3 3 3" xfId="25637" xr:uid="{00000000-0005-0000-0000-00008F6A0000}"/>
    <cellStyle name="SAPBEXexcGood3 3 3 2" xfId="27790" xr:uid="{00000000-0005-0000-0000-0000906A0000}"/>
    <cellStyle name="SAPBEXexcGood3 3 3 2 2" xfId="32377" xr:uid="{1EFF2F61-1D5F-40CB-9D1C-865B3FC0AC24}"/>
    <cellStyle name="SAPBEXexcGood3 3 3 3" xfId="28090" xr:uid="{00000000-0005-0000-0000-0000916A0000}"/>
    <cellStyle name="SAPBEXexcGood3 3 3 3 2" xfId="32648" xr:uid="{0F16DB00-979B-45A2-8549-D10C3898B861}"/>
    <cellStyle name="SAPBEXexcGood3 3 3 4" xfId="26122" xr:uid="{00000000-0005-0000-0000-0000926A0000}"/>
    <cellStyle name="SAPBEXexcGood3 3 3 4 2" xfId="30912" xr:uid="{16F4B9F3-B3D8-4AE9-80B3-1BDECF8E1D1F}"/>
    <cellStyle name="SAPBEXexcGood3 3 3 5" xfId="29642" xr:uid="{00000000-0005-0000-0000-0000936A0000}"/>
    <cellStyle name="SAPBEXexcGood3 3 4" xfId="27264" xr:uid="{00000000-0005-0000-0000-0000946A0000}"/>
    <cellStyle name="SAPBEXexcGood3 3 4 2" xfId="31899" xr:uid="{C8E115A2-1050-4BE0-B1C2-E0550387E6E9}"/>
    <cellStyle name="SAPBEXexcGood3 3 5" xfId="28088" xr:uid="{00000000-0005-0000-0000-0000956A0000}"/>
    <cellStyle name="SAPBEXexcGood3 3 5 2" xfId="32646" xr:uid="{4593537D-1988-445A-B987-F76DB3C83564}"/>
    <cellStyle name="SAPBEXexcGood3 3 6" xfId="26497" xr:uid="{00000000-0005-0000-0000-0000966A0000}"/>
    <cellStyle name="SAPBEXexcGood3 3 6 2" xfId="31285" xr:uid="{A89ED4F8-B9F3-4585-B8ED-4B30C3A0B7DF}"/>
    <cellStyle name="SAPBEXexcGood3 3 7" xfId="29640" xr:uid="{00000000-0005-0000-0000-0000976A0000}"/>
    <cellStyle name="SAPBEXexcGood3 3 8" xfId="30339" xr:uid="{A10B9BBE-A017-4110-816E-976CEBC785EB}"/>
    <cellStyle name="SAPBEXexcGood3 4" xfId="25102" xr:uid="{00000000-0005-0000-0000-0000986A0000}"/>
    <cellStyle name="SAPBEXexcGood3 4 2" xfId="25403" xr:uid="{00000000-0005-0000-0000-0000996A0000}"/>
    <cellStyle name="SAPBEXexcGood3 4 2 2" xfId="27557" xr:uid="{00000000-0005-0000-0000-00009A6A0000}"/>
    <cellStyle name="SAPBEXexcGood3 4 2 2 2" xfId="32148" xr:uid="{542CF1F8-27C0-469F-8AEC-B0D7B4A50FF4}"/>
    <cellStyle name="SAPBEXexcGood3 4 2 3" xfId="28092" xr:uid="{00000000-0005-0000-0000-00009B6A0000}"/>
    <cellStyle name="SAPBEXexcGood3 4 2 3 2" xfId="32650" xr:uid="{15E0F195-36C6-40E2-8492-132C97A12795}"/>
    <cellStyle name="SAPBEXexcGood3 4 2 4" xfId="26429" xr:uid="{00000000-0005-0000-0000-00009C6A0000}"/>
    <cellStyle name="SAPBEXexcGood3 4 2 4 2" xfId="31217" xr:uid="{65498FA9-8518-4B20-83B7-75E062005796}"/>
    <cellStyle name="SAPBEXexcGood3 4 2 5" xfId="29644" xr:uid="{00000000-0005-0000-0000-00009D6A0000}"/>
    <cellStyle name="SAPBEXexcGood3 4 2 6" xfId="30561" xr:uid="{3EA48A4A-95C8-46B7-87B5-49395A280B9F}"/>
    <cellStyle name="SAPBEXexcGood3 4 3" xfId="25700" xr:uid="{00000000-0005-0000-0000-00009E6A0000}"/>
    <cellStyle name="SAPBEXexcGood3 4 3 2" xfId="27853" xr:uid="{00000000-0005-0000-0000-00009F6A0000}"/>
    <cellStyle name="SAPBEXexcGood3 4 3 2 2" xfId="32440" xr:uid="{D81E7EED-7569-4AD9-971D-1F7B7355FA1B}"/>
    <cellStyle name="SAPBEXexcGood3 4 3 3" xfId="28093" xr:uid="{00000000-0005-0000-0000-0000A06A0000}"/>
    <cellStyle name="SAPBEXexcGood3 4 3 3 2" xfId="32651" xr:uid="{16D3B326-3D72-4267-88CC-E67D6A54EF78}"/>
    <cellStyle name="SAPBEXexcGood3 4 3 4" xfId="27053" xr:uid="{00000000-0005-0000-0000-0000A16A0000}"/>
    <cellStyle name="SAPBEXexcGood3 4 3 4 2" xfId="31798" xr:uid="{2C68E6D1-3E67-409B-BF6C-B6084F228CD6}"/>
    <cellStyle name="SAPBEXexcGood3 4 3 5" xfId="29645" xr:uid="{00000000-0005-0000-0000-0000A26A0000}"/>
    <cellStyle name="SAPBEXexcGood3 4 3 6" xfId="30694" xr:uid="{B75B2F71-0114-47AF-96F5-188A76429835}"/>
    <cellStyle name="SAPBEXexcGood3 4 4" xfId="27387" xr:uid="{00000000-0005-0000-0000-0000A36A0000}"/>
    <cellStyle name="SAPBEXexcGood3 4 4 2" xfId="31985" xr:uid="{6A2A0B73-961F-4CB5-A15E-68039EFC5330}"/>
    <cellStyle name="SAPBEXexcGood3 4 5" xfId="28091" xr:uid="{00000000-0005-0000-0000-0000A46A0000}"/>
    <cellStyle name="SAPBEXexcGood3 4 5 2" xfId="32649" xr:uid="{FE3AED5C-5B6A-4D2F-810C-1EB9902D5B68}"/>
    <cellStyle name="SAPBEXexcGood3 4 6" xfId="26366" xr:uid="{00000000-0005-0000-0000-0000A56A0000}"/>
    <cellStyle name="SAPBEXexcGood3 4 6 2" xfId="31154" xr:uid="{7497A226-7643-4024-8C96-3F1A568E8FD9}"/>
    <cellStyle name="SAPBEXexcGood3 4 7" xfId="29643" xr:uid="{00000000-0005-0000-0000-0000A66A0000}"/>
    <cellStyle name="SAPBEXexcGood3 4 8" xfId="30402" xr:uid="{ED003E65-943C-433A-84DB-1FB42DB52D1B}"/>
    <cellStyle name="SAPBEXexcGood3 5" xfId="25831" xr:uid="{00000000-0005-0000-0000-0000A76A0000}"/>
    <cellStyle name="SAPBEXexcGood3 5 2" xfId="30750" xr:uid="{AF146F60-3BF2-4358-9326-F8C799AFC8A0}"/>
    <cellStyle name="SAPBEXexcGood3 6" xfId="28085" xr:uid="{00000000-0005-0000-0000-0000A86A0000}"/>
    <cellStyle name="SAPBEXexcGood3 6 2" xfId="32643" xr:uid="{438F3376-66E5-4807-8B5D-13A0DD7022A1}"/>
    <cellStyle name="SAPBEXexcGood3 7" xfId="28547" xr:uid="{00000000-0005-0000-0000-0000A96A0000}"/>
    <cellStyle name="SAPBEXexcGood3 7 2" xfId="33105" xr:uid="{CF99A7DA-DA15-46F4-87AC-C8AC1D81F52B}"/>
    <cellStyle name="SAPBEXexcGood3 8" xfId="29637" xr:uid="{00000000-0005-0000-0000-0000AA6A0000}"/>
    <cellStyle name="SAPBEXfilterDrill" xfId="88" xr:uid="{00000000-0005-0000-0000-0000AB6A0000}"/>
    <cellStyle name="SAPBEXfilterDrill 2" xfId="25832" xr:uid="{00000000-0005-0000-0000-0000AC6A0000}"/>
    <cellStyle name="SAPBEXfilterDrill 2 2" xfId="30751" xr:uid="{3491FB93-C1FC-46DE-99AF-DB71115FB942}"/>
    <cellStyle name="SAPBEXfilterItem" xfId="89" xr:uid="{00000000-0005-0000-0000-0000AD6A0000}"/>
    <cellStyle name="SAPBEXfilterItem 2" xfId="90" xr:uid="{00000000-0005-0000-0000-0000AE6A0000}"/>
    <cellStyle name="SAPBEXfilterItem 3" xfId="231" xr:uid="{00000000-0005-0000-0000-0000AF6A0000}"/>
    <cellStyle name="SAPBEXfilterItem 4" xfId="232" xr:uid="{00000000-0005-0000-0000-0000B06A0000}"/>
    <cellStyle name="SAPBEXfilterItem 5" xfId="233" xr:uid="{00000000-0005-0000-0000-0000B16A0000}"/>
    <cellStyle name="SAPBEXfilterItem 6" xfId="234" xr:uid="{00000000-0005-0000-0000-0000B26A0000}"/>
    <cellStyle name="SAPBEXfilterItem 7" xfId="235" xr:uid="{00000000-0005-0000-0000-0000B36A0000}"/>
    <cellStyle name="SAPBEXfilterItem 8" xfId="412" xr:uid="{00000000-0005-0000-0000-0000B46A0000}"/>
    <cellStyle name="SAPBEXfilterItem_Copy of xSAPtemp5457" xfId="236" xr:uid="{00000000-0005-0000-0000-0000B56A0000}"/>
    <cellStyle name="SAPBEXfilterText" xfId="91" xr:uid="{00000000-0005-0000-0000-0000B66A0000}"/>
    <cellStyle name="SAPBEXfilterText 2" xfId="92" xr:uid="{00000000-0005-0000-0000-0000B76A0000}"/>
    <cellStyle name="SAPBEXfilterText 2 2" xfId="24246" xr:uid="{00000000-0005-0000-0000-0000B86A0000}"/>
    <cellStyle name="SAPBEXfilterText 3" xfId="93" xr:uid="{00000000-0005-0000-0000-0000B96A0000}"/>
    <cellStyle name="SAPBEXfilterText 3 2" xfId="24247" xr:uid="{00000000-0005-0000-0000-0000BA6A0000}"/>
    <cellStyle name="SAPBEXfilterText 4" xfId="237" xr:uid="{00000000-0005-0000-0000-0000BB6A0000}"/>
    <cellStyle name="SAPBEXfilterText 5" xfId="238" xr:uid="{00000000-0005-0000-0000-0000BC6A0000}"/>
    <cellStyle name="SAPBEXformats" xfId="94" xr:uid="{00000000-0005-0000-0000-0000BD6A0000}"/>
    <cellStyle name="SAPBEXformats 2" xfId="13636" xr:uid="{00000000-0005-0000-0000-0000BE6A0000}"/>
    <cellStyle name="SAPBEXformats 2 2" xfId="25474" xr:uid="{00000000-0005-0000-0000-0000BF6A0000}"/>
    <cellStyle name="SAPBEXformats 2 2 2" xfId="27627" xr:uid="{00000000-0005-0000-0000-0000C06A0000}"/>
    <cellStyle name="SAPBEXformats 2 2 2 2" xfId="32214" xr:uid="{D278B83A-6DDC-4CEA-B434-95123C280B1E}"/>
    <cellStyle name="SAPBEXformats 2 2 3" xfId="28096" xr:uid="{00000000-0005-0000-0000-0000C16A0000}"/>
    <cellStyle name="SAPBEXformats 2 2 3 2" xfId="32654" xr:uid="{957C83D0-3927-47A9-A6FB-D8330177BF9A}"/>
    <cellStyle name="SAPBEXformats 2 2 4" xfId="27430" xr:uid="{00000000-0005-0000-0000-0000C26A0000}"/>
    <cellStyle name="SAPBEXformats 2 2 4 2" xfId="32028" xr:uid="{442177C5-4F97-41A7-BD70-69E13B4543F6}"/>
    <cellStyle name="SAPBEXformats 2 2 5" xfId="29648" xr:uid="{00000000-0005-0000-0000-0000C36A0000}"/>
    <cellStyle name="SAPBEXformats 2 3" xfId="26578" xr:uid="{00000000-0005-0000-0000-0000C46A0000}"/>
    <cellStyle name="SAPBEXformats 2 3 2" xfId="31356" xr:uid="{21DCC941-E0F1-463A-8AA4-9F34059D9DB5}"/>
    <cellStyle name="SAPBEXformats 2 4" xfId="28095" xr:uid="{00000000-0005-0000-0000-0000C56A0000}"/>
    <cellStyle name="SAPBEXformats 2 4 2" xfId="32653" xr:uid="{C6E7657E-F1DB-45D8-AA6B-208A5BF40671}"/>
    <cellStyle name="SAPBEXformats 2 5" xfId="29185" xr:uid="{00000000-0005-0000-0000-0000C66A0000}"/>
    <cellStyle name="SAPBEXformats 2 5 2" xfId="33168" xr:uid="{8F734FC7-1A1B-4AF3-AEAF-5F9D53DEC1C5}"/>
    <cellStyle name="SAPBEXformats 2 6" xfId="29647" xr:uid="{00000000-0005-0000-0000-0000C76A0000}"/>
    <cellStyle name="SAPBEXformats 2 7" xfId="30176" xr:uid="{3CCEDD8D-F920-4419-A45C-C955E685E11E}"/>
    <cellStyle name="SAPBEXformats 3" xfId="24673" xr:uid="{00000000-0005-0000-0000-0000C86A0000}"/>
    <cellStyle name="SAPBEXformats 3 2" xfId="25332" xr:uid="{00000000-0005-0000-0000-0000C96A0000}"/>
    <cellStyle name="SAPBEXformats 3 2 2" xfId="27486" xr:uid="{00000000-0005-0000-0000-0000CA6A0000}"/>
    <cellStyle name="SAPBEXformats 3 2 2 2" xfId="32077" xr:uid="{745C9583-D683-4F41-A694-04A8D1245772}"/>
    <cellStyle name="SAPBEXformats 3 2 3" xfId="28098" xr:uid="{00000000-0005-0000-0000-0000CB6A0000}"/>
    <cellStyle name="SAPBEXformats 3 2 3 2" xfId="32656" xr:uid="{EEEC1752-6C75-4172-930F-F60AB54966E1}"/>
    <cellStyle name="SAPBEXformats 3 2 4" xfId="26887" xr:uid="{00000000-0005-0000-0000-0000CC6A0000}"/>
    <cellStyle name="SAPBEXformats 3 2 4 2" xfId="31648" xr:uid="{1D5005B6-6A0B-4125-B5CA-C97B270D5A92}"/>
    <cellStyle name="SAPBEXformats 3 2 5" xfId="29650" xr:uid="{00000000-0005-0000-0000-0000CD6A0000}"/>
    <cellStyle name="SAPBEXformats 3 2 6" xfId="30490" xr:uid="{1FDD796B-D48C-4CF8-821F-B06FFC1504F6}"/>
    <cellStyle name="SAPBEXformats 3 3" xfId="25636" xr:uid="{00000000-0005-0000-0000-0000CE6A0000}"/>
    <cellStyle name="SAPBEXformats 3 3 2" xfId="27789" xr:uid="{00000000-0005-0000-0000-0000CF6A0000}"/>
    <cellStyle name="SAPBEXformats 3 3 2 2" xfId="32376" xr:uid="{2F4DAE6E-6C10-434E-BEB0-E82424E349E8}"/>
    <cellStyle name="SAPBEXformats 3 3 3" xfId="28099" xr:uid="{00000000-0005-0000-0000-0000D06A0000}"/>
    <cellStyle name="SAPBEXformats 3 3 3 2" xfId="32657" xr:uid="{E66069EF-D153-4575-8F1D-F5DAA9605257}"/>
    <cellStyle name="SAPBEXformats 3 3 4" xfId="26878" xr:uid="{00000000-0005-0000-0000-0000D16A0000}"/>
    <cellStyle name="SAPBEXformats 3 3 4 2" xfId="31639" xr:uid="{39317AA8-8D56-4917-BF65-A9663961389A}"/>
    <cellStyle name="SAPBEXformats 3 3 5" xfId="29651" xr:uid="{00000000-0005-0000-0000-0000D26A0000}"/>
    <cellStyle name="SAPBEXformats 3 4" xfId="27263" xr:uid="{00000000-0005-0000-0000-0000D36A0000}"/>
    <cellStyle name="SAPBEXformats 3 4 2" xfId="31898" xr:uid="{2DBB42DF-8BD6-45ED-86B9-BEC3FFF64943}"/>
    <cellStyle name="SAPBEXformats 3 5" xfId="28097" xr:uid="{00000000-0005-0000-0000-0000D46A0000}"/>
    <cellStyle name="SAPBEXformats 3 5 2" xfId="32655" xr:uid="{E01DF4DF-898C-4094-8EC5-C72246BDA1E8}"/>
    <cellStyle name="SAPBEXformats 3 6" xfId="26792" xr:uid="{00000000-0005-0000-0000-0000D56A0000}"/>
    <cellStyle name="SAPBEXformats 3 6 2" xfId="31553" xr:uid="{475C94B3-160D-4146-99BE-FF9364786E68}"/>
    <cellStyle name="SAPBEXformats 3 7" xfId="29649" xr:uid="{00000000-0005-0000-0000-0000D66A0000}"/>
    <cellStyle name="SAPBEXformats 3 8" xfId="30338" xr:uid="{CEE7A237-CC94-4644-A44B-4ABA4373387C}"/>
    <cellStyle name="SAPBEXformats 4" xfId="25103" xr:uid="{00000000-0005-0000-0000-0000D76A0000}"/>
    <cellStyle name="SAPBEXformats 4 2" xfId="25314" xr:uid="{00000000-0005-0000-0000-0000D86A0000}"/>
    <cellStyle name="SAPBEXformats 4 2 2" xfId="27468" xr:uid="{00000000-0005-0000-0000-0000D96A0000}"/>
    <cellStyle name="SAPBEXformats 4 2 2 2" xfId="32059" xr:uid="{531D6C35-7398-47CA-8E6E-396F0AAEC12F}"/>
    <cellStyle name="SAPBEXformats 4 2 3" xfId="28101" xr:uid="{00000000-0005-0000-0000-0000DA6A0000}"/>
    <cellStyle name="SAPBEXformats 4 2 3 2" xfId="32659" xr:uid="{9BA25405-5199-47A7-AA87-029BF4F03D3F}"/>
    <cellStyle name="SAPBEXformats 4 2 4" xfId="26088" xr:uid="{00000000-0005-0000-0000-0000DB6A0000}"/>
    <cellStyle name="SAPBEXformats 4 2 4 2" xfId="30878" xr:uid="{541FDA16-4D2D-452F-B7C0-950EA4155BF9}"/>
    <cellStyle name="SAPBEXformats 4 2 5" xfId="29653" xr:uid="{00000000-0005-0000-0000-0000DC6A0000}"/>
    <cellStyle name="SAPBEXformats 4 2 6" xfId="30472" xr:uid="{DC2B5A52-4E88-4582-8A8E-13F9568CC981}"/>
    <cellStyle name="SAPBEXformats 4 3" xfId="25701" xr:uid="{00000000-0005-0000-0000-0000DD6A0000}"/>
    <cellStyle name="SAPBEXformats 4 3 2" xfId="27854" xr:uid="{00000000-0005-0000-0000-0000DE6A0000}"/>
    <cellStyle name="SAPBEXformats 4 3 2 2" xfId="32441" xr:uid="{CAF41298-BE9F-4FAD-B7EC-08D9E35FB92D}"/>
    <cellStyle name="SAPBEXformats 4 3 3" xfId="28102" xr:uid="{00000000-0005-0000-0000-0000DF6A0000}"/>
    <cellStyle name="SAPBEXformats 4 3 3 2" xfId="32660" xr:uid="{6C596889-0A35-446B-B06C-7AD63BB08C62}"/>
    <cellStyle name="SAPBEXformats 4 3 4" xfId="26699" xr:uid="{00000000-0005-0000-0000-0000E06A0000}"/>
    <cellStyle name="SAPBEXformats 4 3 4 2" xfId="31461" xr:uid="{C84A56BF-5738-4D92-8DC6-A6289D6CC1C5}"/>
    <cellStyle name="SAPBEXformats 4 3 5" xfId="29654" xr:uid="{00000000-0005-0000-0000-0000E16A0000}"/>
    <cellStyle name="SAPBEXformats 4 3 6" xfId="30695" xr:uid="{BB3A1379-A04B-4717-B708-E5621F5C76EF}"/>
    <cellStyle name="SAPBEXformats 4 4" xfId="27388" xr:uid="{00000000-0005-0000-0000-0000E26A0000}"/>
    <cellStyle name="SAPBEXformats 4 4 2" xfId="31986" xr:uid="{8A8F8762-F47E-40B2-9EFD-F1CE7D48C2D4}"/>
    <cellStyle name="SAPBEXformats 4 5" xfId="28100" xr:uid="{00000000-0005-0000-0000-0000E36A0000}"/>
    <cellStyle name="SAPBEXformats 4 5 2" xfId="32658" xr:uid="{C3945E2D-B22C-4F0A-9C2F-E4D111202428}"/>
    <cellStyle name="SAPBEXformats 4 6" xfId="26778" xr:uid="{00000000-0005-0000-0000-0000E46A0000}"/>
    <cellStyle name="SAPBEXformats 4 6 2" xfId="31539" xr:uid="{45964939-CE95-43D5-A2DF-A04176C5BF09}"/>
    <cellStyle name="SAPBEXformats 4 7" xfId="29652" xr:uid="{00000000-0005-0000-0000-0000E56A0000}"/>
    <cellStyle name="SAPBEXformats 4 8" xfId="30403" xr:uid="{8BEB6974-6890-4108-ACB3-B23AC1CD07F7}"/>
    <cellStyle name="SAPBEXformats 5" xfId="25833" xr:uid="{00000000-0005-0000-0000-0000E66A0000}"/>
    <cellStyle name="SAPBEXformats 5 2" xfId="30752" xr:uid="{76D3A9B9-4571-4CC8-B939-11DE8342D48F}"/>
    <cellStyle name="SAPBEXformats 6" xfId="28094" xr:uid="{00000000-0005-0000-0000-0000E76A0000}"/>
    <cellStyle name="SAPBEXformats 6 2" xfId="32652" xr:uid="{29AA3335-CBC6-444E-90CE-A94CC5BEEE73}"/>
    <cellStyle name="SAPBEXformats 7" xfId="26969" xr:uid="{00000000-0005-0000-0000-0000E86A0000}"/>
    <cellStyle name="SAPBEXformats 7 2" xfId="31730" xr:uid="{A763D440-1575-44AC-92AC-9680ED033164}"/>
    <cellStyle name="SAPBEXformats 8" xfId="29646" xr:uid="{00000000-0005-0000-0000-0000E96A0000}"/>
    <cellStyle name="SAPBEXheaderItem" xfId="95" xr:uid="{00000000-0005-0000-0000-0000EA6A0000}"/>
    <cellStyle name="SAPBEXheaderItem 2" xfId="96" xr:uid="{00000000-0005-0000-0000-0000EB6A0000}"/>
    <cellStyle name="SAPBEXheaderItem 2 2" xfId="24249" xr:uid="{00000000-0005-0000-0000-0000EC6A0000}"/>
    <cellStyle name="SAPBEXheaderItem 3" xfId="97" xr:uid="{00000000-0005-0000-0000-0000ED6A0000}"/>
    <cellStyle name="SAPBEXheaderItem 3 2" xfId="98" xr:uid="{00000000-0005-0000-0000-0000EE6A0000}"/>
    <cellStyle name="SAPBEXheaderItem 3 3" xfId="24250" xr:uid="{00000000-0005-0000-0000-0000EF6A0000}"/>
    <cellStyle name="SAPBEXheaderItem 4" xfId="239" xr:uid="{00000000-0005-0000-0000-0000F06A0000}"/>
    <cellStyle name="SAPBEXheaderItem 5" xfId="240" xr:uid="{00000000-0005-0000-0000-0000F16A0000}"/>
    <cellStyle name="SAPBEXheaderItem 6" xfId="241" xr:uid="{00000000-0005-0000-0000-0000F26A0000}"/>
    <cellStyle name="SAPBEXheaderItem 7" xfId="242" xr:uid="{00000000-0005-0000-0000-0000F36A0000}"/>
    <cellStyle name="SAPBEXheaderItem 8" xfId="243" xr:uid="{00000000-0005-0000-0000-0000F46A0000}"/>
    <cellStyle name="SAPBEXheaderItem 9" xfId="413" xr:uid="{00000000-0005-0000-0000-0000F56A0000}"/>
    <cellStyle name="SAPBEXheaderItem_Copy of xSAPtemp5457" xfId="244" xr:uid="{00000000-0005-0000-0000-0000F66A0000}"/>
    <cellStyle name="SAPBEXheaderText" xfId="99" xr:uid="{00000000-0005-0000-0000-0000F76A0000}"/>
    <cellStyle name="SAPBEXheaderText 2" xfId="100" xr:uid="{00000000-0005-0000-0000-0000F86A0000}"/>
    <cellStyle name="SAPBEXheaderText 2 2" xfId="24251" xr:uid="{00000000-0005-0000-0000-0000F96A0000}"/>
    <cellStyle name="SAPBEXheaderText 3" xfId="101" xr:uid="{00000000-0005-0000-0000-0000FA6A0000}"/>
    <cellStyle name="SAPBEXheaderText 3 2" xfId="24252" xr:uid="{00000000-0005-0000-0000-0000FB6A0000}"/>
    <cellStyle name="SAPBEXheaderText 4" xfId="102" xr:uid="{00000000-0005-0000-0000-0000FC6A0000}"/>
    <cellStyle name="SAPBEXheaderText 5" xfId="245" xr:uid="{00000000-0005-0000-0000-0000FD6A0000}"/>
    <cellStyle name="SAPBEXheaderText 6" xfId="246" xr:uid="{00000000-0005-0000-0000-0000FE6A0000}"/>
    <cellStyle name="SAPBEXheaderText 7" xfId="247" xr:uid="{00000000-0005-0000-0000-0000FF6A0000}"/>
    <cellStyle name="SAPBEXheaderText 8" xfId="248" xr:uid="{00000000-0005-0000-0000-0000006B0000}"/>
    <cellStyle name="SAPBEXheaderText 9" xfId="414" xr:uid="{00000000-0005-0000-0000-0000016B0000}"/>
    <cellStyle name="SAPBEXheaderText_Copy of xSAPtemp5457" xfId="249" xr:uid="{00000000-0005-0000-0000-0000026B0000}"/>
    <cellStyle name="SAPBEXHLevel0" xfId="103" xr:uid="{00000000-0005-0000-0000-0000036B0000}"/>
    <cellStyle name="SAPBEXHLevel0 10" xfId="28103" xr:uid="{00000000-0005-0000-0000-0000046B0000}"/>
    <cellStyle name="SAPBEXHLevel0 10 2" xfId="32661" xr:uid="{1007D9F4-C483-4CB3-9678-CB0C7E24DE75}"/>
    <cellStyle name="SAPBEXHLevel0 11" xfId="26997" xr:uid="{00000000-0005-0000-0000-0000056B0000}"/>
    <cellStyle name="SAPBEXHLevel0 11 2" xfId="31758" xr:uid="{42874892-21AF-4921-A9C2-76034A26F922}"/>
    <cellStyle name="SAPBEXHLevel0 12" xfId="29655" xr:uid="{00000000-0005-0000-0000-0000066B0000}"/>
    <cellStyle name="SAPBEXHLevel0 2" xfId="104" xr:uid="{00000000-0005-0000-0000-0000076B0000}"/>
    <cellStyle name="SAPBEXHLevel0 2 2" xfId="13638" xr:uid="{00000000-0005-0000-0000-0000086B0000}"/>
    <cellStyle name="SAPBEXHLevel0 2 2 2" xfId="25476" xr:uid="{00000000-0005-0000-0000-0000096B0000}"/>
    <cellStyle name="SAPBEXHLevel0 2 2 2 2" xfId="27629" xr:uid="{00000000-0005-0000-0000-00000A6B0000}"/>
    <cellStyle name="SAPBEXHLevel0 2 2 2 2 2" xfId="32216" xr:uid="{7B298B73-A2C7-4972-BC63-D9B946A6E718}"/>
    <cellStyle name="SAPBEXHLevel0 2 2 2 3" xfId="28106" xr:uid="{00000000-0005-0000-0000-00000B6B0000}"/>
    <cellStyle name="SAPBEXHLevel0 2 2 2 3 2" xfId="32664" xr:uid="{E7F317E7-BCAD-47C6-B104-293C7D1AA01A}"/>
    <cellStyle name="SAPBEXHLevel0 2 2 2 4" xfId="26840" xr:uid="{00000000-0005-0000-0000-00000C6B0000}"/>
    <cellStyle name="SAPBEXHLevel0 2 2 2 4 2" xfId="31601" xr:uid="{3F3FE9FF-344C-41C9-887A-3164767D7DB7}"/>
    <cellStyle name="SAPBEXHLevel0 2 2 2 5" xfId="29658" xr:uid="{00000000-0005-0000-0000-00000D6B0000}"/>
    <cellStyle name="SAPBEXHLevel0 2 2 3" xfId="26580" xr:uid="{00000000-0005-0000-0000-00000E6B0000}"/>
    <cellStyle name="SAPBEXHLevel0 2 2 3 2" xfId="31358" xr:uid="{02E16D72-8899-4A71-AB65-2FF6BCF6D0D3}"/>
    <cellStyle name="SAPBEXHLevel0 2 2 4" xfId="28105" xr:uid="{00000000-0005-0000-0000-00000F6B0000}"/>
    <cellStyle name="SAPBEXHLevel0 2 2 4 2" xfId="32663" xr:uid="{84ACD932-5D46-4B99-B19C-3101C518DA30}"/>
    <cellStyle name="SAPBEXHLevel0 2 2 5" xfId="26371" xr:uid="{00000000-0005-0000-0000-0000106B0000}"/>
    <cellStyle name="SAPBEXHLevel0 2 2 5 2" xfId="31159" xr:uid="{9B100636-DCF6-4B61-8304-64FFB6A85262}"/>
    <cellStyle name="SAPBEXHLevel0 2 2 6" xfId="29657" xr:uid="{00000000-0005-0000-0000-0000116B0000}"/>
    <cellStyle name="SAPBEXHLevel0 2 2 7" xfId="30178" xr:uid="{21DC3046-D69E-4717-8D23-7A4404E4AB8B}"/>
    <cellStyle name="SAPBEXHLevel0 2 3" xfId="24253" xr:uid="{00000000-0005-0000-0000-0000126B0000}"/>
    <cellStyle name="SAPBEXHLevel0 2 3 2" xfId="25575" xr:uid="{00000000-0005-0000-0000-0000136B0000}"/>
    <cellStyle name="SAPBEXHLevel0 2 3 2 2" xfId="27728" xr:uid="{00000000-0005-0000-0000-0000146B0000}"/>
    <cellStyle name="SAPBEXHLevel0 2 3 2 2 2" xfId="32315" xr:uid="{5DBB23BE-9359-4EAA-8819-A0619DC5C6E1}"/>
    <cellStyle name="SAPBEXHLevel0 2 3 2 3" xfId="28108" xr:uid="{00000000-0005-0000-0000-0000156B0000}"/>
    <cellStyle name="SAPBEXHLevel0 2 3 2 3 2" xfId="32666" xr:uid="{345DAA13-C4F1-4369-9286-C5B2067437F6}"/>
    <cellStyle name="SAPBEXHLevel0 2 3 2 4" xfId="27010" xr:uid="{00000000-0005-0000-0000-0000166B0000}"/>
    <cellStyle name="SAPBEXHLevel0 2 3 2 4 2" xfId="31770" xr:uid="{86F98E1B-09DB-4E31-8D4C-DD8CA4BCFA29}"/>
    <cellStyle name="SAPBEXHLevel0 2 3 2 5" xfId="29660" xr:uid="{00000000-0005-0000-0000-0000176B0000}"/>
    <cellStyle name="SAPBEXHLevel0 2 3 3" xfId="27108" xr:uid="{00000000-0005-0000-0000-0000186B0000}"/>
    <cellStyle name="SAPBEXHLevel0 2 3 3 2" xfId="31826" xr:uid="{D779E60C-4A8F-4FC4-8A8F-131CF168D935}"/>
    <cellStyle name="SAPBEXHLevel0 2 3 4" xfId="28107" xr:uid="{00000000-0005-0000-0000-0000196B0000}"/>
    <cellStyle name="SAPBEXHLevel0 2 3 4 2" xfId="32665" xr:uid="{5D47A21C-D9B1-4D5E-BD7F-1C785E1F7012}"/>
    <cellStyle name="SAPBEXHLevel0 2 3 5" xfId="26929" xr:uid="{00000000-0005-0000-0000-00001A6B0000}"/>
    <cellStyle name="SAPBEXHLevel0 2 3 5 2" xfId="31690" xr:uid="{638F08CB-81F2-4D61-A114-BB295EF7714E}"/>
    <cellStyle name="SAPBEXHLevel0 2 3 6" xfId="29659" xr:uid="{00000000-0005-0000-0000-00001B6B0000}"/>
    <cellStyle name="SAPBEXHLevel0 2 3 7" xfId="30277" xr:uid="{06A6A1AD-8EF2-4F18-81C3-D40EA51BB9C0}"/>
    <cellStyle name="SAPBEXHLevel0 2 4" xfId="24668" xr:uid="{00000000-0005-0000-0000-00001C6B0000}"/>
    <cellStyle name="SAPBEXHLevel0 2 4 2" xfId="25357" xr:uid="{00000000-0005-0000-0000-00001D6B0000}"/>
    <cellStyle name="SAPBEXHLevel0 2 4 2 2" xfId="27511" xr:uid="{00000000-0005-0000-0000-00001E6B0000}"/>
    <cellStyle name="SAPBEXHLevel0 2 4 2 2 2" xfId="32102" xr:uid="{B9E554D5-3C00-4528-833B-90B9C97A6922}"/>
    <cellStyle name="SAPBEXHLevel0 2 4 2 3" xfId="28110" xr:uid="{00000000-0005-0000-0000-00001F6B0000}"/>
    <cellStyle name="SAPBEXHLevel0 2 4 2 3 2" xfId="32668" xr:uid="{F6BEE18A-83E5-48FE-BC26-1D4ECE9E122A}"/>
    <cellStyle name="SAPBEXHLevel0 2 4 2 4" xfId="26532" xr:uid="{00000000-0005-0000-0000-0000206B0000}"/>
    <cellStyle name="SAPBEXHLevel0 2 4 2 4 2" xfId="31319" xr:uid="{566CA492-9584-49DA-A226-C350F3AE1D5F}"/>
    <cellStyle name="SAPBEXHLevel0 2 4 2 5" xfId="29662" xr:uid="{00000000-0005-0000-0000-0000216B0000}"/>
    <cellStyle name="SAPBEXHLevel0 2 4 2 6" xfId="30515" xr:uid="{F572173F-BFEB-4274-B1BB-AFD32D4910DE}"/>
    <cellStyle name="SAPBEXHLevel0 2 4 3" xfId="25634" xr:uid="{00000000-0005-0000-0000-0000226B0000}"/>
    <cellStyle name="SAPBEXHLevel0 2 4 3 2" xfId="27787" xr:uid="{00000000-0005-0000-0000-0000236B0000}"/>
    <cellStyle name="SAPBEXHLevel0 2 4 3 2 2" xfId="32374" xr:uid="{BB80C584-F3F2-45C6-864C-49C53581BB44}"/>
    <cellStyle name="SAPBEXHLevel0 2 4 3 3" xfId="28111" xr:uid="{00000000-0005-0000-0000-0000246B0000}"/>
    <cellStyle name="SAPBEXHLevel0 2 4 3 3 2" xfId="32669" xr:uid="{83A420D9-A83C-4FD3-B58D-71620EFDE24C}"/>
    <cellStyle name="SAPBEXHLevel0 2 4 3 4" xfId="27001" xr:uid="{00000000-0005-0000-0000-0000256B0000}"/>
    <cellStyle name="SAPBEXHLevel0 2 4 3 4 2" xfId="31761" xr:uid="{FBFB06F9-0841-4C0C-BDA6-AE8C08186C8D}"/>
    <cellStyle name="SAPBEXHLevel0 2 4 3 5" xfId="29663" xr:uid="{00000000-0005-0000-0000-0000266B0000}"/>
    <cellStyle name="SAPBEXHLevel0 2 4 4" xfId="27261" xr:uid="{00000000-0005-0000-0000-0000276B0000}"/>
    <cellStyle name="SAPBEXHLevel0 2 4 4 2" xfId="31896" xr:uid="{33BB7FBC-5347-4BDA-BA57-A1CFCD3A8D28}"/>
    <cellStyle name="SAPBEXHLevel0 2 4 5" xfId="28109" xr:uid="{00000000-0005-0000-0000-0000286B0000}"/>
    <cellStyle name="SAPBEXHLevel0 2 4 5 2" xfId="32667" xr:uid="{BD92D1DD-FCC5-4429-BBE2-DB2FC2D92999}"/>
    <cellStyle name="SAPBEXHLevel0 2 4 6" xfId="26144" xr:uid="{00000000-0005-0000-0000-0000296B0000}"/>
    <cellStyle name="SAPBEXHLevel0 2 4 6 2" xfId="30934" xr:uid="{A2BA4C79-6BE7-4747-9B57-AB6F8D1E320C}"/>
    <cellStyle name="SAPBEXHLevel0 2 4 7" xfId="29661" xr:uid="{00000000-0005-0000-0000-00002A6B0000}"/>
    <cellStyle name="SAPBEXHLevel0 2 4 8" xfId="30336" xr:uid="{A5ECF39D-215E-47AA-89A5-7CA40D11AEC4}"/>
    <cellStyle name="SAPBEXHLevel0 2 5" xfId="25105" xr:uid="{00000000-0005-0000-0000-00002B6B0000}"/>
    <cellStyle name="SAPBEXHLevel0 2 5 2" xfId="25328" xr:uid="{00000000-0005-0000-0000-00002C6B0000}"/>
    <cellStyle name="SAPBEXHLevel0 2 5 2 2" xfId="27482" xr:uid="{00000000-0005-0000-0000-00002D6B0000}"/>
    <cellStyle name="SAPBEXHLevel0 2 5 2 2 2" xfId="32073" xr:uid="{1C827190-C06C-4044-BAF3-0F096D5852AB}"/>
    <cellStyle name="SAPBEXHLevel0 2 5 2 3" xfId="28113" xr:uid="{00000000-0005-0000-0000-00002E6B0000}"/>
    <cellStyle name="SAPBEXHLevel0 2 5 2 3 2" xfId="32671" xr:uid="{3E6251D2-76CD-46D8-96A3-5FD886CA0766}"/>
    <cellStyle name="SAPBEXHLevel0 2 5 2 4" xfId="26078" xr:uid="{00000000-0005-0000-0000-00002F6B0000}"/>
    <cellStyle name="SAPBEXHLevel0 2 5 2 4 2" xfId="30868" xr:uid="{CAFD4758-676E-43F2-A1B3-33C5E85CCBB9}"/>
    <cellStyle name="SAPBEXHLevel0 2 5 2 5" xfId="29665" xr:uid="{00000000-0005-0000-0000-0000306B0000}"/>
    <cellStyle name="SAPBEXHLevel0 2 5 2 6" xfId="30486" xr:uid="{79F67CD6-FD80-47E4-BDF5-B543871CC22A}"/>
    <cellStyle name="SAPBEXHLevel0 2 5 3" xfId="25703" xr:uid="{00000000-0005-0000-0000-0000316B0000}"/>
    <cellStyle name="SAPBEXHLevel0 2 5 3 2" xfId="27856" xr:uid="{00000000-0005-0000-0000-0000326B0000}"/>
    <cellStyle name="SAPBEXHLevel0 2 5 3 2 2" xfId="32443" xr:uid="{4C629BCE-B01E-4D89-97C2-20B3105583E0}"/>
    <cellStyle name="SAPBEXHLevel0 2 5 3 3" xfId="28114" xr:uid="{00000000-0005-0000-0000-0000336B0000}"/>
    <cellStyle name="SAPBEXHLevel0 2 5 3 3 2" xfId="32672" xr:uid="{0031AEA8-1D1E-4EC5-9B26-993A374E0880}"/>
    <cellStyle name="SAPBEXHLevel0 2 5 3 4" xfId="26980" xr:uid="{00000000-0005-0000-0000-0000346B0000}"/>
    <cellStyle name="SAPBEXHLevel0 2 5 3 4 2" xfId="31741" xr:uid="{DC4F3916-7B16-4725-B86F-EF6A81E74913}"/>
    <cellStyle name="SAPBEXHLevel0 2 5 3 5" xfId="29666" xr:uid="{00000000-0005-0000-0000-0000356B0000}"/>
    <cellStyle name="SAPBEXHLevel0 2 5 3 6" xfId="30697" xr:uid="{1680A952-2676-4583-96CB-493DE9B3435D}"/>
    <cellStyle name="SAPBEXHLevel0 2 5 4" xfId="27390" xr:uid="{00000000-0005-0000-0000-0000366B0000}"/>
    <cellStyle name="SAPBEXHLevel0 2 5 4 2" xfId="31988" xr:uid="{CDE7C17A-A04C-465E-B7BA-E51B906DA432}"/>
    <cellStyle name="SAPBEXHLevel0 2 5 5" xfId="28112" xr:uid="{00000000-0005-0000-0000-0000376B0000}"/>
    <cellStyle name="SAPBEXHLevel0 2 5 5 2" xfId="32670" xr:uid="{AD5B0E88-0C29-4CDD-BA0C-517DE75DB933}"/>
    <cellStyle name="SAPBEXHLevel0 2 5 6" xfId="26226" xr:uid="{00000000-0005-0000-0000-0000386B0000}"/>
    <cellStyle name="SAPBEXHLevel0 2 5 6 2" xfId="31014" xr:uid="{27E4CD17-B8A4-4CFE-989A-0AC71FD574EF}"/>
    <cellStyle name="SAPBEXHLevel0 2 5 7" xfId="29664" xr:uid="{00000000-0005-0000-0000-0000396B0000}"/>
    <cellStyle name="SAPBEXHLevel0 2 5 8" xfId="30405" xr:uid="{43A192A3-3703-44CB-BFA1-B0D9A2CD1193}"/>
    <cellStyle name="SAPBEXHLevel0 2 6" xfId="25835" xr:uid="{00000000-0005-0000-0000-00003A6B0000}"/>
    <cellStyle name="SAPBEXHLevel0 2 6 2" xfId="30754" xr:uid="{C0966D3F-A15A-4841-8F1B-C331F5FC3E49}"/>
    <cellStyle name="SAPBEXHLevel0 2 7" xfId="28104" xr:uid="{00000000-0005-0000-0000-00003B6B0000}"/>
    <cellStyle name="SAPBEXHLevel0 2 7 2" xfId="32662" xr:uid="{5CD015DB-9D79-4C4E-827B-6D03AE262D64}"/>
    <cellStyle name="SAPBEXHLevel0 2 8" xfId="26490" xr:uid="{00000000-0005-0000-0000-00003C6B0000}"/>
    <cellStyle name="SAPBEXHLevel0 2 8 2" xfId="31278" xr:uid="{8D9A7171-B877-4C8B-9662-1E2732232090}"/>
    <cellStyle name="SAPBEXHLevel0 2 9" xfId="29656" xr:uid="{00000000-0005-0000-0000-00003D6B0000}"/>
    <cellStyle name="SAPBEXHLevel0 3" xfId="105" xr:uid="{00000000-0005-0000-0000-00003E6B0000}"/>
    <cellStyle name="SAPBEXHLevel0 3 2" xfId="13639" xr:uid="{00000000-0005-0000-0000-00003F6B0000}"/>
    <cellStyle name="SAPBEXHLevel0 3 2 2" xfId="25477" xr:uid="{00000000-0005-0000-0000-0000406B0000}"/>
    <cellStyle name="SAPBEXHLevel0 3 2 2 2" xfId="27630" xr:uid="{00000000-0005-0000-0000-0000416B0000}"/>
    <cellStyle name="SAPBEXHLevel0 3 2 2 2 2" xfId="32217" xr:uid="{BFD1346D-0532-4B33-B2CB-EF7207C2EA8C}"/>
    <cellStyle name="SAPBEXHLevel0 3 2 2 3" xfId="28117" xr:uid="{00000000-0005-0000-0000-0000426B0000}"/>
    <cellStyle name="SAPBEXHLevel0 3 2 2 3 2" xfId="32675" xr:uid="{100C9099-C4FA-4A43-9BBF-06483191EA60}"/>
    <cellStyle name="SAPBEXHLevel0 3 2 2 4" xfId="26201" xr:uid="{00000000-0005-0000-0000-0000436B0000}"/>
    <cellStyle name="SAPBEXHLevel0 3 2 2 4 2" xfId="30989" xr:uid="{F886C104-FEB0-4396-B6D3-4A9288723D41}"/>
    <cellStyle name="SAPBEXHLevel0 3 2 2 5" xfId="29669" xr:uid="{00000000-0005-0000-0000-0000446B0000}"/>
    <cellStyle name="SAPBEXHLevel0 3 2 3" xfId="26581" xr:uid="{00000000-0005-0000-0000-0000456B0000}"/>
    <cellStyle name="SAPBEXHLevel0 3 2 3 2" xfId="31359" xr:uid="{806AE72E-E6BF-4AE1-BACC-25557BD03B3A}"/>
    <cellStyle name="SAPBEXHLevel0 3 2 4" xfId="28116" xr:uid="{00000000-0005-0000-0000-0000466B0000}"/>
    <cellStyle name="SAPBEXHLevel0 3 2 4 2" xfId="32674" xr:uid="{98F4DF41-9961-4216-B393-3A9F5B153380}"/>
    <cellStyle name="SAPBEXHLevel0 3 2 5" xfId="26085" xr:uid="{00000000-0005-0000-0000-0000476B0000}"/>
    <cellStyle name="SAPBEXHLevel0 3 2 5 2" xfId="30875" xr:uid="{11CBB1D0-2FA2-4DB6-B91E-F59B0AA19F88}"/>
    <cellStyle name="SAPBEXHLevel0 3 2 6" xfId="29668" xr:uid="{00000000-0005-0000-0000-0000486B0000}"/>
    <cellStyle name="SAPBEXHLevel0 3 2 7" xfId="30179" xr:uid="{59B81943-37CB-41A6-BB33-212DA07C1674}"/>
    <cellStyle name="SAPBEXHLevel0 3 3" xfId="24254" xr:uid="{00000000-0005-0000-0000-0000496B0000}"/>
    <cellStyle name="SAPBEXHLevel0 3 3 2" xfId="25576" xr:uid="{00000000-0005-0000-0000-00004A6B0000}"/>
    <cellStyle name="SAPBEXHLevel0 3 3 2 2" xfId="27729" xr:uid="{00000000-0005-0000-0000-00004B6B0000}"/>
    <cellStyle name="SAPBEXHLevel0 3 3 2 2 2" xfId="32316" xr:uid="{FD26BE80-B426-483B-8760-386C120CA39E}"/>
    <cellStyle name="SAPBEXHLevel0 3 3 2 3" xfId="28119" xr:uid="{00000000-0005-0000-0000-00004C6B0000}"/>
    <cellStyle name="SAPBEXHLevel0 3 3 2 3 2" xfId="32677" xr:uid="{6982FBCE-856E-406F-852D-2B487D78F7B9}"/>
    <cellStyle name="SAPBEXHLevel0 3 3 2 4" xfId="26441" xr:uid="{00000000-0005-0000-0000-00004D6B0000}"/>
    <cellStyle name="SAPBEXHLevel0 3 3 2 4 2" xfId="31229" xr:uid="{C5400D96-6C98-4650-A767-341CC507F3D8}"/>
    <cellStyle name="SAPBEXHLevel0 3 3 2 5" xfId="29671" xr:uid="{00000000-0005-0000-0000-00004E6B0000}"/>
    <cellStyle name="SAPBEXHLevel0 3 3 3" xfId="27109" xr:uid="{00000000-0005-0000-0000-00004F6B0000}"/>
    <cellStyle name="SAPBEXHLevel0 3 3 3 2" xfId="31827" xr:uid="{2FDB118B-CEA1-4E77-B029-341C3434B2B8}"/>
    <cellStyle name="SAPBEXHLevel0 3 3 4" xfId="28118" xr:uid="{00000000-0005-0000-0000-0000506B0000}"/>
    <cellStyle name="SAPBEXHLevel0 3 3 4 2" xfId="32676" xr:uid="{46BB1172-EB83-4E38-9E49-B9E2C6898E3A}"/>
    <cellStyle name="SAPBEXHLevel0 3 3 5" xfId="26529" xr:uid="{00000000-0005-0000-0000-0000516B0000}"/>
    <cellStyle name="SAPBEXHLevel0 3 3 5 2" xfId="31316" xr:uid="{4AEEC1B6-418C-4152-9400-4D83848F4298}"/>
    <cellStyle name="SAPBEXHLevel0 3 3 6" xfId="29670" xr:uid="{00000000-0005-0000-0000-0000526B0000}"/>
    <cellStyle name="SAPBEXHLevel0 3 3 7" xfId="30278" xr:uid="{9EBCC5A9-58E7-4514-8B14-8993E912190B}"/>
    <cellStyle name="SAPBEXHLevel0 3 4" xfId="24667" xr:uid="{00000000-0005-0000-0000-0000536B0000}"/>
    <cellStyle name="SAPBEXHLevel0 3 4 2" xfId="25441" xr:uid="{00000000-0005-0000-0000-0000546B0000}"/>
    <cellStyle name="SAPBEXHLevel0 3 4 2 2" xfId="27595" xr:uid="{00000000-0005-0000-0000-0000556B0000}"/>
    <cellStyle name="SAPBEXHLevel0 3 4 2 2 2" xfId="32186" xr:uid="{D2D852CA-D376-43F0-9C8C-99CDEBBD4B7B}"/>
    <cellStyle name="SAPBEXHLevel0 3 4 2 3" xfId="28121" xr:uid="{00000000-0005-0000-0000-0000566B0000}"/>
    <cellStyle name="SAPBEXHLevel0 3 4 2 3 2" xfId="32679" xr:uid="{88C41C01-949B-4E5F-A7DA-8E0D8DC9C2E3}"/>
    <cellStyle name="SAPBEXHLevel0 3 4 2 4" xfId="26845" xr:uid="{00000000-0005-0000-0000-0000576B0000}"/>
    <cellStyle name="SAPBEXHLevel0 3 4 2 4 2" xfId="31606" xr:uid="{45E4FCD2-8EA1-40E8-81BA-70921E007469}"/>
    <cellStyle name="SAPBEXHLevel0 3 4 2 5" xfId="29673" xr:uid="{00000000-0005-0000-0000-0000586B0000}"/>
    <cellStyle name="SAPBEXHLevel0 3 4 2 6" xfId="30599" xr:uid="{A57BFBDA-B5E7-4CC9-8B25-DDDA0B1F160E}"/>
    <cellStyle name="SAPBEXHLevel0 3 4 3" xfId="25633" xr:uid="{00000000-0005-0000-0000-0000596B0000}"/>
    <cellStyle name="SAPBEXHLevel0 3 4 3 2" xfId="27786" xr:uid="{00000000-0005-0000-0000-00005A6B0000}"/>
    <cellStyle name="SAPBEXHLevel0 3 4 3 2 2" xfId="32373" xr:uid="{1194E220-EB7E-4FE0-A56B-7FE85471F55D}"/>
    <cellStyle name="SAPBEXHLevel0 3 4 3 3" xfId="28122" xr:uid="{00000000-0005-0000-0000-00005B6B0000}"/>
    <cellStyle name="SAPBEXHLevel0 3 4 3 3 2" xfId="32680" xr:uid="{F5D76EF6-FAB0-476A-8BAB-3B7CADC2EAA5}"/>
    <cellStyle name="SAPBEXHLevel0 3 4 3 4" xfId="26402" xr:uid="{00000000-0005-0000-0000-00005C6B0000}"/>
    <cellStyle name="SAPBEXHLevel0 3 4 3 4 2" xfId="31190" xr:uid="{9459480F-01BB-484D-9706-FF15ED897B84}"/>
    <cellStyle name="SAPBEXHLevel0 3 4 3 5" xfId="29674" xr:uid="{00000000-0005-0000-0000-00005D6B0000}"/>
    <cellStyle name="SAPBEXHLevel0 3 4 4" xfId="27260" xr:uid="{00000000-0005-0000-0000-00005E6B0000}"/>
    <cellStyle name="SAPBEXHLevel0 3 4 4 2" xfId="31895" xr:uid="{CCBDFCD5-5B3B-47AD-A653-96EF926216CD}"/>
    <cellStyle name="SAPBEXHLevel0 3 4 5" xfId="28120" xr:uid="{00000000-0005-0000-0000-00005F6B0000}"/>
    <cellStyle name="SAPBEXHLevel0 3 4 5 2" xfId="32678" xr:uid="{265D5D4F-FCCE-494B-955D-916F83D7C6DF}"/>
    <cellStyle name="SAPBEXHLevel0 3 4 6" xfId="26733" xr:uid="{00000000-0005-0000-0000-0000606B0000}"/>
    <cellStyle name="SAPBEXHLevel0 3 4 6 2" xfId="31494" xr:uid="{C83020AE-F591-458B-86AB-37F6C80DD24C}"/>
    <cellStyle name="SAPBEXHLevel0 3 4 7" xfId="29672" xr:uid="{00000000-0005-0000-0000-0000616B0000}"/>
    <cellStyle name="SAPBEXHLevel0 3 4 8" xfId="30335" xr:uid="{D98330DF-852D-4268-9A94-31E6F00B06B7}"/>
    <cellStyle name="SAPBEXHLevel0 3 5" xfId="25106" xr:uid="{00000000-0005-0000-0000-0000626B0000}"/>
    <cellStyle name="SAPBEXHLevel0 3 5 2" xfId="25429" xr:uid="{00000000-0005-0000-0000-0000636B0000}"/>
    <cellStyle name="SAPBEXHLevel0 3 5 2 2" xfId="27583" xr:uid="{00000000-0005-0000-0000-0000646B0000}"/>
    <cellStyle name="SAPBEXHLevel0 3 5 2 2 2" xfId="32174" xr:uid="{EF93E376-A2CC-4DCA-BC6A-11EBED1714A5}"/>
    <cellStyle name="SAPBEXHLevel0 3 5 2 3" xfId="28124" xr:uid="{00000000-0005-0000-0000-0000656B0000}"/>
    <cellStyle name="SAPBEXHLevel0 3 5 2 3 2" xfId="32682" xr:uid="{3222C05A-A1B8-4AFF-8A95-B106161B6E14}"/>
    <cellStyle name="SAPBEXHLevel0 3 5 2 4" xfId="27009" xr:uid="{00000000-0005-0000-0000-0000666B0000}"/>
    <cellStyle name="SAPBEXHLevel0 3 5 2 4 2" xfId="31769" xr:uid="{BDDA8092-FD84-4CFF-93CE-F220997CA9C6}"/>
    <cellStyle name="SAPBEXHLevel0 3 5 2 5" xfId="29676" xr:uid="{00000000-0005-0000-0000-0000676B0000}"/>
    <cellStyle name="SAPBEXHLevel0 3 5 2 6" xfId="30587" xr:uid="{2334C0A9-A7A4-4E9B-B7F7-50876500DE06}"/>
    <cellStyle name="SAPBEXHLevel0 3 5 3" xfId="25704" xr:uid="{00000000-0005-0000-0000-0000686B0000}"/>
    <cellStyle name="SAPBEXHLevel0 3 5 3 2" xfId="27857" xr:uid="{00000000-0005-0000-0000-0000696B0000}"/>
    <cellStyle name="SAPBEXHLevel0 3 5 3 2 2" xfId="32444" xr:uid="{856636C0-117B-4C42-AF4F-F65DDBF0EE3C}"/>
    <cellStyle name="SAPBEXHLevel0 3 5 3 3" xfId="28125" xr:uid="{00000000-0005-0000-0000-00006A6B0000}"/>
    <cellStyle name="SAPBEXHLevel0 3 5 3 3 2" xfId="32683" xr:uid="{6F77F1A0-2447-4B5F-91A5-B13F357F65AD}"/>
    <cellStyle name="SAPBEXHLevel0 3 5 3 4" xfId="27021" xr:uid="{00000000-0005-0000-0000-00006B6B0000}"/>
    <cellStyle name="SAPBEXHLevel0 3 5 3 4 2" xfId="31781" xr:uid="{FD7F4A19-E230-4C1E-A0C2-64AE13A2608E}"/>
    <cellStyle name="SAPBEXHLevel0 3 5 3 5" xfId="29677" xr:uid="{00000000-0005-0000-0000-00006C6B0000}"/>
    <cellStyle name="SAPBEXHLevel0 3 5 3 6" xfId="30698" xr:uid="{F68EA673-18D3-4F0E-B671-BB6381AF3105}"/>
    <cellStyle name="SAPBEXHLevel0 3 5 4" xfId="27391" xr:uid="{00000000-0005-0000-0000-00006D6B0000}"/>
    <cellStyle name="SAPBEXHLevel0 3 5 4 2" xfId="31989" xr:uid="{25EADB60-2EF8-4D05-9FEA-0C9CD5760597}"/>
    <cellStyle name="SAPBEXHLevel0 3 5 5" xfId="28123" xr:uid="{00000000-0005-0000-0000-00006E6B0000}"/>
    <cellStyle name="SAPBEXHLevel0 3 5 5 2" xfId="32681" xr:uid="{C8EEDC7A-7A91-4415-9A9F-323E4A4DBAAD}"/>
    <cellStyle name="SAPBEXHLevel0 3 5 6" xfId="27005" xr:uid="{00000000-0005-0000-0000-00006F6B0000}"/>
    <cellStyle name="SAPBEXHLevel0 3 5 6 2" xfId="31765" xr:uid="{AB0915AC-D788-4C6B-B0CB-BF3764595F19}"/>
    <cellStyle name="SAPBEXHLevel0 3 5 7" xfId="29675" xr:uid="{00000000-0005-0000-0000-0000706B0000}"/>
    <cellStyle name="SAPBEXHLevel0 3 5 8" xfId="30406" xr:uid="{772847D6-7B6E-4F73-BBFE-2B270A93EA85}"/>
    <cellStyle name="SAPBEXHLevel0 3 6" xfId="25836" xr:uid="{00000000-0005-0000-0000-0000716B0000}"/>
    <cellStyle name="SAPBEXHLevel0 3 6 2" xfId="30755" xr:uid="{A086A5D5-5EF2-4082-9F74-52EB8C936D5A}"/>
    <cellStyle name="SAPBEXHLevel0 3 7" xfId="28115" xr:uid="{00000000-0005-0000-0000-0000726B0000}"/>
    <cellStyle name="SAPBEXHLevel0 3 7 2" xfId="32673" xr:uid="{96007978-E9F8-45C0-9FE4-F737B277DB8F}"/>
    <cellStyle name="SAPBEXHLevel0 3 8" xfId="26204" xr:uid="{00000000-0005-0000-0000-0000736B0000}"/>
    <cellStyle name="SAPBEXHLevel0 3 8 2" xfId="30992" xr:uid="{0F20A8D3-79FC-493F-BD0D-577744703242}"/>
    <cellStyle name="SAPBEXHLevel0 3 9" xfId="29667" xr:uid="{00000000-0005-0000-0000-0000746B0000}"/>
    <cellStyle name="SAPBEXHLevel0 4" xfId="106" xr:uid="{00000000-0005-0000-0000-0000756B0000}"/>
    <cellStyle name="SAPBEXHLevel0 4 2" xfId="13640" xr:uid="{00000000-0005-0000-0000-0000766B0000}"/>
    <cellStyle name="SAPBEXHLevel0 4 2 2" xfId="25478" xr:uid="{00000000-0005-0000-0000-0000776B0000}"/>
    <cellStyle name="SAPBEXHLevel0 4 2 2 2" xfId="27631" xr:uid="{00000000-0005-0000-0000-0000786B0000}"/>
    <cellStyle name="SAPBEXHLevel0 4 2 2 2 2" xfId="32218" xr:uid="{A545E99F-BAE7-4ABB-B35F-8530752C2561}"/>
    <cellStyle name="SAPBEXHLevel0 4 2 2 3" xfId="28128" xr:uid="{00000000-0005-0000-0000-0000796B0000}"/>
    <cellStyle name="SAPBEXHLevel0 4 2 2 3 2" xfId="32686" xr:uid="{4A769846-A8CD-4BAE-813A-DB5887665576}"/>
    <cellStyle name="SAPBEXHLevel0 4 2 2 4" xfId="26705" xr:uid="{00000000-0005-0000-0000-00007A6B0000}"/>
    <cellStyle name="SAPBEXHLevel0 4 2 2 4 2" xfId="31467" xr:uid="{61777D9E-FC0A-4FC6-92B7-727970EA2B70}"/>
    <cellStyle name="SAPBEXHLevel0 4 2 2 5" xfId="29680" xr:uid="{00000000-0005-0000-0000-00007B6B0000}"/>
    <cellStyle name="SAPBEXHLevel0 4 2 3" xfId="26582" xr:uid="{00000000-0005-0000-0000-00007C6B0000}"/>
    <cellStyle name="SAPBEXHLevel0 4 2 3 2" xfId="31360" xr:uid="{A450BEFD-EB8E-4A61-BBDF-D7382BDBD4D8}"/>
    <cellStyle name="SAPBEXHLevel0 4 2 4" xfId="28127" xr:uid="{00000000-0005-0000-0000-00007D6B0000}"/>
    <cellStyle name="SAPBEXHLevel0 4 2 4 2" xfId="32685" xr:uid="{9A0E4CDC-188E-4715-A1C9-2ACA6A956712}"/>
    <cellStyle name="SAPBEXHLevel0 4 2 5" xfId="26547" xr:uid="{00000000-0005-0000-0000-00007E6B0000}"/>
    <cellStyle name="SAPBEXHLevel0 4 2 5 2" xfId="31334" xr:uid="{E6538437-5485-44A8-841A-AFD81BC02337}"/>
    <cellStyle name="SAPBEXHLevel0 4 2 6" xfId="29679" xr:uid="{00000000-0005-0000-0000-00007F6B0000}"/>
    <cellStyle name="SAPBEXHLevel0 4 2 7" xfId="30180" xr:uid="{7492158F-705B-45DB-A441-7D6C5923FDD5}"/>
    <cellStyle name="SAPBEXHLevel0 4 3" xfId="25837" xr:uid="{00000000-0005-0000-0000-0000806B0000}"/>
    <cellStyle name="SAPBEXHLevel0 4 3 2" xfId="30756" xr:uid="{B2BB81FC-2E70-4855-939E-4B15CD37ADA7}"/>
    <cellStyle name="SAPBEXHLevel0 4 4" xfId="28126" xr:uid="{00000000-0005-0000-0000-0000816B0000}"/>
    <cellStyle name="SAPBEXHLevel0 4 4 2" xfId="32684" xr:uid="{60499724-0045-4467-8949-16ACE7F333C7}"/>
    <cellStyle name="SAPBEXHLevel0 4 5" xfId="26061" xr:uid="{00000000-0005-0000-0000-0000826B0000}"/>
    <cellStyle name="SAPBEXHLevel0 4 5 2" xfId="30851" xr:uid="{B567DEB5-896D-4B84-8CB0-1681DB686ED9}"/>
    <cellStyle name="SAPBEXHLevel0 4 6" xfId="29678" xr:uid="{00000000-0005-0000-0000-0000836B0000}"/>
    <cellStyle name="SAPBEXHLevel0 5" xfId="250" xr:uid="{00000000-0005-0000-0000-0000846B0000}"/>
    <cellStyle name="SAPBEXHLevel0 5 2" xfId="13715" xr:uid="{00000000-0005-0000-0000-0000856B0000}"/>
    <cellStyle name="SAPBEXHLevel0 5 2 2" xfId="25528" xr:uid="{00000000-0005-0000-0000-0000866B0000}"/>
    <cellStyle name="SAPBEXHLevel0 5 2 2 2" xfId="27681" xr:uid="{00000000-0005-0000-0000-0000876B0000}"/>
    <cellStyle name="SAPBEXHLevel0 5 2 2 2 2" xfId="32268" xr:uid="{EBED0559-1D72-45F8-B37F-F8D973FDA1D6}"/>
    <cellStyle name="SAPBEXHLevel0 5 2 2 3" xfId="28131" xr:uid="{00000000-0005-0000-0000-0000886B0000}"/>
    <cellStyle name="SAPBEXHLevel0 5 2 2 3 2" xfId="32689" xr:uid="{609FA4D9-F21E-4C44-8021-F18DAE79CC12}"/>
    <cellStyle name="SAPBEXHLevel0 5 2 2 4" xfId="26789" xr:uid="{00000000-0005-0000-0000-0000896B0000}"/>
    <cellStyle name="SAPBEXHLevel0 5 2 2 4 2" xfId="31550" xr:uid="{B816E61E-A432-4588-AA89-C8B6C1C2E8BC}"/>
    <cellStyle name="SAPBEXHLevel0 5 2 2 5" xfId="29683" xr:uid="{00000000-0005-0000-0000-00008A6B0000}"/>
    <cellStyle name="SAPBEXHLevel0 5 2 3" xfId="26635" xr:uid="{00000000-0005-0000-0000-00008B6B0000}"/>
    <cellStyle name="SAPBEXHLevel0 5 2 3 2" xfId="31412" xr:uid="{85204BAD-A489-4861-8478-96CEBCBAF1D2}"/>
    <cellStyle name="SAPBEXHLevel0 5 2 4" xfId="28130" xr:uid="{00000000-0005-0000-0000-00008C6B0000}"/>
    <cellStyle name="SAPBEXHLevel0 5 2 4 2" xfId="32688" xr:uid="{D52DEB0F-BA74-473B-B1DD-DAC20310594C}"/>
    <cellStyle name="SAPBEXHLevel0 5 2 5" xfId="26398" xr:uid="{00000000-0005-0000-0000-00008D6B0000}"/>
    <cellStyle name="SAPBEXHLevel0 5 2 5 2" xfId="31186" xr:uid="{2A1FF7C5-5288-48D6-8ED8-8092E73AFB70}"/>
    <cellStyle name="SAPBEXHLevel0 5 2 6" xfId="29682" xr:uid="{00000000-0005-0000-0000-00008E6B0000}"/>
    <cellStyle name="SAPBEXHLevel0 5 2 7" xfId="30230" xr:uid="{5815302A-B198-4EA4-B23C-3FC5DFEA672F}"/>
    <cellStyle name="SAPBEXHLevel0 5 3" xfId="25918" xr:uid="{00000000-0005-0000-0000-00008F6B0000}"/>
    <cellStyle name="SAPBEXHLevel0 5 3 2" xfId="30807" xr:uid="{CC2E2076-8488-4518-8EB0-0231B20790CF}"/>
    <cellStyle name="SAPBEXHLevel0 5 4" xfId="28129" xr:uid="{00000000-0005-0000-0000-0000906B0000}"/>
    <cellStyle name="SAPBEXHLevel0 5 4 2" xfId="32687" xr:uid="{2DC1CD4C-E326-4ABA-80A9-222759321115}"/>
    <cellStyle name="SAPBEXHLevel0 5 5" xfId="29190" xr:uid="{00000000-0005-0000-0000-0000916B0000}"/>
    <cellStyle name="SAPBEXHLevel0 5 5 2" xfId="33173" xr:uid="{4B796B5E-EDEC-4BF6-9251-E3AD10B44FEC}"/>
    <cellStyle name="SAPBEXHLevel0 5 6" xfId="29681" xr:uid="{00000000-0005-0000-0000-0000926B0000}"/>
    <cellStyle name="SAPBEXHLevel0 6" xfId="13637" xr:uid="{00000000-0005-0000-0000-0000936B0000}"/>
    <cellStyle name="SAPBEXHLevel0 6 2" xfId="25475" xr:uid="{00000000-0005-0000-0000-0000946B0000}"/>
    <cellStyle name="SAPBEXHLevel0 6 2 2" xfId="27628" xr:uid="{00000000-0005-0000-0000-0000956B0000}"/>
    <cellStyle name="SAPBEXHLevel0 6 2 2 2" xfId="32215" xr:uid="{E0F1872A-7BA1-4340-BB40-3F7A2F624174}"/>
    <cellStyle name="SAPBEXHLevel0 6 2 3" xfId="28133" xr:uid="{00000000-0005-0000-0000-0000966B0000}"/>
    <cellStyle name="SAPBEXHLevel0 6 2 3 2" xfId="32691" xr:uid="{561684E6-C828-4D01-830F-93A91AF29324}"/>
    <cellStyle name="SAPBEXHLevel0 6 2 4" xfId="26919" xr:uid="{00000000-0005-0000-0000-0000976B0000}"/>
    <cellStyle name="SAPBEXHLevel0 6 2 4 2" xfId="31680" xr:uid="{533D3999-5DB7-40FA-AD21-A4F95D2D8CB9}"/>
    <cellStyle name="SAPBEXHLevel0 6 2 5" xfId="29685" xr:uid="{00000000-0005-0000-0000-0000986B0000}"/>
    <cellStyle name="SAPBEXHLevel0 6 3" xfId="26579" xr:uid="{00000000-0005-0000-0000-0000996B0000}"/>
    <cellStyle name="SAPBEXHLevel0 6 3 2" xfId="31357" xr:uid="{943C731A-CDC6-4D0D-B853-69CBAEAB4906}"/>
    <cellStyle name="SAPBEXHLevel0 6 4" xfId="28132" xr:uid="{00000000-0005-0000-0000-00009A6B0000}"/>
    <cellStyle name="SAPBEXHLevel0 6 4 2" xfId="32690" xr:uid="{7931D933-31FB-409C-A83B-9E16416BE512}"/>
    <cellStyle name="SAPBEXHLevel0 6 5" xfId="27144" xr:uid="{00000000-0005-0000-0000-00009B6B0000}"/>
    <cellStyle name="SAPBEXHLevel0 6 5 2" xfId="31849" xr:uid="{6E34D456-0E34-4202-B4BF-572D593B6F45}"/>
    <cellStyle name="SAPBEXHLevel0 6 6" xfId="29684" xr:uid="{00000000-0005-0000-0000-00009C6B0000}"/>
    <cellStyle name="SAPBEXHLevel0 6 7" xfId="30177" xr:uid="{CFD994A6-6501-4B2B-99BF-E93F4A48507B}"/>
    <cellStyle name="SAPBEXHLevel0 7" xfId="24669" xr:uid="{00000000-0005-0000-0000-00009D6B0000}"/>
    <cellStyle name="SAPBEXHLevel0 7 2" xfId="25391" xr:uid="{00000000-0005-0000-0000-00009E6B0000}"/>
    <cellStyle name="SAPBEXHLevel0 7 2 2" xfId="27545" xr:uid="{00000000-0005-0000-0000-00009F6B0000}"/>
    <cellStyle name="SAPBEXHLevel0 7 2 2 2" xfId="32136" xr:uid="{0AC5CF73-0734-43F5-8D87-874A37AC53E4}"/>
    <cellStyle name="SAPBEXHLevel0 7 2 3" xfId="28135" xr:uid="{00000000-0005-0000-0000-0000A06B0000}"/>
    <cellStyle name="SAPBEXHLevel0 7 2 3 2" xfId="32693" xr:uid="{6C823A48-A695-4970-92BD-D215D67F83F3}"/>
    <cellStyle name="SAPBEXHLevel0 7 2 4" xfId="26780" xr:uid="{00000000-0005-0000-0000-0000A16B0000}"/>
    <cellStyle name="SAPBEXHLevel0 7 2 4 2" xfId="31541" xr:uid="{7B16A7E5-DE7B-4A41-855D-055E4EC11F4A}"/>
    <cellStyle name="SAPBEXHLevel0 7 2 5" xfId="29687" xr:uid="{00000000-0005-0000-0000-0000A26B0000}"/>
    <cellStyle name="SAPBEXHLevel0 7 2 6" xfId="30549" xr:uid="{93490D80-9DE1-4612-963E-3BA6C2EF60AB}"/>
    <cellStyle name="SAPBEXHLevel0 7 3" xfId="25635" xr:uid="{00000000-0005-0000-0000-0000A36B0000}"/>
    <cellStyle name="SAPBEXHLevel0 7 3 2" xfId="27788" xr:uid="{00000000-0005-0000-0000-0000A46B0000}"/>
    <cellStyle name="SAPBEXHLevel0 7 3 2 2" xfId="32375" xr:uid="{D76F547C-7B44-4794-9A6F-33E8ADBB4869}"/>
    <cellStyle name="SAPBEXHLevel0 7 3 3" xfId="28136" xr:uid="{00000000-0005-0000-0000-0000A56B0000}"/>
    <cellStyle name="SAPBEXHLevel0 7 3 3 2" xfId="32694" xr:uid="{31A7CCD6-C82F-4012-9E30-5DEC3276F24A}"/>
    <cellStyle name="SAPBEXHLevel0 7 3 4" xfId="26365" xr:uid="{00000000-0005-0000-0000-0000A66B0000}"/>
    <cellStyle name="SAPBEXHLevel0 7 3 4 2" xfId="31153" xr:uid="{7CFBE9AE-F9CD-4490-BA12-03769F4F184F}"/>
    <cellStyle name="SAPBEXHLevel0 7 3 5" xfId="29688" xr:uid="{00000000-0005-0000-0000-0000A76B0000}"/>
    <cellStyle name="SAPBEXHLevel0 7 4" xfId="27262" xr:uid="{00000000-0005-0000-0000-0000A86B0000}"/>
    <cellStyle name="SAPBEXHLevel0 7 4 2" xfId="31897" xr:uid="{93FBB33E-8157-4135-AF62-E043BC80DCCF}"/>
    <cellStyle name="SAPBEXHLevel0 7 5" xfId="28134" xr:uid="{00000000-0005-0000-0000-0000A96B0000}"/>
    <cellStyle name="SAPBEXHLevel0 7 5 2" xfId="32692" xr:uid="{7947C9FA-AF76-4AE8-90EB-75013C0EAD0E}"/>
    <cellStyle name="SAPBEXHLevel0 7 6" xfId="27012" xr:uid="{00000000-0005-0000-0000-0000AA6B0000}"/>
    <cellStyle name="SAPBEXHLevel0 7 6 2" xfId="31772" xr:uid="{7AD69FB1-FCA6-4251-8CC4-C83CFF1742B2}"/>
    <cellStyle name="SAPBEXHLevel0 7 7" xfId="29686" xr:uid="{00000000-0005-0000-0000-0000AB6B0000}"/>
    <cellStyle name="SAPBEXHLevel0 7 8" xfId="30337" xr:uid="{6FDB5BFB-86BC-431B-8A77-0AD9D3EBE4B8}"/>
    <cellStyle name="SAPBEXHLevel0 8" xfId="25104" xr:uid="{00000000-0005-0000-0000-0000AC6B0000}"/>
    <cellStyle name="SAPBEXHLevel0 8 2" xfId="25415" xr:uid="{00000000-0005-0000-0000-0000AD6B0000}"/>
    <cellStyle name="SAPBEXHLevel0 8 2 2" xfId="27569" xr:uid="{00000000-0005-0000-0000-0000AE6B0000}"/>
    <cellStyle name="SAPBEXHLevel0 8 2 2 2" xfId="32160" xr:uid="{6D91DBC5-B70A-4212-A877-1B276B6F7A31}"/>
    <cellStyle name="SAPBEXHLevel0 8 2 3" xfId="28138" xr:uid="{00000000-0005-0000-0000-0000AF6B0000}"/>
    <cellStyle name="SAPBEXHLevel0 8 2 3 2" xfId="32696" xr:uid="{CD60B01C-19EA-421C-BE31-3E8EBB4667E0}"/>
    <cellStyle name="SAPBEXHLevel0 8 2 4" xfId="26080" xr:uid="{00000000-0005-0000-0000-0000B06B0000}"/>
    <cellStyle name="SAPBEXHLevel0 8 2 4 2" xfId="30870" xr:uid="{6C780192-0EBC-49A3-B05C-E3ED33007B98}"/>
    <cellStyle name="SAPBEXHLevel0 8 2 5" xfId="29690" xr:uid="{00000000-0005-0000-0000-0000B16B0000}"/>
    <cellStyle name="SAPBEXHLevel0 8 2 6" xfId="30573" xr:uid="{CA2C7615-228E-44DE-A5FD-FC59C982D946}"/>
    <cellStyle name="SAPBEXHLevel0 8 3" xfId="25702" xr:uid="{00000000-0005-0000-0000-0000B26B0000}"/>
    <cellStyle name="SAPBEXHLevel0 8 3 2" xfId="27855" xr:uid="{00000000-0005-0000-0000-0000B36B0000}"/>
    <cellStyle name="SAPBEXHLevel0 8 3 2 2" xfId="32442" xr:uid="{522C4B89-C24D-45A5-8E84-C01ACCF7784C}"/>
    <cellStyle name="SAPBEXHLevel0 8 3 3" xfId="28139" xr:uid="{00000000-0005-0000-0000-0000B46B0000}"/>
    <cellStyle name="SAPBEXHLevel0 8 3 3 2" xfId="32697" xr:uid="{F2E27041-6872-4760-8D30-33792D29F20E}"/>
    <cellStyle name="SAPBEXHLevel0 8 3 4" xfId="26549" xr:uid="{00000000-0005-0000-0000-0000B56B0000}"/>
    <cellStyle name="SAPBEXHLevel0 8 3 4 2" xfId="31336" xr:uid="{7D3C6BED-BC9B-4DB5-B407-9FFDFCB01254}"/>
    <cellStyle name="SAPBEXHLevel0 8 3 5" xfId="29691" xr:uid="{00000000-0005-0000-0000-0000B66B0000}"/>
    <cellStyle name="SAPBEXHLevel0 8 3 6" xfId="30696" xr:uid="{DE7F4D57-DC7F-4187-B6D1-A8F5ACC59D10}"/>
    <cellStyle name="SAPBEXHLevel0 8 4" xfId="27389" xr:uid="{00000000-0005-0000-0000-0000B76B0000}"/>
    <cellStyle name="SAPBEXHLevel0 8 4 2" xfId="31987" xr:uid="{AAB0A216-CF9B-4D55-91B6-D29F6C4A43E8}"/>
    <cellStyle name="SAPBEXHLevel0 8 5" xfId="28137" xr:uid="{00000000-0005-0000-0000-0000B86B0000}"/>
    <cellStyle name="SAPBEXHLevel0 8 5 2" xfId="32695" xr:uid="{85921FAE-43CE-4A05-BC9C-BB72B2B796A2}"/>
    <cellStyle name="SAPBEXHLevel0 8 6" xfId="26295" xr:uid="{00000000-0005-0000-0000-0000B96B0000}"/>
    <cellStyle name="SAPBEXHLevel0 8 6 2" xfId="31083" xr:uid="{0ADCB927-0E38-4E8E-B770-51036CCAC3BA}"/>
    <cellStyle name="SAPBEXHLevel0 8 7" xfId="29689" xr:uid="{00000000-0005-0000-0000-0000BA6B0000}"/>
    <cellStyle name="SAPBEXHLevel0 8 8" xfId="30404" xr:uid="{29C1A2DD-D34E-46AF-A915-68ED6736FA7B}"/>
    <cellStyle name="SAPBEXHLevel0 9" xfId="25834" xr:uid="{00000000-0005-0000-0000-0000BB6B0000}"/>
    <cellStyle name="SAPBEXHLevel0 9 2" xfId="30753" xr:uid="{3AE4CC00-9412-422B-88E8-74631838471C}"/>
    <cellStyle name="SAPBEXHLevel0X" xfId="107" xr:uid="{00000000-0005-0000-0000-0000BC6B0000}"/>
    <cellStyle name="SAPBEXHLevel0X 10" xfId="28140" xr:uid="{00000000-0005-0000-0000-0000BD6B0000}"/>
    <cellStyle name="SAPBEXHLevel0X 10 2" xfId="32698" xr:uid="{0D978B8B-19A9-4634-869E-A811FAB29EEA}"/>
    <cellStyle name="SAPBEXHLevel0X 11" xfId="26525" xr:uid="{00000000-0005-0000-0000-0000BE6B0000}"/>
    <cellStyle name="SAPBEXHLevel0X 11 2" xfId="31312" xr:uid="{E9952243-C2BA-4821-A4BF-9F3C37B37100}"/>
    <cellStyle name="SAPBEXHLevel0X 12" xfId="29692" xr:uid="{00000000-0005-0000-0000-0000BF6B0000}"/>
    <cellStyle name="SAPBEXHLevel0X 2" xfId="108" xr:uid="{00000000-0005-0000-0000-0000C06B0000}"/>
    <cellStyle name="SAPBEXHLevel0X 2 2" xfId="13642" xr:uid="{00000000-0005-0000-0000-0000C16B0000}"/>
    <cellStyle name="SAPBEXHLevel0X 2 2 2" xfId="25480" xr:uid="{00000000-0005-0000-0000-0000C26B0000}"/>
    <cellStyle name="SAPBEXHLevel0X 2 2 2 2" xfId="27633" xr:uid="{00000000-0005-0000-0000-0000C36B0000}"/>
    <cellStyle name="SAPBEXHLevel0X 2 2 2 2 2" xfId="32220" xr:uid="{5F5C0DF3-F974-4A3E-B3A7-20FF18FBDB47}"/>
    <cellStyle name="SAPBEXHLevel0X 2 2 2 3" xfId="28143" xr:uid="{00000000-0005-0000-0000-0000C46B0000}"/>
    <cellStyle name="SAPBEXHLevel0X 2 2 2 3 2" xfId="32701" xr:uid="{756FBB4A-B066-4D70-A2EA-12C02F444673}"/>
    <cellStyle name="SAPBEXHLevel0X 2 2 2 4" xfId="26543" xr:uid="{00000000-0005-0000-0000-0000C56B0000}"/>
    <cellStyle name="SAPBEXHLevel0X 2 2 2 4 2" xfId="31330" xr:uid="{FD6712CD-B5A1-4A5E-A6D0-E3DBC4EF1742}"/>
    <cellStyle name="SAPBEXHLevel0X 2 2 2 5" xfId="29695" xr:uid="{00000000-0005-0000-0000-0000C66B0000}"/>
    <cellStyle name="SAPBEXHLevel0X 2 2 3" xfId="26584" xr:uid="{00000000-0005-0000-0000-0000C76B0000}"/>
    <cellStyle name="SAPBEXHLevel0X 2 2 3 2" xfId="31362" xr:uid="{984BB485-8D16-4EFC-8BA4-6E1B9867C409}"/>
    <cellStyle name="SAPBEXHLevel0X 2 2 4" xfId="28142" xr:uid="{00000000-0005-0000-0000-0000C86B0000}"/>
    <cellStyle name="SAPBEXHLevel0X 2 2 4 2" xfId="32700" xr:uid="{9E2D7014-B059-4003-94BF-9B0BB300CB34}"/>
    <cellStyle name="SAPBEXHLevel0X 2 2 5" xfId="26121" xr:uid="{00000000-0005-0000-0000-0000C96B0000}"/>
    <cellStyle name="SAPBEXHLevel0X 2 2 5 2" xfId="30911" xr:uid="{84072392-7CCC-48E6-AD2D-ABAC407696E9}"/>
    <cellStyle name="SAPBEXHLevel0X 2 2 6" xfId="29694" xr:uid="{00000000-0005-0000-0000-0000CA6B0000}"/>
    <cellStyle name="SAPBEXHLevel0X 2 2 7" xfId="30182" xr:uid="{A4BF9B73-74C4-463A-8790-43EDC18A2F99}"/>
    <cellStyle name="SAPBEXHLevel0X 2 3" xfId="24255" xr:uid="{00000000-0005-0000-0000-0000CB6B0000}"/>
    <cellStyle name="SAPBEXHLevel0X 2 3 2" xfId="25577" xr:uid="{00000000-0005-0000-0000-0000CC6B0000}"/>
    <cellStyle name="SAPBEXHLevel0X 2 3 2 2" xfId="27730" xr:uid="{00000000-0005-0000-0000-0000CD6B0000}"/>
    <cellStyle name="SAPBEXHLevel0X 2 3 2 2 2" xfId="32317" xr:uid="{C2B1B252-C63C-4DDC-98C4-410B602E9D21}"/>
    <cellStyle name="SAPBEXHLevel0X 2 3 2 3" xfId="28145" xr:uid="{00000000-0005-0000-0000-0000CE6B0000}"/>
    <cellStyle name="SAPBEXHLevel0X 2 3 2 3 2" xfId="32703" xr:uid="{0C5BE7B7-0737-4E5A-99EA-B096F0E46E21}"/>
    <cellStyle name="SAPBEXHLevel0X 2 3 2 4" xfId="26777" xr:uid="{00000000-0005-0000-0000-0000CF6B0000}"/>
    <cellStyle name="SAPBEXHLevel0X 2 3 2 4 2" xfId="31538" xr:uid="{3ED46327-C21A-4472-BF8E-C52D0C6A22A7}"/>
    <cellStyle name="SAPBEXHLevel0X 2 3 2 5" xfId="29697" xr:uid="{00000000-0005-0000-0000-0000D06B0000}"/>
    <cellStyle name="SAPBEXHLevel0X 2 3 3" xfId="27110" xr:uid="{00000000-0005-0000-0000-0000D16B0000}"/>
    <cellStyle name="SAPBEXHLevel0X 2 3 3 2" xfId="31828" xr:uid="{D129ACDD-892C-4160-A8A9-BF8F3D15C055}"/>
    <cellStyle name="SAPBEXHLevel0X 2 3 4" xfId="28144" xr:uid="{00000000-0005-0000-0000-0000D26B0000}"/>
    <cellStyle name="SAPBEXHLevel0X 2 3 4 2" xfId="32702" xr:uid="{B8D32C45-A2D3-4FBB-A6D3-243D2B4EC443}"/>
    <cellStyle name="SAPBEXHLevel0X 2 3 5" xfId="26893" xr:uid="{00000000-0005-0000-0000-0000D36B0000}"/>
    <cellStyle name="SAPBEXHLevel0X 2 3 5 2" xfId="31654" xr:uid="{23858E7E-0ED1-4097-9906-DD0D0CC8018E}"/>
    <cellStyle name="SAPBEXHLevel0X 2 3 6" xfId="29696" xr:uid="{00000000-0005-0000-0000-0000D46B0000}"/>
    <cellStyle name="SAPBEXHLevel0X 2 3 7" xfId="30279" xr:uid="{7EA7486F-43F2-4A97-B166-ABCC52EA1A6D}"/>
    <cellStyle name="SAPBEXHLevel0X 2 4" xfId="24665" xr:uid="{00000000-0005-0000-0000-0000D56B0000}"/>
    <cellStyle name="SAPBEXHLevel0X 2 4 2" xfId="25424" xr:uid="{00000000-0005-0000-0000-0000D66B0000}"/>
    <cellStyle name="SAPBEXHLevel0X 2 4 2 2" xfId="27578" xr:uid="{00000000-0005-0000-0000-0000D76B0000}"/>
    <cellStyle name="SAPBEXHLevel0X 2 4 2 2 2" xfId="32169" xr:uid="{CE088BD3-8CC4-46F0-A23F-B052E70E43F6}"/>
    <cellStyle name="SAPBEXHLevel0X 2 4 2 3" xfId="28147" xr:uid="{00000000-0005-0000-0000-0000D86B0000}"/>
    <cellStyle name="SAPBEXHLevel0X 2 4 2 3 2" xfId="32705" xr:uid="{B3F47BA7-80F7-4257-A7E1-A1F9F424E2B8}"/>
    <cellStyle name="SAPBEXHLevel0X 2 4 2 4" xfId="27016" xr:uid="{00000000-0005-0000-0000-0000D96B0000}"/>
    <cellStyle name="SAPBEXHLevel0X 2 4 2 4 2" xfId="31776" xr:uid="{D5516FC3-19EE-479E-9B96-9DC7F5DEB603}"/>
    <cellStyle name="SAPBEXHLevel0X 2 4 2 5" xfId="29699" xr:uid="{00000000-0005-0000-0000-0000DA6B0000}"/>
    <cellStyle name="SAPBEXHLevel0X 2 4 2 6" xfId="30582" xr:uid="{DBC196D2-F7E4-4EA4-9CC9-07E769976A11}"/>
    <cellStyle name="SAPBEXHLevel0X 2 4 3" xfId="25631" xr:uid="{00000000-0005-0000-0000-0000DB6B0000}"/>
    <cellStyle name="SAPBEXHLevel0X 2 4 3 2" xfId="27784" xr:uid="{00000000-0005-0000-0000-0000DC6B0000}"/>
    <cellStyle name="SAPBEXHLevel0X 2 4 3 2 2" xfId="32371" xr:uid="{920839CF-05DF-40D7-A57E-B5110AC3B82A}"/>
    <cellStyle name="SAPBEXHLevel0X 2 4 3 3" xfId="28148" xr:uid="{00000000-0005-0000-0000-0000DD6B0000}"/>
    <cellStyle name="SAPBEXHLevel0X 2 4 3 3 2" xfId="32706" xr:uid="{5680F8A0-B679-427D-B53C-D1CEAB701BC5}"/>
    <cellStyle name="SAPBEXHLevel0X 2 4 3 4" xfId="26982" xr:uid="{00000000-0005-0000-0000-0000DE6B0000}"/>
    <cellStyle name="SAPBEXHLevel0X 2 4 3 4 2" xfId="31743" xr:uid="{23B48326-5349-40E2-A8DF-E7F0492BBDC9}"/>
    <cellStyle name="SAPBEXHLevel0X 2 4 3 5" xfId="29700" xr:uid="{00000000-0005-0000-0000-0000DF6B0000}"/>
    <cellStyle name="SAPBEXHLevel0X 2 4 4" xfId="27258" xr:uid="{00000000-0005-0000-0000-0000E06B0000}"/>
    <cellStyle name="SAPBEXHLevel0X 2 4 4 2" xfId="31893" xr:uid="{17EED4AE-94BD-483F-9471-FF8EA1C195A0}"/>
    <cellStyle name="SAPBEXHLevel0X 2 4 5" xfId="28146" xr:uid="{00000000-0005-0000-0000-0000E16B0000}"/>
    <cellStyle name="SAPBEXHLevel0X 2 4 5 2" xfId="32704" xr:uid="{1C13C6EE-5DD4-4558-9BF0-C6481084191C}"/>
    <cellStyle name="SAPBEXHLevel0X 2 4 6" xfId="26417" xr:uid="{00000000-0005-0000-0000-0000E26B0000}"/>
    <cellStyle name="SAPBEXHLevel0X 2 4 6 2" xfId="31205" xr:uid="{DF92ECEE-3A26-4480-8B81-232617DB04E3}"/>
    <cellStyle name="SAPBEXHLevel0X 2 4 7" xfId="29698" xr:uid="{00000000-0005-0000-0000-0000E36B0000}"/>
    <cellStyle name="SAPBEXHLevel0X 2 4 8" xfId="30333" xr:uid="{43CD606D-5379-4797-B372-1DC8AD0B56D9}"/>
    <cellStyle name="SAPBEXHLevel0X 2 5" xfId="25108" xr:uid="{00000000-0005-0000-0000-0000E46B0000}"/>
    <cellStyle name="SAPBEXHLevel0X 2 5 2" xfId="25446" xr:uid="{00000000-0005-0000-0000-0000E56B0000}"/>
    <cellStyle name="SAPBEXHLevel0X 2 5 2 2" xfId="27600" xr:uid="{00000000-0005-0000-0000-0000E66B0000}"/>
    <cellStyle name="SAPBEXHLevel0X 2 5 2 2 2" xfId="32191" xr:uid="{B7418EE2-46E1-488C-A691-FA91050E99A2}"/>
    <cellStyle name="SAPBEXHLevel0X 2 5 2 3" xfId="28150" xr:uid="{00000000-0005-0000-0000-0000E76B0000}"/>
    <cellStyle name="SAPBEXHLevel0X 2 5 2 3 2" xfId="32708" xr:uid="{15A3457D-4CD9-46B4-93EE-D1CEDA11BC6B}"/>
    <cellStyle name="SAPBEXHLevel0X 2 5 2 4" xfId="26332" xr:uid="{00000000-0005-0000-0000-0000E86B0000}"/>
    <cellStyle name="SAPBEXHLevel0X 2 5 2 4 2" xfId="31120" xr:uid="{2255FA7A-FFE5-4B2E-9D60-33485FBFC4DE}"/>
    <cellStyle name="SAPBEXHLevel0X 2 5 2 5" xfId="29702" xr:uid="{00000000-0005-0000-0000-0000E96B0000}"/>
    <cellStyle name="SAPBEXHLevel0X 2 5 2 6" xfId="30604" xr:uid="{8DA777A9-A253-4FBD-8E23-D181935E71A9}"/>
    <cellStyle name="SAPBEXHLevel0X 2 5 3" xfId="25706" xr:uid="{00000000-0005-0000-0000-0000EA6B0000}"/>
    <cellStyle name="SAPBEXHLevel0X 2 5 3 2" xfId="27859" xr:uid="{00000000-0005-0000-0000-0000EB6B0000}"/>
    <cellStyle name="SAPBEXHLevel0X 2 5 3 2 2" xfId="32446" xr:uid="{426CC112-5E46-4AE7-B201-AC0F783267DE}"/>
    <cellStyle name="SAPBEXHLevel0X 2 5 3 3" xfId="28151" xr:uid="{00000000-0005-0000-0000-0000EC6B0000}"/>
    <cellStyle name="SAPBEXHLevel0X 2 5 3 3 2" xfId="32709" xr:uid="{F93BDA29-887E-4839-8EE4-FE8E24E9F114}"/>
    <cellStyle name="SAPBEXHLevel0X 2 5 3 4" xfId="26241" xr:uid="{00000000-0005-0000-0000-0000ED6B0000}"/>
    <cellStyle name="SAPBEXHLevel0X 2 5 3 4 2" xfId="31029" xr:uid="{262A61B2-7F35-4594-96E5-ED7398443199}"/>
    <cellStyle name="SAPBEXHLevel0X 2 5 3 5" xfId="29703" xr:uid="{00000000-0005-0000-0000-0000EE6B0000}"/>
    <cellStyle name="SAPBEXHLevel0X 2 5 3 6" xfId="30700" xr:uid="{1840FD7B-4152-438F-A010-AE8A945C9073}"/>
    <cellStyle name="SAPBEXHLevel0X 2 5 4" xfId="27393" xr:uid="{00000000-0005-0000-0000-0000EF6B0000}"/>
    <cellStyle name="SAPBEXHLevel0X 2 5 4 2" xfId="31991" xr:uid="{705EF500-2EB0-4933-9459-C7EEA688DDC6}"/>
    <cellStyle name="SAPBEXHLevel0X 2 5 5" xfId="28149" xr:uid="{00000000-0005-0000-0000-0000F06B0000}"/>
    <cellStyle name="SAPBEXHLevel0X 2 5 5 2" xfId="32707" xr:uid="{5823A751-A891-488B-8E80-0F1F414C92D6}"/>
    <cellStyle name="SAPBEXHLevel0X 2 5 6" xfId="26771" xr:uid="{00000000-0005-0000-0000-0000F16B0000}"/>
    <cellStyle name="SAPBEXHLevel0X 2 5 6 2" xfId="31532" xr:uid="{6AB1E7C9-8267-45D1-9B76-A1558F229879}"/>
    <cellStyle name="SAPBEXHLevel0X 2 5 7" xfId="29701" xr:uid="{00000000-0005-0000-0000-0000F26B0000}"/>
    <cellStyle name="SAPBEXHLevel0X 2 5 8" xfId="30408" xr:uid="{49ED1F34-3A71-4C6F-A518-5F7863EFC80D}"/>
    <cellStyle name="SAPBEXHLevel0X 2 6" xfId="25839" xr:uid="{00000000-0005-0000-0000-0000F36B0000}"/>
    <cellStyle name="SAPBEXHLevel0X 2 6 2" xfId="30758" xr:uid="{880DFA89-BB7D-4E22-824F-C1BFF4CFAF0A}"/>
    <cellStyle name="SAPBEXHLevel0X 2 7" xfId="28141" xr:uid="{00000000-0005-0000-0000-0000F46B0000}"/>
    <cellStyle name="SAPBEXHLevel0X 2 7 2" xfId="32699" xr:uid="{985F9370-6267-4D36-A265-447FDCC59FF2}"/>
    <cellStyle name="SAPBEXHLevel0X 2 8" xfId="26196" xr:uid="{00000000-0005-0000-0000-0000F56B0000}"/>
    <cellStyle name="SAPBEXHLevel0X 2 8 2" xfId="30984" xr:uid="{23071D6C-A992-4D9E-8033-43B4691BE96D}"/>
    <cellStyle name="SAPBEXHLevel0X 2 9" xfId="29693" xr:uid="{00000000-0005-0000-0000-0000F66B0000}"/>
    <cellStyle name="SAPBEXHLevel0X 3" xfId="109" xr:uid="{00000000-0005-0000-0000-0000F76B0000}"/>
    <cellStyle name="SAPBEXHLevel0X 3 2" xfId="13643" xr:uid="{00000000-0005-0000-0000-0000F86B0000}"/>
    <cellStyle name="SAPBEXHLevel0X 3 2 2" xfId="25481" xr:uid="{00000000-0005-0000-0000-0000F96B0000}"/>
    <cellStyle name="SAPBEXHLevel0X 3 2 2 2" xfId="27634" xr:uid="{00000000-0005-0000-0000-0000FA6B0000}"/>
    <cellStyle name="SAPBEXHLevel0X 3 2 2 2 2" xfId="32221" xr:uid="{222335D9-8B3D-4D52-AF20-FBD55851D16D}"/>
    <cellStyle name="SAPBEXHLevel0X 3 2 2 3" xfId="28154" xr:uid="{00000000-0005-0000-0000-0000FB6B0000}"/>
    <cellStyle name="SAPBEXHLevel0X 3 2 2 3 2" xfId="32712" xr:uid="{8460D106-61C0-4B0B-913D-EA4C7EF73623}"/>
    <cellStyle name="SAPBEXHLevel0X 3 2 2 4" xfId="26728" xr:uid="{00000000-0005-0000-0000-0000FC6B0000}"/>
    <cellStyle name="SAPBEXHLevel0X 3 2 2 4 2" xfId="31489" xr:uid="{A72E0832-217B-4076-B07F-A5B040FB6100}"/>
    <cellStyle name="SAPBEXHLevel0X 3 2 2 5" xfId="29706" xr:uid="{00000000-0005-0000-0000-0000FD6B0000}"/>
    <cellStyle name="SAPBEXHLevel0X 3 2 3" xfId="26585" xr:uid="{00000000-0005-0000-0000-0000FE6B0000}"/>
    <cellStyle name="SAPBEXHLevel0X 3 2 3 2" xfId="31363" xr:uid="{69A51FC2-7DDE-47D9-8E67-FC05642B5458}"/>
    <cellStyle name="SAPBEXHLevel0X 3 2 4" xfId="28153" xr:uid="{00000000-0005-0000-0000-0000FF6B0000}"/>
    <cellStyle name="SAPBEXHLevel0X 3 2 4 2" xfId="32711" xr:uid="{83559231-8A1C-4175-A3A6-72B70DCA2DC4}"/>
    <cellStyle name="SAPBEXHLevel0X 3 2 5" xfId="26912" xr:uid="{00000000-0005-0000-0000-0000006C0000}"/>
    <cellStyle name="SAPBEXHLevel0X 3 2 5 2" xfId="31673" xr:uid="{45C70A8A-9EDA-4049-82A0-D626C137CCE4}"/>
    <cellStyle name="SAPBEXHLevel0X 3 2 6" xfId="29705" xr:uid="{00000000-0005-0000-0000-0000016C0000}"/>
    <cellStyle name="SAPBEXHLevel0X 3 2 7" xfId="30183" xr:uid="{38385C5A-E38D-4916-BC70-FF1CD6562025}"/>
    <cellStyle name="SAPBEXHLevel0X 3 3" xfId="24256" xr:uid="{00000000-0005-0000-0000-0000026C0000}"/>
    <cellStyle name="SAPBEXHLevel0X 3 3 2" xfId="25578" xr:uid="{00000000-0005-0000-0000-0000036C0000}"/>
    <cellStyle name="SAPBEXHLevel0X 3 3 2 2" xfId="27731" xr:uid="{00000000-0005-0000-0000-0000046C0000}"/>
    <cellStyle name="SAPBEXHLevel0X 3 3 2 2 2" xfId="32318" xr:uid="{F746DC66-8725-42D5-84E3-2DC17F68E872}"/>
    <cellStyle name="SAPBEXHLevel0X 3 3 2 3" xfId="28156" xr:uid="{00000000-0005-0000-0000-0000056C0000}"/>
    <cellStyle name="SAPBEXHLevel0X 3 3 2 3 2" xfId="32714" xr:uid="{63709041-ED77-4BF1-A984-5F78DED57327}"/>
    <cellStyle name="SAPBEXHLevel0X 3 3 2 4" xfId="26820" xr:uid="{00000000-0005-0000-0000-0000066C0000}"/>
    <cellStyle name="SAPBEXHLevel0X 3 3 2 4 2" xfId="31581" xr:uid="{6442A844-A2FB-4683-B847-754779FB2C7B}"/>
    <cellStyle name="SAPBEXHLevel0X 3 3 2 5" xfId="29708" xr:uid="{00000000-0005-0000-0000-0000076C0000}"/>
    <cellStyle name="SAPBEXHLevel0X 3 3 3" xfId="27111" xr:uid="{00000000-0005-0000-0000-0000086C0000}"/>
    <cellStyle name="SAPBEXHLevel0X 3 3 3 2" xfId="31829" xr:uid="{889F0F1F-F7C8-413F-830C-663425D54062}"/>
    <cellStyle name="SAPBEXHLevel0X 3 3 4" xfId="28155" xr:uid="{00000000-0005-0000-0000-0000096C0000}"/>
    <cellStyle name="SAPBEXHLevel0X 3 3 4 2" xfId="32713" xr:uid="{360F5929-9AB1-499D-B91B-2C26F2211C1B}"/>
    <cellStyle name="SAPBEXHLevel0X 3 3 5" xfId="26284" xr:uid="{00000000-0005-0000-0000-00000A6C0000}"/>
    <cellStyle name="SAPBEXHLevel0X 3 3 5 2" xfId="31072" xr:uid="{69B4CAF3-76C0-419C-998A-902D1DEBAE88}"/>
    <cellStyle name="SAPBEXHLevel0X 3 3 6" xfId="29707" xr:uid="{00000000-0005-0000-0000-00000B6C0000}"/>
    <cellStyle name="SAPBEXHLevel0X 3 3 7" xfId="30280" xr:uid="{8314221C-2B84-4D68-A462-B4CA456FF1D3}"/>
    <cellStyle name="SAPBEXHLevel0X 3 4" xfId="24664" xr:uid="{00000000-0005-0000-0000-00000C6C0000}"/>
    <cellStyle name="SAPBEXHLevel0X 3 4 2" xfId="25323" xr:uid="{00000000-0005-0000-0000-00000D6C0000}"/>
    <cellStyle name="SAPBEXHLevel0X 3 4 2 2" xfId="27477" xr:uid="{00000000-0005-0000-0000-00000E6C0000}"/>
    <cellStyle name="SAPBEXHLevel0X 3 4 2 2 2" xfId="32068" xr:uid="{6F58EA4A-FEDB-4D64-A82C-1A6DC3EAF16A}"/>
    <cellStyle name="SAPBEXHLevel0X 3 4 2 3" xfId="28158" xr:uid="{00000000-0005-0000-0000-00000F6C0000}"/>
    <cellStyle name="SAPBEXHLevel0X 3 4 2 3 2" xfId="32716" xr:uid="{7F94030D-2073-40F5-87CF-1619FF09674F}"/>
    <cellStyle name="SAPBEXHLevel0X 3 4 2 4" xfId="26108" xr:uid="{00000000-0005-0000-0000-0000106C0000}"/>
    <cellStyle name="SAPBEXHLevel0X 3 4 2 4 2" xfId="30898" xr:uid="{215C7776-6A13-4A81-9DB4-3D53C090D2A3}"/>
    <cellStyle name="SAPBEXHLevel0X 3 4 2 5" xfId="29710" xr:uid="{00000000-0005-0000-0000-0000116C0000}"/>
    <cellStyle name="SAPBEXHLevel0X 3 4 2 6" xfId="30481" xr:uid="{4D5ED1E8-16FC-477A-9F3D-E460DD2C615E}"/>
    <cellStyle name="SAPBEXHLevel0X 3 4 3" xfId="25630" xr:uid="{00000000-0005-0000-0000-0000126C0000}"/>
    <cellStyle name="SAPBEXHLevel0X 3 4 3 2" xfId="27783" xr:uid="{00000000-0005-0000-0000-0000136C0000}"/>
    <cellStyle name="SAPBEXHLevel0X 3 4 3 2 2" xfId="32370" xr:uid="{5422064A-A531-4E1B-B505-6AF204CEF09E}"/>
    <cellStyle name="SAPBEXHLevel0X 3 4 3 3" xfId="28159" xr:uid="{00000000-0005-0000-0000-0000146C0000}"/>
    <cellStyle name="SAPBEXHLevel0X 3 4 3 3 2" xfId="32717" xr:uid="{07D300C8-C5DE-4FA6-9E51-21E80D6487ED}"/>
    <cellStyle name="SAPBEXHLevel0X 3 4 3 4" xfId="26233" xr:uid="{00000000-0005-0000-0000-0000156C0000}"/>
    <cellStyle name="SAPBEXHLevel0X 3 4 3 4 2" xfId="31021" xr:uid="{A2B54D75-A0F9-46EE-9AEE-66163B2BAFA9}"/>
    <cellStyle name="SAPBEXHLevel0X 3 4 3 5" xfId="29711" xr:uid="{00000000-0005-0000-0000-0000166C0000}"/>
    <cellStyle name="SAPBEXHLevel0X 3 4 4" xfId="27257" xr:uid="{00000000-0005-0000-0000-0000176C0000}"/>
    <cellStyle name="SAPBEXHLevel0X 3 4 4 2" xfId="31892" xr:uid="{5BF2E9FC-90D6-4B16-B80B-7FA6F6FD9429}"/>
    <cellStyle name="SAPBEXHLevel0X 3 4 5" xfId="28157" xr:uid="{00000000-0005-0000-0000-0000186C0000}"/>
    <cellStyle name="SAPBEXHLevel0X 3 4 5 2" xfId="32715" xr:uid="{2B993D69-6F96-4242-BF18-71F1D06575A1}"/>
    <cellStyle name="SAPBEXHLevel0X 3 4 6" xfId="26861" xr:uid="{00000000-0005-0000-0000-0000196C0000}"/>
    <cellStyle name="SAPBEXHLevel0X 3 4 6 2" xfId="31622" xr:uid="{F1DF144D-9D6B-4B36-800F-F7D5BBE23B7B}"/>
    <cellStyle name="SAPBEXHLevel0X 3 4 7" xfId="29709" xr:uid="{00000000-0005-0000-0000-00001A6C0000}"/>
    <cellStyle name="SAPBEXHLevel0X 3 4 8" xfId="30332" xr:uid="{A644D2FD-E8D5-4158-A964-3F22DA335423}"/>
    <cellStyle name="SAPBEXHLevel0X 3 5" xfId="25109" xr:uid="{00000000-0005-0000-0000-00001B6C0000}"/>
    <cellStyle name="SAPBEXHLevel0X 3 5 2" xfId="25360" xr:uid="{00000000-0005-0000-0000-00001C6C0000}"/>
    <cellStyle name="SAPBEXHLevel0X 3 5 2 2" xfId="27514" xr:uid="{00000000-0005-0000-0000-00001D6C0000}"/>
    <cellStyle name="SAPBEXHLevel0X 3 5 2 2 2" xfId="32105" xr:uid="{F5D98D43-A400-4385-AAD0-ADB2B396C91F}"/>
    <cellStyle name="SAPBEXHLevel0X 3 5 2 3" xfId="28161" xr:uid="{00000000-0005-0000-0000-00001E6C0000}"/>
    <cellStyle name="SAPBEXHLevel0X 3 5 2 3 2" xfId="32719" xr:uid="{F59F4520-3B58-43F6-9275-FDD814EAD842}"/>
    <cellStyle name="SAPBEXHLevel0X 3 5 2 4" xfId="26933" xr:uid="{00000000-0005-0000-0000-00001F6C0000}"/>
    <cellStyle name="SAPBEXHLevel0X 3 5 2 4 2" xfId="31694" xr:uid="{423238F5-5F9C-43DB-BE31-7AD3DD67AA23}"/>
    <cellStyle name="SAPBEXHLevel0X 3 5 2 5" xfId="29713" xr:uid="{00000000-0005-0000-0000-0000206C0000}"/>
    <cellStyle name="SAPBEXHLevel0X 3 5 2 6" xfId="30518" xr:uid="{141B03A0-2312-4EB4-8756-B4CC0C4FED11}"/>
    <cellStyle name="SAPBEXHLevel0X 3 5 3" xfId="25707" xr:uid="{00000000-0005-0000-0000-0000216C0000}"/>
    <cellStyle name="SAPBEXHLevel0X 3 5 3 2" xfId="27860" xr:uid="{00000000-0005-0000-0000-0000226C0000}"/>
    <cellStyle name="SAPBEXHLevel0X 3 5 3 2 2" xfId="32447" xr:uid="{83F92B81-CE82-43EB-9718-B62886F50221}"/>
    <cellStyle name="SAPBEXHLevel0X 3 5 3 3" xfId="28162" xr:uid="{00000000-0005-0000-0000-0000236C0000}"/>
    <cellStyle name="SAPBEXHLevel0X 3 5 3 3 2" xfId="32720" xr:uid="{8F050246-94F5-4599-9F33-8E128335668F}"/>
    <cellStyle name="SAPBEXHLevel0X 3 5 3 4" xfId="26090" xr:uid="{00000000-0005-0000-0000-0000246C0000}"/>
    <cellStyle name="SAPBEXHLevel0X 3 5 3 4 2" xfId="30880" xr:uid="{8763D03B-2C9D-4490-BB60-69FD9C19062A}"/>
    <cellStyle name="SAPBEXHLevel0X 3 5 3 5" xfId="29714" xr:uid="{00000000-0005-0000-0000-0000256C0000}"/>
    <cellStyle name="SAPBEXHLevel0X 3 5 3 6" xfId="30701" xr:uid="{8F4530B2-89EF-44EF-965E-76266C4D5893}"/>
    <cellStyle name="SAPBEXHLevel0X 3 5 4" xfId="27394" xr:uid="{00000000-0005-0000-0000-0000266C0000}"/>
    <cellStyle name="SAPBEXHLevel0X 3 5 4 2" xfId="31992" xr:uid="{11577B88-9FD9-4235-8DBC-4C2DE32BF00A}"/>
    <cellStyle name="SAPBEXHLevel0X 3 5 5" xfId="28160" xr:uid="{00000000-0005-0000-0000-0000276C0000}"/>
    <cellStyle name="SAPBEXHLevel0X 3 5 5 2" xfId="32718" xr:uid="{F8DDC203-5AC0-4BF6-9F85-9A059A2BFF0F}"/>
    <cellStyle name="SAPBEXHLevel0X 3 5 6" xfId="26174" xr:uid="{00000000-0005-0000-0000-0000286C0000}"/>
    <cellStyle name="SAPBEXHLevel0X 3 5 6 2" xfId="30963" xr:uid="{042775CD-D55C-4927-8ED7-4A2A520E6AD0}"/>
    <cellStyle name="SAPBEXHLevel0X 3 5 7" xfId="29712" xr:uid="{00000000-0005-0000-0000-0000296C0000}"/>
    <cellStyle name="SAPBEXHLevel0X 3 5 8" xfId="30409" xr:uid="{5C1A3400-EE1F-4C2B-B5C8-FECBDEFE12C2}"/>
    <cellStyle name="SAPBEXHLevel0X 3 6" xfId="25840" xr:uid="{00000000-0005-0000-0000-00002A6C0000}"/>
    <cellStyle name="SAPBEXHLevel0X 3 6 2" xfId="30759" xr:uid="{D4E26520-195B-48BB-8363-A5D5FDF34349}"/>
    <cellStyle name="SAPBEXHLevel0X 3 7" xfId="28152" xr:uid="{00000000-0005-0000-0000-00002B6C0000}"/>
    <cellStyle name="SAPBEXHLevel0X 3 7 2" xfId="32710" xr:uid="{DCA11ED5-9CC7-4116-A5A3-6DC4515AFA9B}"/>
    <cellStyle name="SAPBEXHLevel0X 3 8" xfId="26691" xr:uid="{00000000-0005-0000-0000-00002C6C0000}"/>
    <cellStyle name="SAPBEXHLevel0X 3 8 2" xfId="31453" xr:uid="{68C74980-1C47-4975-96D5-5047E9D9DC76}"/>
    <cellStyle name="SAPBEXHLevel0X 3 9" xfId="29704" xr:uid="{00000000-0005-0000-0000-00002D6C0000}"/>
    <cellStyle name="SAPBEXHLevel0X 4" xfId="110" xr:uid="{00000000-0005-0000-0000-00002E6C0000}"/>
    <cellStyle name="SAPBEXHLevel0X 4 2" xfId="13644" xr:uid="{00000000-0005-0000-0000-00002F6C0000}"/>
    <cellStyle name="SAPBEXHLevel0X 4 2 2" xfId="25482" xr:uid="{00000000-0005-0000-0000-0000306C0000}"/>
    <cellStyle name="SAPBEXHLevel0X 4 2 2 2" xfId="27635" xr:uid="{00000000-0005-0000-0000-0000316C0000}"/>
    <cellStyle name="SAPBEXHLevel0X 4 2 2 2 2" xfId="32222" xr:uid="{FA8AA0AF-2861-48AA-A1A8-3BACC06826CA}"/>
    <cellStyle name="SAPBEXHLevel0X 4 2 2 3" xfId="28165" xr:uid="{00000000-0005-0000-0000-0000326C0000}"/>
    <cellStyle name="SAPBEXHLevel0X 4 2 2 3 2" xfId="32723" xr:uid="{233EAD91-3FE9-49CE-99CA-E99F4B4174D1}"/>
    <cellStyle name="SAPBEXHLevel0X 4 2 2 4" xfId="26404" xr:uid="{00000000-0005-0000-0000-0000336C0000}"/>
    <cellStyle name="SAPBEXHLevel0X 4 2 2 4 2" xfId="31192" xr:uid="{1958C63F-6DF8-4D5D-80CE-8FB25682B14F}"/>
    <cellStyle name="SAPBEXHLevel0X 4 2 2 5" xfId="29717" xr:uid="{00000000-0005-0000-0000-0000346C0000}"/>
    <cellStyle name="SAPBEXHLevel0X 4 2 3" xfId="26586" xr:uid="{00000000-0005-0000-0000-0000356C0000}"/>
    <cellStyle name="SAPBEXHLevel0X 4 2 3 2" xfId="31364" xr:uid="{A918EF35-676E-49BC-98E5-85348B6CEF24}"/>
    <cellStyle name="SAPBEXHLevel0X 4 2 4" xfId="28164" xr:uid="{00000000-0005-0000-0000-0000366C0000}"/>
    <cellStyle name="SAPBEXHLevel0X 4 2 4 2" xfId="32722" xr:uid="{CA44422A-0218-4E58-9EE1-DF46C9C0570F}"/>
    <cellStyle name="SAPBEXHLevel0X 4 2 5" xfId="26515" xr:uid="{00000000-0005-0000-0000-0000376C0000}"/>
    <cellStyle name="SAPBEXHLevel0X 4 2 5 2" xfId="31303" xr:uid="{5711678B-9BBA-44E1-A017-DFF8A13E5C35}"/>
    <cellStyle name="SAPBEXHLevel0X 4 2 6" xfId="29716" xr:uid="{00000000-0005-0000-0000-0000386C0000}"/>
    <cellStyle name="SAPBEXHLevel0X 4 2 7" xfId="30184" xr:uid="{44EEE5C5-27E8-4658-8C2A-3CF8EAAB2B9C}"/>
    <cellStyle name="SAPBEXHLevel0X 4 3" xfId="25841" xr:uid="{00000000-0005-0000-0000-0000396C0000}"/>
    <cellStyle name="SAPBEXHLevel0X 4 3 2" xfId="30760" xr:uid="{B0685478-9D5B-4E5C-AC3B-BD0E61444379}"/>
    <cellStyle name="SAPBEXHLevel0X 4 4" xfId="28163" xr:uid="{00000000-0005-0000-0000-00003A6C0000}"/>
    <cellStyle name="SAPBEXHLevel0X 4 4 2" xfId="32721" xr:uid="{A6D7DCB6-8E7C-4857-9534-62C0A1FCAE9D}"/>
    <cellStyle name="SAPBEXHLevel0X 4 5" xfId="26761" xr:uid="{00000000-0005-0000-0000-00003B6C0000}"/>
    <cellStyle name="SAPBEXHLevel0X 4 5 2" xfId="31522" xr:uid="{70895AE1-0702-44EE-A4C9-8072C84053AA}"/>
    <cellStyle name="SAPBEXHLevel0X 4 6" xfId="29715" xr:uid="{00000000-0005-0000-0000-00003C6C0000}"/>
    <cellStyle name="SAPBEXHLevel0X 5" xfId="251" xr:uid="{00000000-0005-0000-0000-00003D6C0000}"/>
    <cellStyle name="SAPBEXHLevel0X 5 2" xfId="13716" xr:uid="{00000000-0005-0000-0000-00003E6C0000}"/>
    <cellStyle name="SAPBEXHLevel0X 5 2 2" xfId="25529" xr:uid="{00000000-0005-0000-0000-00003F6C0000}"/>
    <cellStyle name="SAPBEXHLevel0X 5 2 2 2" xfId="27682" xr:uid="{00000000-0005-0000-0000-0000406C0000}"/>
    <cellStyle name="SAPBEXHLevel0X 5 2 2 2 2" xfId="32269" xr:uid="{2D344B63-AE75-4FDC-A7F6-AFB067120F27}"/>
    <cellStyle name="SAPBEXHLevel0X 5 2 2 3" xfId="28168" xr:uid="{00000000-0005-0000-0000-0000416C0000}"/>
    <cellStyle name="SAPBEXHLevel0X 5 2 2 3 2" xfId="32726" xr:uid="{A4FD64D4-2F03-4A4F-9B4C-94336AEA5EBA}"/>
    <cellStyle name="SAPBEXHLevel0X 5 2 2 4" xfId="26279" xr:uid="{00000000-0005-0000-0000-0000426C0000}"/>
    <cellStyle name="SAPBEXHLevel0X 5 2 2 4 2" xfId="31067" xr:uid="{6BB8E393-45DA-454D-8E00-54DDDD4A1036}"/>
    <cellStyle name="SAPBEXHLevel0X 5 2 2 5" xfId="29720" xr:uid="{00000000-0005-0000-0000-0000436C0000}"/>
    <cellStyle name="SAPBEXHLevel0X 5 2 3" xfId="26636" xr:uid="{00000000-0005-0000-0000-0000446C0000}"/>
    <cellStyle name="SAPBEXHLevel0X 5 2 3 2" xfId="31413" xr:uid="{18F126E4-1137-41FB-8D39-AA59B7F836F9}"/>
    <cellStyle name="SAPBEXHLevel0X 5 2 4" xfId="28167" xr:uid="{00000000-0005-0000-0000-0000456C0000}"/>
    <cellStyle name="SAPBEXHLevel0X 5 2 4 2" xfId="32725" xr:uid="{5C99CABF-1F45-4199-B047-D57448C19D9F}"/>
    <cellStyle name="SAPBEXHLevel0X 5 2 5" xfId="26474" xr:uid="{00000000-0005-0000-0000-0000466C0000}"/>
    <cellStyle name="SAPBEXHLevel0X 5 2 5 2" xfId="31262" xr:uid="{240135D7-49E6-4FE4-86B9-6682B8FDD8C7}"/>
    <cellStyle name="SAPBEXHLevel0X 5 2 6" xfId="29719" xr:uid="{00000000-0005-0000-0000-0000476C0000}"/>
    <cellStyle name="SAPBEXHLevel0X 5 2 7" xfId="30231" xr:uid="{85623948-A7F6-413D-8949-41DBFF98B275}"/>
    <cellStyle name="SAPBEXHLevel0X 5 3" xfId="25919" xr:uid="{00000000-0005-0000-0000-0000486C0000}"/>
    <cellStyle name="SAPBEXHLevel0X 5 3 2" xfId="30808" xr:uid="{3BE948F4-1187-4CD2-B7FF-BEE04AE52BD7}"/>
    <cellStyle name="SAPBEXHLevel0X 5 4" xfId="28166" xr:uid="{00000000-0005-0000-0000-0000496C0000}"/>
    <cellStyle name="SAPBEXHLevel0X 5 4 2" xfId="32724" xr:uid="{CC380193-7035-4594-8A42-931D00053EEB}"/>
    <cellStyle name="SAPBEXHLevel0X 5 5" xfId="27100" xr:uid="{00000000-0005-0000-0000-00004A6C0000}"/>
    <cellStyle name="SAPBEXHLevel0X 5 5 2" xfId="31824" xr:uid="{17473B1E-099A-4660-809C-D0F7B631E7F3}"/>
    <cellStyle name="SAPBEXHLevel0X 5 6" xfId="29718" xr:uid="{00000000-0005-0000-0000-00004B6C0000}"/>
    <cellStyle name="SAPBEXHLevel0X 6" xfId="13641" xr:uid="{00000000-0005-0000-0000-00004C6C0000}"/>
    <cellStyle name="SAPBEXHLevel0X 6 2" xfId="25479" xr:uid="{00000000-0005-0000-0000-00004D6C0000}"/>
    <cellStyle name="SAPBEXHLevel0X 6 2 2" xfId="27632" xr:uid="{00000000-0005-0000-0000-00004E6C0000}"/>
    <cellStyle name="SAPBEXHLevel0X 6 2 2 2" xfId="32219" xr:uid="{2DEF0C49-B7E0-49B2-933D-0A9AA4BEE1DE}"/>
    <cellStyle name="SAPBEXHLevel0X 6 2 3" xfId="28170" xr:uid="{00000000-0005-0000-0000-00004F6C0000}"/>
    <cellStyle name="SAPBEXHLevel0X 6 2 3 2" xfId="32728" xr:uid="{ED7653B8-A3D7-4DFF-90EC-6622F9DBE3F4}"/>
    <cellStyle name="SAPBEXHLevel0X 6 2 4" xfId="26081" xr:uid="{00000000-0005-0000-0000-0000506C0000}"/>
    <cellStyle name="SAPBEXHLevel0X 6 2 4 2" xfId="30871" xr:uid="{FFDB6787-5F75-4DC4-A166-0E2E2C54233F}"/>
    <cellStyle name="SAPBEXHLevel0X 6 2 5" xfId="29722" xr:uid="{00000000-0005-0000-0000-0000516C0000}"/>
    <cellStyle name="SAPBEXHLevel0X 6 3" xfId="26583" xr:uid="{00000000-0005-0000-0000-0000526C0000}"/>
    <cellStyle name="SAPBEXHLevel0X 6 3 2" xfId="31361" xr:uid="{097A0261-233A-4F56-A4C0-20CC465F8583}"/>
    <cellStyle name="SAPBEXHLevel0X 6 4" xfId="28169" xr:uid="{00000000-0005-0000-0000-0000536C0000}"/>
    <cellStyle name="SAPBEXHLevel0X 6 4 2" xfId="32727" xr:uid="{291CF64F-53E6-4AF3-8E92-7CF0712DEBFE}"/>
    <cellStyle name="SAPBEXHLevel0X 6 5" xfId="26069" xr:uid="{00000000-0005-0000-0000-0000546C0000}"/>
    <cellStyle name="SAPBEXHLevel0X 6 5 2" xfId="30859" xr:uid="{4E2A7C1C-3BF3-43EE-B034-6E0BB8F91FC6}"/>
    <cellStyle name="SAPBEXHLevel0X 6 6" xfId="29721" xr:uid="{00000000-0005-0000-0000-0000556C0000}"/>
    <cellStyle name="SAPBEXHLevel0X 6 7" xfId="30181" xr:uid="{9B359903-B282-4615-9A95-FC096C07A9F3}"/>
    <cellStyle name="SAPBEXHLevel0X 7" xfId="24666" xr:uid="{00000000-0005-0000-0000-0000566C0000}"/>
    <cellStyle name="SAPBEXHLevel0X 7 2" xfId="25340" xr:uid="{00000000-0005-0000-0000-0000576C0000}"/>
    <cellStyle name="SAPBEXHLevel0X 7 2 2" xfId="27494" xr:uid="{00000000-0005-0000-0000-0000586C0000}"/>
    <cellStyle name="SAPBEXHLevel0X 7 2 2 2" xfId="32085" xr:uid="{2510A1D4-5003-43A5-BE00-FD8DF602B1D9}"/>
    <cellStyle name="SAPBEXHLevel0X 7 2 3" xfId="28172" xr:uid="{00000000-0005-0000-0000-0000596C0000}"/>
    <cellStyle name="SAPBEXHLevel0X 7 2 3 2" xfId="32730" xr:uid="{A5AF1248-62B9-4320-A71D-BD57E541C42E}"/>
    <cellStyle name="SAPBEXHLevel0X 7 2 4" xfId="26884" xr:uid="{00000000-0005-0000-0000-00005A6C0000}"/>
    <cellStyle name="SAPBEXHLevel0X 7 2 4 2" xfId="31645" xr:uid="{BB297D5C-BCF3-4BBC-9146-176485DAA169}"/>
    <cellStyle name="SAPBEXHLevel0X 7 2 5" xfId="29724" xr:uid="{00000000-0005-0000-0000-00005B6C0000}"/>
    <cellStyle name="SAPBEXHLevel0X 7 2 6" xfId="30498" xr:uid="{A098A655-E8E9-485B-81C2-A67A5881CEF6}"/>
    <cellStyle name="SAPBEXHLevel0X 7 3" xfId="25632" xr:uid="{00000000-0005-0000-0000-00005C6C0000}"/>
    <cellStyle name="SAPBEXHLevel0X 7 3 2" xfId="27785" xr:uid="{00000000-0005-0000-0000-00005D6C0000}"/>
    <cellStyle name="SAPBEXHLevel0X 7 3 2 2" xfId="32372" xr:uid="{51239595-D2D8-4976-83FE-1B3E72D6DEC5}"/>
    <cellStyle name="SAPBEXHLevel0X 7 3 3" xfId="28173" xr:uid="{00000000-0005-0000-0000-00005E6C0000}"/>
    <cellStyle name="SAPBEXHLevel0X 7 3 3 2" xfId="32731" xr:uid="{7D7D8214-B2BF-48F0-B301-C0BFEF77583F}"/>
    <cellStyle name="SAPBEXHLevel0X 7 3 4" xfId="26925" xr:uid="{00000000-0005-0000-0000-00005F6C0000}"/>
    <cellStyle name="SAPBEXHLevel0X 7 3 4 2" xfId="31686" xr:uid="{B07262F5-43B8-4852-AC62-4D6AF865889B}"/>
    <cellStyle name="SAPBEXHLevel0X 7 3 5" xfId="29725" xr:uid="{00000000-0005-0000-0000-0000606C0000}"/>
    <cellStyle name="SAPBEXHLevel0X 7 4" xfId="27259" xr:uid="{00000000-0005-0000-0000-0000616C0000}"/>
    <cellStyle name="SAPBEXHLevel0X 7 4 2" xfId="31894" xr:uid="{E6942AE5-CD7F-43F0-B26A-211B2F7CAF7F}"/>
    <cellStyle name="SAPBEXHLevel0X 7 5" xfId="28171" xr:uid="{00000000-0005-0000-0000-0000626C0000}"/>
    <cellStyle name="SAPBEXHLevel0X 7 5 2" xfId="32729" xr:uid="{DDE1713C-8C3B-41A8-93F3-E96793E6BB66}"/>
    <cellStyle name="SAPBEXHLevel0X 7 6" xfId="26827" xr:uid="{00000000-0005-0000-0000-0000636C0000}"/>
    <cellStyle name="SAPBEXHLevel0X 7 6 2" xfId="31588" xr:uid="{389506C8-B75E-4DE3-BAAB-1EBF472F955D}"/>
    <cellStyle name="SAPBEXHLevel0X 7 7" xfId="29723" xr:uid="{00000000-0005-0000-0000-0000646C0000}"/>
    <cellStyle name="SAPBEXHLevel0X 7 8" xfId="30334" xr:uid="{6B435508-BDB5-4AEA-B2B5-4CB138BEB518}"/>
    <cellStyle name="SAPBEXHLevel0X 8" xfId="25107" xr:uid="{00000000-0005-0000-0000-0000656C0000}"/>
    <cellStyle name="SAPBEXHLevel0X 8 2" xfId="25345" xr:uid="{00000000-0005-0000-0000-0000666C0000}"/>
    <cellStyle name="SAPBEXHLevel0X 8 2 2" xfId="27499" xr:uid="{00000000-0005-0000-0000-0000676C0000}"/>
    <cellStyle name="SAPBEXHLevel0X 8 2 2 2" xfId="32090" xr:uid="{834DE9E7-8742-4D2A-9AEE-9B2FC07E14C5}"/>
    <cellStyle name="SAPBEXHLevel0X 8 2 3" xfId="28175" xr:uid="{00000000-0005-0000-0000-0000686C0000}"/>
    <cellStyle name="SAPBEXHLevel0X 8 2 3 2" xfId="32733" xr:uid="{D976D29E-8B73-47EC-B15E-9C9C96CF6B1C}"/>
    <cellStyle name="SAPBEXHLevel0X 8 2 4" xfId="26880" xr:uid="{00000000-0005-0000-0000-0000696C0000}"/>
    <cellStyle name="SAPBEXHLevel0X 8 2 4 2" xfId="31641" xr:uid="{C6DA789A-0188-4E0D-83E8-7D30E4E32F11}"/>
    <cellStyle name="SAPBEXHLevel0X 8 2 5" xfId="29727" xr:uid="{00000000-0005-0000-0000-00006A6C0000}"/>
    <cellStyle name="SAPBEXHLevel0X 8 2 6" xfId="30503" xr:uid="{678118E3-6C7F-46A8-BBB6-0661A4177810}"/>
    <cellStyle name="SAPBEXHLevel0X 8 3" xfId="25705" xr:uid="{00000000-0005-0000-0000-00006B6C0000}"/>
    <cellStyle name="SAPBEXHLevel0X 8 3 2" xfId="27858" xr:uid="{00000000-0005-0000-0000-00006C6C0000}"/>
    <cellStyle name="SAPBEXHLevel0X 8 3 2 2" xfId="32445" xr:uid="{25D50D69-590C-4542-ABE3-554C0E4E8B1C}"/>
    <cellStyle name="SAPBEXHLevel0X 8 3 3" xfId="28176" xr:uid="{00000000-0005-0000-0000-00006D6C0000}"/>
    <cellStyle name="SAPBEXHLevel0X 8 3 3 2" xfId="32734" xr:uid="{3D745FB5-282F-4BD1-8A63-82FB137F6EB4}"/>
    <cellStyle name="SAPBEXHLevel0X 8 3 4" xfId="26264" xr:uid="{00000000-0005-0000-0000-00006E6C0000}"/>
    <cellStyle name="SAPBEXHLevel0X 8 3 4 2" xfId="31052" xr:uid="{04AA47A5-EBE8-4871-BC24-D9A34B27E01C}"/>
    <cellStyle name="SAPBEXHLevel0X 8 3 5" xfId="29728" xr:uid="{00000000-0005-0000-0000-00006F6C0000}"/>
    <cellStyle name="SAPBEXHLevel0X 8 3 6" xfId="30699" xr:uid="{FC6D1F86-5390-4172-9FF6-41901158B0A1}"/>
    <cellStyle name="SAPBEXHLevel0X 8 4" xfId="27392" xr:uid="{00000000-0005-0000-0000-0000706C0000}"/>
    <cellStyle name="SAPBEXHLevel0X 8 4 2" xfId="31990" xr:uid="{9A0D3281-A4A8-409E-8BD4-4378661193A2}"/>
    <cellStyle name="SAPBEXHLevel0X 8 5" xfId="28174" xr:uid="{00000000-0005-0000-0000-0000716C0000}"/>
    <cellStyle name="SAPBEXHLevel0X 8 5 2" xfId="32732" xr:uid="{B5402E2C-5FDC-4A10-AA3E-62AA613FF1C8}"/>
    <cellStyle name="SAPBEXHLevel0X 8 6" xfId="26111" xr:uid="{00000000-0005-0000-0000-0000726C0000}"/>
    <cellStyle name="SAPBEXHLevel0X 8 6 2" xfId="30901" xr:uid="{2F09EA3F-8055-445B-8CD0-1CC67F59C062}"/>
    <cellStyle name="SAPBEXHLevel0X 8 7" xfId="29726" xr:uid="{00000000-0005-0000-0000-0000736C0000}"/>
    <cellStyle name="SAPBEXHLevel0X 8 8" xfId="30407" xr:uid="{523FF7FA-57A0-4188-B745-6F27D7490531}"/>
    <cellStyle name="SAPBEXHLevel0X 9" xfId="25838" xr:uid="{00000000-0005-0000-0000-0000746C0000}"/>
    <cellStyle name="SAPBEXHLevel0X 9 2" xfId="30757" xr:uid="{C49C4BA4-AC42-40A0-B920-349A4428373A}"/>
    <cellStyle name="SAPBEXHLevel1" xfId="111" xr:uid="{00000000-0005-0000-0000-0000756C0000}"/>
    <cellStyle name="SAPBEXHLevel1 10" xfId="28177" xr:uid="{00000000-0005-0000-0000-0000766C0000}"/>
    <cellStyle name="SAPBEXHLevel1 10 2" xfId="32735" xr:uid="{37F3A5AF-0A15-4A23-8425-2C49646877DC}"/>
    <cellStyle name="SAPBEXHLevel1 11" xfId="26237" xr:uid="{00000000-0005-0000-0000-0000776C0000}"/>
    <cellStyle name="SAPBEXHLevel1 11 2" xfId="31025" xr:uid="{2E2E0EB5-33E7-4DAD-88F8-AC3EB45D31E8}"/>
    <cellStyle name="SAPBEXHLevel1 12" xfId="29729" xr:uid="{00000000-0005-0000-0000-0000786C0000}"/>
    <cellStyle name="SAPBEXHLevel1 2" xfId="112" xr:uid="{00000000-0005-0000-0000-0000796C0000}"/>
    <cellStyle name="SAPBEXHLevel1 2 2" xfId="13646" xr:uid="{00000000-0005-0000-0000-00007A6C0000}"/>
    <cellStyle name="SAPBEXHLevel1 2 2 2" xfId="25484" xr:uid="{00000000-0005-0000-0000-00007B6C0000}"/>
    <cellStyle name="SAPBEXHLevel1 2 2 2 2" xfId="27637" xr:uid="{00000000-0005-0000-0000-00007C6C0000}"/>
    <cellStyle name="SAPBEXHLevel1 2 2 2 2 2" xfId="32224" xr:uid="{DFC5A54A-443D-4DF0-94D6-6B1E2F82958B}"/>
    <cellStyle name="SAPBEXHLevel1 2 2 2 3" xfId="28180" xr:uid="{00000000-0005-0000-0000-00007D6C0000}"/>
    <cellStyle name="SAPBEXHLevel1 2 2 2 3 2" xfId="32738" xr:uid="{6CB7EB5E-9A35-49F6-8681-B48EA59DBFE2}"/>
    <cellStyle name="SAPBEXHLevel1 2 2 2 4" xfId="26132" xr:uid="{00000000-0005-0000-0000-00007E6C0000}"/>
    <cellStyle name="SAPBEXHLevel1 2 2 2 4 2" xfId="30922" xr:uid="{0AC7EB48-D657-4E5F-B1D2-9B73FF0EF68A}"/>
    <cellStyle name="SAPBEXHLevel1 2 2 2 5" xfId="29732" xr:uid="{00000000-0005-0000-0000-00007F6C0000}"/>
    <cellStyle name="SAPBEXHLevel1 2 2 3" xfId="26588" xr:uid="{00000000-0005-0000-0000-0000806C0000}"/>
    <cellStyle name="SAPBEXHLevel1 2 2 3 2" xfId="31366" xr:uid="{13864618-243F-4E99-AAF5-FA569E630D83}"/>
    <cellStyle name="SAPBEXHLevel1 2 2 4" xfId="28179" xr:uid="{00000000-0005-0000-0000-0000816C0000}"/>
    <cellStyle name="SAPBEXHLevel1 2 2 4 2" xfId="32737" xr:uid="{A6ABC6E5-E31A-4C8D-9188-94C8C2D5146A}"/>
    <cellStyle name="SAPBEXHLevel1 2 2 5" xfId="26550" xr:uid="{00000000-0005-0000-0000-0000826C0000}"/>
    <cellStyle name="SAPBEXHLevel1 2 2 5 2" xfId="31337" xr:uid="{B7375025-1182-4248-89B6-7C6FD542E755}"/>
    <cellStyle name="SAPBEXHLevel1 2 2 6" xfId="29731" xr:uid="{00000000-0005-0000-0000-0000836C0000}"/>
    <cellStyle name="SAPBEXHLevel1 2 2 7" xfId="30186" xr:uid="{6DA7BEC0-59EF-4ACD-8A71-8BB4085291C0}"/>
    <cellStyle name="SAPBEXHLevel1 2 3" xfId="24257" xr:uid="{00000000-0005-0000-0000-0000846C0000}"/>
    <cellStyle name="SAPBEXHLevel1 2 3 2" xfId="25579" xr:uid="{00000000-0005-0000-0000-0000856C0000}"/>
    <cellStyle name="SAPBEXHLevel1 2 3 2 2" xfId="27732" xr:uid="{00000000-0005-0000-0000-0000866C0000}"/>
    <cellStyle name="SAPBEXHLevel1 2 3 2 2 2" xfId="32319" xr:uid="{3593C65A-BD20-4AFC-A12B-8A5CE504E339}"/>
    <cellStyle name="SAPBEXHLevel1 2 3 2 3" xfId="28182" xr:uid="{00000000-0005-0000-0000-0000876C0000}"/>
    <cellStyle name="SAPBEXHLevel1 2 3 2 3 2" xfId="32740" xr:uid="{AC585BD9-7EE7-4B2F-9778-5597CBC9AE6C}"/>
    <cellStyle name="SAPBEXHLevel1 2 3 2 4" xfId="26511" xr:uid="{00000000-0005-0000-0000-0000886C0000}"/>
    <cellStyle name="SAPBEXHLevel1 2 3 2 4 2" xfId="31299" xr:uid="{4E557B10-347B-4683-BBF5-D2D143A244B6}"/>
    <cellStyle name="SAPBEXHLevel1 2 3 2 5" xfId="29734" xr:uid="{00000000-0005-0000-0000-0000896C0000}"/>
    <cellStyle name="SAPBEXHLevel1 2 3 3" xfId="27112" xr:uid="{00000000-0005-0000-0000-00008A6C0000}"/>
    <cellStyle name="SAPBEXHLevel1 2 3 3 2" xfId="31830" xr:uid="{E4F4A20C-67D9-4126-9C77-A3B1C410DD78}"/>
    <cellStyle name="SAPBEXHLevel1 2 3 4" xfId="28181" xr:uid="{00000000-0005-0000-0000-00008B6C0000}"/>
    <cellStyle name="SAPBEXHLevel1 2 3 4 2" xfId="32739" xr:uid="{FCDDB992-686E-4B5B-924A-FE64F39CD009}"/>
    <cellStyle name="SAPBEXHLevel1 2 3 5" xfId="26037" xr:uid="{00000000-0005-0000-0000-00008C6C0000}"/>
    <cellStyle name="SAPBEXHLevel1 2 3 5 2" xfId="30838" xr:uid="{C36C8373-0240-41E3-B0E1-1C78CD678D2A}"/>
    <cellStyle name="SAPBEXHLevel1 2 3 6" xfId="29733" xr:uid="{00000000-0005-0000-0000-00008D6C0000}"/>
    <cellStyle name="SAPBEXHLevel1 2 3 7" xfId="30281" xr:uid="{DF3EC625-0F63-423D-960E-BE79309EF40A}"/>
    <cellStyle name="SAPBEXHLevel1 2 4" xfId="24662" xr:uid="{00000000-0005-0000-0000-00008E6C0000}"/>
    <cellStyle name="SAPBEXHLevel1 2 4 2" xfId="25308" xr:uid="{00000000-0005-0000-0000-00008F6C0000}"/>
    <cellStyle name="SAPBEXHLevel1 2 4 2 2" xfId="27462" xr:uid="{00000000-0005-0000-0000-0000906C0000}"/>
    <cellStyle name="SAPBEXHLevel1 2 4 2 2 2" xfId="32054" xr:uid="{8A7FBA83-8AC8-48C4-8AE6-6D796304B853}"/>
    <cellStyle name="SAPBEXHLevel1 2 4 2 3" xfId="28184" xr:uid="{00000000-0005-0000-0000-0000916C0000}"/>
    <cellStyle name="SAPBEXHLevel1 2 4 2 3 2" xfId="32742" xr:uid="{241F142A-8C59-4962-81A7-229D9548B3FB}"/>
    <cellStyle name="SAPBEXHLevel1 2 4 2 4" xfId="26999" xr:uid="{00000000-0005-0000-0000-0000926C0000}"/>
    <cellStyle name="SAPBEXHLevel1 2 4 2 4 2" xfId="31760" xr:uid="{5DF48B92-0B12-4BF5-A80F-355711F1DAB2}"/>
    <cellStyle name="SAPBEXHLevel1 2 4 2 5" xfId="29736" xr:uid="{00000000-0005-0000-0000-0000936C0000}"/>
    <cellStyle name="SAPBEXHLevel1 2 4 2 6" xfId="30467" xr:uid="{83E894F2-3052-4D51-9900-CB4728E161C8}"/>
    <cellStyle name="SAPBEXHLevel1 2 4 3" xfId="25628" xr:uid="{00000000-0005-0000-0000-0000946C0000}"/>
    <cellStyle name="SAPBEXHLevel1 2 4 3 2" xfId="27781" xr:uid="{00000000-0005-0000-0000-0000956C0000}"/>
    <cellStyle name="SAPBEXHLevel1 2 4 3 2 2" xfId="32368" xr:uid="{5A62E6A9-3593-4059-B29A-4EC70F90CEC0}"/>
    <cellStyle name="SAPBEXHLevel1 2 4 3 3" xfId="28185" xr:uid="{00000000-0005-0000-0000-0000966C0000}"/>
    <cellStyle name="SAPBEXHLevel1 2 4 3 3 2" xfId="32743" xr:uid="{90158B03-5E5E-4EC9-997D-17895142E36A}"/>
    <cellStyle name="SAPBEXHLevel1 2 4 3 4" xfId="26885" xr:uid="{00000000-0005-0000-0000-0000976C0000}"/>
    <cellStyle name="SAPBEXHLevel1 2 4 3 4 2" xfId="31646" xr:uid="{AC025541-845B-4094-8348-D3E988EF9CE0}"/>
    <cellStyle name="SAPBEXHLevel1 2 4 3 5" xfId="29737" xr:uid="{00000000-0005-0000-0000-0000986C0000}"/>
    <cellStyle name="SAPBEXHLevel1 2 4 4" xfId="27255" xr:uid="{00000000-0005-0000-0000-0000996C0000}"/>
    <cellStyle name="SAPBEXHLevel1 2 4 4 2" xfId="31890" xr:uid="{5910CF6A-1FFB-45B6-A101-6D96F5830DFF}"/>
    <cellStyle name="SAPBEXHLevel1 2 4 5" xfId="28183" xr:uid="{00000000-0005-0000-0000-00009A6C0000}"/>
    <cellStyle name="SAPBEXHLevel1 2 4 5 2" xfId="32741" xr:uid="{8F4F928E-C2A5-4D8C-8472-F4F18D43E841}"/>
    <cellStyle name="SAPBEXHLevel1 2 4 6" xfId="26924" xr:uid="{00000000-0005-0000-0000-00009B6C0000}"/>
    <cellStyle name="SAPBEXHLevel1 2 4 6 2" xfId="31685" xr:uid="{5640BF9D-E594-4E3B-A0E7-C7B774BDED35}"/>
    <cellStyle name="SAPBEXHLevel1 2 4 7" xfId="29735" xr:uid="{00000000-0005-0000-0000-00009C6C0000}"/>
    <cellStyle name="SAPBEXHLevel1 2 4 8" xfId="30330" xr:uid="{8B84CE7C-F10F-4B96-A279-686E6CCA28F1}"/>
    <cellStyle name="SAPBEXHLevel1 2 5" xfId="25111" xr:uid="{00000000-0005-0000-0000-00009D6C0000}"/>
    <cellStyle name="SAPBEXHLevel1 2 5 2" xfId="25283" xr:uid="{00000000-0005-0000-0000-00009E6C0000}"/>
    <cellStyle name="SAPBEXHLevel1 2 5 2 2" xfId="27438" xr:uid="{00000000-0005-0000-0000-00009F6C0000}"/>
    <cellStyle name="SAPBEXHLevel1 2 5 2 2 2" xfId="32033" xr:uid="{6CCD872E-78C7-4454-8AD9-C742E2304ED5}"/>
    <cellStyle name="SAPBEXHLevel1 2 5 2 3" xfId="28187" xr:uid="{00000000-0005-0000-0000-0000A06C0000}"/>
    <cellStyle name="SAPBEXHLevel1 2 5 2 3 2" xfId="32745" xr:uid="{5CB14505-6043-4910-87BD-6DA93BBAF85E}"/>
    <cellStyle name="SAPBEXHLevel1 2 5 2 4" xfId="27360" xr:uid="{00000000-0005-0000-0000-0000A16C0000}"/>
    <cellStyle name="SAPBEXHLevel1 2 5 2 4 2" xfId="31958" xr:uid="{FFBBF117-F79E-4D41-9E7F-CD7AD538100E}"/>
    <cellStyle name="SAPBEXHLevel1 2 5 2 5" xfId="29739" xr:uid="{00000000-0005-0000-0000-0000A26C0000}"/>
    <cellStyle name="SAPBEXHLevel1 2 5 2 6" xfId="30446" xr:uid="{469E4B61-E977-4A25-AC2D-D45AA929C45F}"/>
    <cellStyle name="SAPBEXHLevel1 2 5 3" xfId="25709" xr:uid="{00000000-0005-0000-0000-0000A36C0000}"/>
    <cellStyle name="SAPBEXHLevel1 2 5 3 2" xfId="27862" xr:uid="{00000000-0005-0000-0000-0000A46C0000}"/>
    <cellStyle name="SAPBEXHLevel1 2 5 3 2 2" xfId="32449" xr:uid="{E5418F4C-D047-471F-8731-91273E01DB83}"/>
    <cellStyle name="SAPBEXHLevel1 2 5 3 3" xfId="28188" xr:uid="{00000000-0005-0000-0000-0000A56C0000}"/>
    <cellStyle name="SAPBEXHLevel1 2 5 3 3 2" xfId="32746" xr:uid="{2A3B5FE6-B163-4901-B678-F0E279F30BCC}"/>
    <cellStyle name="SAPBEXHLevel1 2 5 3 4" xfId="26152" xr:uid="{00000000-0005-0000-0000-0000A66C0000}"/>
    <cellStyle name="SAPBEXHLevel1 2 5 3 4 2" xfId="30941" xr:uid="{9C79D5F3-9B17-4006-A1D0-80A3264B0D85}"/>
    <cellStyle name="SAPBEXHLevel1 2 5 3 5" xfId="29740" xr:uid="{00000000-0005-0000-0000-0000A76C0000}"/>
    <cellStyle name="SAPBEXHLevel1 2 5 3 6" xfId="30703" xr:uid="{9E2D8A9C-F394-489E-919A-51F9D1B02AF5}"/>
    <cellStyle name="SAPBEXHLevel1 2 5 4" xfId="27396" xr:uid="{00000000-0005-0000-0000-0000A86C0000}"/>
    <cellStyle name="SAPBEXHLevel1 2 5 4 2" xfId="31994" xr:uid="{C7D08C3D-0966-4FAF-A830-28A5142A0708}"/>
    <cellStyle name="SAPBEXHLevel1 2 5 5" xfId="28186" xr:uid="{00000000-0005-0000-0000-0000A96C0000}"/>
    <cellStyle name="SAPBEXHLevel1 2 5 5 2" xfId="32744" xr:uid="{E45FD71A-4249-4247-A597-99F5075B9480}"/>
    <cellStyle name="SAPBEXHLevel1 2 5 6" xfId="27362" xr:uid="{00000000-0005-0000-0000-0000AA6C0000}"/>
    <cellStyle name="SAPBEXHLevel1 2 5 6 2" xfId="31960" xr:uid="{A07C6991-C7A7-4E53-A1AC-93E6AD85A7FE}"/>
    <cellStyle name="SAPBEXHLevel1 2 5 7" xfId="29738" xr:uid="{00000000-0005-0000-0000-0000AB6C0000}"/>
    <cellStyle name="SAPBEXHLevel1 2 5 8" xfId="30411" xr:uid="{D4481D37-F6CA-40AA-8E6D-98C58A7345EF}"/>
    <cellStyle name="SAPBEXHLevel1 2 6" xfId="25843" xr:uid="{00000000-0005-0000-0000-0000AC6C0000}"/>
    <cellStyle name="SAPBEXHLevel1 2 6 2" xfId="30762" xr:uid="{97164975-DA55-4048-99CA-77C10088B929}"/>
    <cellStyle name="SAPBEXHLevel1 2 7" xfId="28178" xr:uid="{00000000-0005-0000-0000-0000AD6C0000}"/>
    <cellStyle name="SAPBEXHLevel1 2 7 2" xfId="32736" xr:uid="{65CE9CA4-9034-432B-8968-EC2EDE919C8E}"/>
    <cellStyle name="SAPBEXHLevel1 2 8" xfId="26838" xr:uid="{00000000-0005-0000-0000-0000AE6C0000}"/>
    <cellStyle name="SAPBEXHLevel1 2 8 2" xfId="31599" xr:uid="{12116D8D-42F2-4DB2-BF75-CD15FAA52E64}"/>
    <cellStyle name="SAPBEXHLevel1 2 9" xfId="29730" xr:uid="{00000000-0005-0000-0000-0000AF6C0000}"/>
    <cellStyle name="SAPBEXHLevel1 3" xfId="113" xr:uid="{00000000-0005-0000-0000-0000B06C0000}"/>
    <cellStyle name="SAPBEXHLevel1 3 2" xfId="13647" xr:uid="{00000000-0005-0000-0000-0000B16C0000}"/>
    <cellStyle name="SAPBEXHLevel1 3 2 2" xfId="25485" xr:uid="{00000000-0005-0000-0000-0000B26C0000}"/>
    <cellStyle name="SAPBEXHLevel1 3 2 2 2" xfId="27638" xr:uid="{00000000-0005-0000-0000-0000B36C0000}"/>
    <cellStyle name="SAPBEXHLevel1 3 2 2 2 2" xfId="32225" xr:uid="{F32B8593-1ECA-4FBC-A6D0-E14EDBD7A277}"/>
    <cellStyle name="SAPBEXHLevel1 3 2 2 3" xfId="28191" xr:uid="{00000000-0005-0000-0000-0000B46C0000}"/>
    <cellStyle name="SAPBEXHLevel1 3 2 2 3 2" xfId="32749" xr:uid="{C126A245-AE2B-414E-840D-3CF863DC3F50}"/>
    <cellStyle name="SAPBEXHLevel1 3 2 2 4" xfId="26881" xr:uid="{00000000-0005-0000-0000-0000B56C0000}"/>
    <cellStyle name="SAPBEXHLevel1 3 2 2 4 2" xfId="31642" xr:uid="{D324096D-0186-464E-A37D-C31CEBF6743C}"/>
    <cellStyle name="SAPBEXHLevel1 3 2 2 5" xfId="29743" xr:uid="{00000000-0005-0000-0000-0000B66C0000}"/>
    <cellStyle name="SAPBEXHLevel1 3 2 3" xfId="26589" xr:uid="{00000000-0005-0000-0000-0000B76C0000}"/>
    <cellStyle name="SAPBEXHLevel1 3 2 3 2" xfId="31367" xr:uid="{54D44143-0702-4CD9-937F-01002BE577A0}"/>
    <cellStyle name="SAPBEXHLevel1 3 2 4" xfId="28190" xr:uid="{00000000-0005-0000-0000-0000B86C0000}"/>
    <cellStyle name="SAPBEXHLevel1 3 2 4 2" xfId="32748" xr:uid="{8C123B53-DB84-4446-BE32-D9CDDC9045E6}"/>
    <cellStyle name="SAPBEXHLevel1 3 2 5" xfId="26079" xr:uid="{00000000-0005-0000-0000-0000B96C0000}"/>
    <cellStyle name="SAPBEXHLevel1 3 2 5 2" xfId="30869" xr:uid="{255D7D5F-B9F0-4480-AB50-1DC0F16E216B}"/>
    <cellStyle name="SAPBEXHLevel1 3 2 6" xfId="29742" xr:uid="{00000000-0005-0000-0000-0000BA6C0000}"/>
    <cellStyle name="SAPBEXHLevel1 3 2 7" xfId="30187" xr:uid="{4400951F-078D-4D6A-BCCB-9A5672B115FD}"/>
    <cellStyle name="SAPBEXHLevel1 3 3" xfId="24258" xr:uid="{00000000-0005-0000-0000-0000BB6C0000}"/>
    <cellStyle name="SAPBEXHLevel1 3 3 2" xfId="25580" xr:uid="{00000000-0005-0000-0000-0000BC6C0000}"/>
    <cellStyle name="SAPBEXHLevel1 3 3 2 2" xfId="27733" xr:uid="{00000000-0005-0000-0000-0000BD6C0000}"/>
    <cellStyle name="SAPBEXHLevel1 3 3 2 2 2" xfId="32320" xr:uid="{D3635781-EA2E-44C0-8F0F-0C88EB4A3517}"/>
    <cellStyle name="SAPBEXHLevel1 3 3 2 3" xfId="28193" xr:uid="{00000000-0005-0000-0000-0000BE6C0000}"/>
    <cellStyle name="SAPBEXHLevel1 3 3 2 3 2" xfId="32751" xr:uid="{AEDCEC19-E766-4398-9140-92DE4B67D2A2}"/>
    <cellStyle name="SAPBEXHLevel1 3 3 2 4" xfId="26495" xr:uid="{00000000-0005-0000-0000-0000BF6C0000}"/>
    <cellStyle name="SAPBEXHLevel1 3 3 2 4 2" xfId="31283" xr:uid="{17E683A1-76D3-446F-879B-BB628C2B98A5}"/>
    <cellStyle name="SAPBEXHLevel1 3 3 2 5" xfId="29745" xr:uid="{00000000-0005-0000-0000-0000C06C0000}"/>
    <cellStyle name="SAPBEXHLevel1 3 3 3" xfId="27113" xr:uid="{00000000-0005-0000-0000-0000C16C0000}"/>
    <cellStyle name="SAPBEXHLevel1 3 3 3 2" xfId="31831" xr:uid="{BF3E599A-8621-4D82-BC0A-546FB6222B46}"/>
    <cellStyle name="SAPBEXHLevel1 3 3 4" xfId="28192" xr:uid="{00000000-0005-0000-0000-0000C26C0000}"/>
    <cellStyle name="SAPBEXHLevel1 3 3 4 2" xfId="32750" xr:uid="{E1CB69D6-95A0-42F6-B79E-087BB2E01584}"/>
    <cellStyle name="SAPBEXHLevel1 3 3 5" xfId="26216" xr:uid="{00000000-0005-0000-0000-0000C36C0000}"/>
    <cellStyle name="SAPBEXHLevel1 3 3 5 2" xfId="31004" xr:uid="{4E0B119C-38CB-4D5A-AFD8-57766B32BFD9}"/>
    <cellStyle name="SAPBEXHLevel1 3 3 6" xfId="29744" xr:uid="{00000000-0005-0000-0000-0000C46C0000}"/>
    <cellStyle name="SAPBEXHLevel1 3 3 7" xfId="30282" xr:uid="{0D46F34F-60CF-4D9A-84FB-9C355E1AF82A}"/>
    <cellStyle name="SAPBEXHLevel1 3 4" xfId="24661" xr:uid="{00000000-0005-0000-0000-0000C56C0000}"/>
    <cellStyle name="SAPBEXHLevel1 3 4 2" xfId="25400" xr:uid="{00000000-0005-0000-0000-0000C66C0000}"/>
    <cellStyle name="SAPBEXHLevel1 3 4 2 2" xfId="27554" xr:uid="{00000000-0005-0000-0000-0000C76C0000}"/>
    <cellStyle name="SAPBEXHLevel1 3 4 2 2 2" xfId="32145" xr:uid="{F0179A9C-151A-43F0-ABC9-E4F91A758A3B}"/>
    <cellStyle name="SAPBEXHLevel1 3 4 2 3" xfId="28195" xr:uid="{00000000-0005-0000-0000-0000C86C0000}"/>
    <cellStyle name="SAPBEXHLevel1 3 4 2 3 2" xfId="32753" xr:uid="{81B4343B-4C15-401D-97C3-8A42D434ABA9}"/>
    <cellStyle name="SAPBEXHLevel1 3 4 2 4" xfId="26135" xr:uid="{00000000-0005-0000-0000-0000C96C0000}"/>
    <cellStyle name="SAPBEXHLevel1 3 4 2 4 2" xfId="30925" xr:uid="{62DD3D26-8C47-4498-A7C1-3BFA20C861BD}"/>
    <cellStyle name="SAPBEXHLevel1 3 4 2 5" xfId="29747" xr:uid="{00000000-0005-0000-0000-0000CA6C0000}"/>
    <cellStyle name="SAPBEXHLevel1 3 4 2 6" xfId="30558" xr:uid="{E12223DB-A5F7-4527-B282-9B6D7E178CC8}"/>
    <cellStyle name="SAPBEXHLevel1 3 4 3" xfId="25627" xr:uid="{00000000-0005-0000-0000-0000CB6C0000}"/>
    <cellStyle name="SAPBEXHLevel1 3 4 3 2" xfId="27780" xr:uid="{00000000-0005-0000-0000-0000CC6C0000}"/>
    <cellStyle name="SAPBEXHLevel1 3 4 3 2 2" xfId="32367" xr:uid="{2C64B025-3F49-4629-A5D8-1D8C38655934}"/>
    <cellStyle name="SAPBEXHLevel1 3 4 3 3" xfId="28196" xr:uid="{00000000-0005-0000-0000-0000CD6C0000}"/>
    <cellStyle name="SAPBEXHLevel1 3 4 3 3 2" xfId="32754" xr:uid="{F9BA6243-0436-41F4-8F3B-55E7AFF1FE59}"/>
    <cellStyle name="SAPBEXHLevel1 3 4 3 4" xfId="27083" xr:uid="{00000000-0005-0000-0000-0000CE6C0000}"/>
    <cellStyle name="SAPBEXHLevel1 3 4 3 4 2" xfId="31807" xr:uid="{AF178533-D10D-4C4F-8641-0E55B940ED66}"/>
    <cellStyle name="SAPBEXHLevel1 3 4 3 5" xfId="29748" xr:uid="{00000000-0005-0000-0000-0000CF6C0000}"/>
    <cellStyle name="SAPBEXHLevel1 3 4 4" xfId="27254" xr:uid="{00000000-0005-0000-0000-0000D06C0000}"/>
    <cellStyle name="SAPBEXHLevel1 3 4 4 2" xfId="31889" xr:uid="{3543FF28-6B41-48E0-BABD-47382BB28A88}"/>
    <cellStyle name="SAPBEXHLevel1 3 4 5" xfId="28194" xr:uid="{00000000-0005-0000-0000-0000D16C0000}"/>
    <cellStyle name="SAPBEXHLevel1 3 4 5 2" xfId="32752" xr:uid="{86283293-0F25-491A-ACC3-732142F075E0}"/>
    <cellStyle name="SAPBEXHLevel1 3 4 6" xfId="26903" xr:uid="{00000000-0005-0000-0000-0000D26C0000}"/>
    <cellStyle name="SAPBEXHLevel1 3 4 6 2" xfId="31664" xr:uid="{6615C61E-3139-46C1-A41A-388F156BA64D}"/>
    <cellStyle name="SAPBEXHLevel1 3 4 7" xfId="29746" xr:uid="{00000000-0005-0000-0000-0000D36C0000}"/>
    <cellStyle name="SAPBEXHLevel1 3 4 8" xfId="30329" xr:uid="{6FE8461A-1E9E-40E8-85CB-3B75CDA2EC87}"/>
    <cellStyle name="SAPBEXHLevel1 3 5" xfId="25112" xr:uid="{00000000-0005-0000-0000-0000D46C0000}"/>
    <cellStyle name="SAPBEXHLevel1 3 5 2" xfId="25366" xr:uid="{00000000-0005-0000-0000-0000D56C0000}"/>
    <cellStyle name="SAPBEXHLevel1 3 5 2 2" xfId="27520" xr:uid="{00000000-0005-0000-0000-0000D66C0000}"/>
    <cellStyle name="SAPBEXHLevel1 3 5 2 2 2" xfId="32111" xr:uid="{D5D2E758-DF6F-43BE-874D-A839FE212441}"/>
    <cellStyle name="SAPBEXHLevel1 3 5 2 3" xfId="28198" xr:uid="{00000000-0005-0000-0000-0000D76C0000}"/>
    <cellStyle name="SAPBEXHLevel1 3 5 2 3 2" xfId="32756" xr:uid="{BD66785C-D3EB-43F1-B87E-6427F2006D3B}"/>
    <cellStyle name="SAPBEXHLevel1 3 5 2 4" xfId="26353" xr:uid="{00000000-0005-0000-0000-0000D86C0000}"/>
    <cellStyle name="SAPBEXHLevel1 3 5 2 4 2" xfId="31141" xr:uid="{269E844A-04D5-43C2-B406-9AD6EB9D331A}"/>
    <cellStyle name="SAPBEXHLevel1 3 5 2 5" xfId="29750" xr:uid="{00000000-0005-0000-0000-0000D96C0000}"/>
    <cellStyle name="SAPBEXHLevel1 3 5 2 6" xfId="30524" xr:uid="{CA7C7067-8A14-4C49-8D5F-C369307841B5}"/>
    <cellStyle name="SAPBEXHLevel1 3 5 3" xfId="25710" xr:uid="{00000000-0005-0000-0000-0000DA6C0000}"/>
    <cellStyle name="SAPBEXHLevel1 3 5 3 2" xfId="27863" xr:uid="{00000000-0005-0000-0000-0000DB6C0000}"/>
    <cellStyle name="SAPBEXHLevel1 3 5 3 2 2" xfId="32450" xr:uid="{BF33C965-2601-4DB7-9661-68E6AE24921B}"/>
    <cellStyle name="SAPBEXHLevel1 3 5 3 3" xfId="28199" xr:uid="{00000000-0005-0000-0000-0000DC6C0000}"/>
    <cellStyle name="SAPBEXHLevel1 3 5 3 3 2" xfId="32757" xr:uid="{AF05C8A7-CA83-4808-A2C7-0FE8BE96EA76}"/>
    <cellStyle name="SAPBEXHLevel1 3 5 3 4" xfId="26427" xr:uid="{00000000-0005-0000-0000-0000DD6C0000}"/>
    <cellStyle name="SAPBEXHLevel1 3 5 3 4 2" xfId="31215" xr:uid="{4E647CD9-E7E8-4BDF-9224-3E00BFB572D2}"/>
    <cellStyle name="SAPBEXHLevel1 3 5 3 5" xfId="29751" xr:uid="{00000000-0005-0000-0000-0000DE6C0000}"/>
    <cellStyle name="SAPBEXHLevel1 3 5 3 6" xfId="30704" xr:uid="{2B9C5F66-DA8A-4F1A-B52A-F8C7EB98E580}"/>
    <cellStyle name="SAPBEXHLevel1 3 5 4" xfId="27397" xr:uid="{00000000-0005-0000-0000-0000DF6C0000}"/>
    <cellStyle name="SAPBEXHLevel1 3 5 4 2" xfId="31995" xr:uid="{D76A2A1B-ACF9-4EBA-8A19-FBFC6BD739F1}"/>
    <cellStyle name="SAPBEXHLevel1 3 5 5" xfId="28197" xr:uid="{00000000-0005-0000-0000-0000E06C0000}"/>
    <cellStyle name="SAPBEXHLevel1 3 5 5 2" xfId="32755" xr:uid="{C5C579BA-0DE5-4B26-811D-377FB58F4C20}"/>
    <cellStyle name="SAPBEXHLevel1 3 5 6" xfId="26743" xr:uid="{00000000-0005-0000-0000-0000E16C0000}"/>
    <cellStyle name="SAPBEXHLevel1 3 5 6 2" xfId="31504" xr:uid="{E3C1C7D2-44A2-46F1-AE29-8367D4E7A14B}"/>
    <cellStyle name="SAPBEXHLevel1 3 5 7" xfId="29749" xr:uid="{00000000-0005-0000-0000-0000E26C0000}"/>
    <cellStyle name="SAPBEXHLevel1 3 5 8" xfId="30412" xr:uid="{4D9BF123-CD66-4C6F-8977-0ADD7964D1DB}"/>
    <cellStyle name="SAPBEXHLevel1 3 6" xfId="25844" xr:uid="{00000000-0005-0000-0000-0000E36C0000}"/>
    <cellStyle name="SAPBEXHLevel1 3 6 2" xfId="30763" xr:uid="{E78567D8-6A70-43CC-935D-D7E606AE6218}"/>
    <cellStyle name="SAPBEXHLevel1 3 7" xfId="28189" xr:uid="{00000000-0005-0000-0000-0000E46C0000}"/>
    <cellStyle name="SAPBEXHLevel1 3 7 2" xfId="32747" xr:uid="{79B59102-3C0E-41D4-A27E-06CC3B072BC6}"/>
    <cellStyle name="SAPBEXHLevel1 3 8" xfId="26311" xr:uid="{00000000-0005-0000-0000-0000E56C0000}"/>
    <cellStyle name="SAPBEXHLevel1 3 8 2" xfId="31099" xr:uid="{DFF4EC3C-54AB-455F-971D-27AC7F7948D4}"/>
    <cellStyle name="SAPBEXHLevel1 3 9" xfId="29741" xr:uid="{00000000-0005-0000-0000-0000E66C0000}"/>
    <cellStyle name="SAPBEXHLevel1 4" xfId="114" xr:uid="{00000000-0005-0000-0000-0000E76C0000}"/>
    <cellStyle name="SAPBEXHLevel1 4 2" xfId="13648" xr:uid="{00000000-0005-0000-0000-0000E86C0000}"/>
    <cellStyle name="SAPBEXHLevel1 4 2 2" xfId="25486" xr:uid="{00000000-0005-0000-0000-0000E96C0000}"/>
    <cellStyle name="SAPBEXHLevel1 4 2 2 2" xfId="27639" xr:uid="{00000000-0005-0000-0000-0000EA6C0000}"/>
    <cellStyle name="SAPBEXHLevel1 4 2 2 2 2" xfId="32226" xr:uid="{4608461E-C690-4022-8366-8610242488AE}"/>
    <cellStyle name="SAPBEXHLevel1 4 2 2 3" xfId="28202" xr:uid="{00000000-0005-0000-0000-0000EB6C0000}"/>
    <cellStyle name="SAPBEXHLevel1 4 2 2 3 2" xfId="32760" xr:uid="{D6EF4494-2980-4890-89EE-5781FC77D246}"/>
    <cellStyle name="SAPBEXHLevel1 4 2 2 4" xfId="26300" xr:uid="{00000000-0005-0000-0000-0000EC6C0000}"/>
    <cellStyle name="SAPBEXHLevel1 4 2 2 4 2" xfId="31088" xr:uid="{E6CF761B-BA3F-460B-A722-B8004BB34B2E}"/>
    <cellStyle name="SAPBEXHLevel1 4 2 2 5" xfId="29754" xr:uid="{00000000-0005-0000-0000-0000ED6C0000}"/>
    <cellStyle name="SAPBEXHLevel1 4 2 3" xfId="26590" xr:uid="{00000000-0005-0000-0000-0000EE6C0000}"/>
    <cellStyle name="SAPBEXHLevel1 4 2 3 2" xfId="31368" xr:uid="{E2B00220-A94E-46FD-8749-793A586F51E1}"/>
    <cellStyle name="SAPBEXHLevel1 4 2 4" xfId="28201" xr:uid="{00000000-0005-0000-0000-0000EF6C0000}"/>
    <cellStyle name="SAPBEXHLevel1 4 2 4 2" xfId="32759" xr:uid="{D6E8ED1A-A6CE-44D8-9FC4-72C950AE60F0}"/>
    <cellStyle name="SAPBEXHLevel1 4 2 5" xfId="26765" xr:uid="{00000000-0005-0000-0000-0000F06C0000}"/>
    <cellStyle name="SAPBEXHLevel1 4 2 5 2" xfId="31526" xr:uid="{6E5CE4CA-B46B-4EBF-8B8D-A399EA06D623}"/>
    <cellStyle name="SAPBEXHLevel1 4 2 6" xfId="29753" xr:uid="{00000000-0005-0000-0000-0000F16C0000}"/>
    <cellStyle name="SAPBEXHLevel1 4 2 7" xfId="30188" xr:uid="{14FADDF8-C325-457C-9868-4A96DC11E421}"/>
    <cellStyle name="SAPBEXHLevel1 4 3" xfId="25845" xr:uid="{00000000-0005-0000-0000-0000F26C0000}"/>
    <cellStyle name="SAPBEXHLevel1 4 3 2" xfId="30764" xr:uid="{E8284A36-D0F1-4D80-8294-985D2CC818D7}"/>
    <cellStyle name="SAPBEXHLevel1 4 4" xfId="28200" xr:uid="{00000000-0005-0000-0000-0000F36C0000}"/>
    <cellStyle name="SAPBEXHLevel1 4 4 2" xfId="32758" xr:uid="{888F82EA-6BF6-4434-AECD-6B720AC91A20}"/>
    <cellStyle name="SAPBEXHLevel1 4 5" xfId="26905" xr:uid="{00000000-0005-0000-0000-0000F46C0000}"/>
    <cellStyle name="SAPBEXHLevel1 4 5 2" xfId="31666" xr:uid="{4893EFDD-4951-4F63-B026-5395EF8849EA}"/>
    <cellStyle name="SAPBEXHLevel1 4 6" xfId="29752" xr:uid="{00000000-0005-0000-0000-0000F56C0000}"/>
    <cellStyle name="SAPBEXHLevel1 5" xfId="252" xr:uid="{00000000-0005-0000-0000-0000F66C0000}"/>
    <cellStyle name="SAPBEXHLevel1 5 2" xfId="13717" xr:uid="{00000000-0005-0000-0000-0000F76C0000}"/>
    <cellStyle name="SAPBEXHLevel1 5 2 2" xfId="25530" xr:uid="{00000000-0005-0000-0000-0000F86C0000}"/>
    <cellStyle name="SAPBEXHLevel1 5 2 2 2" xfId="27683" xr:uid="{00000000-0005-0000-0000-0000F96C0000}"/>
    <cellStyle name="SAPBEXHLevel1 5 2 2 2 2" xfId="32270" xr:uid="{8766F56C-0BB7-4B15-BB7F-7542B9EA79EE}"/>
    <cellStyle name="SAPBEXHLevel1 5 2 2 3" xfId="28205" xr:uid="{00000000-0005-0000-0000-0000FA6C0000}"/>
    <cellStyle name="SAPBEXHLevel1 5 2 2 3 2" xfId="32763" xr:uid="{3AB97583-28E6-44DF-A3D1-56C3EE264E81}"/>
    <cellStyle name="SAPBEXHLevel1 5 2 2 4" xfId="26479" xr:uid="{00000000-0005-0000-0000-0000FB6C0000}"/>
    <cellStyle name="SAPBEXHLevel1 5 2 2 4 2" xfId="31267" xr:uid="{D5D8835B-53EC-4CF7-B78A-33007BAAA280}"/>
    <cellStyle name="SAPBEXHLevel1 5 2 2 5" xfId="29757" xr:uid="{00000000-0005-0000-0000-0000FC6C0000}"/>
    <cellStyle name="SAPBEXHLevel1 5 2 3" xfId="26637" xr:uid="{00000000-0005-0000-0000-0000FD6C0000}"/>
    <cellStyle name="SAPBEXHLevel1 5 2 3 2" xfId="31414" xr:uid="{2BD4C4B7-39DC-4442-9F9A-203CF0B1CEF2}"/>
    <cellStyle name="SAPBEXHLevel1 5 2 4" xfId="28204" xr:uid="{00000000-0005-0000-0000-0000FE6C0000}"/>
    <cellStyle name="SAPBEXHLevel1 5 2 4 2" xfId="32762" xr:uid="{E566C56A-2A05-499D-A275-25D0B1C7B6C0}"/>
    <cellStyle name="SAPBEXHLevel1 5 2 5" xfId="26890" xr:uid="{00000000-0005-0000-0000-0000FF6C0000}"/>
    <cellStyle name="SAPBEXHLevel1 5 2 5 2" xfId="31651" xr:uid="{CCCD9D3E-C44C-40AF-8405-F1A7E0CF18D1}"/>
    <cellStyle name="SAPBEXHLevel1 5 2 6" xfId="29756" xr:uid="{00000000-0005-0000-0000-0000006D0000}"/>
    <cellStyle name="SAPBEXHLevel1 5 2 7" xfId="30232" xr:uid="{AF077EC7-E2FD-4B78-814D-29E96EB68C21}"/>
    <cellStyle name="SAPBEXHLevel1 5 3" xfId="25920" xr:uid="{00000000-0005-0000-0000-0000016D0000}"/>
    <cellStyle name="SAPBEXHLevel1 5 3 2" xfId="30809" xr:uid="{DD7D0190-0B52-496F-9A1D-BE6120C10A8C}"/>
    <cellStyle name="SAPBEXHLevel1 5 4" xfId="28203" xr:uid="{00000000-0005-0000-0000-0000026D0000}"/>
    <cellStyle name="SAPBEXHLevel1 5 4 2" xfId="32761" xr:uid="{D0D971DD-1D16-42DC-9A02-8F4488AC52B3}"/>
    <cellStyle name="SAPBEXHLevel1 5 5" xfId="29218" xr:uid="{00000000-0005-0000-0000-0000036D0000}"/>
    <cellStyle name="SAPBEXHLevel1 5 5 2" xfId="33201" xr:uid="{8E28EB01-CBBD-4541-A801-EC24163D25D5}"/>
    <cellStyle name="SAPBEXHLevel1 5 6" xfId="29755" xr:uid="{00000000-0005-0000-0000-0000046D0000}"/>
    <cellStyle name="SAPBEXHLevel1 6" xfId="13645" xr:uid="{00000000-0005-0000-0000-0000056D0000}"/>
    <cellStyle name="SAPBEXHLevel1 6 2" xfId="25483" xr:uid="{00000000-0005-0000-0000-0000066D0000}"/>
    <cellStyle name="SAPBEXHLevel1 6 2 2" xfId="27636" xr:uid="{00000000-0005-0000-0000-0000076D0000}"/>
    <cellStyle name="SAPBEXHLevel1 6 2 2 2" xfId="32223" xr:uid="{EAC44D98-5E89-4ED3-B23E-1346197F39CF}"/>
    <cellStyle name="SAPBEXHLevel1 6 2 3" xfId="28207" xr:uid="{00000000-0005-0000-0000-0000086D0000}"/>
    <cellStyle name="SAPBEXHLevel1 6 2 3 2" xfId="32765" xr:uid="{E896D2A4-59BE-4EBE-AA25-FDD6F20AB7D0}"/>
    <cellStyle name="SAPBEXHLevel1 6 2 4" xfId="26910" xr:uid="{00000000-0005-0000-0000-0000096D0000}"/>
    <cellStyle name="SAPBEXHLevel1 6 2 4 2" xfId="31671" xr:uid="{309A7D07-7F54-4A53-A3C1-48F06AD3B464}"/>
    <cellStyle name="SAPBEXHLevel1 6 2 5" xfId="29759" xr:uid="{00000000-0005-0000-0000-00000A6D0000}"/>
    <cellStyle name="SAPBEXHLevel1 6 3" xfId="26587" xr:uid="{00000000-0005-0000-0000-00000B6D0000}"/>
    <cellStyle name="SAPBEXHLevel1 6 3 2" xfId="31365" xr:uid="{18475630-9A47-4430-AE21-0B01A1B7E0AD}"/>
    <cellStyle name="SAPBEXHLevel1 6 4" xfId="28206" xr:uid="{00000000-0005-0000-0000-00000C6D0000}"/>
    <cellStyle name="SAPBEXHLevel1 6 4 2" xfId="32764" xr:uid="{1E6AC1F8-6AB4-4B54-9EAD-E95ABA754FA1}"/>
    <cellStyle name="SAPBEXHLevel1 6 5" xfId="26883" xr:uid="{00000000-0005-0000-0000-00000D6D0000}"/>
    <cellStyle name="SAPBEXHLevel1 6 5 2" xfId="31644" xr:uid="{603393B8-632E-4842-8F40-D5167605E4FF}"/>
    <cellStyle name="SAPBEXHLevel1 6 6" xfId="29758" xr:uid="{00000000-0005-0000-0000-00000E6D0000}"/>
    <cellStyle name="SAPBEXHLevel1 6 7" xfId="30185" xr:uid="{2BA1D673-B96A-472C-B632-E7C7E384126D}"/>
    <cellStyle name="SAPBEXHLevel1 7" xfId="24663" xr:uid="{00000000-0005-0000-0000-00000F6D0000}"/>
    <cellStyle name="SAPBEXHLevel1 7 2" xfId="25410" xr:uid="{00000000-0005-0000-0000-0000106D0000}"/>
    <cellStyle name="SAPBEXHLevel1 7 2 2" xfId="27564" xr:uid="{00000000-0005-0000-0000-0000116D0000}"/>
    <cellStyle name="SAPBEXHLevel1 7 2 2 2" xfId="32155" xr:uid="{F45A0540-4E4B-4C04-A136-4FE4521BD6E6}"/>
    <cellStyle name="SAPBEXHLevel1 7 2 3" xfId="28209" xr:uid="{00000000-0005-0000-0000-0000126D0000}"/>
    <cellStyle name="SAPBEXHLevel1 7 2 3 2" xfId="32767" xr:uid="{54861C80-131B-4EE4-A270-1BDD573FF131}"/>
    <cellStyle name="SAPBEXHLevel1 7 2 4" xfId="26775" xr:uid="{00000000-0005-0000-0000-0000136D0000}"/>
    <cellStyle name="SAPBEXHLevel1 7 2 4 2" xfId="31536" xr:uid="{6D89D195-1D6E-48AD-B0FE-AC5D617A6B57}"/>
    <cellStyle name="SAPBEXHLevel1 7 2 5" xfId="29761" xr:uid="{00000000-0005-0000-0000-0000146D0000}"/>
    <cellStyle name="SAPBEXHLevel1 7 2 6" xfId="30568" xr:uid="{F938F919-4448-4C52-A1D9-E219B866EDC7}"/>
    <cellStyle name="SAPBEXHLevel1 7 3" xfId="25629" xr:uid="{00000000-0005-0000-0000-0000156D0000}"/>
    <cellStyle name="SAPBEXHLevel1 7 3 2" xfId="27782" xr:uid="{00000000-0005-0000-0000-0000166D0000}"/>
    <cellStyle name="SAPBEXHLevel1 7 3 2 2" xfId="32369" xr:uid="{E35C3A78-34D8-4E35-B911-EA487034EF82}"/>
    <cellStyle name="SAPBEXHLevel1 7 3 3" xfId="28210" xr:uid="{00000000-0005-0000-0000-0000176D0000}"/>
    <cellStyle name="SAPBEXHLevel1 7 3 3 2" xfId="32768" xr:uid="{A6A48850-1858-4E57-94E0-B89C6D5A61CB}"/>
    <cellStyle name="SAPBEXHLevel1 7 3 4" xfId="26804" xr:uid="{00000000-0005-0000-0000-0000186D0000}"/>
    <cellStyle name="SAPBEXHLevel1 7 3 4 2" xfId="31565" xr:uid="{6CCDBFA5-2F5C-47AC-9A95-E03C57CD7DF3}"/>
    <cellStyle name="SAPBEXHLevel1 7 3 5" xfId="29762" xr:uid="{00000000-0005-0000-0000-0000196D0000}"/>
    <cellStyle name="SAPBEXHLevel1 7 4" xfId="27256" xr:uid="{00000000-0005-0000-0000-00001A6D0000}"/>
    <cellStyle name="SAPBEXHLevel1 7 4 2" xfId="31891" xr:uid="{CC7F1964-08AB-4118-B9C8-FE34027EB624}"/>
    <cellStyle name="SAPBEXHLevel1 7 5" xfId="28208" xr:uid="{00000000-0005-0000-0000-00001B6D0000}"/>
    <cellStyle name="SAPBEXHLevel1 7 5 2" xfId="32766" xr:uid="{8ED4E45B-CE91-4240-B360-C9D6637DF3B8}"/>
    <cellStyle name="SAPBEXHLevel1 7 6" xfId="26257" xr:uid="{00000000-0005-0000-0000-00001C6D0000}"/>
    <cellStyle name="SAPBEXHLevel1 7 6 2" xfId="31045" xr:uid="{B9A5DC6D-01E9-4570-B004-6CDFADEE71D7}"/>
    <cellStyle name="SAPBEXHLevel1 7 7" xfId="29760" xr:uid="{00000000-0005-0000-0000-00001D6D0000}"/>
    <cellStyle name="SAPBEXHLevel1 7 8" xfId="30331" xr:uid="{64882B99-1ACC-4C4E-B205-CAC470EA2593}"/>
    <cellStyle name="SAPBEXHLevel1 8" xfId="25110" xr:uid="{00000000-0005-0000-0000-00001E6D0000}"/>
    <cellStyle name="SAPBEXHLevel1 8 2" xfId="25297" xr:uid="{00000000-0005-0000-0000-00001F6D0000}"/>
    <cellStyle name="SAPBEXHLevel1 8 2 2" xfId="27451" xr:uid="{00000000-0005-0000-0000-0000206D0000}"/>
    <cellStyle name="SAPBEXHLevel1 8 2 2 2" xfId="32043" xr:uid="{E7839641-7F68-4164-AE4A-52F31B3951DF}"/>
    <cellStyle name="SAPBEXHLevel1 8 2 3" xfId="28212" xr:uid="{00000000-0005-0000-0000-0000216D0000}"/>
    <cellStyle name="SAPBEXHLevel1 8 2 3 2" xfId="32770" xr:uid="{D1774BB1-D6C6-4FC6-82DB-842A7D0A3E7C}"/>
    <cellStyle name="SAPBEXHLevel1 8 2 4" xfId="26269" xr:uid="{00000000-0005-0000-0000-0000226D0000}"/>
    <cellStyle name="SAPBEXHLevel1 8 2 4 2" xfId="31057" xr:uid="{AB52B957-ED78-4B61-AC72-6D3434AEB2A7}"/>
    <cellStyle name="SAPBEXHLevel1 8 2 5" xfId="29764" xr:uid="{00000000-0005-0000-0000-0000236D0000}"/>
    <cellStyle name="SAPBEXHLevel1 8 2 6" xfId="30456" xr:uid="{5E994DED-9EEC-4995-B24B-8EBEA31CB354}"/>
    <cellStyle name="SAPBEXHLevel1 8 3" xfId="25708" xr:uid="{00000000-0005-0000-0000-0000246D0000}"/>
    <cellStyle name="SAPBEXHLevel1 8 3 2" xfId="27861" xr:uid="{00000000-0005-0000-0000-0000256D0000}"/>
    <cellStyle name="SAPBEXHLevel1 8 3 2 2" xfId="32448" xr:uid="{C3ADF7B3-26EB-40BC-9D30-4A0886D04267}"/>
    <cellStyle name="SAPBEXHLevel1 8 3 3" xfId="28213" xr:uid="{00000000-0005-0000-0000-0000266D0000}"/>
    <cellStyle name="SAPBEXHLevel1 8 3 3 2" xfId="32771" xr:uid="{BEEE8DFF-7CC5-4D6E-9449-34263571CCB1}"/>
    <cellStyle name="SAPBEXHLevel1 8 3 4" xfId="26460" xr:uid="{00000000-0005-0000-0000-0000276D0000}"/>
    <cellStyle name="SAPBEXHLevel1 8 3 4 2" xfId="31248" xr:uid="{3FC5B51D-0EFC-4F82-91D8-EA678657E706}"/>
    <cellStyle name="SAPBEXHLevel1 8 3 5" xfId="29765" xr:uid="{00000000-0005-0000-0000-0000286D0000}"/>
    <cellStyle name="SAPBEXHLevel1 8 3 6" xfId="30702" xr:uid="{207CDC33-1F1A-4F8A-A002-ACD2B72CD500}"/>
    <cellStyle name="SAPBEXHLevel1 8 4" xfId="27395" xr:uid="{00000000-0005-0000-0000-0000296D0000}"/>
    <cellStyle name="SAPBEXHLevel1 8 4 2" xfId="31993" xr:uid="{F664371A-6249-404C-8311-94F1C27F77DB}"/>
    <cellStyle name="SAPBEXHLevel1 8 5" xfId="28211" xr:uid="{00000000-0005-0000-0000-00002A6D0000}"/>
    <cellStyle name="SAPBEXHLevel1 8 5 2" xfId="32769" xr:uid="{3817C8C8-E913-4F5C-BE2B-7876E48C72E1}"/>
    <cellStyle name="SAPBEXHLevel1 8 6" xfId="26464" xr:uid="{00000000-0005-0000-0000-00002B6D0000}"/>
    <cellStyle name="SAPBEXHLevel1 8 6 2" xfId="31252" xr:uid="{E9B0C959-214F-4F77-B077-7D70665D8DB7}"/>
    <cellStyle name="SAPBEXHLevel1 8 7" xfId="29763" xr:uid="{00000000-0005-0000-0000-00002C6D0000}"/>
    <cellStyle name="SAPBEXHLevel1 8 8" xfId="30410" xr:uid="{C87DB49F-8B07-4588-9366-CF133567B34C}"/>
    <cellStyle name="SAPBEXHLevel1 9" xfId="25842" xr:uid="{00000000-0005-0000-0000-00002D6D0000}"/>
    <cellStyle name="SAPBEXHLevel1 9 2" xfId="30761" xr:uid="{647A2604-0CCC-4DAD-99E8-0DF2B6B33B04}"/>
    <cellStyle name="SAPBEXHLevel1X" xfId="115" xr:uid="{00000000-0005-0000-0000-00002E6D0000}"/>
    <cellStyle name="SAPBEXHLevel1X 10" xfId="28214" xr:uid="{00000000-0005-0000-0000-00002F6D0000}"/>
    <cellStyle name="SAPBEXHLevel1X 10 2" xfId="32772" xr:uid="{1D1BF7D4-E181-484E-B919-7D0A67983C96}"/>
    <cellStyle name="SAPBEXHLevel1X 11" xfId="26381" xr:uid="{00000000-0005-0000-0000-0000306D0000}"/>
    <cellStyle name="SAPBEXHLevel1X 11 2" xfId="31169" xr:uid="{23E06D12-96F2-425C-9808-BAE86DF7E3B5}"/>
    <cellStyle name="SAPBEXHLevel1X 12" xfId="29766" xr:uid="{00000000-0005-0000-0000-0000316D0000}"/>
    <cellStyle name="SAPBEXHLevel1X 2" xfId="116" xr:uid="{00000000-0005-0000-0000-0000326D0000}"/>
    <cellStyle name="SAPBEXHLevel1X 2 2" xfId="13650" xr:uid="{00000000-0005-0000-0000-0000336D0000}"/>
    <cellStyle name="SAPBEXHLevel1X 2 2 2" xfId="25488" xr:uid="{00000000-0005-0000-0000-0000346D0000}"/>
    <cellStyle name="SAPBEXHLevel1X 2 2 2 2" xfId="27641" xr:uid="{00000000-0005-0000-0000-0000356D0000}"/>
    <cellStyle name="SAPBEXHLevel1X 2 2 2 2 2" xfId="32228" xr:uid="{A2EC119E-58C5-4A2B-A308-9A575E5E3F4B}"/>
    <cellStyle name="SAPBEXHLevel1X 2 2 2 3" xfId="28217" xr:uid="{00000000-0005-0000-0000-0000366D0000}"/>
    <cellStyle name="SAPBEXHLevel1X 2 2 2 3 2" xfId="32775" xr:uid="{07CB2A6E-6644-426A-937F-B7C44799EB88}"/>
    <cellStyle name="SAPBEXHLevel1X 2 2 2 4" xfId="26401" xr:uid="{00000000-0005-0000-0000-0000376D0000}"/>
    <cellStyle name="SAPBEXHLevel1X 2 2 2 4 2" xfId="31189" xr:uid="{F7379B7B-C189-4EA4-9D2F-4BAD1FCBE37B}"/>
    <cellStyle name="SAPBEXHLevel1X 2 2 2 5" xfId="29769" xr:uid="{00000000-0005-0000-0000-0000386D0000}"/>
    <cellStyle name="SAPBEXHLevel1X 2 2 3" xfId="26592" xr:uid="{00000000-0005-0000-0000-0000396D0000}"/>
    <cellStyle name="SAPBEXHLevel1X 2 2 3 2" xfId="31370" xr:uid="{743B6931-8CB0-47FA-8076-F8BFDE49E039}"/>
    <cellStyle name="SAPBEXHLevel1X 2 2 4" xfId="28216" xr:uid="{00000000-0005-0000-0000-00003A6D0000}"/>
    <cellStyle name="SAPBEXHLevel1X 2 2 4 2" xfId="32774" xr:uid="{1F152AD0-43EC-445F-851C-A448B7A61038}"/>
    <cellStyle name="SAPBEXHLevel1X 2 2 5" xfId="26184" xr:uid="{00000000-0005-0000-0000-00003B6D0000}"/>
    <cellStyle name="SAPBEXHLevel1X 2 2 5 2" xfId="30972" xr:uid="{BAA541BE-DDC1-45A7-8AA3-AF72EBA68F5C}"/>
    <cellStyle name="SAPBEXHLevel1X 2 2 6" xfId="29768" xr:uid="{00000000-0005-0000-0000-00003C6D0000}"/>
    <cellStyle name="SAPBEXHLevel1X 2 2 7" xfId="30190" xr:uid="{033F68AC-B7E5-468D-80A5-9BF792B9725F}"/>
    <cellStyle name="SAPBEXHLevel1X 2 3" xfId="24259" xr:uid="{00000000-0005-0000-0000-00003D6D0000}"/>
    <cellStyle name="SAPBEXHLevel1X 2 3 2" xfId="25581" xr:uid="{00000000-0005-0000-0000-00003E6D0000}"/>
    <cellStyle name="SAPBEXHLevel1X 2 3 2 2" xfId="27734" xr:uid="{00000000-0005-0000-0000-00003F6D0000}"/>
    <cellStyle name="SAPBEXHLevel1X 2 3 2 2 2" xfId="32321" xr:uid="{E93C4436-83E3-4A06-B9AA-13A937B06F87}"/>
    <cellStyle name="SAPBEXHLevel1X 2 3 2 3" xfId="28219" xr:uid="{00000000-0005-0000-0000-0000406D0000}"/>
    <cellStyle name="SAPBEXHLevel1X 2 3 2 3 2" xfId="32777" xr:uid="{FBA9389B-2E0A-45FD-803D-7099ABC30EAD}"/>
    <cellStyle name="SAPBEXHLevel1X 2 3 2 4" xfId="26096" xr:uid="{00000000-0005-0000-0000-0000416D0000}"/>
    <cellStyle name="SAPBEXHLevel1X 2 3 2 4 2" xfId="30886" xr:uid="{12CC5E50-4403-49C8-A24E-01203D759461}"/>
    <cellStyle name="SAPBEXHLevel1X 2 3 2 5" xfId="29771" xr:uid="{00000000-0005-0000-0000-0000426D0000}"/>
    <cellStyle name="SAPBEXHLevel1X 2 3 3" xfId="27114" xr:uid="{00000000-0005-0000-0000-0000436D0000}"/>
    <cellStyle name="SAPBEXHLevel1X 2 3 3 2" xfId="31832" xr:uid="{6CE510F7-9B1A-4C7C-940A-2D5709CFAF37}"/>
    <cellStyle name="SAPBEXHLevel1X 2 3 4" xfId="28218" xr:uid="{00000000-0005-0000-0000-0000446D0000}"/>
    <cellStyle name="SAPBEXHLevel1X 2 3 4 2" xfId="32776" xr:uid="{675FB070-9E4F-4A46-8A8C-C279F6C8E6B2}"/>
    <cellStyle name="SAPBEXHLevel1X 2 3 5" xfId="27028" xr:uid="{00000000-0005-0000-0000-0000456D0000}"/>
    <cellStyle name="SAPBEXHLevel1X 2 3 5 2" xfId="31788" xr:uid="{C5354754-E660-4596-8E3B-2C541FDF8E27}"/>
    <cellStyle name="SAPBEXHLevel1X 2 3 6" xfId="29770" xr:uid="{00000000-0005-0000-0000-0000466D0000}"/>
    <cellStyle name="SAPBEXHLevel1X 2 3 7" xfId="30283" xr:uid="{FEB7EFA6-C7F0-4C5D-BDBC-1DE7D958E1DE}"/>
    <cellStyle name="SAPBEXHLevel1X 2 4" xfId="24659" xr:uid="{00000000-0005-0000-0000-0000476D0000}"/>
    <cellStyle name="SAPBEXHLevel1X 2 4 2" xfId="25371" xr:uid="{00000000-0005-0000-0000-0000486D0000}"/>
    <cellStyle name="SAPBEXHLevel1X 2 4 2 2" xfId="27525" xr:uid="{00000000-0005-0000-0000-0000496D0000}"/>
    <cellStyle name="SAPBEXHLevel1X 2 4 2 2 2" xfId="32116" xr:uid="{296BEE4C-2A24-4E5A-987A-F8983FD4AE8C}"/>
    <cellStyle name="SAPBEXHLevel1X 2 4 2 3" xfId="28221" xr:uid="{00000000-0005-0000-0000-00004A6D0000}"/>
    <cellStyle name="SAPBEXHLevel1X 2 4 2 3 2" xfId="32779" xr:uid="{95A9F57A-65AA-4763-B93C-B131FFE7759A}"/>
    <cellStyle name="SAPBEXHLevel1X 2 4 2 4" xfId="26063" xr:uid="{00000000-0005-0000-0000-00004B6D0000}"/>
    <cellStyle name="SAPBEXHLevel1X 2 4 2 4 2" xfId="30853" xr:uid="{E6865548-A8E2-45D2-A109-6A32724CF8F1}"/>
    <cellStyle name="SAPBEXHLevel1X 2 4 2 5" xfId="29773" xr:uid="{00000000-0005-0000-0000-00004C6D0000}"/>
    <cellStyle name="SAPBEXHLevel1X 2 4 2 6" xfId="30529" xr:uid="{1694F7CD-FC66-4021-960D-F743C279E5DF}"/>
    <cellStyle name="SAPBEXHLevel1X 2 4 3" xfId="25625" xr:uid="{00000000-0005-0000-0000-00004D6D0000}"/>
    <cellStyle name="SAPBEXHLevel1X 2 4 3 2" xfId="27778" xr:uid="{00000000-0005-0000-0000-00004E6D0000}"/>
    <cellStyle name="SAPBEXHLevel1X 2 4 3 2 2" xfId="32365" xr:uid="{A1167B73-627E-4782-A7AB-ECB77DBF1146}"/>
    <cellStyle name="SAPBEXHLevel1X 2 4 3 3" xfId="28222" xr:uid="{00000000-0005-0000-0000-00004F6D0000}"/>
    <cellStyle name="SAPBEXHLevel1X 2 4 3 3 2" xfId="32780" xr:uid="{A7FE94E2-317A-4D50-A51B-0A4DD7013358}"/>
    <cellStyle name="SAPBEXHLevel1X 2 4 3 4" xfId="26156" xr:uid="{00000000-0005-0000-0000-0000506D0000}"/>
    <cellStyle name="SAPBEXHLevel1X 2 4 3 4 2" xfId="30945" xr:uid="{FC8698DA-1A1B-415F-8E18-9838FEE9DFAD}"/>
    <cellStyle name="SAPBEXHLevel1X 2 4 3 5" xfId="29774" xr:uid="{00000000-0005-0000-0000-0000516D0000}"/>
    <cellStyle name="SAPBEXHLevel1X 2 4 4" xfId="27252" xr:uid="{00000000-0005-0000-0000-0000526D0000}"/>
    <cellStyle name="SAPBEXHLevel1X 2 4 4 2" xfId="31887" xr:uid="{63AF0984-3E6B-4F43-9EDC-F2A5B8C35EDD}"/>
    <cellStyle name="SAPBEXHLevel1X 2 4 5" xfId="28220" xr:uid="{00000000-0005-0000-0000-0000536D0000}"/>
    <cellStyle name="SAPBEXHLevel1X 2 4 5 2" xfId="32778" xr:uid="{8BA00CCA-6B1A-4F43-8AB7-6A9ADAAEBFEA}"/>
    <cellStyle name="SAPBEXHLevel1X 2 4 6" xfId="26291" xr:uid="{00000000-0005-0000-0000-0000546D0000}"/>
    <cellStyle name="SAPBEXHLevel1X 2 4 6 2" xfId="31079" xr:uid="{F7582C0B-030B-4918-AD38-AAD701B10EB1}"/>
    <cellStyle name="SAPBEXHLevel1X 2 4 7" xfId="29772" xr:uid="{00000000-0005-0000-0000-0000556D0000}"/>
    <cellStyle name="SAPBEXHLevel1X 2 4 8" xfId="30327" xr:uid="{749C977A-905E-4978-83C8-60D23E0E4287}"/>
    <cellStyle name="SAPBEXHLevel1X 2 5" xfId="25114" xr:uid="{00000000-0005-0000-0000-0000566D0000}"/>
    <cellStyle name="SAPBEXHLevel1X 2 5 2" xfId="25394" xr:uid="{00000000-0005-0000-0000-0000576D0000}"/>
    <cellStyle name="SAPBEXHLevel1X 2 5 2 2" xfId="27548" xr:uid="{00000000-0005-0000-0000-0000586D0000}"/>
    <cellStyle name="SAPBEXHLevel1X 2 5 2 2 2" xfId="32139" xr:uid="{0302BD5D-67E8-4FE3-B0C1-9C25DC03CC4D}"/>
    <cellStyle name="SAPBEXHLevel1X 2 5 2 3" xfId="28224" xr:uid="{00000000-0005-0000-0000-0000596D0000}"/>
    <cellStyle name="SAPBEXHLevel1X 2 5 2 3 2" xfId="32782" xr:uid="{9029AD38-AF66-47D0-A0C7-01F9CDA4941F}"/>
    <cellStyle name="SAPBEXHLevel1X 2 5 2 4" xfId="26222" xr:uid="{00000000-0005-0000-0000-00005A6D0000}"/>
    <cellStyle name="SAPBEXHLevel1X 2 5 2 4 2" xfId="31010" xr:uid="{36692383-A3F7-40E5-ACAB-2F689B24EE02}"/>
    <cellStyle name="SAPBEXHLevel1X 2 5 2 5" xfId="29776" xr:uid="{00000000-0005-0000-0000-00005B6D0000}"/>
    <cellStyle name="SAPBEXHLevel1X 2 5 2 6" xfId="30552" xr:uid="{587935BD-CF96-4D08-BF20-8184FBC5ABF1}"/>
    <cellStyle name="SAPBEXHLevel1X 2 5 3" xfId="25712" xr:uid="{00000000-0005-0000-0000-00005C6D0000}"/>
    <cellStyle name="SAPBEXHLevel1X 2 5 3 2" xfId="27865" xr:uid="{00000000-0005-0000-0000-00005D6D0000}"/>
    <cellStyle name="SAPBEXHLevel1X 2 5 3 2 2" xfId="32452" xr:uid="{A7DF74C7-D19C-4FD1-99E2-233C4CBC832F}"/>
    <cellStyle name="SAPBEXHLevel1X 2 5 3 3" xfId="28225" xr:uid="{00000000-0005-0000-0000-00005E6D0000}"/>
    <cellStyle name="SAPBEXHLevel1X 2 5 3 3 2" xfId="32783" xr:uid="{8BEA2AFC-56D4-453F-A5B9-1FCD31D1457B}"/>
    <cellStyle name="SAPBEXHLevel1X 2 5 3 4" xfId="27017" xr:uid="{00000000-0005-0000-0000-00005F6D0000}"/>
    <cellStyle name="SAPBEXHLevel1X 2 5 3 4 2" xfId="31777" xr:uid="{35906D14-940A-46C5-81B3-E4E6DC6C7105}"/>
    <cellStyle name="SAPBEXHLevel1X 2 5 3 5" xfId="29777" xr:uid="{00000000-0005-0000-0000-0000606D0000}"/>
    <cellStyle name="SAPBEXHLevel1X 2 5 3 6" xfId="30706" xr:uid="{EB95B417-DC95-45A1-9AB7-EAE90CE10189}"/>
    <cellStyle name="SAPBEXHLevel1X 2 5 4" xfId="27399" xr:uid="{00000000-0005-0000-0000-0000616D0000}"/>
    <cellStyle name="SAPBEXHLevel1X 2 5 4 2" xfId="31997" xr:uid="{FE28787D-F9AD-459E-A7BB-C85F83207FE4}"/>
    <cellStyle name="SAPBEXHLevel1X 2 5 5" xfId="28223" xr:uid="{00000000-0005-0000-0000-0000626D0000}"/>
    <cellStyle name="SAPBEXHLevel1X 2 5 5 2" xfId="32781" xr:uid="{B4052269-6AA5-4358-A743-36342D330D5B}"/>
    <cellStyle name="SAPBEXHLevel1X 2 5 6" xfId="26308" xr:uid="{00000000-0005-0000-0000-0000636D0000}"/>
    <cellStyle name="SAPBEXHLevel1X 2 5 6 2" xfId="31096" xr:uid="{51CD9CC3-9664-42BB-BF8D-0714A9E8FC5A}"/>
    <cellStyle name="SAPBEXHLevel1X 2 5 7" xfId="29775" xr:uid="{00000000-0005-0000-0000-0000646D0000}"/>
    <cellStyle name="SAPBEXHLevel1X 2 5 8" xfId="30414" xr:uid="{8143D987-C63B-4588-8F48-C14DC4ECE823}"/>
    <cellStyle name="SAPBEXHLevel1X 2 6" xfId="25847" xr:uid="{00000000-0005-0000-0000-0000656D0000}"/>
    <cellStyle name="SAPBEXHLevel1X 2 6 2" xfId="30766" xr:uid="{4B4C246A-2F79-4DE8-ACCA-E981D0AC9640}"/>
    <cellStyle name="SAPBEXHLevel1X 2 7" xfId="28215" xr:uid="{00000000-0005-0000-0000-0000666D0000}"/>
    <cellStyle name="SAPBEXHLevel1X 2 7 2" xfId="32773" xr:uid="{9F74968A-1ECF-4840-B4E8-6B4974A91B52}"/>
    <cellStyle name="SAPBEXHLevel1X 2 8" xfId="26968" xr:uid="{00000000-0005-0000-0000-0000676D0000}"/>
    <cellStyle name="SAPBEXHLevel1X 2 8 2" xfId="31729" xr:uid="{E9993BCC-E2B8-45F5-8A35-5FE63CE9EF04}"/>
    <cellStyle name="SAPBEXHLevel1X 2 9" xfId="29767" xr:uid="{00000000-0005-0000-0000-0000686D0000}"/>
    <cellStyle name="SAPBEXHLevel1X 3" xfId="117" xr:uid="{00000000-0005-0000-0000-0000696D0000}"/>
    <cellStyle name="SAPBEXHLevel1X 3 2" xfId="13651" xr:uid="{00000000-0005-0000-0000-00006A6D0000}"/>
    <cellStyle name="SAPBEXHLevel1X 3 2 2" xfId="25489" xr:uid="{00000000-0005-0000-0000-00006B6D0000}"/>
    <cellStyle name="SAPBEXHLevel1X 3 2 2 2" xfId="27642" xr:uid="{00000000-0005-0000-0000-00006C6D0000}"/>
    <cellStyle name="SAPBEXHLevel1X 3 2 2 2 2" xfId="32229" xr:uid="{2A1AC2D3-2EF0-46AB-835B-9AC78B8D91E8}"/>
    <cellStyle name="SAPBEXHLevel1X 3 2 2 3" xfId="28228" xr:uid="{00000000-0005-0000-0000-00006D6D0000}"/>
    <cellStyle name="SAPBEXHLevel1X 3 2 2 3 2" xfId="32786" xr:uid="{FE21A18F-2C49-4101-9A10-2CF9561FF9A2}"/>
    <cellStyle name="SAPBEXHLevel1X 3 2 2 4" xfId="26364" xr:uid="{00000000-0005-0000-0000-00006E6D0000}"/>
    <cellStyle name="SAPBEXHLevel1X 3 2 2 4 2" xfId="31152" xr:uid="{ED4B4AA8-08B5-4AA1-9FEF-9D986313F4F1}"/>
    <cellStyle name="SAPBEXHLevel1X 3 2 2 5" xfId="29780" xr:uid="{00000000-0005-0000-0000-00006F6D0000}"/>
    <cellStyle name="SAPBEXHLevel1X 3 2 3" xfId="26593" xr:uid="{00000000-0005-0000-0000-0000706D0000}"/>
    <cellStyle name="SAPBEXHLevel1X 3 2 3 2" xfId="31371" xr:uid="{E25CEBC2-99B0-4F95-BA3D-98D7E40F6AEB}"/>
    <cellStyle name="SAPBEXHLevel1X 3 2 4" xfId="28227" xr:uid="{00000000-0005-0000-0000-0000716D0000}"/>
    <cellStyle name="SAPBEXHLevel1X 3 2 4 2" xfId="32785" xr:uid="{93E46DAD-5AA9-4CED-8B69-725580AFFB91}"/>
    <cellStyle name="SAPBEXHLevel1X 3 2 5" xfId="26378" xr:uid="{00000000-0005-0000-0000-0000726D0000}"/>
    <cellStyle name="SAPBEXHLevel1X 3 2 5 2" xfId="31166" xr:uid="{B03EFEAB-852B-43A9-A090-8FD8E5209064}"/>
    <cellStyle name="SAPBEXHLevel1X 3 2 6" xfId="29779" xr:uid="{00000000-0005-0000-0000-0000736D0000}"/>
    <cellStyle name="SAPBEXHLevel1X 3 2 7" xfId="30191" xr:uid="{07328008-6BC9-4838-B126-06D3DA013BCF}"/>
    <cellStyle name="SAPBEXHLevel1X 3 3" xfId="24260" xr:uid="{00000000-0005-0000-0000-0000746D0000}"/>
    <cellStyle name="SAPBEXHLevel1X 3 3 2" xfId="25582" xr:uid="{00000000-0005-0000-0000-0000756D0000}"/>
    <cellStyle name="SAPBEXHLevel1X 3 3 2 2" xfId="27735" xr:uid="{00000000-0005-0000-0000-0000766D0000}"/>
    <cellStyle name="SAPBEXHLevel1X 3 3 2 2 2" xfId="32322" xr:uid="{329ED777-D69B-41CB-A466-4CBB5AD04FF0}"/>
    <cellStyle name="SAPBEXHLevel1X 3 3 2 3" xfId="28230" xr:uid="{00000000-0005-0000-0000-0000776D0000}"/>
    <cellStyle name="SAPBEXHLevel1X 3 3 2 3 2" xfId="32788" xr:uid="{A0FA3413-E285-401F-A0D9-8F336AA0307A}"/>
    <cellStyle name="SAPBEXHLevel1X 3 3 2 4" xfId="26244" xr:uid="{00000000-0005-0000-0000-0000786D0000}"/>
    <cellStyle name="SAPBEXHLevel1X 3 3 2 4 2" xfId="31032" xr:uid="{FEC29357-5D12-4E5D-A6F8-61C7926070C8}"/>
    <cellStyle name="SAPBEXHLevel1X 3 3 2 5" xfId="29782" xr:uid="{00000000-0005-0000-0000-0000796D0000}"/>
    <cellStyle name="SAPBEXHLevel1X 3 3 3" xfId="27115" xr:uid="{00000000-0005-0000-0000-00007A6D0000}"/>
    <cellStyle name="SAPBEXHLevel1X 3 3 3 2" xfId="31833" xr:uid="{E98E2570-1D28-451A-8AAD-F9617DF5D53B}"/>
    <cellStyle name="SAPBEXHLevel1X 3 3 4" xfId="28229" xr:uid="{00000000-0005-0000-0000-00007B6D0000}"/>
    <cellStyle name="SAPBEXHLevel1X 3 3 4 2" xfId="32787" xr:uid="{AECEAC6E-8489-4B5C-8E13-06A0F308DA9D}"/>
    <cellStyle name="SAPBEXHLevel1X 3 3 5" xfId="26324" xr:uid="{00000000-0005-0000-0000-00007C6D0000}"/>
    <cellStyle name="SAPBEXHLevel1X 3 3 5 2" xfId="31112" xr:uid="{8D0E32B6-8F12-44B5-BD3D-88C3600F7C91}"/>
    <cellStyle name="SAPBEXHLevel1X 3 3 6" xfId="29781" xr:uid="{00000000-0005-0000-0000-00007D6D0000}"/>
    <cellStyle name="SAPBEXHLevel1X 3 3 7" xfId="30284" xr:uid="{3E88880E-E747-4EDA-9BAB-CD434869B99E}"/>
    <cellStyle name="SAPBEXHLevel1X 3 4" xfId="24658" xr:uid="{00000000-0005-0000-0000-00007E6D0000}"/>
    <cellStyle name="SAPBEXHLevel1X 3 4 2" xfId="25289" xr:uid="{00000000-0005-0000-0000-00007F6D0000}"/>
    <cellStyle name="SAPBEXHLevel1X 3 4 2 2" xfId="27444" xr:uid="{00000000-0005-0000-0000-0000806D0000}"/>
    <cellStyle name="SAPBEXHLevel1X 3 4 2 2 2" xfId="32039" xr:uid="{646EBB07-8BF6-4771-85CA-F5827B0292FA}"/>
    <cellStyle name="SAPBEXHLevel1X 3 4 2 3" xfId="28232" xr:uid="{00000000-0005-0000-0000-0000816D0000}"/>
    <cellStyle name="SAPBEXHLevel1X 3 4 2 3 2" xfId="32790" xr:uid="{E3C5FC84-923E-43AB-83D7-713C0119595D}"/>
    <cellStyle name="SAPBEXHLevel1X 3 4 2 4" xfId="26360" xr:uid="{00000000-0005-0000-0000-0000826D0000}"/>
    <cellStyle name="SAPBEXHLevel1X 3 4 2 4 2" xfId="31148" xr:uid="{A59897E2-6481-4991-89DC-FA0903FD48A3}"/>
    <cellStyle name="SAPBEXHLevel1X 3 4 2 5" xfId="29784" xr:uid="{00000000-0005-0000-0000-0000836D0000}"/>
    <cellStyle name="SAPBEXHLevel1X 3 4 2 6" xfId="30452" xr:uid="{CE796F3A-936D-4BCF-9718-CAD67F1D7544}"/>
    <cellStyle name="SAPBEXHLevel1X 3 4 3" xfId="25624" xr:uid="{00000000-0005-0000-0000-0000846D0000}"/>
    <cellStyle name="SAPBEXHLevel1X 3 4 3 2" xfId="27777" xr:uid="{00000000-0005-0000-0000-0000856D0000}"/>
    <cellStyle name="SAPBEXHLevel1X 3 4 3 2 2" xfId="32364" xr:uid="{2B3E7B29-1140-44F8-BEB8-8D13807414B6}"/>
    <cellStyle name="SAPBEXHLevel1X 3 4 3 3" xfId="28233" xr:uid="{00000000-0005-0000-0000-0000866D0000}"/>
    <cellStyle name="SAPBEXHLevel1X 3 4 3 3 2" xfId="32791" xr:uid="{65BC597E-E1E5-48DE-9902-82E9530DCCB3}"/>
    <cellStyle name="SAPBEXHLevel1X 3 4 3 4" xfId="26318" xr:uid="{00000000-0005-0000-0000-0000876D0000}"/>
    <cellStyle name="SAPBEXHLevel1X 3 4 3 4 2" xfId="31106" xr:uid="{576D0DCE-441E-4235-BDC2-45CBF8BD80F6}"/>
    <cellStyle name="SAPBEXHLevel1X 3 4 3 5" xfId="29785" xr:uid="{00000000-0005-0000-0000-0000886D0000}"/>
    <cellStyle name="SAPBEXHLevel1X 3 4 4" xfId="27251" xr:uid="{00000000-0005-0000-0000-0000896D0000}"/>
    <cellStyle name="SAPBEXHLevel1X 3 4 4 2" xfId="31886" xr:uid="{63F672A9-7163-4846-A4F7-F37A32EF9F4A}"/>
    <cellStyle name="SAPBEXHLevel1X 3 4 5" xfId="28231" xr:uid="{00000000-0005-0000-0000-00008A6D0000}"/>
    <cellStyle name="SAPBEXHLevel1X 3 4 5 2" xfId="32789" xr:uid="{86D57EB9-09D6-4B2A-B2B8-5F4F3D19E223}"/>
    <cellStyle name="SAPBEXHLevel1X 3 4 6" xfId="27086" xr:uid="{00000000-0005-0000-0000-00008B6D0000}"/>
    <cellStyle name="SAPBEXHLevel1X 3 4 6 2" xfId="31810" xr:uid="{231EB4B4-41F3-473F-B932-712202AC4A18}"/>
    <cellStyle name="SAPBEXHLevel1X 3 4 7" xfId="29783" xr:uid="{00000000-0005-0000-0000-00008C6D0000}"/>
    <cellStyle name="SAPBEXHLevel1X 3 4 8" xfId="30326" xr:uid="{EAB2EE3A-81E1-485D-8B35-11B3CBC29851}"/>
    <cellStyle name="SAPBEXHLevel1X 3 5" xfId="25115" xr:uid="{00000000-0005-0000-0000-00008D6D0000}"/>
    <cellStyle name="SAPBEXHLevel1X 3 5 2" xfId="25303" xr:uid="{00000000-0005-0000-0000-00008E6D0000}"/>
    <cellStyle name="SAPBEXHLevel1X 3 5 2 2" xfId="27457" xr:uid="{00000000-0005-0000-0000-00008F6D0000}"/>
    <cellStyle name="SAPBEXHLevel1X 3 5 2 2 2" xfId="32049" xr:uid="{201859FE-5A1E-4D6B-8FE0-69AE32E4043D}"/>
    <cellStyle name="SAPBEXHLevel1X 3 5 2 3" xfId="28235" xr:uid="{00000000-0005-0000-0000-0000906D0000}"/>
    <cellStyle name="SAPBEXHLevel1X 3 5 2 3 2" xfId="32793" xr:uid="{3D0B7D8D-E6A6-4E24-93BA-BFE4DAE78194}"/>
    <cellStyle name="SAPBEXHLevel1X 3 5 2 4" xfId="26810" xr:uid="{00000000-0005-0000-0000-0000916D0000}"/>
    <cellStyle name="SAPBEXHLevel1X 3 5 2 4 2" xfId="31571" xr:uid="{73618CF3-4B66-445D-A494-E4EF80301B5A}"/>
    <cellStyle name="SAPBEXHLevel1X 3 5 2 5" xfId="29787" xr:uid="{00000000-0005-0000-0000-0000926D0000}"/>
    <cellStyle name="SAPBEXHLevel1X 3 5 2 6" xfId="30462" xr:uid="{734ACAF3-142F-4246-B518-8C74B473D009}"/>
    <cellStyle name="SAPBEXHLevel1X 3 5 3" xfId="25713" xr:uid="{00000000-0005-0000-0000-0000936D0000}"/>
    <cellStyle name="SAPBEXHLevel1X 3 5 3 2" xfId="27866" xr:uid="{00000000-0005-0000-0000-0000946D0000}"/>
    <cellStyle name="SAPBEXHLevel1X 3 5 3 2 2" xfId="32453" xr:uid="{F6598966-1709-47D3-B99B-8EDAE8B66AF2}"/>
    <cellStyle name="SAPBEXHLevel1X 3 5 3 3" xfId="28236" xr:uid="{00000000-0005-0000-0000-0000956D0000}"/>
    <cellStyle name="SAPBEXHLevel1X 3 5 3 3 2" xfId="32794" xr:uid="{56A2F417-65C0-4037-B375-75A66F5B0BE8}"/>
    <cellStyle name="SAPBEXHLevel1X 3 5 3 4" xfId="26939" xr:uid="{00000000-0005-0000-0000-0000966D0000}"/>
    <cellStyle name="SAPBEXHLevel1X 3 5 3 4 2" xfId="31700" xr:uid="{5436CB58-5B4B-4CF4-9905-D5142EC69649}"/>
    <cellStyle name="SAPBEXHLevel1X 3 5 3 5" xfId="29788" xr:uid="{00000000-0005-0000-0000-0000976D0000}"/>
    <cellStyle name="SAPBEXHLevel1X 3 5 3 6" xfId="30707" xr:uid="{6FCC1C26-975C-4935-A2A3-0F1CF74EE553}"/>
    <cellStyle name="SAPBEXHLevel1X 3 5 4" xfId="27400" xr:uid="{00000000-0005-0000-0000-0000986D0000}"/>
    <cellStyle name="SAPBEXHLevel1X 3 5 4 2" xfId="31998" xr:uid="{BC7B6F65-474C-4670-AF1B-A8C89EB75C86}"/>
    <cellStyle name="SAPBEXHLevel1X 3 5 5" xfId="28234" xr:uid="{00000000-0005-0000-0000-0000996D0000}"/>
    <cellStyle name="SAPBEXHLevel1X 3 5 5 2" xfId="32792" xr:uid="{B207DADD-25CB-4D80-A15E-5200573048A8}"/>
    <cellStyle name="SAPBEXHLevel1X 3 5 6" xfId="26923" xr:uid="{00000000-0005-0000-0000-00009A6D0000}"/>
    <cellStyle name="SAPBEXHLevel1X 3 5 6 2" xfId="31684" xr:uid="{33EA3664-990E-4D36-A4D9-551F3E47C593}"/>
    <cellStyle name="SAPBEXHLevel1X 3 5 7" xfId="29786" xr:uid="{00000000-0005-0000-0000-00009B6D0000}"/>
    <cellStyle name="SAPBEXHLevel1X 3 5 8" xfId="30415" xr:uid="{386E2019-ABDD-4DC8-AE5C-8F33CB4F5E08}"/>
    <cellStyle name="SAPBEXHLevel1X 3 6" xfId="25848" xr:uid="{00000000-0005-0000-0000-00009C6D0000}"/>
    <cellStyle name="SAPBEXHLevel1X 3 6 2" xfId="30767" xr:uid="{9469DB00-BBEE-4534-8903-095ABB286398}"/>
    <cellStyle name="SAPBEXHLevel1X 3 7" xfId="28226" xr:uid="{00000000-0005-0000-0000-00009D6D0000}"/>
    <cellStyle name="SAPBEXHLevel1X 3 7 2" xfId="32784" xr:uid="{8E9C2538-EEC5-416E-9CA3-1D190F5A633C}"/>
    <cellStyle name="SAPBEXHLevel1X 3 8" xfId="26450" xr:uid="{00000000-0005-0000-0000-00009E6D0000}"/>
    <cellStyle name="SAPBEXHLevel1X 3 8 2" xfId="31238" xr:uid="{585F0348-A713-46F6-BFCB-E48EDD5DA3B7}"/>
    <cellStyle name="SAPBEXHLevel1X 3 9" xfId="29778" xr:uid="{00000000-0005-0000-0000-00009F6D0000}"/>
    <cellStyle name="SAPBEXHLevel1X 4" xfId="118" xr:uid="{00000000-0005-0000-0000-0000A06D0000}"/>
    <cellStyle name="SAPBEXHLevel1X 4 2" xfId="13652" xr:uid="{00000000-0005-0000-0000-0000A16D0000}"/>
    <cellStyle name="SAPBEXHLevel1X 4 2 2" xfId="25490" xr:uid="{00000000-0005-0000-0000-0000A26D0000}"/>
    <cellStyle name="SAPBEXHLevel1X 4 2 2 2" xfId="27643" xr:uid="{00000000-0005-0000-0000-0000A36D0000}"/>
    <cellStyle name="SAPBEXHLevel1X 4 2 2 2 2" xfId="32230" xr:uid="{C1BCD860-E347-4588-8466-E536128E4A66}"/>
    <cellStyle name="SAPBEXHLevel1X 4 2 2 3" xfId="28239" xr:uid="{00000000-0005-0000-0000-0000A46D0000}"/>
    <cellStyle name="SAPBEXHLevel1X 4 2 2 3 2" xfId="32797" xr:uid="{A1D8DAF0-5A68-4CEF-A6D4-5404F9F9CD94}"/>
    <cellStyle name="SAPBEXHLevel1X 4 2 2 4" xfId="26350" xr:uid="{00000000-0005-0000-0000-0000A56D0000}"/>
    <cellStyle name="SAPBEXHLevel1X 4 2 2 4 2" xfId="31138" xr:uid="{61F5B4B9-F42B-402E-9924-647E3784B993}"/>
    <cellStyle name="SAPBEXHLevel1X 4 2 2 5" xfId="29791" xr:uid="{00000000-0005-0000-0000-0000A66D0000}"/>
    <cellStyle name="SAPBEXHLevel1X 4 2 3" xfId="26594" xr:uid="{00000000-0005-0000-0000-0000A76D0000}"/>
    <cellStyle name="SAPBEXHLevel1X 4 2 3 2" xfId="31372" xr:uid="{5B888614-862B-49CE-A7C8-FDB0746AC848}"/>
    <cellStyle name="SAPBEXHLevel1X 4 2 4" xfId="28238" xr:uid="{00000000-0005-0000-0000-0000A86D0000}"/>
    <cellStyle name="SAPBEXHLevel1X 4 2 4 2" xfId="32796" xr:uid="{DC84D1BE-25A3-40F4-8ABF-51CFDFEC6C41}"/>
    <cellStyle name="SAPBEXHLevel1X 4 2 5" xfId="26855" xr:uid="{00000000-0005-0000-0000-0000A96D0000}"/>
    <cellStyle name="SAPBEXHLevel1X 4 2 5 2" xfId="31616" xr:uid="{D1455F49-F217-468F-AF81-93894F86DFBB}"/>
    <cellStyle name="SAPBEXHLevel1X 4 2 6" xfId="29790" xr:uid="{00000000-0005-0000-0000-0000AA6D0000}"/>
    <cellStyle name="SAPBEXHLevel1X 4 2 7" xfId="30192" xr:uid="{1DBE59E6-9AB9-4FDF-8CA5-C4B9CC85EC3E}"/>
    <cellStyle name="SAPBEXHLevel1X 4 3" xfId="25849" xr:uid="{00000000-0005-0000-0000-0000AB6D0000}"/>
    <cellStyle name="SAPBEXHLevel1X 4 3 2" xfId="30768" xr:uid="{32EFDCCB-36FD-472C-98BA-C029E28A1120}"/>
    <cellStyle name="SAPBEXHLevel1X 4 4" xfId="28237" xr:uid="{00000000-0005-0000-0000-0000AC6D0000}"/>
    <cellStyle name="SAPBEXHLevel1X 4 4 2" xfId="32795" xr:uid="{A961799A-0AA5-41D4-A181-C3DC80638E6D}"/>
    <cellStyle name="SAPBEXHLevel1X 4 5" xfId="29257" xr:uid="{00000000-0005-0000-0000-0000AD6D0000}"/>
    <cellStyle name="SAPBEXHLevel1X 4 5 2" xfId="33239" xr:uid="{46C812CC-398E-4888-91C5-5FC0E3311A2D}"/>
    <cellStyle name="SAPBEXHLevel1X 4 6" xfId="29789" xr:uid="{00000000-0005-0000-0000-0000AE6D0000}"/>
    <cellStyle name="SAPBEXHLevel1X 5" xfId="253" xr:uid="{00000000-0005-0000-0000-0000AF6D0000}"/>
    <cellStyle name="SAPBEXHLevel1X 5 2" xfId="13718" xr:uid="{00000000-0005-0000-0000-0000B06D0000}"/>
    <cellStyle name="SAPBEXHLevel1X 5 2 2" xfId="25531" xr:uid="{00000000-0005-0000-0000-0000B16D0000}"/>
    <cellStyle name="SAPBEXHLevel1X 5 2 2 2" xfId="27684" xr:uid="{00000000-0005-0000-0000-0000B26D0000}"/>
    <cellStyle name="SAPBEXHLevel1X 5 2 2 2 2" xfId="32271" xr:uid="{515C02B7-7EFF-48C7-989E-3ED08A7EF590}"/>
    <cellStyle name="SAPBEXHLevel1X 5 2 2 3" xfId="28242" xr:uid="{00000000-0005-0000-0000-0000B36D0000}"/>
    <cellStyle name="SAPBEXHLevel1X 5 2 2 3 2" xfId="32800" xr:uid="{0D448793-98C4-454C-919C-CCC4EEE1BCFE}"/>
    <cellStyle name="SAPBEXHLevel1X 5 2 2 4" xfId="26976" xr:uid="{00000000-0005-0000-0000-0000B46D0000}"/>
    <cellStyle name="SAPBEXHLevel1X 5 2 2 4 2" xfId="31737" xr:uid="{D0FE9E2B-8166-4A10-BFBC-374652E2A0E4}"/>
    <cellStyle name="SAPBEXHLevel1X 5 2 2 5" xfId="29794" xr:uid="{00000000-0005-0000-0000-0000B56D0000}"/>
    <cellStyle name="SAPBEXHLevel1X 5 2 3" xfId="26638" xr:uid="{00000000-0005-0000-0000-0000B66D0000}"/>
    <cellStyle name="SAPBEXHLevel1X 5 2 3 2" xfId="31415" xr:uid="{C85D6FD8-9283-4CF8-A106-2A087FA669AB}"/>
    <cellStyle name="SAPBEXHLevel1X 5 2 4" xfId="28241" xr:uid="{00000000-0005-0000-0000-0000B76D0000}"/>
    <cellStyle name="SAPBEXHLevel1X 5 2 4 2" xfId="32799" xr:uid="{034376D8-3324-45BF-AC4B-E7A46008B6CC}"/>
    <cellStyle name="SAPBEXHLevel1X 5 2 5" xfId="26066" xr:uid="{00000000-0005-0000-0000-0000B86D0000}"/>
    <cellStyle name="SAPBEXHLevel1X 5 2 5 2" xfId="30856" xr:uid="{5C26016D-D73F-4C40-B619-40FAD460D39D}"/>
    <cellStyle name="SAPBEXHLevel1X 5 2 6" xfId="29793" xr:uid="{00000000-0005-0000-0000-0000B96D0000}"/>
    <cellStyle name="SAPBEXHLevel1X 5 2 7" xfId="30233" xr:uid="{05AC14C5-307C-4030-9D03-24484CE872BD}"/>
    <cellStyle name="SAPBEXHLevel1X 5 3" xfId="25921" xr:uid="{00000000-0005-0000-0000-0000BA6D0000}"/>
    <cellStyle name="SAPBEXHLevel1X 5 3 2" xfId="30810" xr:uid="{2A31D332-CB0B-4AAA-BCA3-78AF2949C5C2}"/>
    <cellStyle name="SAPBEXHLevel1X 5 4" xfId="28240" xr:uid="{00000000-0005-0000-0000-0000BB6D0000}"/>
    <cellStyle name="SAPBEXHLevel1X 5 4 2" xfId="32798" xr:uid="{E8DA3C27-A5AC-431B-BC43-D9396C693F95}"/>
    <cellStyle name="SAPBEXHLevel1X 5 5" xfId="26472" xr:uid="{00000000-0005-0000-0000-0000BC6D0000}"/>
    <cellStyle name="SAPBEXHLevel1X 5 5 2" xfId="31260" xr:uid="{8F23E2C8-D5A5-44A3-9E3B-A0590CD2A96A}"/>
    <cellStyle name="SAPBEXHLevel1X 5 6" xfId="29792" xr:uid="{00000000-0005-0000-0000-0000BD6D0000}"/>
    <cellStyle name="SAPBEXHLevel1X 6" xfId="13649" xr:uid="{00000000-0005-0000-0000-0000BE6D0000}"/>
    <cellStyle name="SAPBEXHLevel1X 6 2" xfId="25487" xr:uid="{00000000-0005-0000-0000-0000BF6D0000}"/>
    <cellStyle name="SAPBEXHLevel1X 6 2 2" xfId="27640" xr:uid="{00000000-0005-0000-0000-0000C06D0000}"/>
    <cellStyle name="SAPBEXHLevel1X 6 2 2 2" xfId="32227" xr:uid="{2F7BD0D8-CC3A-4E86-A90A-E8F03AEE5EEC}"/>
    <cellStyle name="SAPBEXHLevel1X 6 2 3" xfId="28244" xr:uid="{00000000-0005-0000-0000-0000C16D0000}"/>
    <cellStyle name="SAPBEXHLevel1X 6 2 3 2" xfId="32802" xr:uid="{77CC2611-AFB1-4BCF-99EB-E06FAAA54A24}"/>
    <cellStyle name="SAPBEXHLevel1X 6 2 4" xfId="26077" xr:uid="{00000000-0005-0000-0000-0000C26D0000}"/>
    <cellStyle name="SAPBEXHLevel1X 6 2 4 2" xfId="30867" xr:uid="{CBB4310B-ECA9-4F3F-A1F3-EC47936D54DB}"/>
    <cellStyle name="SAPBEXHLevel1X 6 2 5" xfId="29796" xr:uid="{00000000-0005-0000-0000-0000C36D0000}"/>
    <cellStyle name="SAPBEXHLevel1X 6 3" xfId="26591" xr:uid="{00000000-0005-0000-0000-0000C46D0000}"/>
    <cellStyle name="SAPBEXHLevel1X 6 3 2" xfId="31369" xr:uid="{DADFDD32-9742-4B35-B016-3F10EFCA5CDE}"/>
    <cellStyle name="SAPBEXHLevel1X 6 4" xfId="28243" xr:uid="{00000000-0005-0000-0000-0000C56D0000}"/>
    <cellStyle name="SAPBEXHLevel1X 6 4 2" xfId="32801" xr:uid="{384CB625-7F6C-4DB4-A730-C463729B59DB}"/>
    <cellStyle name="SAPBEXHLevel1X 6 5" xfId="26188" xr:uid="{00000000-0005-0000-0000-0000C66D0000}"/>
    <cellStyle name="SAPBEXHLevel1X 6 5 2" xfId="30976" xr:uid="{8A2D5773-9E4B-468D-BF61-DADC03663E1A}"/>
    <cellStyle name="SAPBEXHLevel1X 6 6" xfId="29795" xr:uid="{00000000-0005-0000-0000-0000C76D0000}"/>
    <cellStyle name="SAPBEXHLevel1X 6 7" xfId="30189" xr:uid="{89424B0F-63F1-4DAD-9AD0-480D3DF47F15}"/>
    <cellStyle name="SAPBEXHLevel1X 7" xfId="24660" xr:uid="{00000000-0005-0000-0000-0000C86D0000}"/>
    <cellStyle name="SAPBEXHLevel1X 7 2" xfId="25384" xr:uid="{00000000-0005-0000-0000-0000C96D0000}"/>
    <cellStyle name="SAPBEXHLevel1X 7 2 2" xfId="27538" xr:uid="{00000000-0005-0000-0000-0000CA6D0000}"/>
    <cellStyle name="SAPBEXHLevel1X 7 2 2 2" xfId="32129" xr:uid="{E3F8D768-4E45-45AD-A328-5DD1CDD3A005}"/>
    <cellStyle name="SAPBEXHLevel1X 7 2 3" xfId="28246" xr:uid="{00000000-0005-0000-0000-0000CB6D0000}"/>
    <cellStyle name="SAPBEXHLevel1X 7 2 3 2" xfId="32804" xr:uid="{868805F1-A02D-4C73-BDA5-CFDBD81FD33E}"/>
    <cellStyle name="SAPBEXHLevel1X 7 2 4" xfId="26478" xr:uid="{00000000-0005-0000-0000-0000CC6D0000}"/>
    <cellStyle name="SAPBEXHLevel1X 7 2 4 2" xfId="31266" xr:uid="{57FEDCD9-D707-4D7B-BD5C-7979B07A6BD1}"/>
    <cellStyle name="SAPBEXHLevel1X 7 2 5" xfId="29798" xr:uid="{00000000-0005-0000-0000-0000CD6D0000}"/>
    <cellStyle name="SAPBEXHLevel1X 7 2 6" xfId="30542" xr:uid="{FE71CFAC-3E37-4B41-BF51-07972614AFE0}"/>
    <cellStyle name="SAPBEXHLevel1X 7 3" xfId="25626" xr:uid="{00000000-0005-0000-0000-0000CE6D0000}"/>
    <cellStyle name="SAPBEXHLevel1X 7 3 2" xfId="27779" xr:uid="{00000000-0005-0000-0000-0000CF6D0000}"/>
    <cellStyle name="SAPBEXHLevel1X 7 3 2 2" xfId="32366" xr:uid="{AA6ED78A-D6DD-44AA-A418-5F23D2BBC751}"/>
    <cellStyle name="SAPBEXHLevel1X 7 3 3" xfId="28247" xr:uid="{00000000-0005-0000-0000-0000D06D0000}"/>
    <cellStyle name="SAPBEXHLevel1X 7 3 3 2" xfId="32805" xr:uid="{69F631F9-210E-4759-8593-6B87CF1EE796}"/>
    <cellStyle name="SAPBEXHLevel1X 7 3 4" xfId="26287" xr:uid="{00000000-0005-0000-0000-0000D16D0000}"/>
    <cellStyle name="SAPBEXHLevel1X 7 3 4 2" xfId="31075" xr:uid="{0ABF05B7-6ABE-4542-867C-2BA95B8FAAE6}"/>
    <cellStyle name="SAPBEXHLevel1X 7 3 5" xfId="29799" xr:uid="{00000000-0005-0000-0000-0000D26D0000}"/>
    <cellStyle name="SAPBEXHLevel1X 7 4" xfId="27253" xr:uid="{00000000-0005-0000-0000-0000D36D0000}"/>
    <cellStyle name="SAPBEXHLevel1X 7 4 2" xfId="31888" xr:uid="{1C00ECD6-4BE2-4528-BCEA-EB20228F42EB}"/>
    <cellStyle name="SAPBEXHLevel1X 7 5" xfId="28245" xr:uid="{00000000-0005-0000-0000-0000D46D0000}"/>
    <cellStyle name="SAPBEXHLevel1X 7 5 2" xfId="32803" xr:uid="{969721FB-D643-4D75-9485-CD0869262CBC}"/>
    <cellStyle name="SAPBEXHLevel1X 7 6" xfId="26972" xr:uid="{00000000-0005-0000-0000-0000D56D0000}"/>
    <cellStyle name="SAPBEXHLevel1X 7 6 2" xfId="31733" xr:uid="{AAA01AFD-4F5B-4857-8E55-B1CFFF9F552C}"/>
    <cellStyle name="SAPBEXHLevel1X 7 7" xfId="29797" xr:uid="{00000000-0005-0000-0000-0000D66D0000}"/>
    <cellStyle name="SAPBEXHLevel1X 7 8" xfId="30328" xr:uid="{73345D3E-011D-4B5D-9BB5-FEBDDA2918C4}"/>
    <cellStyle name="SAPBEXHLevel1X 8" xfId="25113" xr:uid="{00000000-0005-0000-0000-0000D76D0000}"/>
    <cellStyle name="SAPBEXHLevel1X 8 2" xfId="25380" xr:uid="{00000000-0005-0000-0000-0000D86D0000}"/>
    <cellStyle name="SAPBEXHLevel1X 8 2 2" xfId="27534" xr:uid="{00000000-0005-0000-0000-0000D96D0000}"/>
    <cellStyle name="SAPBEXHLevel1X 8 2 2 2" xfId="32125" xr:uid="{EB54A12F-C3C9-408C-9C03-5BFB95FC73E8}"/>
    <cellStyle name="SAPBEXHLevel1X 8 2 3" xfId="28249" xr:uid="{00000000-0005-0000-0000-0000DA6D0000}"/>
    <cellStyle name="SAPBEXHLevel1X 8 2 3 2" xfId="32807" xr:uid="{8A43542F-11A9-4DA6-85F2-ACE09E3F23CB}"/>
    <cellStyle name="SAPBEXHLevel1X 8 2 4" xfId="26978" xr:uid="{00000000-0005-0000-0000-0000DB6D0000}"/>
    <cellStyle name="SAPBEXHLevel1X 8 2 4 2" xfId="31739" xr:uid="{709FD634-255B-4941-9184-DE017BF3646A}"/>
    <cellStyle name="SAPBEXHLevel1X 8 2 5" xfId="29801" xr:uid="{00000000-0005-0000-0000-0000DC6D0000}"/>
    <cellStyle name="SAPBEXHLevel1X 8 2 6" xfId="30538" xr:uid="{EB440985-0378-4039-9919-959C84D7D378}"/>
    <cellStyle name="SAPBEXHLevel1X 8 3" xfId="25711" xr:uid="{00000000-0005-0000-0000-0000DD6D0000}"/>
    <cellStyle name="SAPBEXHLevel1X 8 3 2" xfId="27864" xr:uid="{00000000-0005-0000-0000-0000DE6D0000}"/>
    <cellStyle name="SAPBEXHLevel1X 8 3 2 2" xfId="32451" xr:uid="{6D7F942A-914F-48BE-AE7A-943D2B2AB4F9}"/>
    <cellStyle name="SAPBEXHLevel1X 8 3 3" xfId="28250" xr:uid="{00000000-0005-0000-0000-0000DF6D0000}"/>
    <cellStyle name="SAPBEXHLevel1X 8 3 3 2" xfId="32808" xr:uid="{6EF56C93-48D0-4A8F-8D07-D9F573EFF668}"/>
    <cellStyle name="SAPBEXHLevel1X 8 3 4" xfId="26895" xr:uid="{00000000-0005-0000-0000-0000E06D0000}"/>
    <cellStyle name="SAPBEXHLevel1X 8 3 4 2" xfId="31656" xr:uid="{6BDA569C-B837-4519-A6A4-784621007E39}"/>
    <cellStyle name="SAPBEXHLevel1X 8 3 5" xfId="29802" xr:uid="{00000000-0005-0000-0000-0000E16D0000}"/>
    <cellStyle name="SAPBEXHLevel1X 8 3 6" xfId="30705" xr:uid="{01D8D8D4-C429-4C6C-B9A3-7644B152D0B5}"/>
    <cellStyle name="SAPBEXHLevel1X 8 4" xfId="27398" xr:uid="{00000000-0005-0000-0000-0000E26D0000}"/>
    <cellStyle name="SAPBEXHLevel1X 8 4 2" xfId="31996" xr:uid="{289ED923-19B9-4AB7-A872-DFBB9811D290}"/>
    <cellStyle name="SAPBEXHLevel1X 8 5" xfId="28248" xr:uid="{00000000-0005-0000-0000-0000E36D0000}"/>
    <cellStyle name="SAPBEXHLevel1X 8 5 2" xfId="32806" xr:uid="{A3B2CDEF-8CEE-40EF-9E4E-46D7695B4E7D}"/>
    <cellStyle name="SAPBEXHLevel1X 8 6" xfId="26971" xr:uid="{00000000-0005-0000-0000-0000E46D0000}"/>
    <cellStyle name="SAPBEXHLevel1X 8 6 2" xfId="31732" xr:uid="{F285A251-5170-4697-8D64-0425ABDECD41}"/>
    <cellStyle name="SAPBEXHLevel1X 8 7" xfId="29800" xr:uid="{00000000-0005-0000-0000-0000E56D0000}"/>
    <cellStyle name="SAPBEXHLevel1X 8 8" xfId="30413" xr:uid="{C51D6A8E-3252-41BA-9778-537C3A8A4CFE}"/>
    <cellStyle name="SAPBEXHLevel1X 9" xfId="25846" xr:uid="{00000000-0005-0000-0000-0000E66D0000}"/>
    <cellStyle name="SAPBEXHLevel1X 9 2" xfId="30765" xr:uid="{5BC7F63C-EAC2-4424-939C-381607A5129E}"/>
    <cellStyle name="SAPBEXHLevel2" xfId="119" xr:uid="{00000000-0005-0000-0000-0000E76D0000}"/>
    <cellStyle name="SAPBEXHLevel2 10" xfId="28251" xr:uid="{00000000-0005-0000-0000-0000E86D0000}"/>
    <cellStyle name="SAPBEXHLevel2 10 2" xfId="32809" xr:uid="{A3D3E06A-5513-4E5F-91F6-4FAC14199F8D}"/>
    <cellStyle name="SAPBEXHLevel2 11" xfId="29206" xr:uid="{00000000-0005-0000-0000-0000E96D0000}"/>
    <cellStyle name="SAPBEXHLevel2 11 2" xfId="33189" xr:uid="{86A1CC10-CCA7-4242-B5C9-DC9809DC3CE6}"/>
    <cellStyle name="SAPBEXHLevel2 12" xfId="29803" xr:uid="{00000000-0005-0000-0000-0000EA6D0000}"/>
    <cellStyle name="SAPBEXHLevel2 2" xfId="120" xr:uid="{00000000-0005-0000-0000-0000EB6D0000}"/>
    <cellStyle name="SAPBEXHLevel2 2 2" xfId="13654" xr:uid="{00000000-0005-0000-0000-0000EC6D0000}"/>
    <cellStyle name="SAPBEXHLevel2 2 2 2" xfId="25492" xr:uid="{00000000-0005-0000-0000-0000ED6D0000}"/>
    <cellStyle name="SAPBEXHLevel2 2 2 2 2" xfId="27645" xr:uid="{00000000-0005-0000-0000-0000EE6D0000}"/>
    <cellStyle name="SAPBEXHLevel2 2 2 2 2 2" xfId="32232" xr:uid="{06FD7798-04C7-49F7-ADEC-68DD7664A2C3}"/>
    <cellStyle name="SAPBEXHLevel2 2 2 2 3" xfId="28254" xr:uid="{00000000-0005-0000-0000-0000EF6D0000}"/>
    <cellStyle name="SAPBEXHLevel2 2 2 2 3 2" xfId="32812" xr:uid="{2FAE2923-34C3-4840-9655-0B08A418A4D6}"/>
    <cellStyle name="SAPBEXHLevel2 2 2 2 4" xfId="26071" xr:uid="{00000000-0005-0000-0000-0000F06D0000}"/>
    <cellStyle name="SAPBEXHLevel2 2 2 2 4 2" xfId="30861" xr:uid="{24DFBB97-8714-4DB9-95F9-3E9D95635A35}"/>
    <cellStyle name="SAPBEXHLevel2 2 2 2 5" xfId="29806" xr:uid="{00000000-0005-0000-0000-0000F16D0000}"/>
    <cellStyle name="SAPBEXHLevel2 2 2 3" xfId="26596" xr:uid="{00000000-0005-0000-0000-0000F26D0000}"/>
    <cellStyle name="SAPBEXHLevel2 2 2 3 2" xfId="31374" xr:uid="{2AACC676-0188-4899-B256-2E2BFD55C95B}"/>
    <cellStyle name="SAPBEXHLevel2 2 2 4" xfId="28253" xr:uid="{00000000-0005-0000-0000-0000F36D0000}"/>
    <cellStyle name="SAPBEXHLevel2 2 2 4 2" xfId="32811" xr:uid="{A73B4739-4538-453A-9BF7-03C5CF943844}"/>
    <cellStyle name="SAPBEXHLevel2 2 2 5" xfId="26747" xr:uid="{00000000-0005-0000-0000-0000F46D0000}"/>
    <cellStyle name="SAPBEXHLevel2 2 2 5 2" xfId="31508" xr:uid="{6449C02D-757E-40B1-B13D-7E65A61E3FD0}"/>
    <cellStyle name="SAPBEXHLevel2 2 2 6" xfId="29805" xr:uid="{00000000-0005-0000-0000-0000F56D0000}"/>
    <cellStyle name="SAPBEXHLevel2 2 2 7" xfId="30194" xr:uid="{A03D528A-C959-445B-A1D6-8F82FE5BDEB9}"/>
    <cellStyle name="SAPBEXHLevel2 2 3" xfId="24262" xr:uid="{00000000-0005-0000-0000-0000F66D0000}"/>
    <cellStyle name="SAPBEXHLevel2 2 3 2" xfId="25583" xr:uid="{00000000-0005-0000-0000-0000F76D0000}"/>
    <cellStyle name="SAPBEXHLevel2 2 3 2 2" xfId="27736" xr:uid="{00000000-0005-0000-0000-0000F86D0000}"/>
    <cellStyle name="SAPBEXHLevel2 2 3 2 2 2" xfId="32323" xr:uid="{005227D4-A81F-400E-A27F-4638D6CA4369}"/>
    <cellStyle name="SAPBEXHLevel2 2 3 2 3" xfId="28256" xr:uid="{00000000-0005-0000-0000-0000F96D0000}"/>
    <cellStyle name="SAPBEXHLevel2 2 3 2 3 2" xfId="32814" xr:uid="{ED71EB9A-7FBF-4B6E-993B-95A7EB5BC4BA}"/>
    <cellStyle name="SAPBEXHLevel2 2 3 2 4" xfId="26158" xr:uid="{00000000-0005-0000-0000-0000FA6D0000}"/>
    <cellStyle name="SAPBEXHLevel2 2 3 2 4 2" xfId="30947" xr:uid="{9A1477DC-7001-45D1-A39E-51B90E043F8D}"/>
    <cellStyle name="SAPBEXHLevel2 2 3 2 5" xfId="29808" xr:uid="{00000000-0005-0000-0000-0000FB6D0000}"/>
    <cellStyle name="SAPBEXHLevel2 2 3 3" xfId="27116" xr:uid="{00000000-0005-0000-0000-0000FC6D0000}"/>
    <cellStyle name="SAPBEXHLevel2 2 3 3 2" xfId="31834" xr:uid="{512B381D-420B-41AF-868F-1994945E8FC7}"/>
    <cellStyle name="SAPBEXHLevel2 2 3 4" xfId="28255" xr:uid="{00000000-0005-0000-0000-0000FD6D0000}"/>
    <cellStyle name="SAPBEXHLevel2 2 3 4 2" xfId="32813" xr:uid="{241FB119-66B3-403C-B1EA-5F8C3F68F95F}"/>
    <cellStyle name="SAPBEXHLevel2 2 3 5" xfId="26337" xr:uid="{00000000-0005-0000-0000-0000FE6D0000}"/>
    <cellStyle name="SAPBEXHLevel2 2 3 5 2" xfId="31125" xr:uid="{8AA08D84-CE9F-4751-9D73-8752D71DFE07}"/>
    <cellStyle name="SAPBEXHLevel2 2 3 6" xfId="29807" xr:uid="{00000000-0005-0000-0000-0000FF6D0000}"/>
    <cellStyle name="SAPBEXHLevel2 2 3 7" xfId="30285" xr:uid="{C0C5A759-96D1-4F0C-8732-F4843E4509A5}"/>
    <cellStyle name="SAPBEXHLevel2 2 4" xfId="24656" xr:uid="{00000000-0005-0000-0000-0000006E0000}"/>
    <cellStyle name="SAPBEXHLevel2 2 4 2" xfId="25363" xr:uid="{00000000-0005-0000-0000-0000016E0000}"/>
    <cellStyle name="SAPBEXHLevel2 2 4 2 2" xfId="27517" xr:uid="{00000000-0005-0000-0000-0000026E0000}"/>
    <cellStyle name="SAPBEXHLevel2 2 4 2 2 2" xfId="32108" xr:uid="{CE074DA2-9B3F-467E-B1F3-450F2A614D22}"/>
    <cellStyle name="SAPBEXHLevel2 2 4 2 3" xfId="28258" xr:uid="{00000000-0005-0000-0000-0000036E0000}"/>
    <cellStyle name="SAPBEXHLevel2 2 4 2 3 2" xfId="32816" xr:uid="{CBE2EA76-0ECB-4595-AE13-BAC5AD53EC28}"/>
    <cellStyle name="SAPBEXHLevel2 2 4 2 4" xfId="26987" xr:uid="{00000000-0005-0000-0000-0000046E0000}"/>
    <cellStyle name="SAPBEXHLevel2 2 4 2 4 2" xfId="31748" xr:uid="{1B407ABD-BFDA-4D5A-9ACD-D5EFC2F04539}"/>
    <cellStyle name="SAPBEXHLevel2 2 4 2 5" xfId="29810" xr:uid="{00000000-0005-0000-0000-0000056E0000}"/>
    <cellStyle name="SAPBEXHLevel2 2 4 2 6" xfId="30521" xr:uid="{18BE5C8E-9603-4C28-A8AF-1CD689AA3382}"/>
    <cellStyle name="SAPBEXHLevel2 2 4 3" xfId="25622" xr:uid="{00000000-0005-0000-0000-0000066E0000}"/>
    <cellStyle name="SAPBEXHLevel2 2 4 3 2" xfId="27775" xr:uid="{00000000-0005-0000-0000-0000076E0000}"/>
    <cellStyle name="SAPBEXHLevel2 2 4 3 2 2" xfId="32362" xr:uid="{9F28561E-3A49-4746-B882-B32377E806ED}"/>
    <cellStyle name="SAPBEXHLevel2 2 4 3 3" xfId="28259" xr:uid="{00000000-0005-0000-0000-0000086E0000}"/>
    <cellStyle name="SAPBEXHLevel2 2 4 3 3 2" xfId="32817" xr:uid="{7AD81A38-345A-4F04-BDC0-8FA1CA9F63A8}"/>
    <cellStyle name="SAPBEXHLevel2 2 4 3 4" xfId="26067" xr:uid="{00000000-0005-0000-0000-0000096E0000}"/>
    <cellStyle name="SAPBEXHLevel2 2 4 3 4 2" xfId="30857" xr:uid="{3E2A08D0-A9D1-4484-8D69-B4C16986B9CB}"/>
    <cellStyle name="SAPBEXHLevel2 2 4 3 5" xfId="29811" xr:uid="{00000000-0005-0000-0000-00000A6E0000}"/>
    <cellStyle name="SAPBEXHLevel2 2 4 4" xfId="27249" xr:uid="{00000000-0005-0000-0000-00000B6E0000}"/>
    <cellStyle name="SAPBEXHLevel2 2 4 4 2" xfId="31884" xr:uid="{6D935B50-432E-49F6-9326-699CA108C07A}"/>
    <cellStyle name="SAPBEXHLevel2 2 4 5" xfId="28257" xr:uid="{00000000-0005-0000-0000-00000C6E0000}"/>
    <cellStyle name="SAPBEXHLevel2 2 4 5 2" xfId="32815" xr:uid="{8CBD8714-094C-4092-BCF7-A4E11E8A7DA0}"/>
    <cellStyle name="SAPBEXHLevel2 2 4 6" xfId="26175" xr:uid="{00000000-0005-0000-0000-00000D6E0000}"/>
    <cellStyle name="SAPBEXHLevel2 2 4 6 2" xfId="30964" xr:uid="{369EB1D7-63FF-4833-8A9C-E20DC9534BD7}"/>
    <cellStyle name="SAPBEXHLevel2 2 4 7" xfId="29809" xr:uid="{00000000-0005-0000-0000-00000E6E0000}"/>
    <cellStyle name="SAPBEXHLevel2 2 4 8" xfId="30324" xr:uid="{C5E97B17-0015-4304-82EB-141DAC05A722}"/>
    <cellStyle name="SAPBEXHLevel2 2 5" xfId="25117" xr:uid="{00000000-0005-0000-0000-00000F6E0000}"/>
    <cellStyle name="SAPBEXHLevel2 2 5 2" xfId="25319" xr:uid="{00000000-0005-0000-0000-0000106E0000}"/>
    <cellStyle name="SAPBEXHLevel2 2 5 2 2" xfId="27473" xr:uid="{00000000-0005-0000-0000-0000116E0000}"/>
    <cellStyle name="SAPBEXHLevel2 2 5 2 2 2" xfId="32064" xr:uid="{AAF296A2-72DA-46FD-8D2E-FAFA54C860E2}"/>
    <cellStyle name="SAPBEXHLevel2 2 5 2 3" xfId="28261" xr:uid="{00000000-0005-0000-0000-0000126E0000}"/>
    <cellStyle name="SAPBEXHLevel2 2 5 2 3 2" xfId="32819" xr:uid="{551BF80C-B8F8-4C41-9F61-52D714ADA62D}"/>
    <cellStyle name="SAPBEXHLevel2 2 5 2 4" xfId="26289" xr:uid="{00000000-0005-0000-0000-0000136E0000}"/>
    <cellStyle name="SAPBEXHLevel2 2 5 2 4 2" xfId="31077" xr:uid="{FB2A98D3-1333-41EC-948B-CA3C0C384C18}"/>
    <cellStyle name="SAPBEXHLevel2 2 5 2 5" xfId="29813" xr:uid="{00000000-0005-0000-0000-0000146E0000}"/>
    <cellStyle name="SAPBEXHLevel2 2 5 2 6" xfId="30477" xr:uid="{C53DB107-816D-4071-A48C-3B293C25CF16}"/>
    <cellStyle name="SAPBEXHLevel2 2 5 3" xfId="25715" xr:uid="{00000000-0005-0000-0000-0000156E0000}"/>
    <cellStyle name="SAPBEXHLevel2 2 5 3 2" xfId="27868" xr:uid="{00000000-0005-0000-0000-0000166E0000}"/>
    <cellStyle name="SAPBEXHLevel2 2 5 3 2 2" xfId="32455" xr:uid="{7098BD23-4B70-4888-A6E5-4388066219A1}"/>
    <cellStyle name="SAPBEXHLevel2 2 5 3 3" xfId="28262" xr:uid="{00000000-0005-0000-0000-0000176E0000}"/>
    <cellStyle name="SAPBEXHLevel2 2 5 3 3 2" xfId="32820" xr:uid="{A8EC214C-108F-4598-93EC-D580DC8A6AEF}"/>
    <cellStyle name="SAPBEXHLevel2 2 5 3 4" xfId="27148" xr:uid="{00000000-0005-0000-0000-0000186E0000}"/>
    <cellStyle name="SAPBEXHLevel2 2 5 3 4 2" xfId="31850" xr:uid="{BC49B553-EA42-4DF0-88BC-FED62E4B5CBB}"/>
    <cellStyle name="SAPBEXHLevel2 2 5 3 5" xfId="29814" xr:uid="{00000000-0005-0000-0000-0000196E0000}"/>
    <cellStyle name="SAPBEXHLevel2 2 5 3 6" xfId="30709" xr:uid="{45D3B5A5-42C2-4ACC-B92E-206F914567FF}"/>
    <cellStyle name="SAPBEXHLevel2 2 5 4" xfId="27402" xr:uid="{00000000-0005-0000-0000-00001A6E0000}"/>
    <cellStyle name="SAPBEXHLevel2 2 5 4 2" xfId="32000" xr:uid="{16CB77B7-DE57-437F-AF1F-5D98B867886D}"/>
    <cellStyle name="SAPBEXHLevel2 2 5 5" xfId="28260" xr:uid="{00000000-0005-0000-0000-00001B6E0000}"/>
    <cellStyle name="SAPBEXHLevel2 2 5 5 2" xfId="32818" xr:uid="{CC0E23F3-1AA0-4032-8F6B-72A83F20EA81}"/>
    <cellStyle name="SAPBEXHLevel2 2 5 6" xfId="26860" xr:uid="{00000000-0005-0000-0000-00001C6E0000}"/>
    <cellStyle name="SAPBEXHLevel2 2 5 6 2" xfId="31621" xr:uid="{24ABD72B-DCDA-4F59-8E15-EAACD49A855E}"/>
    <cellStyle name="SAPBEXHLevel2 2 5 7" xfId="29812" xr:uid="{00000000-0005-0000-0000-00001D6E0000}"/>
    <cellStyle name="SAPBEXHLevel2 2 5 8" xfId="30417" xr:uid="{0FBF80A7-02C3-4C5C-94A7-72A1A9FDF956}"/>
    <cellStyle name="SAPBEXHLevel2 2 6" xfId="25851" xr:uid="{00000000-0005-0000-0000-00001E6E0000}"/>
    <cellStyle name="SAPBEXHLevel2 2 6 2" xfId="30770" xr:uid="{9590E993-97D8-4406-8CE6-F1F86D500F54}"/>
    <cellStyle name="SAPBEXHLevel2 2 7" xfId="28252" xr:uid="{00000000-0005-0000-0000-00001F6E0000}"/>
    <cellStyle name="SAPBEXHLevel2 2 7 2" xfId="32810" xr:uid="{8D367D9E-5CCF-4F3A-AB03-CCCCF0CEA32B}"/>
    <cellStyle name="SAPBEXHLevel2 2 8" xfId="29183" xr:uid="{00000000-0005-0000-0000-0000206E0000}"/>
    <cellStyle name="SAPBEXHLevel2 2 8 2" xfId="33166" xr:uid="{444240FB-534D-4169-B20B-87A2532061BB}"/>
    <cellStyle name="SAPBEXHLevel2 2 9" xfId="29804" xr:uid="{00000000-0005-0000-0000-0000216E0000}"/>
    <cellStyle name="SAPBEXHLevel2 3" xfId="121" xr:uid="{00000000-0005-0000-0000-0000226E0000}"/>
    <cellStyle name="SAPBEXHLevel2 3 2" xfId="13655" xr:uid="{00000000-0005-0000-0000-0000236E0000}"/>
    <cellStyle name="SAPBEXHLevel2 3 2 2" xfId="25493" xr:uid="{00000000-0005-0000-0000-0000246E0000}"/>
    <cellStyle name="SAPBEXHLevel2 3 2 2 2" xfId="27646" xr:uid="{00000000-0005-0000-0000-0000256E0000}"/>
    <cellStyle name="SAPBEXHLevel2 3 2 2 2 2" xfId="32233" xr:uid="{504F2774-0FA1-4D79-A136-52ED3839BB01}"/>
    <cellStyle name="SAPBEXHLevel2 3 2 2 3" xfId="28265" xr:uid="{00000000-0005-0000-0000-0000266E0000}"/>
    <cellStyle name="SAPBEXHLevel2 3 2 2 3 2" xfId="32823" xr:uid="{3E9416FC-A5FD-4D32-8919-027C9C2B4887}"/>
    <cellStyle name="SAPBEXHLevel2 3 2 2 4" xfId="26162" xr:uid="{00000000-0005-0000-0000-0000276E0000}"/>
    <cellStyle name="SAPBEXHLevel2 3 2 2 4 2" xfId="30951" xr:uid="{08565796-4B28-4EDC-A211-AB56246ADDF3}"/>
    <cellStyle name="SAPBEXHLevel2 3 2 2 5" xfId="29817" xr:uid="{00000000-0005-0000-0000-0000286E0000}"/>
    <cellStyle name="SAPBEXHLevel2 3 2 3" xfId="26597" xr:uid="{00000000-0005-0000-0000-0000296E0000}"/>
    <cellStyle name="SAPBEXHLevel2 3 2 3 2" xfId="31375" xr:uid="{F84F91DA-D7DE-439B-A121-CCADB104EB27}"/>
    <cellStyle name="SAPBEXHLevel2 3 2 4" xfId="28264" xr:uid="{00000000-0005-0000-0000-00002A6E0000}"/>
    <cellStyle name="SAPBEXHLevel2 3 2 4 2" xfId="32822" xr:uid="{55A94946-4DB4-41D4-A569-7B1DFA6F289D}"/>
    <cellStyle name="SAPBEXHLevel2 3 2 5" xfId="27003" xr:uid="{00000000-0005-0000-0000-00002B6E0000}"/>
    <cellStyle name="SAPBEXHLevel2 3 2 5 2" xfId="31763" xr:uid="{D409D6EC-0C24-4973-AF04-EB019E4141AE}"/>
    <cellStyle name="SAPBEXHLevel2 3 2 6" xfId="29816" xr:uid="{00000000-0005-0000-0000-00002C6E0000}"/>
    <cellStyle name="SAPBEXHLevel2 3 2 7" xfId="30195" xr:uid="{0EFF9024-79DD-4629-B0CB-5B3C6FDC3C58}"/>
    <cellStyle name="SAPBEXHLevel2 3 3" xfId="24263" xr:uid="{00000000-0005-0000-0000-00002D6E0000}"/>
    <cellStyle name="SAPBEXHLevel2 3 3 2" xfId="25584" xr:uid="{00000000-0005-0000-0000-00002E6E0000}"/>
    <cellStyle name="SAPBEXHLevel2 3 3 2 2" xfId="27737" xr:uid="{00000000-0005-0000-0000-00002F6E0000}"/>
    <cellStyle name="SAPBEXHLevel2 3 3 2 2 2" xfId="32324" xr:uid="{7E6853ED-931D-429B-9A1D-4A1714812003}"/>
    <cellStyle name="SAPBEXHLevel2 3 3 2 3" xfId="28267" xr:uid="{00000000-0005-0000-0000-0000306E0000}"/>
    <cellStyle name="SAPBEXHLevel2 3 3 2 3 2" xfId="32825" xr:uid="{A55765A4-3468-4444-BF46-F4D26843F335}"/>
    <cellStyle name="SAPBEXHLevel2 3 3 2 4" xfId="26738" xr:uid="{00000000-0005-0000-0000-0000316E0000}"/>
    <cellStyle name="SAPBEXHLevel2 3 3 2 4 2" xfId="31499" xr:uid="{D9893349-3E87-48A2-A491-0E8308C9B790}"/>
    <cellStyle name="SAPBEXHLevel2 3 3 2 5" xfId="29819" xr:uid="{00000000-0005-0000-0000-0000326E0000}"/>
    <cellStyle name="SAPBEXHLevel2 3 3 3" xfId="27117" xr:uid="{00000000-0005-0000-0000-0000336E0000}"/>
    <cellStyle name="SAPBEXHLevel2 3 3 3 2" xfId="31835" xr:uid="{5ACB60C2-BA3E-4CC8-80D5-F5F9E7441FB6}"/>
    <cellStyle name="SAPBEXHLevel2 3 3 4" xfId="28266" xr:uid="{00000000-0005-0000-0000-0000346E0000}"/>
    <cellStyle name="SAPBEXHLevel2 3 3 4 2" xfId="32824" xr:uid="{44E6EE00-DD9E-495F-B47E-B1540E11E3B5}"/>
    <cellStyle name="SAPBEXHLevel2 3 3 5" xfId="26068" xr:uid="{00000000-0005-0000-0000-0000356E0000}"/>
    <cellStyle name="SAPBEXHLevel2 3 3 5 2" xfId="30858" xr:uid="{08AB70E2-0FF9-42C1-B29F-8595AA6709F0}"/>
    <cellStyle name="SAPBEXHLevel2 3 3 6" xfId="29818" xr:uid="{00000000-0005-0000-0000-0000366E0000}"/>
    <cellStyle name="SAPBEXHLevel2 3 3 7" xfId="30286" xr:uid="{0CBC89F8-D54D-4D7C-B036-DCFC04385D4D}"/>
    <cellStyle name="SAPBEXHLevel2 3 4" xfId="24655" xr:uid="{00000000-0005-0000-0000-0000376E0000}"/>
    <cellStyle name="SAPBEXHLevel2 3 4 2" xfId="25451" xr:uid="{00000000-0005-0000-0000-0000386E0000}"/>
    <cellStyle name="SAPBEXHLevel2 3 4 2 2" xfId="27605" xr:uid="{00000000-0005-0000-0000-0000396E0000}"/>
    <cellStyle name="SAPBEXHLevel2 3 4 2 2 2" xfId="32196" xr:uid="{CF5FF323-CA47-4AF6-9D59-F6C5D0CCA909}"/>
    <cellStyle name="SAPBEXHLevel2 3 4 2 3" xfId="28269" xr:uid="{00000000-0005-0000-0000-00003A6E0000}"/>
    <cellStyle name="SAPBEXHLevel2 3 4 2 3 2" xfId="32827" xr:uid="{29FA21F9-6DA0-4B3D-A31B-A6472DEB1B58}"/>
    <cellStyle name="SAPBEXHLevel2 3 4 2 4" xfId="26164" xr:uid="{00000000-0005-0000-0000-00003B6E0000}"/>
    <cellStyle name="SAPBEXHLevel2 3 4 2 4 2" xfId="30953" xr:uid="{9E9AC64F-4D6E-4ECE-ACEE-731A5C8038D6}"/>
    <cellStyle name="SAPBEXHLevel2 3 4 2 5" xfId="29821" xr:uid="{00000000-0005-0000-0000-00003C6E0000}"/>
    <cellStyle name="SAPBEXHLevel2 3 4 2 6" xfId="30609" xr:uid="{0A556369-E3AD-45BE-9350-A886D48B039B}"/>
    <cellStyle name="SAPBEXHLevel2 3 4 3" xfId="25621" xr:uid="{00000000-0005-0000-0000-00003D6E0000}"/>
    <cellStyle name="SAPBEXHLevel2 3 4 3 2" xfId="27774" xr:uid="{00000000-0005-0000-0000-00003E6E0000}"/>
    <cellStyle name="SAPBEXHLevel2 3 4 3 2 2" xfId="32361" xr:uid="{62DFD7C2-824A-4D6C-B1AC-EC115990C98C}"/>
    <cellStyle name="SAPBEXHLevel2 3 4 3 3" xfId="28270" xr:uid="{00000000-0005-0000-0000-00003F6E0000}"/>
    <cellStyle name="SAPBEXHLevel2 3 4 3 3 2" xfId="32828" xr:uid="{214BDE5C-7CAC-480F-B76E-60D185188D0B}"/>
    <cellStyle name="SAPBEXHLevel2 3 4 3 4" xfId="26087" xr:uid="{00000000-0005-0000-0000-0000406E0000}"/>
    <cellStyle name="SAPBEXHLevel2 3 4 3 4 2" xfId="30877" xr:uid="{AE270984-DE80-4B1B-AEF9-A3CC2DC6A7E4}"/>
    <cellStyle name="SAPBEXHLevel2 3 4 3 5" xfId="29822" xr:uid="{00000000-0005-0000-0000-0000416E0000}"/>
    <cellStyle name="SAPBEXHLevel2 3 4 4" xfId="27248" xr:uid="{00000000-0005-0000-0000-0000426E0000}"/>
    <cellStyle name="SAPBEXHLevel2 3 4 4 2" xfId="31883" xr:uid="{F4108CE0-5C28-4A91-BA04-9DF48CDDFED6}"/>
    <cellStyle name="SAPBEXHLevel2 3 4 5" xfId="28268" xr:uid="{00000000-0005-0000-0000-0000436E0000}"/>
    <cellStyle name="SAPBEXHLevel2 3 4 5 2" xfId="32826" xr:uid="{A7649BAB-C2F9-4D61-A245-8A3F2C52FF2E}"/>
    <cellStyle name="SAPBEXHLevel2 3 4 6" xfId="26772" xr:uid="{00000000-0005-0000-0000-0000446E0000}"/>
    <cellStyle name="SAPBEXHLevel2 3 4 6 2" xfId="31533" xr:uid="{477CC66B-1C14-4CD3-85B7-38EB537E515C}"/>
    <cellStyle name="SAPBEXHLevel2 3 4 7" xfId="29820" xr:uid="{00000000-0005-0000-0000-0000456E0000}"/>
    <cellStyle name="SAPBEXHLevel2 3 4 8" xfId="30323" xr:uid="{9DAD2D41-5371-46A0-BCA3-57C25B4F5A2C}"/>
    <cellStyle name="SAPBEXHLevel2 3 5" xfId="25118" xr:uid="{00000000-0005-0000-0000-0000466E0000}"/>
    <cellStyle name="SAPBEXHLevel2 3 5 2" xfId="25420" xr:uid="{00000000-0005-0000-0000-0000476E0000}"/>
    <cellStyle name="SAPBEXHLevel2 3 5 2 2" xfId="27574" xr:uid="{00000000-0005-0000-0000-0000486E0000}"/>
    <cellStyle name="SAPBEXHLevel2 3 5 2 2 2" xfId="32165" xr:uid="{850FA2A6-080E-46D4-9AB0-F69D72DC2FD5}"/>
    <cellStyle name="SAPBEXHLevel2 3 5 2 3" xfId="28272" xr:uid="{00000000-0005-0000-0000-0000496E0000}"/>
    <cellStyle name="SAPBEXHLevel2 3 5 2 3 2" xfId="32830" xr:uid="{AD768DB6-A9AE-4EC2-A6A4-85005728DEA7}"/>
    <cellStyle name="SAPBEXHLevel2 3 5 2 4" xfId="26243" xr:uid="{00000000-0005-0000-0000-00004A6E0000}"/>
    <cellStyle name="SAPBEXHLevel2 3 5 2 4 2" xfId="31031" xr:uid="{C7B137BD-3316-430D-AF46-6F21E6C0F6CF}"/>
    <cellStyle name="SAPBEXHLevel2 3 5 2 5" xfId="29824" xr:uid="{00000000-0005-0000-0000-00004B6E0000}"/>
    <cellStyle name="SAPBEXHLevel2 3 5 2 6" xfId="30578" xr:uid="{FA1D6532-F3DE-441A-80D4-AEB44916EB96}"/>
    <cellStyle name="SAPBEXHLevel2 3 5 3" xfId="25716" xr:uid="{00000000-0005-0000-0000-00004C6E0000}"/>
    <cellStyle name="SAPBEXHLevel2 3 5 3 2" xfId="27869" xr:uid="{00000000-0005-0000-0000-00004D6E0000}"/>
    <cellStyle name="SAPBEXHLevel2 3 5 3 2 2" xfId="32456" xr:uid="{34B5AB80-D878-4825-A217-58B9BEFD4F30}"/>
    <cellStyle name="SAPBEXHLevel2 3 5 3 3" xfId="28273" xr:uid="{00000000-0005-0000-0000-00004E6E0000}"/>
    <cellStyle name="SAPBEXHLevel2 3 5 3 3 2" xfId="32831" xr:uid="{B7604C57-774E-41D5-8EC4-1019A3AAD5B6}"/>
    <cellStyle name="SAPBEXHLevel2 3 5 3 4" xfId="26744" xr:uid="{00000000-0005-0000-0000-00004F6E0000}"/>
    <cellStyle name="SAPBEXHLevel2 3 5 3 4 2" xfId="31505" xr:uid="{FA134876-857E-47DD-8CD3-746A19EC03DC}"/>
    <cellStyle name="SAPBEXHLevel2 3 5 3 5" xfId="29825" xr:uid="{00000000-0005-0000-0000-0000506E0000}"/>
    <cellStyle name="SAPBEXHLevel2 3 5 3 6" xfId="30710" xr:uid="{AAF0239A-3176-42F7-B7E4-9E0176ADA9E3}"/>
    <cellStyle name="SAPBEXHLevel2 3 5 4" xfId="27403" xr:uid="{00000000-0005-0000-0000-0000516E0000}"/>
    <cellStyle name="SAPBEXHLevel2 3 5 4 2" xfId="32001" xr:uid="{E8BA43F3-E339-4E8E-9DE5-4C17D8C0C8FD}"/>
    <cellStyle name="SAPBEXHLevel2 3 5 5" xfId="28271" xr:uid="{00000000-0005-0000-0000-0000526E0000}"/>
    <cellStyle name="SAPBEXHLevel2 3 5 5 2" xfId="32829" xr:uid="{F1315DF4-B89E-40B8-A2F4-CD61F19E423D}"/>
    <cellStyle name="SAPBEXHLevel2 3 5 6" xfId="26349" xr:uid="{00000000-0005-0000-0000-0000536E0000}"/>
    <cellStyle name="SAPBEXHLevel2 3 5 6 2" xfId="31137" xr:uid="{641B7158-DB69-43F5-B488-103DE3E35E69}"/>
    <cellStyle name="SAPBEXHLevel2 3 5 7" xfId="29823" xr:uid="{00000000-0005-0000-0000-0000546E0000}"/>
    <cellStyle name="SAPBEXHLevel2 3 5 8" xfId="30418" xr:uid="{18639F46-DDDC-46D5-8429-A7554DBF5E83}"/>
    <cellStyle name="SAPBEXHLevel2 3 6" xfId="25852" xr:uid="{00000000-0005-0000-0000-0000556E0000}"/>
    <cellStyle name="SAPBEXHLevel2 3 6 2" xfId="30771" xr:uid="{B8C8D3BB-A7C6-4FF1-9937-97B64B0E5201}"/>
    <cellStyle name="SAPBEXHLevel2 3 7" xfId="28263" xr:uid="{00000000-0005-0000-0000-0000566E0000}"/>
    <cellStyle name="SAPBEXHLevel2 3 7 2" xfId="32821" xr:uid="{F1A8DB8F-21F6-4167-8612-0E3F44DC5046}"/>
    <cellStyle name="SAPBEXHLevel2 3 8" xfId="29247" xr:uid="{00000000-0005-0000-0000-0000576E0000}"/>
    <cellStyle name="SAPBEXHLevel2 3 8 2" xfId="33229" xr:uid="{DE4EA4D9-744B-4F43-8C04-22CE27F1102C}"/>
    <cellStyle name="SAPBEXHLevel2 3 9" xfId="29815" xr:uid="{00000000-0005-0000-0000-0000586E0000}"/>
    <cellStyle name="SAPBEXHLevel2 4" xfId="122" xr:uid="{00000000-0005-0000-0000-0000596E0000}"/>
    <cellStyle name="SAPBEXHLevel2 4 2" xfId="13656" xr:uid="{00000000-0005-0000-0000-00005A6E0000}"/>
    <cellStyle name="SAPBEXHLevel2 4 2 2" xfId="25494" xr:uid="{00000000-0005-0000-0000-00005B6E0000}"/>
    <cellStyle name="SAPBEXHLevel2 4 2 2 2" xfId="27647" xr:uid="{00000000-0005-0000-0000-00005C6E0000}"/>
    <cellStyle name="SAPBEXHLevel2 4 2 2 2 2" xfId="32234" xr:uid="{942CDE0B-CBD9-42FB-A600-6BCC7D6FAA4A}"/>
    <cellStyle name="SAPBEXHLevel2 4 2 2 3" xfId="28276" xr:uid="{00000000-0005-0000-0000-00005D6E0000}"/>
    <cellStyle name="SAPBEXHLevel2 4 2 2 3 2" xfId="32834" xr:uid="{EED06FF0-8A48-4231-A3FB-B84E3070108B}"/>
    <cellStyle name="SAPBEXHLevel2 4 2 2 4" xfId="26915" xr:uid="{00000000-0005-0000-0000-00005E6E0000}"/>
    <cellStyle name="SAPBEXHLevel2 4 2 2 4 2" xfId="31676" xr:uid="{7F9017C4-129C-4467-8305-75837367C37A}"/>
    <cellStyle name="SAPBEXHLevel2 4 2 2 5" xfId="29828" xr:uid="{00000000-0005-0000-0000-00005F6E0000}"/>
    <cellStyle name="SAPBEXHLevel2 4 2 3" xfId="26598" xr:uid="{00000000-0005-0000-0000-0000606E0000}"/>
    <cellStyle name="SAPBEXHLevel2 4 2 3 2" xfId="31376" xr:uid="{44F3B272-EDE0-4A70-A896-BAC71D707CF8}"/>
    <cellStyle name="SAPBEXHLevel2 4 2 4" xfId="28275" xr:uid="{00000000-0005-0000-0000-0000616E0000}"/>
    <cellStyle name="SAPBEXHLevel2 4 2 4 2" xfId="32833" xr:uid="{F9C38EE1-C1ED-4A57-B197-0B19606F71BB}"/>
    <cellStyle name="SAPBEXHLevel2 4 2 5" xfId="27025" xr:uid="{00000000-0005-0000-0000-0000626E0000}"/>
    <cellStyle name="SAPBEXHLevel2 4 2 5 2" xfId="31785" xr:uid="{6887543D-A4EA-435B-862C-364836836105}"/>
    <cellStyle name="SAPBEXHLevel2 4 2 6" xfId="29827" xr:uid="{00000000-0005-0000-0000-0000636E0000}"/>
    <cellStyle name="SAPBEXHLevel2 4 2 7" xfId="30196" xr:uid="{F372C198-18D8-4002-AA99-ED04027F27E3}"/>
    <cellStyle name="SAPBEXHLevel2 4 3" xfId="25853" xr:uid="{00000000-0005-0000-0000-0000646E0000}"/>
    <cellStyle name="SAPBEXHLevel2 4 3 2" xfId="30772" xr:uid="{1CC161FB-38BA-4433-9F67-F4DC0EBCEF70}"/>
    <cellStyle name="SAPBEXHLevel2 4 4" xfId="28274" xr:uid="{00000000-0005-0000-0000-0000656E0000}"/>
    <cellStyle name="SAPBEXHLevel2 4 4 2" xfId="32832" xr:uid="{AC01FCF2-0640-455A-916C-F4BF6DB28B18}"/>
    <cellStyle name="SAPBEXHLevel2 4 5" xfId="29192" xr:uid="{00000000-0005-0000-0000-0000666E0000}"/>
    <cellStyle name="SAPBEXHLevel2 4 5 2" xfId="33175" xr:uid="{DB40BBE0-81A8-4F08-84E8-AF80CB7611E4}"/>
    <cellStyle name="SAPBEXHLevel2 4 6" xfId="29826" xr:uid="{00000000-0005-0000-0000-0000676E0000}"/>
    <cellStyle name="SAPBEXHLevel2 5" xfId="254" xr:uid="{00000000-0005-0000-0000-0000686E0000}"/>
    <cellStyle name="SAPBEXHLevel2 5 2" xfId="13719" xr:uid="{00000000-0005-0000-0000-0000696E0000}"/>
    <cellStyle name="SAPBEXHLevel2 5 2 2" xfId="25532" xr:uid="{00000000-0005-0000-0000-00006A6E0000}"/>
    <cellStyle name="SAPBEXHLevel2 5 2 2 2" xfId="27685" xr:uid="{00000000-0005-0000-0000-00006B6E0000}"/>
    <cellStyle name="SAPBEXHLevel2 5 2 2 2 2" xfId="32272" xr:uid="{05E64827-7396-438E-A1E2-DBE3D96CCE7A}"/>
    <cellStyle name="SAPBEXHLevel2 5 2 2 3" xfId="28279" xr:uid="{00000000-0005-0000-0000-00006C6E0000}"/>
    <cellStyle name="SAPBEXHLevel2 5 2 2 3 2" xfId="32837" xr:uid="{6F43E969-74D4-4EAA-B07E-875232CB39EE}"/>
    <cellStyle name="SAPBEXHLevel2 5 2 2 4" xfId="26126" xr:uid="{00000000-0005-0000-0000-00006D6E0000}"/>
    <cellStyle name="SAPBEXHLevel2 5 2 2 4 2" xfId="30916" xr:uid="{D8F46A64-0730-4C1A-8471-3433436EED0C}"/>
    <cellStyle name="SAPBEXHLevel2 5 2 2 5" xfId="29831" xr:uid="{00000000-0005-0000-0000-00006E6E0000}"/>
    <cellStyle name="SAPBEXHLevel2 5 2 3" xfId="26639" xr:uid="{00000000-0005-0000-0000-00006F6E0000}"/>
    <cellStyle name="SAPBEXHLevel2 5 2 3 2" xfId="31416" xr:uid="{203F62C2-42AE-4F58-BD65-553845A083C7}"/>
    <cellStyle name="SAPBEXHLevel2 5 2 4" xfId="28278" xr:uid="{00000000-0005-0000-0000-0000706E0000}"/>
    <cellStyle name="SAPBEXHLevel2 5 2 4 2" xfId="32836" xr:uid="{250545E3-D43B-4FDD-AC1E-391A295F03F8}"/>
    <cellStyle name="SAPBEXHLevel2 5 2 5" xfId="27350" xr:uid="{00000000-0005-0000-0000-0000716E0000}"/>
    <cellStyle name="SAPBEXHLevel2 5 2 5 2" xfId="31948" xr:uid="{6B523822-CF41-48AC-9964-78FDBC8D8806}"/>
    <cellStyle name="SAPBEXHLevel2 5 2 6" xfId="29830" xr:uid="{00000000-0005-0000-0000-0000726E0000}"/>
    <cellStyle name="SAPBEXHLevel2 5 2 7" xfId="30234" xr:uid="{C1D12180-FEF4-4B46-91BB-7F6B61276BA8}"/>
    <cellStyle name="SAPBEXHLevel2 5 3" xfId="25922" xr:uid="{00000000-0005-0000-0000-0000736E0000}"/>
    <cellStyle name="SAPBEXHLevel2 5 3 2" xfId="30811" xr:uid="{D63BA733-35F9-4C28-A805-F1105009E4A6}"/>
    <cellStyle name="SAPBEXHLevel2 5 4" xfId="28277" xr:uid="{00000000-0005-0000-0000-0000746E0000}"/>
    <cellStyle name="SAPBEXHLevel2 5 4 2" xfId="32835" xr:uid="{879802F9-9F7B-4643-8DC8-432010893E2B}"/>
    <cellStyle name="SAPBEXHLevel2 5 5" xfId="28567" xr:uid="{00000000-0005-0000-0000-0000756E0000}"/>
    <cellStyle name="SAPBEXHLevel2 5 5 2" xfId="33125" xr:uid="{37D2A4B9-CD3B-46C8-ABD2-52AE200002E5}"/>
    <cellStyle name="SAPBEXHLevel2 5 6" xfId="29829" xr:uid="{00000000-0005-0000-0000-0000766E0000}"/>
    <cellStyle name="SAPBEXHLevel2 6" xfId="13653" xr:uid="{00000000-0005-0000-0000-0000776E0000}"/>
    <cellStyle name="SAPBEXHLevel2 6 2" xfId="25491" xr:uid="{00000000-0005-0000-0000-0000786E0000}"/>
    <cellStyle name="SAPBEXHLevel2 6 2 2" xfId="27644" xr:uid="{00000000-0005-0000-0000-0000796E0000}"/>
    <cellStyle name="SAPBEXHLevel2 6 2 2 2" xfId="32231" xr:uid="{5E7C80D3-DBB6-41FA-99CF-E1FD34A916B7}"/>
    <cellStyle name="SAPBEXHLevel2 6 2 3" xfId="28281" xr:uid="{00000000-0005-0000-0000-00007A6E0000}"/>
    <cellStyle name="SAPBEXHLevel2 6 2 3 2" xfId="32839" xr:uid="{DF731675-6CF9-4012-ADDC-5EBFF82F2893}"/>
    <cellStyle name="SAPBEXHLevel2 6 2 4" xfId="26100" xr:uid="{00000000-0005-0000-0000-00007B6E0000}"/>
    <cellStyle name="SAPBEXHLevel2 6 2 4 2" xfId="30890" xr:uid="{2B145ECC-5801-4A25-9009-81F9347BAFB0}"/>
    <cellStyle name="SAPBEXHLevel2 6 2 5" xfId="29833" xr:uid="{00000000-0005-0000-0000-00007C6E0000}"/>
    <cellStyle name="SAPBEXHLevel2 6 3" xfId="26595" xr:uid="{00000000-0005-0000-0000-00007D6E0000}"/>
    <cellStyle name="SAPBEXHLevel2 6 3 2" xfId="31373" xr:uid="{80AD0B72-64DF-42BD-BCE4-F2E0D5EF34EE}"/>
    <cellStyle name="SAPBEXHLevel2 6 4" xfId="28280" xr:uid="{00000000-0005-0000-0000-00007E6E0000}"/>
    <cellStyle name="SAPBEXHLevel2 6 4 2" xfId="32838" xr:uid="{654AE24B-CBFA-4215-8124-F04D01806536}"/>
    <cellStyle name="SAPBEXHLevel2 6 5" xfId="26926" xr:uid="{00000000-0005-0000-0000-00007F6E0000}"/>
    <cellStyle name="SAPBEXHLevel2 6 5 2" xfId="31687" xr:uid="{96447FAB-74D5-4575-BD3F-C1FD341008F3}"/>
    <cellStyle name="SAPBEXHLevel2 6 6" xfId="29832" xr:uid="{00000000-0005-0000-0000-0000806E0000}"/>
    <cellStyle name="SAPBEXHLevel2 6 7" xfId="30193" xr:uid="{501B2B62-61CB-43F6-B007-4F814AA35E2B}"/>
    <cellStyle name="SAPBEXHLevel2 7" xfId="24657" xr:uid="{00000000-0005-0000-0000-0000816E0000}"/>
    <cellStyle name="SAPBEXHLevel2 7 2" xfId="25300" xr:uid="{00000000-0005-0000-0000-0000826E0000}"/>
    <cellStyle name="SAPBEXHLevel2 7 2 2" xfId="27454" xr:uid="{00000000-0005-0000-0000-0000836E0000}"/>
    <cellStyle name="SAPBEXHLevel2 7 2 2 2" xfId="32046" xr:uid="{72689DBE-8526-4B79-8C52-65485C5CC00A}"/>
    <cellStyle name="SAPBEXHLevel2 7 2 3" xfId="28283" xr:uid="{00000000-0005-0000-0000-0000846E0000}"/>
    <cellStyle name="SAPBEXHLevel2 7 2 3 2" xfId="32841" xr:uid="{2053B8D7-C4AD-4BAD-845D-FF8F4EEE9405}"/>
    <cellStyle name="SAPBEXHLevel2 7 2 4" xfId="26336" xr:uid="{00000000-0005-0000-0000-0000856E0000}"/>
    <cellStyle name="SAPBEXHLevel2 7 2 4 2" xfId="31124" xr:uid="{2F9E563C-73CD-4622-B3FA-1B7BC3D83C7D}"/>
    <cellStyle name="SAPBEXHLevel2 7 2 5" xfId="29835" xr:uid="{00000000-0005-0000-0000-0000866E0000}"/>
    <cellStyle name="SAPBEXHLevel2 7 2 6" xfId="30459" xr:uid="{76974117-37A5-42A9-B803-E7B7994D4F6B}"/>
    <cellStyle name="SAPBEXHLevel2 7 3" xfId="25623" xr:uid="{00000000-0005-0000-0000-0000876E0000}"/>
    <cellStyle name="SAPBEXHLevel2 7 3 2" xfId="27776" xr:uid="{00000000-0005-0000-0000-0000886E0000}"/>
    <cellStyle name="SAPBEXHLevel2 7 3 2 2" xfId="32363" xr:uid="{4E07E887-6096-4A33-AA54-BD03AB9110C3}"/>
    <cellStyle name="SAPBEXHLevel2 7 3 3" xfId="28284" xr:uid="{00000000-0005-0000-0000-0000896E0000}"/>
    <cellStyle name="SAPBEXHLevel2 7 3 3 2" xfId="32842" xr:uid="{031F7860-2711-4612-9597-CE65A14BBACF}"/>
    <cellStyle name="SAPBEXHLevel2 7 3 4" xfId="26094" xr:uid="{00000000-0005-0000-0000-00008A6E0000}"/>
    <cellStyle name="SAPBEXHLevel2 7 3 4 2" xfId="30884" xr:uid="{60BB0556-877A-4C34-9928-4EE5799B65D3}"/>
    <cellStyle name="SAPBEXHLevel2 7 3 5" xfId="29836" xr:uid="{00000000-0005-0000-0000-00008B6E0000}"/>
    <cellStyle name="SAPBEXHLevel2 7 4" xfId="27250" xr:uid="{00000000-0005-0000-0000-00008C6E0000}"/>
    <cellStyle name="SAPBEXHLevel2 7 4 2" xfId="31885" xr:uid="{7614FBCF-40BC-4674-9176-11EBB4D785EB}"/>
    <cellStyle name="SAPBEXHLevel2 7 5" xfId="28282" xr:uid="{00000000-0005-0000-0000-00008D6E0000}"/>
    <cellStyle name="SAPBEXHLevel2 7 5 2" xfId="32840" xr:uid="{9DCCA00F-282D-4C25-A3D6-218E58AAC836}"/>
    <cellStyle name="SAPBEXHLevel2 7 6" xfId="26465" xr:uid="{00000000-0005-0000-0000-00008E6E0000}"/>
    <cellStyle name="SAPBEXHLevel2 7 6 2" xfId="31253" xr:uid="{186EF82F-E42E-4228-B7C2-A2BB7283741E}"/>
    <cellStyle name="SAPBEXHLevel2 7 7" xfId="29834" xr:uid="{00000000-0005-0000-0000-00008F6E0000}"/>
    <cellStyle name="SAPBEXHLevel2 7 8" xfId="30325" xr:uid="{229E654F-908C-4B68-9077-0996C2E93BA8}"/>
    <cellStyle name="SAPBEXHLevel2 8" xfId="25116" xr:uid="{00000000-0005-0000-0000-0000906E0000}"/>
    <cellStyle name="SAPBEXHLevel2 8 2" xfId="25406" xr:uid="{00000000-0005-0000-0000-0000916E0000}"/>
    <cellStyle name="SAPBEXHLevel2 8 2 2" xfId="27560" xr:uid="{00000000-0005-0000-0000-0000926E0000}"/>
    <cellStyle name="SAPBEXHLevel2 8 2 2 2" xfId="32151" xr:uid="{90C7F42A-B312-4EAA-94EA-EE536237FCAD}"/>
    <cellStyle name="SAPBEXHLevel2 8 2 3" xfId="28286" xr:uid="{00000000-0005-0000-0000-0000936E0000}"/>
    <cellStyle name="SAPBEXHLevel2 8 2 3 2" xfId="32844" xr:uid="{35C54C1F-07AD-48F2-97FB-71FA763B4C90}"/>
    <cellStyle name="SAPBEXHLevel2 8 2 4" xfId="26730" xr:uid="{00000000-0005-0000-0000-0000946E0000}"/>
    <cellStyle name="SAPBEXHLevel2 8 2 4 2" xfId="31491" xr:uid="{A07F036E-BD5D-40B9-B7AE-AE262FE25B7E}"/>
    <cellStyle name="SAPBEXHLevel2 8 2 5" xfId="29838" xr:uid="{00000000-0005-0000-0000-0000956E0000}"/>
    <cellStyle name="SAPBEXHLevel2 8 2 6" xfId="30564" xr:uid="{5A113824-98B1-4C31-A967-D84ED557DABE}"/>
    <cellStyle name="SAPBEXHLevel2 8 3" xfId="25714" xr:uid="{00000000-0005-0000-0000-0000966E0000}"/>
    <cellStyle name="SAPBEXHLevel2 8 3 2" xfId="27867" xr:uid="{00000000-0005-0000-0000-0000976E0000}"/>
    <cellStyle name="SAPBEXHLevel2 8 3 2 2" xfId="32454" xr:uid="{24E2CAE4-7FE5-4584-BEF0-238A2CC18CFD}"/>
    <cellStyle name="SAPBEXHLevel2 8 3 3" xfId="28287" xr:uid="{00000000-0005-0000-0000-0000986E0000}"/>
    <cellStyle name="SAPBEXHLevel2 8 3 3 2" xfId="32845" xr:uid="{C42DA687-62E5-4635-85AA-B5DF710B513F}"/>
    <cellStyle name="SAPBEXHLevel2 8 3 4" xfId="26374" xr:uid="{00000000-0005-0000-0000-0000996E0000}"/>
    <cellStyle name="SAPBEXHLevel2 8 3 4 2" xfId="31162" xr:uid="{CFE6F01C-DCA3-46E9-A4EF-8394609C5E68}"/>
    <cellStyle name="SAPBEXHLevel2 8 3 5" xfId="29839" xr:uid="{00000000-0005-0000-0000-00009A6E0000}"/>
    <cellStyle name="SAPBEXHLevel2 8 3 6" xfId="30708" xr:uid="{EDC6D8C8-CD94-4559-AD2F-B6E4788414FA}"/>
    <cellStyle name="SAPBEXHLevel2 8 4" xfId="27401" xr:uid="{00000000-0005-0000-0000-00009B6E0000}"/>
    <cellStyle name="SAPBEXHLevel2 8 4 2" xfId="31999" xr:uid="{ECE974CF-DB81-430D-89B9-DEBC405A3DB2}"/>
    <cellStyle name="SAPBEXHLevel2 8 5" xfId="28285" xr:uid="{00000000-0005-0000-0000-00009C6E0000}"/>
    <cellStyle name="SAPBEXHLevel2 8 5 2" xfId="32843" xr:uid="{0A0A9490-D74F-4E2B-8EF9-BD9B92AC3879}"/>
    <cellStyle name="SAPBEXHLevel2 8 6" xfId="26256" xr:uid="{00000000-0005-0000-0000-00009D6E0000}"/>
    <cellStyle name="SAPBEXHLevel2 8 6 2" xfId="31044" xr:uid="{07BB5ED6-A7D3-4FA7-BE6D-D761EF9A2973}"/>
    <cellStyle name="SAPBEXHLevel2 8 7" xfId="29837" xr:uid="{00000000-0005-0000-0000-00009E6E0000}"/>
    <cellStyle name="SAPBEXHLevel2 8 8" xfId="30416" xr:uid="{BE5236FA-F633-4124-BE3E-46D7BA216F6D}"/>
    <cellStyle name="SAPBEXHLevel2 9" xfId="25850" xr:uid="{00000000-0005-0000-0000-00009F6E0000}"/>
    <cellStyle name="SAPBEXHLevel2 9 2" xfId="30769" xr:uid="{6A79FB55-0B3D-40CC-86F5-BAE994AC70BE}"/>
    <cellStyle name="SAPBEXHLevel2X" xfId="123" xr:uid="{00000000-0005-0000-0000-0000A06E0000}"/>
    <cellStyle name="SAPBEXHLevel2X 10" xfId="28288" xr:uid="{00000000-0005-0000-0000-0000A16E0000}"/>
    <cellStyle name="SAPBEXHLevel2X 10 2" xfId="32846" xr:uid="{39FF4711-184E-4155-B896-5E8F59BFA985}"/>
    <cellStyle name="SAPBEXHLevel2X 11" xfId="26051" xr:uid="{00000000-0005-0000-0000-0000A26E0000}"/>
    <cellStyle name="SAPBEXHLevel2X 11 2" xfId="30843" xr:uid="{160C7412-0291-488B-B8CE-934EDA184A09}"/>
    <cellStyle name="SAPBEXHLevel2X 12" xfId="29840" xr:uid="{00000000-0005-0000-0000-0000A36E0000}"/>
    <cellStyle name="SAPBEXHLevel2X 2" xfId="124" xr:uid="{00000000-0005-0000-0000-0000A46E0000}"/>
    <cellStyle name="SAPBEXHLevel2X 2 2" xfId="13658" xr:uid="{00000000-0005-0000-0000-0000A56E0000}"/>
    <cellStyle name="SAPBEXHLevel2X 2 2 2" xfId="25496" xr:uid="{00000000-0005-0000-0000-0000A66E0000}"/>
    <cellStyle name="SAPBEXHLevel2X 2 2 2 2" xfId="27649" xr:uid="{00000000-0005-0000-0000-0000A76E0000}"/>
    <cellStyle name="SAPBEXHLevel2X 2 2 2 2 2" xfId="32236" xr:uid="{B80A8785-D80F-41F8-A924-B5604ECBEDEC}"/>
    <cellStyle name="SAPBEXHLevel2X 2 2 2 3" xfId="28291" xr:uid="{00000000-0005-0000-0000-0000A86E0000}"/>
    <cellStyle name="SAPBEXHLevel2X 2 2 2 3 2" xfId="32849" xr:uid="{4F02ACB4-2CD5-4991-BC7A-1B9FA7180F9F}"/>
    <cellStyle name="SAPBEXHLevel2X 2 2 2 4" xfId="26394" xr:uid="{00000000-0005-0000-0000-0000A96E0000}"/>
    <cellStyle name="SAPBEXHLevel2X 2 2 2 4 2" xfId="31182" xr:uid="{064AB945-CEAF-4881-B569-8DA15229C9D0}"/>
    <cellStyle name="SAPBEXHLevel2X 2 2 2 5" xfId="29843" xr:uid="{00000000-0005-0000-0000-0000AA6E0000}"/>
    <cellStyle name="SAPBEXHLevel2X 2 2 3" xfId="26600" xr:uid="{00000000-0005-0000-0000-0000AB6E0000}"/>
    <cellStyle name="SAPBEXHLevel2X 2 2 3 2" xfId="31378" xr:uid="{73AD210C-C5DB-4949-B322-D12E40597808}"/>
    <cellStyle name="SAPBEXHLevel2X 2 2 4" xfId="28290" xr:uid="{00000000-0005-0000-0000-0000AC6E0000}"/>
    <cellStyle name="SAPBEXHLevel2X 2 2 4 2" xfId="32848" xr:uid="{5840D0B1-F0D1-4F79-9E02-223FE0D68081}"/>
    <cellStyle name="SAPBEXHLevel2X 2 2 5" xfId="26149" xr:uid="{00000000-0005-0000-0000-0000AD6E0000}"/>
    <cellStyle name="SAPBEXHLevel2X 2 2 5 2" xfId="30938" xr:uid="{2010BA28-F46B-4C4D-B415-2371015A13BD}"/>
    <cellStyle name="SAPBEXHLevel2X 2 2 6" xfId="29842" xr:uid="{00000000-0005-0000-0000-0000AE6E0000}"/>
    <cellStyle name="SAPBEXHLevel2X 2 2 7" xfId="30198" xr:uid="{E89ED948-DFA8-4487-B3E7-4268A0D64F00}"/>
    <cellStyle name="SAPBEXHLevel2X 2 3" xfId="24264" xr:uid="{00000000-0005-0000-0000-0000AF6E0000}"/>
    <cellStyle name="SAPBEXHLevel2X 2 3 2" xfId="25585" xr:uid="{00000000-0005-0000-0000-0000B06E0000}"/>
    <cellStyle name="SAPBEXHLevel2X 2 3 2 2" xfId="27738" xr:uid="{00000000-0005-0000-0000-0000B16E0000}"/>
    <cellStyle name="SAPBEXHLevel2X 2 3 2 2 2" xfId="32325" xr:uid="{B55DCE78-72F5-4335-84F2-1F3E37C0F8D3}"/>
    <cellStyle name="SAPBEXHLevel2X 2 3 2 3" xfId="28293" xr:uid="{00000000-0005-0000-0000-0000B26E0000}"/>
    <cellStyle name="SAPBEXHLevel2X 2 3 2 3 2" xfId="32851" xr:uid="{8CCD1EE3-D11E-486C-84D3-FB7A88A1BC14}"/>
    <cellStyle name="SAPBEXHLevel2X 2 3 2 4" xfId="27359" xr:uid="{00000000-0005-0000-0000-0000B36E0000}"/>
    <cellStyle name="SAPBEXHLevel2X 2 3 2 4 2" xfId="31957" xr:uid="{F62F5FC4-6A2F-4DAA-B1CA-D24826E8C0DD}"/>
    <cellStyle name="SAPBEXHLevel2X 2 3 2 5" xfId="29845" xr:uid="{00000000-0005-0000-0000-0000B46E0000}"/>
    <cellStyle name="SAPBEXHLevel2X 2 3 3" xfId="27118" xr:uid="{00000000-0005-0000-0000-0000B56E0000}"/>
    <cellStyle name="SAPBEXHLevel2X 2 3 3 2" xfId="31836" xr:uid="{1893E49A-9731-483D-BEFD-38693119A0C3}"/>
    <cellStyle name="SAPBEXHLevel2X 2 3 4" xfId="28292" xr:uid="{00000000-0005-0000-0000-0000B66E0000}"/>
    <cellStyle name="SAPBEXHLevel2X 2 3 4 2" xfId="32850" xr:uid="{6207CD6C-19D7-4F96-8118-96D4E17C7A89}"/>
    <cellStyle name="SAPBEXHLevel2X 2 3 5" xfId="26117" xr:uid="{00000000-0005-0000-0000-0000B76E0000}"/>
    <cellStyle name="SAPBEXHLevel2X 2 3 5 2" xfId="30907" xr:uid="{3159AE05-F3B5-40C0-A49C-93A7BD5CF36A}"/>
    <cellStyle name="SAPBEXHLevel2X 2 3 6" xfId="29844" xr:uid="{00000000-0005-0000-0000-0000B86E0000}"/>
    <cellStyle name="SAPBEXHLevel2X 2 3 7" xfId="30287" xr:uid="{BC6E286A-C994-4AFF-8332-49B985F50C0F}"/>
    <cellStyle name="SAPBEXHLevel2X 2 4" xfId="24653" xr:uid="{00000000-0005-0000-0000-0000B96E0000}"/>
    <cellStyle name="SAPBEXHLevel2X 2 4 2" xfId="25434" xr:uid="{00000000-0005-0000-0000-0000BA6E0000}"/>
    <cellStyle name="SAPBEXHLevel2X 2 4 2 2" xfId="27588" xr:uid="{00000000-0005-0000-0000-0000BB6E0000}"/>
    <cellStyle name="SAPBEXHLevel2X 2 4 2 2 2" xfId="32179" xr:uid="{0E315E71-56C1-4990-9C93-05CD6BF7503B}"/>
    <cellStyle name="SAPBEXHLevel2X 2 4 2 3" xfId="28295" xr:uid="{00000000-0005-0000-0000-0000BC6E0000}"/>
    <cellStyle name="SAPBEXHLevel2X 2 4 2 3 2" xfId="32853" xr:uid="{B58957F9-99E3-49F7-8243-5C2E97FF393F}"/>
    <cellStyle name="SAPBEXHLevel2X 2 4 2 4" xfId="26763" xr:uid="{00000000-0005-0000-0000-0000BD6E0000}"/>
    <cellStyle name="SAPBEXHLevel2X 2 4 2 4 2" xfId="31524" xr:uid="{77D57CD8-7F85-4C95-ADE5-E90B7D3F99AC}"/>
    <cellStyle name="SAPBEXHLevel2X 2 4 2 5" xfId="29847" xr:uid="{00000000-0005-0000-0000-0000BE6E0000}"/>
    <cellStyle name="SAPBEXHLevel2X 2 4 2 6" xfId="30592" xr:uid="{5E3FF7A5-9C71-46A0-BDE9-F91D8C6AE5D5}"/>
    <cellStyle name="SAPBEXHLevel2X 2 4 3" xfId="25619" xr:uid="{00000000-0005-0000-0000-0000BF6E0000}"/>
    <cellStyle name="SAPBEXHLevel2X 2 4 3 2" xfId="27772" xr:uid="{00000000-0005-0000-0000-0000C06E0000}"/>
    <cellStyle name="SAPBEXHLevel2X 2 4 3 2 2" xfId="32359" xr:uid="{3BFC3389-8B95-4FBF-8F74-5DA40F0D5496}"/>
    <cellStyle name="SAPBEXHLevel2X 2 4 3 3" xfId="28296" xr:uid="{00000000-0005-0000-0000-0000C16E0000}"/>
    <cellStyle name="SAPBEXHLevel2X 2 4 3 3 2" xfId="32854" xr:uid="{A4B3E655-93A8-479B-BF76-8671D269DD33}"/>
    <cellStyle name="SAPBEXHLevel2X 2 4 3 4" xfId="26850" xr:uid="{00000000-0005-0000-0000-0000C26E0000}"/>
    <cellStyle name="SAPBEXHLevel2X 2 4 3 4 2" xfId="31611" xr:uid="{E89EEC76-5DC2-47FF-B04F-8C74CA1EA7F9}"/>
    <cellStyle name="SAPBEXHLevel2X 2 4 3 5" xfId="29848" xr:uid="{00000000-0005-0000-0000-0000C36E0000}"/>
    <cellStyle name="SAPBEXHLevel2X 2 4 4" xfId="27246" xr:uid="{00000000-0005-0000-0000-0000C46E0000}"/>
    <cellStyle name="SAPBEXHLevel2X 2 4 4 2" xfId="31881" xr:uid="{E4FC204D-A7C0-46E6-8996-4BF9746D653F}"/>
    <cellStyle name="SAPBEXHLevel2X 2 4 5" xfId="28294" xr:uid="{00000000-0005-0000-0000-0000C56E0000}"/>
    <cellStyle name="SAPBEXHLevel2X 2 4 5 2" xfId="32852" xr:uid="{240CAA38-6DDF-4C2E-A40E-456D138501A4}"/>
    <cellStyle name="SAPBEXHLevel2X 2 4 6" xfId="27006" xr:uid="{00000000-0005-0000-0000-0000C66E0000}"/>
    <cellStyle name="SAPBEXHLevel2X 2 4 6 2" xfId="31766" xr:uid="{105FD8AB-48E8-45F4-BFF0-933DB92B4937}"/>
    <cellStyle name="SAPBEXHLevel2X 2 4 7" xfId="29846" xr:uid="{00000000-0005-0000-0000-0000C76E0000}"/>
    <cellStyle name="SAPBEXHLevel2X 2 4 8" xfId="30321" xr:uid="{2806D815-5F18-444E-8ED7-38A401405B00}"/>
    <cellStyle name="SAPBEXHLevel2X 2 5" xfId="25120" xr:uid="{00000000-0005-0000-0000-0000C86E0000}"/>
    <cellStyle name="SAPBEXHLevel2X 2 5 2" xfId="25437" xr:uid="{00000000-0005-0000-0000-0000C96E0000}"/>
    <cellStyle name="SAPBEXHLevel2X 2 5 2 2" xfId="27591" xr:uid="{00000000-0005-0000-0000-0000CA6E0000}"/>
    <cellStyle name="SAPBEXHLevel2X 2 5 2 2 2" xfId="32182" xr:uid="{146EB42F-5C83-4AE3-BE9F-4CB82BFE5F0D}"/>
    <cellStyle name="SAPBEXHLevel2X 2 5 2 3" xfId="28298" xr:uid="{00000000-0005-0000-0000-0000CB6E0000}"/>
    <cellStyle name="SAPBEXHLevel2X 2 5 2 3 2" xfId="32856" xr:uid="{70CF47E2-36FE-48FF-8B38-7F073D4C6CC9}"/>
    <cellStyle name="SAPBEXHLevel2X 2 5 2 4" xfId="26507" xr:uid="{00000000-0005-0000-0000-0000CC6E0000}"/>
    <cellStyle name="SAPBEXHLevel2X 2 5 2 4 2" xfId="31295" xr:uid="{62206DC2-A8DB-4625-879F-CCBB1E349A40}"/>
    <cellStyle name="SAPBEXHLevel2X 2 5 2 5" xfId="29850" xr:uid="{00000000-0005-0000-0000-0000CD6E0000}"/>
    <cellStyle name="SAPBEXHLevel2X 2 5 2 6" xfId="30595" xr:uid="{C2289268-0FCB-4B31-8762-CB57558D250E}"/>
    <cellStyle name="SAPBEXHLevel2X 2 5 3" xfId="25718" xr:uid="{00000000-0005-0000-0000-0000CE6E0000}"/>
    <cellStyle name="SAPBEXHLevel2X 2 5 3 2" xfId="27871" xr:uid="{00000000-0005-0000-0000-0000CF6E0000}"/>
    <cellStyle name="SAPBEXHLevel2X 2 5 3 2 2" xfId="32458" xr:uid="{EB1F5D69-68AF-447A-9BF1-33F449301EC0}"/>
    <cellStyle name="SAPBEXHLevel2X 2 5 3 3" xfId="28299" xr:uid="{00000000-0005-0000-0000-0000D06E0000}"/>
    <cellStyle name="SAPBEXHLevel2X 2 5 3 3 2" xfId="32857" xr:uid="{10D277D1-34CF-43B5-8979-A5793419D8E8}"/>
    <cellStyle name="SAPBEXHLevel2X 2 5 3 4" xfId="26528" xr:uid="{00000000-0005-0000-0000-0000D16E0000}"/>
    <cellStyle name="SAPBEXHLevel2X 2 5 3 4 2" xfId="31315" xr:uid="{5FC43C3A-F925-4069-8E91-207A51EDA085}"/>
    <cellStyle name="SAPBEXHLevel2X 2 5 3 5" xfId="29851" xr:uid="{00000000-0005-0000-0000-0000D26E0000}"/>
    <cellStyle name="SAPBEXHLevel2X 2 5 3 6" xfId="30712" xr:uid="{2C92B649-8AB1-4A21-8F08-48935CD35806}"/>
    <cellStyle name="SAPBEXHLevel2X 2 5 4" xfId="27405" xr:uid="{00000000-0005-0000-0000-0000D36E0000}"/>
    <cellStyle name="SAPBEXHLevel2X 2 5 4 2" xfId="32003" xr:uid="{44509791-5438-46FD-9F65-7FAEE2426485}"/>
    <cellStyle name="SAPBEXHLevel2X 2 5 5" xfId="28297" xr:uid="{00000000-0005-0000-0000-0000D46E0000}"/>
    <cellStyle name="SAPBEXHLevel2X 2 5 5 2" xfId="32855" xr:uid="{EC309A9B-E3FB-4E54-B5D6-E3D8866D7C7C}"/>
    <cellStyle name="SAPBEXHLevel2X 2 5 6" xfId="26732" xr:uid="{00000000-0005-0000-0000-0000D56E0000}"/>
    <cellStyle name="SAPBEXHLevel2X 2 5 6 2" xfId="31493" xr:uid="{110C8C70-758F-49A8-829C-38446E4B2D36}"/>
    <cellStyle name="SAPBEXHLevel2X 2 5 7" xfId="29849" xr:uid="{00000000-0005-0000-0000-0000D66E0000}"/>
    <cellStyle name="SAPBEXHLevel2X 2 5 8" xfId="30420" xr:uid="{F37C0D99-6EE7-459E-89E5-F6BCAD23A3FC}"/>
    <cellStyle name="SAPBEXHLevel2X 2 6" xfId="25855" xr:uid="{00000000-0005-0000-0000-0000D76E0000}"/>
    <cellStyle name="SAPBEXHLevel2X 2 6 2" xfId="30774" xr:uid="{ACCE309B-1CC4-4462-8476-FE1359A71F1C}"/>
    <cellStyle name="SAPBEXHLevel2X 2 7" xfId="28289" xr:uid="{00000000-0005-0000-0000-0000D86E0000}"/>
    <cellStyle name="SAPBEXHLevel2X 2 7 2" xfId="32847" xr:uid="{4C1DB4CB-9701-4254-A426-86ECD8207323}"/>
    <cellStyle name="SAPBEXHLevel2X 2 8" xfId="29232" xr:uid="{00000000-0005-0000-0000-0000D96E0000}"/>
    <cellStyle name="SAPBEXHLevel2X 2 8 2" xfId="33215" xr:uid="{5C335A7E-A0D0-418A-A9A7-41FAB1BDCE87}"/>
    <cellStyle name="SAPBEXHLevel2X 2 9" xfId="29841" xr:uid="{00000000-0005-0000-0000-0000DA6E0000}"/>
    <cellStyle name="SAPBEXHLevel2X 3" xfId="125" xr:uid="{00000000-0005-0000-0000-0000DB6E0000}"/>
    <cellStyle name="SAPBEXHLevel2X 3 2" xfId="13659" xr:uid="{00000000-0005-0000-0000-0000DC6E0000}"/>
    <cellStyle name="SAPBEXHLevel2X 3 2 2" xfId="25497" xr:uid="{00000000-0005-0000-0000-0000DD6E0000}"/>
    <cellStyle name="SAPBEXHLevel2X 3 2 2 2" xfId="27650" xr:uid="{00000000-0005-0000-0000-0000DE6E0000}"/>
    <cellStyle name="SAPBEXHLevel2X 3 2 2 2 2" xfId="32237" xr:uid="{68C814BA-31C8-4FF0-B521-FFC6EF9D9B2E}"/>
    <cellStyle name="SAPBEXHLevel2X 3 2 2 3" xfId="28302" xr:uid="{00000000-0005-0000-0000-0000DF6E0000}"/>
    <cellStyle name="SAPBEXHLevel2X 3 2 2 3 2" xfId="32860" xr:uid="{3561326F-3243-4A1F-ADB6-5C8D27C8BD4F}"/>
    <cellStyle name="SAPBEXHLevel2X 3 2 2 4" xfId="26312" xr:uid="{00000000-0005-0000-0000-0000E06E0000}"/>
    <cellStyle name="SAPBEXHLevel2X 3 2 2 4 2" xfId="31100" xr:uid="{08ED919A-E9E6-4EDE-B952-9AD494F4E66F}"/>
    <cellStyle name="SAPBEXHLevel2X 3 2 2 5" xfId="29854" xr:uid="{00000000-0005-0000-0000-0000E16E0000}"/>
    <cellStyle name="SAPBEXHLevel2X 3 2 3" xfId="26601" xr:uid="{00000000-0005-0000-0000-0000E26E0000}"/>
    <cellStyle name="SAPBEXHLevel2X 3 2 3 2" xfId="31379" xr:uid="{296C1C71-F8D2-4DDC-9F2C-0C4AD5DE6453}"/>
    <cellStyle name="SAPBEXHLevel2X 3 2 4" xfId="28301" xr:uid="{00000000-0005-0000-0000-0000E36E0000}"/>
    <cellStyle name="SAPBEXHLevel2X 3 2 4 2" xfId="32859" xr:uid="{C131D219-DAB1-4AC7-A4E7-9A9F531C34A3}"/>
    <cellStyle name="SAPBEXHLevel2X 3 2 5" xfId="26535" xr:uid="{00000000-0005-0000-0000-0000E46E0000}"/>
    <cellStyle name="SAPBEXHLevel2X 3 2 5 2" xfId="31322" xr:uid="{D412E13F-DA19-40B5-B9A4-97D4B53735A3}"/>
    <cellStyle name="SAPBEXHLevel2X 3 2 6" xfId="29853" xr:uid="{00000000-0005-0000-0000-0000E56E0000}"/>
    <cellStyle name="SAPBEXHLevel2X 3 2 7" xfId="30199" xr:uid="{B349369F-99CF-4011-B0A7-CC1173872BC4}"/>
    <cellStyle name="SAPBEXHLevel2X 3 3" xfId="24265" xr:uid="{00000000-0005-0000-0000-0000E66E0000}"/>
    <cellStyle name="SAPBEXHLevel2X 3 3 2" xfId="25586" xr:uid="{00000000-0005-0000-0000-0000E76E0000}"/>
    <cellStyle name="SAPBEXHLevel2X 3 3 2 2" xfId="27739" xr:uid="{00000000-0005-0000-0000-0000E86E0000}"/>
    <cellStyle name="SAPBEXHLevel2X 3 3 2 2 2" xfId="32326" xr:uid="{C2A2EF66-BE32-4DFA-8855-340BB683DC17}"/>
    <cellStyle name="SAPBEXHLevel2X 3 3 2 3" xfId="28304" xr:uid="{00000000-0005-0000-0000-0000E96E0000}"/>
    <cellStyle name="SAPBEXHLevel2X 3 3 2 3 2" xfId="32862" xr:uid="{76A1AFBB-E582-49E7-B0F8-8AECAF892336}"/>
    <cellStyle name="SAPBEXHLevel2X 3 3 2 4" xfId="26815" xr:uid="{00000000-0005-0000-0000-0000EA6E0000}"/>
    <cellStyle name="SAPBEXHLevel2X 3 3 2 4 2" xfId="31576" xr:uid="{6C80A768-3F40-4268-8A8A-9C47F79ABB07}"/>
    <cellStyle name="SAPBEXHLevel2X 3 3 2 5" xfId="29856" xr:uid="{00000000-0005-0000-0000-0000EB6E0000}"/>
    <cellStyle name="SAPBEXHLevel2X 3 3 3" xfId="27119" xr:uid="{00000000-0005-0000-0000-0000EC6E0000}"/>
    <cellStyle name="SAPBEXHLevel2X 3 3 3 2" xfId="31837" xr:uid="{E50DE7E4-2CE2-4068-BF91-765F266F453A}"/>
    <cellStyle name="SAPBEXHLevel2X 3 3 4" xfId="28303" xr:uid="{00000000-0005-0000-0000-0000ED6E0000}"/>
    <cellStyle name="SAPBEXHLevel2X 3 3 4 2" xfId="32861" xr:uid="{669A3092-DDC0-4A10-8493-E327A624300F}"/>
    <cellStyle name="SAPBEXHLevel2X 3 3 5" xfId="26319" xr:uid="{00000000-0005-0000-0000-0000EE6E0000}"/>
    <cellStyle name="SAPBEXHLevel2X 3 3 5 2" xfId="31107" xr:uid="{883B4567-434B-48C7-98E5-AA0FD6CA2CDB}"/>
    <cellStyle name="SAPBEXHLevel2X 3 3 6" xfId="29855" xr:uid="{00000000-0005-0000-0000-0000EF6E0000}"/>
    <cellStyle name="SAPBEXHLevel2X 3 3 7" xfId="30288" xr:uid="{350C7EE5-1DE1-4EE7-8E5E-4DDB1FD06BEF}"/>
    <cellStyle name="SAPBEXHLevel2X 3 4" xfId="24652" xr:uid="{00000000-0005-0000-0000-0000F06E0000}"/>
    <cellStyle name="SAPBEXHLevel2X 3 4 2" xfId="25333" xr:uid="{00000000-0005-0000-0000-0000F16E0000}"/>
    <cellStyle name="SAPBEXHLevel2X 3 4 2 2" xfId="27487" xr:uid="{00000000-0005-0000-0000-0000F26E0000}"/>
    <cellStyle name="SAPBEXHLevel2X 3 4 2 2 2" xfId="32078" xr:uid="{A83611BE-9A26-40FF-8CD1-9A3E6BE2E539}"/>
    <cellStyle name="SAPBEXHLevel2X 3 4 2 3" xfId="28306" xr:uid="{00000000-0005-0000-0000-0000F36E0000}"/>
    <cellStyle name="SAPBEXHLevel2X 3 4 2 3 2" xfId="32864" xr:uid="{52970F03-AB03-4B01-883D-C6CA0A84735B}"/>
    <cellStyle name="SAPBEXHLevel2X 3 4 2 4" xfId="26363" xr:uid="{00000000-0005-0000-0000-0000F46E0000}"/>
    <cellStyle name="SAPBEXHLevel2X 3 4 2 4 2" xfId="31151" xr:uid="{9CBEE3DC-A698-40AD-A48D-0CF945B10F1E}"/>
    <cellStyle name="SAPBEXHLevel2X 3 4 2 5" xfId="29858" xr:uid="{00000000-0005-0000-0000-0000F56E0000}"/>
    <cellStyle name="SAPBEXHLevel2X 3 4 2 6" xfId="30491" xr:uid="{A9C0E3A9-55F6-4015-AC68-573BEB21E894}"/>
    <cellStyle name="SAPBEXHLevel2X 3 4 3" xfId="25618" xr:uid="{00000000-0005-0000-0000-0000F66E0000}"/>
    <cellStyle name="SAPBEXHLevel2X 3 4 3 2" xfId="27771" xr:uid="{00000000-0005-0000-0000-0000F76E0000}"/>
    <cellStyle name="SAPBEXHLevel2X 3 4 3 2 2" xfId="32358" xr:uid="{42DF8C83-80E7-4331-BAE5-F05E9F80A5BB}"/>
    <cellStyle name="SAPBEXHLevel2X 3 4 3 3" xfId="28307" xr:uid="{00000000-0005-0000-0000-0000F86E0000}"/>
    <cellStyle name="SAPBEXHLevel2X 3 4 3 3 2" xfId="32865" xr:uid="{F218E463-7A97-4B09-AC7A-A8A5154395F3}"/>
    <cellStyle name="SAPBEXHLevel2X 3 4 3 4" xfId="26516" xr:uid="{00000000-0005-0000-0000-0000F96E0000}"/>
    <cellStyle name="SAPBEXHLevel2X 3 4 3 4 2" xfId="31304" xr:uid="{D4617993-C1B8-4067-B4A5-5ED3D22B95B7}"/>
    <cellStyle name="SAPBEXHLevel2X 3 4 3 5" xfId="29859" xr:uid="{00000000-0005-0000-0000-0000FA6E0000}"/>
    <cellStyle name="SAPBEXHLevel2X 3 4 4" xfId="27245" xr:uid="{00000000-0005-0000-0000-0000FB6E0000}"/>
    <cellStyle name="SAPBEXHLevel2X 3 4 4 2" xfId="31880" xr:uid="{524C7DE7-3A6B-441E-A669-D3CE7200549B}"/>
    <cellStyle name="SAPBEXHLevel2X 3 4 5" xfId="28305" xr:uid="{00000000-0005-0000-0000-0000FC6E0000}"/>
    <cellStyle name="SAPBEXHLevel2X 3 4 5 2" xfId="32863" xr:uid="{803751BF-85B9-4945-B68A-25825F65E398}"/>
    <cellStyle name="SAPBEXHLevel2X 3 4 6" xfId="26711" xr:uid="{00000000-0005-0000-0000-0000FD6E0000}"/>
    <cellStyle name="SAPBEXHLevel2X 3 4 6 2" xfId="31473" xr:uid="{C43972B6-828B-4B93-8A38-E4488229649C}"/>
    <cellStyle name="SAPBEXHLevel2X 3 4 7" xfId="29857" xr:uid="{00000000-0005-0000-0000-0000FE6E0000}"/>
    <cellStyle name="SAPBEXHLevel2X 3 4 8" xfId="30320" xr:uid="{26317DB7-6BDD-4B90-B40E-D2875A8142C5}"/>
    <cellStyle name="SAPBEXHLevel2X 3 5" xfId="25121" xr:uid="{00000000-0005-0000-0000-0000FF6E0000}"/>
    <cellStyle name="SAPBEXHLevel2X 3 5 2" xfId="25354" xr:uid="{00000000-0005-0000-0000-0000006F0000}"/>
    <cellStyle name="SAPBEXHLevel2X 3 5 2 2" xfId="27508" xr:uid="{00000000-0005-0000-0000-0000016F0000}"/>
    <cellStyle name="SAPBEXHLevel2X 3 5 2 2 2" xfId="32099" xr:uid="{DF2B96D1-52CE-4933-AFCF-F69E40F779CE}"/>
    <cellStyle name="SAPBEXHLevel2X 3 5 2 3" xfId="28309" xr:uid="{00000000-0005-0000-0000-0000026F0000}"/>
    <cellStyle name="SAPBEXHLevel2X 3 5 2 3 2" xfId="32867" xr:uid="{E90AE2DB-A9BA-40FE-BD0C-868BA220FD86}"/>
    <cellStyle name="SAPBEXHLevel2X 3 5 2 4" xfId="26955" xr:uid="{00000000-0005-0000-0000-0000036F0000}"/>
    <cellStyle name="SAPBEXHLevel2X 3 5 2 4 2" xfId="31716" xr:uid="{1905C4DC-7DD6-41C2-8F5F-3FAA3826B72C}"/>
    <cellStyle name="SAPBEXHLevel2X 3 5 2 5" xfId="29861" xr:uid="{00000000-0005-0000-0000-0000046F0000}"/>
    <cellStyle name="SAPBEXHLevel2X 3 5 2 6" xfId="30512" xr:uid="{4B44D0F1-4E54-4371-90AF-C8D4AE8B2862}"/>
    <cellStyle name="SAPBEXHLevel2X 3 5 3" xfId="25719" xr:uid="{00000000-0005-0000-0000-0000056F0000}"/>
    <cellStyle name="SAPBEXHLevel2X 3 5 3 2" xfId="27872" xr:uid="{00000000-0005-0000-0000-0000066F0000}"/>
    <cellStyle name="SAPBEXHLevel2X 3 5 3 2 2" xfId="32459" xr:uid="{6ECD7BC5-A01F-47C2-9F2A-A0BEDD710D11}"/>
    <cellStyle name="SAPBEXHLevel2X 3 5 3 3" xfId="28310" xr:uid="{00000000-0005-0000-0000-0000076F0000}"/>
    <cellStyle name="SAPBEXHLevel2X 3 5 3 3 2" xfId="32868" xr:uid="{E0BC4AFA-FA82-450F-84BE-7FD9A52DC0A1}"/>
    <cellStyle name="SAPBEXHLevel2X 3 5 3 4" xfId="26513" xr:uid="{00000000-0005-0000-0000-0000086F0000}"/>
    <cellStyle name="SAPBEXHLevel2X 3 5 3 4 2" xfId="31301" xr:uid="{5DB21D4A-477F-4CEC-B329-F4C0FF595831}"/>
    <cellStyle name="SAPBEXHLevel2X 3 5 3 5" xfId="29862" xr:uid="{00000000-0005-0000-0000-0000096F0000}"/>
    <cellStyle name="SAPBEXHLevel2X 3 5 3 6" xfId="30713" xr:uid="{CE0C89F6-3B8F-47AA-9EFD-ECA249DD3F91}"/>
    <cellStyle name="SAPBEXHLevel2X 3 5 4" xfId="27406" xr:uid="{00000000-0005-0000-0000-00000A6F0000}"/>
    <cellStyle name="SAPBEXHLevel2X 3 5 4 2" xfId="32004" xr:uid="{3C67262E-D7E2-43C3-95D6-3198AA0C5344}"/>
    <cellStyle name="SAPBEXHLevel2X 3 5 5" xfId="28308" xr:uid="{00000000-0005-0000-0000-00000B6F0000}"/>
    <cellStyle name="SAPBEXHLevel2X 3 5 5 2" xfId="32866" xr:uid="{F9D42687-1A7C-4D66-8C2D-8F7878AADFE5}"/>
    <cellStyle name="SAPBEXHLevel2X 3 5 6" xfId="26141" xr:uid="{00000000-0005-0000-0000-00000C6F0000}"/>
    <cellStyle name="SAPBEXHLevel2X 3 5 6 2" xfId="30931" xr:uid="{69C3F65B-65BA-45D6-B78B-A22DAEA2C73B}"/>
    <cellStyle name="SAPBEXHLevel2X 3 5 7" xfId="29860" xr:uid="{00000000-0005-0000-0000-00000D6F0000}"/>
    <cellStyle name="SAPBEXHLevel2X 3 5 8" xfId="30421" xr:uid="{6986DA9C-58F3-4D52-95F6-31BF86F9DCD1}"/>
    <cellStyle name="SAPBEXHLevel2X 3 6" xfId="25856" xr:uid="{00000000-0005-0000-0000-00000E6F0000}"/>
    <cellStyle name="SAPBEXHLevel2X 3 6 2" xfId="30775" xr:uid="{D0EE09E1-B8EA-40EC-A02E-467C33508226}"/>
    <cellStyle name="SAPBEXHLevel2X 3 7" xfId="28300" xr:uid="{00000000-0005-0000-0000-00000F6F0000}"/>
    <cellStyle name="SAPBEXHLevel2X 3 7 2" xfId="32858" xr:uid="{9EACCF4F-5707-4C1F-BADE-68B4708927D1}"/>
    <cellStyle name="SAPBEXHLevel2X 3 8" xfId="29214" xr:uid="{00000000-0005-0000-0000-0000106F0000}"/>
    <cellStyle name="SAPBEXHLevel2X 3 8 2" xfId="33197" xr:uid="{4D64B8D7-1A4B-49DA-B4AF-03D38E28536A}"/>
    <cellStyle name="SAPBEXHLevel2X 3 9" xfId="29852" xr:uid="{00000000-0005-0000-0000-0000116F0000}"/>
    <cellStyle name="SAPBEXHLevel2X 4" xfId="126" xr:uid="{00000000-0005-0000-0000-0000126F0000}"/>
    <cellStyle name="SAPBEXHLevel2X 4 2" xfId="13660" xr:uid="{00000000-0005-0000-0000-0000136F0000}"/>
    <cellStyle name="SAPBEXHLevel2X 4 2 2" xfId="25498" xr:uid="{00000000-0005-0000-0000-0000146F0000}"/>
    <cellStyle name="SAPBEXHLevel2X 4 2 2 2" xfId="27651" xr:uid="{00000000-0005-0000-0000-0000156F0000}"/>
    <cellStyle name="SAPBEXHLevel2X 4 2 2 2 2" xfId="32238" xr:uid="{769983A9-FC25-4B24-845E-345081FEB88C}"/>
    <cellStyle name="SAPBEXHLevel2X 4 2 2 3" xfId="28313" xr:uid="{00000000-0005-0000-0000-0000166F0000}"/>
    <cellStyle name="SAPBEXHLevel2X 4 2 2 3 2" xfId="32871" xr:uid="{2D8F571C-74DA-48DB-9E7D-CE15639BEA6F}"/>
    <cellStyle name="SAPBEXHLevel2X 4 2 2 4" xfId="27348" xr:uid="{00000000-0005-0000-0000-0000176F0000}"/>
    <cellStyle name="SAPBEXHLevel2X 4 2 2 4 2" xfId="31946" xr:uid="{7D14A477-1CB6-4F9E-BE25-CCDF30EE4B3D}"/>
    <cellStyle name="SAPBEXHLevel2X 4 2 2 5" xfId="29865" xr:uid="{00000000-0005-0000-0000-0000186F0000}"/>
    <cellStyle name="SAPBEXHLevel2X 4 2 3" xfId="26602" xr:uid="{00000000-0005-0000-0000-0000196F0000}"/>
    <cellStyle name="SAPBEXHLevel2X 4 2 3 2" xfId="31380" xr:uid="{CC15C65E-53C9-4EF0-987E-5BCB52B43667}"/>
    <cellStyle name="SAPBEXHLevel2X 4 2 4" xfId="28312" xr:uid="{00000000-0005-0000-0000-00001A6F0000}"/>
    <cellStyle name="SAPBEXHLevel2X 4 2 4 2" xfId="32870" xr:uid="{348F290E-97A2-426E-AEF8-FF08E05C193F}"/>
    <cellStyle name="SAPBEXHLevel2X 4 2 5" xfId="27082" xr:uid="{00000000-0005-0000-0000-00001B6F0000}"/>
    <cellStyle name="SAPBEXHLevel2X 4 2 5 2" xfId="31806" xr:uid="{9968531E-208C-4393-8B61-AD4ECE53455F}"/>
    <cellStyle name="SAPBEXHLevel2X 4 2 6" xfId="29864" xr:uid="{00000000-0005-0000-0000-00001C6F0000}"/>
    <cellStyle name="SAPBEXHLevel2X 4 2 7" xfId="30200" xr:uid="{973650EE-48B8-407C-A2EF-2928BD22E9A5}"/>
    <cellStyle name="SAPBEXHLevel2X 4 3" xfId="25857" xr:uid="{00000000-0005-0000-0000-00001D6F0000}"/>
    <cellStyle name="SAPBEXHLevel2X 4 3 2" xfId="30776" xr:uid="{6F22AA6E-5ACF-4450-A3A3-206F1A076CB3}"/>
    <cellStyle name="SAPBEXHLevel2X 4 4" xfId="28311" xr:uid="{00000000-0005-0000-0000-00001E6F0000}"/>
    <cellStyle name="SAPBEXHLevel2X 4 4 2" xfId="32869" xr:uid="{896D0740-6BAD-422F-B817-AEC5931338C7}"/>
    <cellStyle name="SAPBEXHLevel2X 4 5" xfId="26370" xr:uid="{00000000-0005-0000-0000-00001F6F0000}"/>
    <cellStyle name="SAPBEXHLevel2X 4 5 2" xfId="31158" xr:uid="{E95CA076-8D58-4743-9DF5-2ECA034581DC}"/>
    <cellStyle name="SAPBEXHLevel2X 4 6" xfId="29863" xr:uid="{00000000-0005-0000-0000-0000206F0000}"/>
    <cellStyle name="SAPBEXHLevel2X 5" xfId="255" xr:uid="{00000000-0005-0000-0000-0000216F0000}"/>
    <cellStyle name="SAPBEXHLevel2X 5 2" xfId="13720" xr:uid="{00000000-0005-0000-0000-0000226F0000}"/>
    <cellStyle name="SAPBEXHLevel2X 5 2 2" xfId="25533" xr:uid="{00000000-0005-0000-0000-0000236F0000}"/>
    <cellStyle name="SAPBEXHLevel2X 5 2 2 2" xfId="27686" xr:uid="{00000000-0005-0000-0000-0000246F0000}"/>
    <cellStyle name="SAPBEXHLevel2X 5 2 2 2 2" xfId="32273" xr:uid="{969DB673-F132-4CBE-994C-665BFBD48362}"/>
    <cellStyle name="SAPBEXHLevel2X 5 2 2 3" xfId="28316" xr:uid="{00000000-0005-0000-0000-0000256F0000}"/>
    <cellStyle name="SAPBEXHLevel2X 5 2 2 3 2" xfId="32874" xr:uid="{5AF32070-A573-43CF-A82F-F76A65150F26}"/>
    <cellStyle name="SAPBEXHLevel2X 5 2 2 4" xfId="26214" xr:uid="{00000000-0005-0000-0000-0000266F0000}"/>
    <cellStyle name="SAPBEXHLevel2X 5 2 2 4 2" xfId="31002" xr:uid="{97AC4181-D357-4B1E-8C2A-AC0B62651307}"/>
    <cellStyle name="SAPBEXHLevel2X 5 2 2 5" xfId="29868" xr:uid="{00000000-0005-0000-0000-0000276F0000}"/>
    <cellStyle name="SAPBEXHLevel2X 5 2 3" xfId="26640" xr:uid="{00000000-0005-0000-0000-0000286F0000}"/>
    <cellStyle name="SAPBEXHLevel2X 5 2 3 2" xfId="31417" xr:uid="{E29B80E2-11AB-4507-84F4-47950C32AA74}"/>
    <cellStyle name="SAPBEXHLevel2X 5 2 4" xfId="28315" xr:uid="{00000000-0005-0000-0000-0000296F0000}"/>
    <cellStyle name="SAPBEXHLevel2X 5 2 4 2" xfId="32873" xr:uid="{301B100A-14DB-4657-9AD5-698FB11EB8AD}"/>
    <cellStyle name="SAPBEXHLevel2X 5 2 5" xfId="27008" xr:uid="{00000000-0005-0000-0000-00002A6F0000}"/>
    <cellStyle name="SAPBEXHLevel2X 5 2 5 2" xfId="31768" xr:uid="{46C5460C-2A05-4E8D-80FC-DACAB3901175}"/>
    <cellStyle name="SAPBEXHLevel2X 5 2 6" xfId="29867" xr:uid="{00000000-0005-0000-0000-00002B6F0000}"/>
    <cellStyle name="SAPBEXHLevel2X 5 2 7" xfId="30235" xr:uid="{C03BD525-83C6-47A9-BC30-CB915168A97D}"/>
    <cellStyle name="SAPBEXHLevel2X 5 3" xfId="25923" xr:uid="{00000000-0005-0000-0000-00002C6F0000}"/>
    <cellStyle name="SAPBEXHLevel2X 5 3 2" xfId="30812" xr:uid="{05DEC17D-FB44-425C-8C75-470DC3851EBE}"/>
    <cellStyle name="SAPBEXHLevel2X 5 4" xfId="28314" xr:uid="{00000000-0005-0000-0000-00002D6F0000}"/>
    <cellStyle name="SAPBEXHLevel2X 5 4 2" xfId="32872" xr:uid="{2E98358B-10FF-44FC-AF6F-5FD64FD46555}"/>
    <cellStyle name="SAPBEXHLevel2X 5 5" xfId="27924" xr:uid="{00000000-0005-0000-0000-00002E6F0000}"/>
    <cellStyle name="SAPBEXHLevel2X 5 5 2" xfId="32482" xr:uid="{DF0E5E79-F03F-4499-909D-9C987E0A765E}"/>
    <cellStyle name="SAPBEXHLevel2X 5 6" xfId="29866" xr:uid="{00000000-0005-0000-0000-00002F6F0000}"/>
    <cellStyle name="SAPBEXHLevel2X 6" xfId="13657" xr:uid="{00000000-0005-0000-0000-0000306F0000}"/>
    <cellStyle name="SAPBEXHLevel2X 6 2" xfId="25495" xr:uid="{00000000-0005-0000-0000-0000316F0000}"/>
    <cellStyle name="SAPBEXHLevel2X 6 2 2" xfId="27648" xr:uid="{00000000-0005-0000-0000-0000326F0000}"/>
    <cellStyle name="SAPBEXHLevel2X 6 2 2 2" xfId="32235" xr:uid="{62D6E3E9-F16D-4400-89DF-D5E2BD38B569}"/>
    <cellStyle name="SAPBEXHLevel2X 6 2 3" xfId="28318" xr:uid="{00000000-0005-0000-0000-0000336F0000}"/>
    <cellStyle name="SAPBEXHLevel2X 6 2 3 2" xfId="32876" xr:uid="{7F3B2853-9A74-4353-865D-F8D35928BB50}"/>
    <cellStyle name="SAPBEXHLevel2X 6 2 4" xfId="27321" xr:uid="{00000000-0005-0000-0000-0000346F0000}"/>
    <cellStyle name="SAPBEXHLevel2X 6 2 4 2" xfId="31940" xr:uid="{B24DB459-6A37-4D29-9C5D-6DE37E9678FD}"/>
    <cellStyle name="SAPBEXHLevel2X 6 2 5" xfId="29870" xr:uid="{00000000-0005-0000-0000-0000356F0000}"/>
    <cellStyle name="SAPBEXHLevel2X 6 3" xfId="26599" xr:uid="{00000000-0005-0000-0000-0000366F0000}"/>
    <cellStyle name="SAPBEXHLevel2X 6 3 2" xfId="31377" xr:uid="{127269DD-B4D7-4E7D-92C1-E9F349449EE5}"/>
    <cellStyle name="SAPBEXHLevel2X 6 4" xfId="28317" xr:uid="{00000000-0005-0000-0000-0000376F0000}"/>
    <cellStyle name="SAPBEXHLevel2X 6 4 2" xfId="32875" xr:uid="{7D039002-1AF4-47D8-AA52-29136A2095D9}"/>
    <cellStyle name="SAPBEXHLevel2X 6 5" xfId="26352" xr:uid="{00000000-0005-0000-0000-0000386F0000}"/>
    <cellStyle name="SAPBEXHLevel2X 6 5 2" xfId="31140" xr:uid="{24C10434-4703-4634-A24A-B7999810F8E0}"/>
    <cellStyle name="SAPBEXHLevel2X 6 6" xfId="29869" xr:uid="{00000000-0005-0000-0000-0000396F0000}"/>
    <cellStyle name="SAPBEXHLevel2X 6 7" xfId="30197" xr:uid="{0DBA6F2A-DBB0-4119-96D4-9A08BB066EFA}"/>
    <cellStyle name="SAPBEXHLevel2X 7" xfId="24654" xr:uid="{00000000-0005-0000-0000-00003A6F0000}"/>
    <cellStyle name="SAPBEXHLevel2X 7 2" xfId="25350" xr:uid="{00000000-0005-0000-0000-00003B6F0000}"/>
    <cellStyle name="SAPBEXHLevel2X 7 2 2" xfId="27504" xr:uid="{00000000-0005-0000-0000-00003C6F0000}"/>
    <cellStyle name="SAPBEXHLevel2X 7 2 2 2" xfId="32095" xr:uid="{F85131B8-CC45-4460-A75E-29E81793FD40}"/>
    <cellStyle name="SAPBEXHLevel2X 7 2 3" xfId="28320" xr:uid="{00000000-0005-0000-0000-00003D6F0000}"/>
    <cellStyle name="SAPBEXHLevel2X 7 2 3 2" xfId="32878" xr:uid="{04C7A79E-6BF2-497C-8C1C-03BB16105FEC}"/>
    <cellStyle name="SAPBEXHLevel2X 7 2 4" xfId="26206" xr:uid="{00000000-0005-0000-0000-00003E6F0000}"/>
    <cellStyle name="SAPBEXHLevel2X 7 2 4 2" xfId="30994" xr:uid="{7753D107-6785-493D-8438-04D4AD959D57}"/>
    <cellStyle name="SAPBEXHLevel2X 7 2 5" xfId="29872" xr:uid="{00000000-0005-0000-0000-00003F6F0000}"/>
    <cellStyle name="SAPBEXHLevel2X 7 2 6" xfId="30508" xr:uid="{675FD031-24F5-4CED-B577-29B0C1D816EC}"/>
    <cellStyle name="SAPBEXHLevel2X 7 3" xfId="25620" xr:uid="{00000000-0005-0000-0000-0000406F0000}"/>
    <cellStyle name="SAPBEXHLevel2X 7 3 2" xfId="27773" xr:uid="{00000000-0005-0000-0000-0000416F0000}"/>
    <cellStyle name="SAPBEXHLevel2X 7 3 2 2" xfId="32360" xr:uid="{C826C5D0-40E6-4EDE-8663-C9AC6AAE5153}"/>
    <cellStyle name="SAPBEXHLevel2X 7 3 3" xfId="28321" xr:uid="{00000000-0005-0000-0000-0000426F0000}"/>
    <cellStyle name="SAPBEXHLevel2X 7 3 3 2" xfId="32879" xr:uid="{C3DDCAA5-A4BD-411B-8856-CBBA4B8F3FE0}"/>
    <cellStyle name="SAPBEXHLevel2X 7 3 4" xfId="26888" xr:uid="{00000000-0005-0000-0000-0000436F0000}"/>
    <cellStyle name="SAPBEXHLevel2X 7 3 4 2" xfId="31649" xr:uid="{21D57C68-30F9-4B6C-9844-67B585BDE5AE}"/>
    <cellStyle name="SAPBEXHLevel2X 7 3 5" xfId="29873" xr:uid="{00000000-0005-0000-0000-0000446F0000}"/>
    <cellStyle name="SAPBEXHLevel2X 7 4" xfId="27247" xr:uid="{00000000-0005-0000-0000-0000456F0000}"/>
    <cellStyle name="SAPBEXHLevel2X 7 4 2" xfId="31882" xr:uid="{1F50CDA6-D426-4BE3-93AA-CB66526806EF}"/>
    <cellStyle name="SAPBEXHLevel2X 7 5" xfId="28319" xr:uid="{00000000-0005-0000-0000-0000466F0000}"/>
    <cellStyle name="SAPBEXHLevel2X 7 5 2" xfId="32877" xr:uid="{03C2483C-A434-4110-A236-1E6DD3535078}"/>
    <cellStyle name="SAPBEXHLevel2X 7 6" xfId="26115" xr:uid="{00000000-0005-0000-0000-0000476F0000}"/>
    <cellStyle name="SAPBEXHLevel2X 7 6 2" xfId="30905" xr:uid="{129CF6D2-70A9-455A-BFB0-65BC28E450D7}"/>
    <cellStyle name="SAPBEXHLevel2X 7 7" xfId="29871" xr:uid="{00000000-0005-0000-0000-0000486F0000}"/>
    <cellStyle name="SAPBEXHLevel2X 7 8" xfId="30322" xr:uid="{9C2CAA50-A93A-4420-AE48-305EBCF23106}"/>
    <cellStyle name="SAPBEXHLevel2X 8" xfId="25119" xr:uid="{00000000-0005-0000-0000-0000496F0000}"/>
    <cellStyle name="SAPBEXHLevel2X 8 2" xfId="25337" xr:uid="{00000000-0005-0000-0000-00004A6F0000}"/>
    <cellStyle name="SAPBEXHLevel2X 8 2 2" xfId="27491" xr:uid="{00000000-0005-0000-0000-00004B6F0000}"/>
    <cellStyle name="SAPBEXHLevel2X 8 2 2 2" xfId="32082" xr:uid="{686CFDCF-31B4-455B-AE48-7F75F05EE172}"/>
    <cellStyle name="SAPBEXHLevel2X 8 2 3" xfId="28323" xr:uid="{00000000-0005-0000-0000-00004C6F0000}"/>
    <cellStyle name="SAPBEXHLevel2X 8 2 3 2" xfId="32881" xr:uid="{8854D5C0-02DF-4691-A393-6F32A7509F3E}"/>
    <cellStyle name="SAPBEXHLevel2X 8 2 4" xfId="26138" xr:uid="{00000000-0005-0000-0000-00004D6F0000}"/>
    <cellStyle name="SAPBEXHLevel2X 8 2 4 2" xfId="30928" xr:uid="{4C73DAD2-5CC0-48FE-838B-08B6E4FF6FD6}"/>
    <cellStyle name="SAPBEXHLevel2X 8 2 5" xfId="29875" xr:uid="{00000000-0005-0000-0000-00004E6F0000}"/>
    <cellStyle name="SAPBEXHLevel2X 8 2 6" xfId="30495" xr:uid="{CC2F96E7-3868-4F9E-906C-EA6B106A0B19}"/>
    <cellStyle name="SAPBEXHLevel2X 8 3" xfId="25717" xr:uid="{00000000-0005-0000-0000-00004F6F0000}"/>
    <cellStyle name="SAPBEXHLevel2X 8 3 2" xfId="27870" xr:uid="{00000000-0005-0000-0000-0000506F0000}"/>
    <cellStyle name="SAPBEXHLevel2X 8 3 2 2" xfId="32457" xr:uid="{B23026B2-2D81-4A57-8853-B023293739F1}"/>
    <cellStyle name="SAPBEXHLevel2X 8 3 3" xfId="28324" xr:uid="{00000000-0005-0000-0000-0000516F0000}"/>
    <cellStyle name="SAPBEXHLevel2X 8 3 3 2" xfId="32882" xr:uid="{117AC622-D2D6-4810-BD6D-24D778F585A5}"/>
    <cellStyle name="SAPBEXHLevel2X 8 3 4" xfId="26822" xr:uid="{00000000-0005-0000-0000-0000526F0000}"/>
    <cellStyle name="SAPBEXHLevel2X 8 3 4 2" xfId="31583" xr:uid="{D4DB7635-284C-414E-BEC7-B40091DDE713}"/>
    <cellStyle name="SAPBEXHLevel2X 8 3 5" xfId="29876" xr:uid="{00000000-0005-0000-0000-0000536F0000}"/>
    <cellStyle name="SAPBEXHLevel2X 8 3 6" xfId="30711" xr:uid="{AAB3D7A8-2466-4FE4-A4B2-92DA429CF465}"/>
    <cellStyle name="SAPBEXHLevel2X 8 4" xfId="27404" xr:uid="{00000000-0005-0000-0000-0000546F0000}"/>
    <cellStyle name="SAPBEXHLevel2X 8 4 2" xfId="32002" xr:uid="{421B840A-CBB3-4937-9CBB-1689F18F6E06}"/>
    <cellStyle name="SAPBEXHLevel2X 8 5" xfId="28322" xr:uid="{00000000-0005-0000-0000-0000556F0000}"/>
    <cellStyle name="SAPBEXHLevel2X 8 5 2" xfId="32880" xr:uid="{800D98A4-FE35-4C07-97C7-594FE8FE102F}"/>
    <cellStyle name="SAPBEXHLevel2X 8 6" xfId="26826" xr:uid="{00000000-0005-0000-0000-0000566F0000}"/>
    <cellStyle name="SAPBEXHLevel2X 8 6 2" xfId="31587" xr:uid="{B5C5A7A9-5D59-4A1E-A74F-1A3BE4914B90}"/>
    <cellStyle name="SAPBEXHLevel2X 8 7" xfId="29874" xr:uid="{00000000-0005-0000-0000-0000576F0000}"/>
    <cellStyle name="SAPBEXHLevel2X 8 8" xfId="30419" xr:uid="{25479D68-A9E2-4939-8BD0-4B760DB2443B}"/>
    <cellStyle name="SAPBEXHLevel2X 9" xfId="25854" xr:uid="{00000000-0005-0000-0000-0000586F0000}"/>
    <cellStyle name="SAPBEXHLevel2X 9 2" xfId="30773" xr:uid="{0C939519-7478-4B4C-9B66-38110537D7E9}"/>
    <cellStyle name="SAPBEXHLevel3" xfId="127" xr:uid="{00000000-0005-0000-0000-0000596F0000}"/>
    <cellStyle name="SAPBEXHLevel3 10" xfId="28325" xr:uid="{00000000-0005-0000-0000-00005A6F0000}"/>
    <cellStyle name="SAPBEXHLevel3 10 2" xfId="32883" xr:uid="{390F4228-059F-4A06-8E9C-87458E7D9AB6}"/>
    <cellStyle name="SAPBEXHLevel3 11" xfId="26726" xr:uid="{00000000-0005-0000-0000-00005B6F0000}"/>
    <cellStyle name="SAPBEXHLevel3 11 2" xfId="31487" xr:uid="{C42E8870-3739-4180-A974-9A6B484EBF9F}"/>
    <cellStyle name="SAPBEXHLevel3 12" xfId="29877" xr:uid="{00000000-0005-0000-0000-00005C6F0000}"/>
    <cellStyle name="SAPBEXHLevel3 2" xfId="128" xr:uid="{00000000-0005-0000-0000-00005D6F0000}"/>
    <cellStyle name="SAPBEXHLevel3 2 2" xfId="13662" xr:uid="{00000000-0005-0000-0000-00005E6F0000}"/>
    <cellStyle name="SAPBEXHLevel3 2 2 2" xfId="25500" xr:uid="{00000000-0005-0000-0000-00005F6F0000}"/>
    <cellStyle name="SAPBEXHLevel3 2 2 2 2" xfId="27653" xr:uid="{00000000-0005-0000-0000-0000606F0000}"/>
    <cellStyle name="SAPBEXHLevel3 2 2 2 2 2" xfId="32240" xr:uid="{3ACD2E27-846A-4B3D-982F-B31A0A7D6651}"/>
    <cellStyle name="SAPBEXHLevel3 2 2 2 3" xfId="28328" xr:uid="{00000000-0005-0000-0000-0000616F0000}"/>
    <cellStyle name="SAPBEXHLevel3 2 2 2 3 2" xfId="32886" xr:uid="{6DD8A478-4974-45E0-808C-38EDE4A00250}"/>
    <cellStyle name="SAPBEXHLevel3 2 2 2 4" xfId="26782" xr:uid="{00000000-0005-0000-0000-0000626F0000}"/>
    <cellStyle name="SAPBEXHLevel3 2 2 2 4 2" xfId="31543" xr:uid="{12E4A735-9FA2-4D1F-90CB-43A10226922B}"/>
    <cellStyle name="SAPBEXHLevel3 2 2 2 5" xfId="29880" xr:uid="{00000000-0005-0000-0000-0000636F0000}"/>
    <cellStyle name="SAPBEXHLevel3 2 2 3" xfId="26604" xr:uid="{00000000-0005-0000-0000-0000646F0000}"/>
    <cellStyle name="SAPBEXHLevel3 2 2 3 2" xfId="31382" xr:uid="{2BF13B17-76AD-4804-8BFD-D27D192C32F4}"/>
    <cellStyle name="SAPBEXHLevel3 2 2 4" xfId="28327" xr:uid="{00000000-0005-0000-0000-0000656F0000}"/>
    <cellStyle name="SAPBEXHLevel3 2 2 4 2" xfId="32885" xr:uid="{729EA39B-151C-4472-AB98-B67533377E4C}"/>
    <cellStyle name="SAPBEXHLevel3 2 2 5" xfId="26542" xr:uid="{00000000-0005-0000-0000-0000666F0000}"/>
    <cellStyle name="SAPBEXHLevel3 2 2 5 2" xfId="31329" xr:uid="{02455393-3BD4-4378-B5DE-5E9774295F4C}"/>
    <cellStyle name="SAPBEXHLevel3 2 2 6" xfId="29879" xr:uid="{00000000-0005-0000-0000-0000676F0000}"/>
    <cellStyle name="SAPBEXHLevel3 2 2 7" xfId="30202" xr:uid="{BBBD1AA3-778C-4BC5-B153-4DBD9FED934E}"/>
    <cellStyle name="SAPBEXHLevel3 2 3" xfId="24266" xr:uid="{00000000-0005-0000-0000-0000686F0000}"/>
    <cellStyle name="SAPBEXHLevel3 2 3 2" xfId="25587" xr:uid="{00000000-0005-0000-0000-0000696F0000}"/>
    <cellStyle name="SAPBEXHLevel3 2 3 2 2" xfId="27740" xr:uid="{00000000-0005-0000-0000-00006A6F0000}"/>
    <cellStyle name="SAPBEXHLevel3 2 3 2 2 2" xfId="32327" xr:uid="{D0A71B44-117A-491D-9D77-C62ED6F72671}"/>
    <cellStyle name="SAPBEXHLevel3 2 3 2 3" xfId="28330" xr:uid="{00000000-0005-0000-0000-00006B6F0000}"/>
    <cellStyle name="SAPBEXHLevel3 2 3 2 3 2" xfId="32888" xr:uid="{779DF8D9-F3A5-4B76-9F83-BF7EEF5892FA}"/>
    <cellStyle name="SAPBEXHLevel3 2 3 2 4" xfId="26451" xr:uid="{00000000-0005-0000-0000-00006C6F0000}"/>
    <cellStyle name="SAPBEXHLevel3 2 3 2 4 2" xfId="31239" xr:uid="{109D2016-F41B-480D-BC0C-C5FCE043689B}"/>
    <cellStyle name="SAPBEXHLevel3 2 3 2 5" xfId="29882" xr:uid="{00000000-0005-0000-0000-00006D6F0000}"/>
    <cellStyle name="SAPBEXHLevel3 2 3 3" xfId="27120" xr:uid="{00000000-0005-0000-0000-00006E6F0000}"/>
    <cellStyle name="SAPBEXHLevel3 2 3 3 2" xfId="31838" xr:uid="{0035D12D-E24C-42A4-8B52-91AF1B552E95}"/>
    <cellStyle name="SAPBEXHLevel3 2 3 4" xfId="28329" xr:uid="{00000000-0005-0000-0000-00006F6F0000}"/>
    <cellStyle name="SAPBEXHLevel3 2 3 4 2" xfId="32887" xr:uid="{930115E3-D16F-416E-ACF4-402ECFCA5D9E}"/>
    <cellStyle name="SAPBEXHLevel3 2 3 5" xfId="26176" xr:uid="{00000000-0005-0000-0000-0000706F0000}"/>
    <cellStyle name="SAPBEXHLevel3 2 3 5 2" xfId="30965" xr:uid="{D3E7D36C-B590-4E1F-BAC3-EDDFD6CE0B97}"/>
    <cellStyle name="SAPBEXHLevel3 2 3 6" xfId="29881" xr:uid="{00000000-0005-0000-0000-0000716F0000}"/>
    <cellStyle name="SAPBEXHLevel3 2 3 7" xfId="30289" xr:uid="{68786F03-A1A1-4938-93E2-D324674A8DE4}"/>
    <cellStyle name="SAPBEXHLevel3 2 4" xfId="24650" xr:uid="{00000000-0005-0000-0000-0000726F0000}"/>
    <cellStyle name="SAPBEXHLevel3 2 4 2" xfId="25317" xr:uid="{00000000-0005-0000-0000-0000736F0000}"/>
    <cellStyle name="SAPBEXHLevel3 2 4 2 2" xfId="27471" xr:uid="{00000000-0005-0000-0000-0000746F0000}"/>
    <cellStyle name="SAPBEXHLevel3 2 4 2 2 2" xfId="32062" xr:uid="{087651B0-C2A5-440D-A983-A13AAAD9FFB2}"/>
    <cellStyle name="SAPBEXHLevel3 2 4 2 3" xfId="28332" xr:uid="{00000000-0005-0000-0000-0000756F0000}"/>
    <cellStyle name="SAPBEXHLevel3 2 4 2 3 2" xfId="32890" xr:uid="{81CAC22D-97C2-41A5-AA93-6A2BE40E4D51}"/>
    <cellStyle name="SAPBEXHLevel3 2 4 2 4" xfId="26320" xr:uid="{00000000-0005-0000-0000-0000766F0000}"/>
    <cellStyle name="SAPBEXHLevel3 2 4 2 4 2" xfId="31108" xr:uid="{22E4178D-3D0E-4144-8E6B-706FB7BAC68D}"/>
    <cellStyle name="SAPBEXHLevel3 2 4 2 5" xfId="29884" xr:uid="{00000000-0005-0000-0000-0000776F0000}"/>
    <cellStyle name="SAPBEXHLevel3 2 4 2 6" xfId="30475" xr:uid="{5702EFEA-1A7C-4A1C-A697-D4BB52DC9D11}"/>
    <cellStyle name="SAPBEXHLevel3 2 4 3" xfId="25616" xr:uid="{00000000-0005-0000-0000-0000786F0000}"/>
    <cellStyle name="SAPBEXHLevel3 2 4 3 2" xfId="27769" xr:uid="{00000000-0005-0000-0000-0000796F0000}"/>
    <cellStyle name="SAPBEXHLevel3 2 4 3 2 2" xfId="32356" xr:uid="{FF46548E-6827-40A5-849B-98132378A016}"/>
    <cellStyle name="SAPBEXHLevel3 2 4 3 3" xfId="28333" xr:uid="{00000000-0005-0000-0000-00007A6F0000}"/>
    <cellStyle name="SAPBEXHLevel3 2 4 3 3 2" xfId="32891" xr:uid="{67E0CFF0-24D8-410F-8918-D8E809EE90F4}"/>
    <cellStyle name="SAPBEXHLevel3 2 4 3 4" xfId="26124" xr:uid="{00000000-0005-0000-0000-00007B6F0000}"/>
    <cellStyle name="SAPBEXHLevel3 2 4 3 4 2" xfId="30914" xr:uid="{2B225268-935F-48D5-A725-BD5D521C3B4D}"/>
    <cellStyle name="SAPBEXHLevel3 2 4 3 5" xfId="29885" xr:uid="{00000000-0005-0000-0000-00007C6F0000}"/>
    <cellStyle name="SAPBEXHLevel3 2 4 4" xfId="27243" xr:uid="{00000000-0005-0000-0000-00007D6F0000}"/>
    <cellStyle name="SAPBEXHLevel3 2 4 4 2" xfId="31878" xr:uid="{238F233A-17CE-4BE0-8753-89AFBE7CD717}"/>
    <cellStyle name="SAPBEXHLevel3 2 4 5" xfId="28331" xr:uid="{00000000-0005-0000-0000-00007E6F0000}"/>
    <cellStyle name="SAPBEXHLevel3 2 4 5 2" xfId="32889" xr:uid="{5E7EB697-EAC7-4C7E-BFC5-B133B717C656}"/>
    <cellStyle name="SAPBEXHLevel3 2 4 6" xfId="26779" xr:uid="{00000000-0005-0000-0000-00007F6F0000}"/>
    <cellStyle name="SAPBEXHLevel3 2 4 6 2" xfId="31540" xr:uid="{C3F2AA8E-3F21-4B99-92DB-6A5A99513555}"/>
    <cellStyle name="SAPBEXHLevel3 2 4 7" xfId="29883" xr:uid="{00000000-0005-0000-0000-0000806F0000}"/>
    <cellStyle name="SAPBEXHLevel3 2 4 8" xfId="30318" xr:uid="{88A181F7-9BE4-4925-AB9B-79CFE2B35AFB}"/>
    <cellStyle name="SAPBEXHLevel3 2 5" xfId="25123" xr:uid="{00000000-0005-0000-0000-0000816F0000}"/>
    <cellStyle name="SAPBEXHLevel3 2 5 2" xfId="25402" xr:uid="{00000000-0005-0000-0000-0000826F0000}"/>
    <cellStyle name="SAPBEXHLevel3 2 5 2 2" xfId="27556" xr:uid="{00000000-0005-0000-0000-0000836F0000}"/>
    <cellStyle name="SAPBEXHLevel3 2 5 2 2 2" xfId="32147" xr:uid="{79723505-481C-4012-88DC-7AE670F6A53C}"/>
    <cellStyle name="SAPBEXHLevel3 2 5 2 3" xfId="28335" xr:uid="{00000000-0005-0000-0000-0000846F0000}"/>
    <cellStyle name="SAPBEXHLevel3 2 5 2 3 2" xfId="32893" xr:uid="{4AFEEAF3-B2C2-45A4-996E-B5B2C2F0F2A1}"/>
    <cellStyle name="SAPBEXHLevel3 2 5 2 4" xfId="26989" xr:uid="{00000000-0005-0000-0000-0000856F0000}"/>
    <cellStyle name="SAPBEXHLevel3 2 5 2 4 2" xfId="31750" xr:uid="{B7FBEA03-64BB-4DA4-9C46-AF239438FA02}"/>
    <cellStyle name="SAPBEXHLevel3 2 5 2 5" xfId="29887" xr:uid="{00000000-0005-0000-0000-0000866F0000}"/>
    <cellStyle name="SAPBEXHLevel3 2 5 2 6" xfId="30560" xr:uid="{CA2C2169-2D1F-4F95-BDBB-CF94ADFF2567}"/>
    <cellStyle name="SAPBEXHLevel3 2 5 3" xfId="25721" xr:uid="{00000000-0005-0000-0000-0000876F0000}"/>
    <cellStyle name="SAPBEXHLevel3 2 5 3 2" xfId="27874" xr:uid="{00000000-0005-0000-0000-0000886F0000}"/>
    <cellStyle name="SAPBEXHLevel3 2 5 3 2 2" xfId="32461" xr:uid="{69800BA3-D48D-4B18-96D2-0DD317045434}"/>
    <cellStyle name="SAPBEXHLevel3 2 5 3 3" xfId="28336" xr:uid="{00000000-0005-0000-0000-0000896F0000}"/>
    <cellStyle name="SAPBEXHLevel3 2 5 3 3 2" xfId="32894" xr:uid="{57A8D45B-64EC-4794-8B86-C47441E1AC10}"/>
    <cellStyle name="SAPBEXHLevel3 2 5 3 4" xfId="26130" xr:uid="{00000000-0005-0000-0000-00008A6F0000}"/>
    <cellStyle name="SAPBEXHLevel3 2 5 3 4 2" xfId="30920" xr:uid="{3BFFD6D9-40CD-4806-8DC9-DD4EEF0FF543}"/>
    <cellStyle name="SAPBEXHLevel3 2 5 3 5" xfId="29888" xr:uid="{00000000-0005-0000-0000-00008B6F0000}"/>
    <cellStyle name="SAPBEXHLevel3 2 5 3 6" xfId="30715" xr:uid="{0EF3445F-1D0C-493F-A0F2-6F462B587C13}"/>
    <cellStyle name="SAPBEXHLevel3 2 5 4" xfId="27408" xr:uid="{00000000-0005-0000-0000-00008C6F0000}"/>
    <cellStyle name="SAPBEXHLevel3 2 5 4 2" xfId="32006" xr:uid="{44DE8BE0-F503-404A-9748-C95551C1BF22}"/>
    <cellStyle name="SAPBEXHLevel3 2 5 5" xfId="28334" xr:uid="{00000000-0005-0000-0000-00008D6F0000}"/>
    <cellStyle name="SAPBEXHLevel3 2 5 5 2" xfId="32892" xr:uid="{2D895C81-B1DF-4DC3-8081-FE71A6F9FAD3}"/>
    <cellStyle name="SAPBEXHLevel3 2 5 6" xfId="26958" xr:uid="{00000000-0005-0000-0000-00008E6F0000}"/>
    <cellStyle name="SAPBEXHLevel3 2 5 6 2" xfId="31719" xr:uid="{F47F5D6D-AB91-4FBA-AB14-8F8540202F69}"/>
    <cellStyle name="SAPBEXHLevel3 2 5 7" xfId="29886" xr:uid="{00000000-0005-0000-0000-00008F6F0000}"/>
    <cellStyle name="SAPBEXHLevel3 2 5 8" xfId="30423" xr:uid="{4B230C4A-C462-4013-AD36-50D48C947651}"/>
    <cellStyle name="SAPBEXHLevel3 2 6" xfId="25859" xr:uid="{00000000-0005-0000-0000-0000906F0000}"/>
    <cellStyle name="SAPBEXHLevel3 2 6 2" xfId="30778" xr:uid="{F1404CA5-F8C1-40E4-842C-54A69C099A43}"/>
    <cellStyle name="SAPBEXHLevel3 2 7" xfId="28326" xr:uid="{00000000-0005-0000-0000-0000916F0000}"/>
    <cellStyle name="SAPBEXHLevel3 2 7 2" xfId="32884" xr:uid="{A948E8AE-495D-4A27-8E05-0989FA2C5EFF}"/>
    <cellStyle name="SAPBEXHLevel3 2 8" xfId="26803" xr:uid="{00000000-0005-0000-0000-0000926F0000}"/>
    <cellStyle name="SAPBEXHLevel3 2 8 2" xfId="31564" xr:uid="{492255BB-88EE-4248-A3B2-0C39480E8EE2}"/>
    <cellStyle name="SAPBEXHLevel3 2 9" xfId="29878" xr:uid="{00000000-0005-0000-0000-0000936F0000}"/>
    <cellStyle name="SAPBEXHLevel3 3" xfId="129" xr:uid="{00000000-0005-0000-0000-0000946F0000}"/>
    <cellStyle name="SAPBEXHLevel3 3 2" xfId="13663" xr:uid="{00000000-0005-0000-0000-0000956F0000}"/>
    <cellStyle name="SAPBEXHLevel3 3 2 2" xfId="25501" xr:uid="{00000000-0005-0000-0000-0000966F0000}"/>
    <cellStyle name="SAPBEXHLevel3 3 2 2 2" xfId="27654" xr:uid="{00000000-0005-0000-0000-0000976F0000}"/>
    <cellStyle name="SAPBEXHLevel3 3 2 2 2 2" xfId="32241" xr:uid="{A6EC6A46-D1F6-46A4-992F-BCF644129001}"/>
    <cellStyle name="SAPBEXHLevel3 3 2 2 3" xfId="28339" xr:uid="{00000000-0005-0000-0000-0000986F0000}"/>
    <cellStyle name="SAPBEXHLevel3 3 2 2 3 2" xfId="32897" xr:uid="{9118F691-F55F-413D-9A51-8BC53DB98C83}"/>
    <cellStyle name="SAPBEXHLevel3 3 2 2 4" xfId="26540" xr:uid="{00000000-0005-0000-0000-0000996F0000}"/>
    <cellStyle name="SAPBEXHLevel3 3 2 2 4 2" xfId="31327" xr:uid="{A3F8F7AE-9154-4276-98E4-C633C6443E50}"/>
    <cellStyle name="SAPBEXHLevel3 3 2 2 5" xfId="29891" xr:uid="{00000000-0005-0000-0000-00009A6F0000}"/>
    <cellStyle name="SAPBEXHLevel3 3 2 3" xfId="26605" xr:uid="{00000000-0005-0000-0000-00009B6F0000}"/>
    <cellStyle name="SAPBEXHLevel3 3 2 3 2" xfId="31383" xr:uid="{D9AD2042-6F3D-4596-B9B7-37B22D32625A}"/>
    <cellStyle name="SAPBEXHLevel3 3 2 4" xfId="28338" xr:uid="{00000000-0005-0000-0000-00009C6F0000}"/>
    <cellStyle name="SAPBEXHLevel3 3 2 4 2" xfId="32896" xr:uid="{543C8F61-54F0-4192-ACB1-FBC492EB7016}"/>
    <cellStyle name="SAPBEXHLevel3 3 2 5" xfId="26712" xr:uid="{00000000-0005-0000-0000-00009D6F0000}"/>
    <cellStyle name="SAPBEXHLevel3 3 2 5 2" xfId="31474" xr:uid="{E9A2D744-F419-4C0E-A33E-5BC6521381CC}"/>
    <cellStyle name="SAPBEXHLevel3 3 2 6" xfId="29890" xr:uid="{00000000-0005-0000-0000-00009E6F0000}"/>
    <cellStyle name="SAPBEXHLevel3 3 2 7" xfId="30203" xr:uid="{5572BB18-1275-4C03-8CB0-DAA99260A2D9}"/>
    <cellStyle name="SAPBEXHLevel3 3 3" xfId="24267" xr:uid="{00000000-0005-0000-0000-00009F6F0000}"/>
    <cellStyle name="SAPBEXHLevel3 3 3 2" xfId="25588" xr:uid="{00000000-0005-0000-0000-0000A06F0000}"/>
    <cellStyle name="SAPBEXHLevel3 3 3 2 2" xfId="27741" xr:uid="{00000000-0005-0000-0000-0000A16F0000}"/>
    <cellStyle name="SAPBEXHLevel3 3 3 2 2 2" xfId="32328" xr:uid="{C66C74D3-B0A0-4F9A-A1C6-999A655606BD}"/>
    <cellStyle name="SAPBEXHLevel3 3 3 2 3" xfId="28341" xr:uid="{00000000-0005-0000-0000-0000A26F0000}"/>
    <cellStyle name="SAPBEXHLevel3 3 3 2 3 2" xfId="32899" xr:uid="{7C5522E9-BCDD-451C-96B9-365DBEAFBD0C}"/>
    <cellStyle name="SAPBEXHLevel3 3 3 2 4" xfId="26688" xr:uid="{00000000-0005-0000-0000-0000A36F0000}"/>
    <cellStyle name="SAPBEXHLevel3 3 3 2 4 2" xfId="31450" xr:uid="{323BA747-4870-4FCF-A32A-136477FDD5BB}"/>
    <cellStyle name="SAPBEXHLevel3 3 3 2 5" xfId="29893" xr:uid="{00000000-0005-0000-0000-0000A46F0000}"/>
    <cellStyle name="SAPBEXHLevel3 3 3 3" xfId="27121" xr:uid="{00000000-0005-0000-0000-0000A56F0000}"/>
    <cellStyle name="SAPBEXHLevel3 3 3 3 2" xfId="31839" xr:uid="{03133A09-158C-488E-9CE1-56186442D499}"/>
    <cellStyle name="SAPBEXHLevel3 3 3 4" xfId="28340" xr:uid="{00000000-0005-0000-0000-0000A66F0000}"/>
    <cellStyle name="SAPBEXHLevel3 3 3 4 2" xfId="32898" xr:uid="{E816AAF6-8948-4786-AB4C-F13407C38A06}"/>
    <cellStyle name="SAPBEXHLevel3 3 3 5" xfId="26288" xr:uid="{00000000-0005-0000-0000-0000A76F0000}"/>
    <cellStyle name="SAPBEXHLevel3 3 3 5 2" xfId="31076" xr:uid="{D251BE32-D48F-4108-AD45-5769E870534E}"/>
    <cellStyle name="SAPBEXHLevel3 3 3 6" xfId="29892" xr:uid="{00000000-0005-0000-0000-0000A86F0000}"/>
    <cellStyle name="SAPBEXHLevel3 3 3 7" xfId="30290" xr:uid="{B8AA07B4-C741-4A59-9FBC-77EF44526F45}"/>
    <cellStyle name="SAPBEXHLevel3 3 4" xfId="24649" xr:uid="{00000000-0005-0000-0000-0000A96F0000}"/>
    <cellStyle name="SAPBEXHLevel3 3 4 2" xfId="25405" xr:uid="{00000000-0005-0000-0000-0000AA6F0000}"/>
    <cellStyle name="SAPBEXHLevel3 3 4 2 2" xfId="27559" xr:uid="{00000000-0005-0000-0000-0000AB6F0000}"/>
    <cellStyle name="SAPBEXHLevel3 3 4 2 2 2" xfId="32150" xr:uid="{D52E23B2-4AF2-4F12-AC37-F00499E96FFF}"/>
    <cellStyle name="SAPBEXHLevel3 3 4 2 3" xfId="28343" xr:uid="{00000000-0005-0000-0000-0000AC6F0000}"/>
    <cellStyle name="SAPBEXHLevel3 3 4 2 3 2" xfId="32901" xr:uid="{433E9049-26DA-4E9A-AD48-3CD77353E62C}"/>
    <cellStyle name="SAPBEXHLevel3 3 4 2 4" xfId="26748" xr:uid="{00000000-0005-0000-0000-0000AD6F0000}"/>
    <cellStyle name="SAPBEXHLevel3 3 4 2 4 2" xfId="31509" xr:uid="{3A03C3C8-0558-4A63-98B8-AFEB51F8E7D4}"/>
    <cellStyle name="SAPBEXHLevel3 3 4 2 5" xfId="29895" xr:uid="{00000000-0005-0000-0000-0000AE6F0000}"/>
    <cellStyle name="SAPBEXHLevel3 3 4 2 6" xfId="30563" xr:uid="{72BFE700-20DC-4B40-AA68-9D423C320EEA}"/>
    <cellStyle name="SAPBEXHLevel3 3 4 3" xfId="25615" xr:uid="{00000000-0005-0000-0000-0000AF6F0000}"/>
    <cellStyle name="SAPBEXHLevel3 3 4 3 2" xfId="27768" xr:uid="{00000000-0005-0000-0000-0000B06F0000}"/>
    <cellStyle name="SAPBEXHLevel3 3 4 3 2 2" xfId="32355" xr:uid="{856F8FD3-8C00-4C11-BB47-D96F6009832F}"/>
    <cellStyle name="SAPBEXHLevel3 3 4 3 3" xfId="28344" xr:uid="{00000000-0005-0000-0000-0000B16F0000}"/>
    <cellStyle name="SAPBEXHLevel3 3 4 3 3 2" xfId="32902" xr:uid="{2FB193E1-5489-44B9-B429-E9E44E059481}"/>
    <cellStyle name="SAPBEXHLevel3 3 4 3 4" xfId="26282" xr:uid="{00000000-0005-0000-0000-0000B26F0000}"/>
    <cellStyle name="SAPBEXHLevel3 3 4 3 4 2" xfId="31070" xr:uid="{A910F346-740B-48C6-89CB-269109A7C369}"/>
    <cellStyle name="SAPBEXHLevel3 3 4 3 5" xfId="29896" xr:uid="{00000000-0005-0000-0000-0000B36F0000}"/>
    <cellStyle name="SAPBEXHLevel3 3 4 4" xfId="27242" xr:uid="{00000000-0005-0000-0000-0000B46F0000}"/>
    <cellStyle name="SAPBEXHLevel3 3 4 4 2" xfId="31877" xr:uid="{22EC87EE-F0C9-4F5A-99FA-6208E08F42B2}"/>
    <cellStyle name="SAPBEXHLevel3 3 4 5" xfId="28342" xr:uid="{00000000-0005-0000-0000-0000B56F0000}"/>
    <cellStyle name="SAPBEXHLevel3 3 4 5 2" xfId="32900" xr:uid="{3223B95C-34AC-4A1C-9DC6-FBE44E6203D3}"/>
    <cellStyle name="SAPBEXHLevel3 3 4 6" xfId="26368" xr:uid="{00000000-0005-0000-0000-0000B66F0000}"/>
    <cellStyle name="SAPBEXHLevel3 3 4 6 2" xfId="31156" xr:uid="{D5298CA2-60BA-4D1F-B65F-51C11EDEB375}"/>
    <cellStyle name="SAPBEXHLevel3 3 4 7" xfId="29894" xr:uid="{00000000-0005-0000-0000-0000B76F0000}"/>
    <cellStyle name="SAPBEXHLevel3 3 4 8" xfId="30317" xr:uid="{A8B505F8-E93C-4EB0-A3CB-8D06F0A9843A}"/>
    <cellStyle name="SAPBEXHLevel3 3 5" xfId="25124" xr:uid="{00000000-0005-0000-0000-0000B86F0000}"/>
    <cellStyle name="SAPBEXHLevel3 3 5 2" xfId="25313" xr:uid="{00000000-0005-0000-0000-0000B96F0000}"/>
    <cellStyle name="SAPBEXHLevel3 3 5 2 2" xfId="27467" xr:uid="{00000000-0005-0000-0000-0000BA6F0000}"/>
    <cellStyle name="SAPBEXHLevel3 3 5 2 2 2" xfId="32058" xr:uid="{A6F23E69-091F-43AD-B7C9-CAD44631E320}"/>
    <cellStyle name="SAPBEXHLevel3 3 5 2 3" xfId="28346" xr:uid="{00000000-0005-0000-0000-0000BB6F0000}"/>
    <cellStyle name="SAPBEXHLevel3 3 5 2 3 2" xfId="32904" xr:uid="{4824B40C-4DC6-4D45-A2AC-A325A7349EE2}"/>
    <cellStyle name="SAPBEXHLevel3 3 5 2 4" xfId="26766" xr:uid="{00000000-0005-0000-0000-0000BC6F0000}"/>
    <cellStyle name="SAPBEXHLevel3 3 5 2 4 2" xfId="31527" xr:uid="{BBFA4BB5-8801-4BDD-82D3-0EF4357319CA}"/>
    <cellStyle name="SAPBEXHLevel3 3 5 2 5" xfId="29898" xr:uid="{00000000-0005-0000-0000-0000BD6F0000}"/>
    <cellStyle name="SAPBEXHLevel3 3 5 2 6" xfId="30471" xr:uid="{DBFB9A03-9BDF-468A-BCFD-2403DB498759}"/>
    <cellStyle name="SAPBEXHLevel3 3 5 3" xfId="25722" xr:uid="{00000000-0005-0000-0000-0000BE6F0000}"/>
    <cellStyle name="SAPBEXHLevel3 3 5 3 2" xfId="27875" xr:uid="{00000000-0005-0000-0000-0000BF6F0000}"/>
    <cellStyle name="SAPBEXHLevel3 3 5 3 2 2" xfId="32462" xr:uid="{2B821AC4-D019-4154-B121-CB4B15430B01}"/>
    <cellStyle name="SAPBEXHLevel3 3 5 3 3" xfId="28347" xr:uid="{00000000-0005-0000-0000-0000C06F0000}"/>
    <cellStyle name="SAPBEXHLevel3 3 5 3 3 2" xfId="32905" xr:uid="{0CC86C96-ECF4-4652-B072-330B8CD4A97D}"/>
    <cellStyle name="SAPBEXHLevel3 3 5 3 4" xfId="26947" xr:uid="{00000000-0005-0000-0000-0000C16F0000}"/>
    <cellStyle name="SAPBEXHLevel3 3 5 3 4 2" xfId="31708" xr:uid="{CE1F4693-F839-4099-BF08-9700AAE61C9E}"/>
    <cellStyle name="SAPBEXHLevel3 3 5 3 5" xfId="29899" xr:uid="{00000000-0005-0000-0000-0000C26F0000}"/>
    <cellStyle name="SAPBEXHLevel3 3 5 3 6" xfId="30716" xr:uid="{FEDC0ECE-9E8C-4814-A2BF-14F076955364}"/>
    <cellStyle name="SAPBEXHLevel3 3 5 4" xfId="27409" xr:uid="{00000000-0005-0000-0000-0000C36F0000}"/>
    <cellStyle name="SAPBEXHLevel3 3 5 4 2" xfId="32007" xr:uid="{39BD0938-5642-409A-84E5-4862C597B0E0}"/>
    <cellStyle name="SAPBEXHLevel3 3 5 5" xfId="28345" xr:uid="{00000000-0005-0000-0000-0000C46F0000}"/>
    <cellStyle name="SAPBEXHLevel3 3 5 5 2" xfId="32903" xr:uid="{398EB182-6084-426C-8E7B-DC153011D061}"/>
    <cellStyle name="SAPBEXHLevel3 3 5 6" xfId="26250" xr:uid="{00000000-0005-0000-0000-0000C56F0000}"/>
    <cellStyle name="SAPBEXHLevel3 3 5 6 2" xfId="31038" xr:uid="{4B98F7A7-8D59-41CB-B46C-AF3C0BD2B46B}"/>
    <cellStyle name="SAPBEXHLevel3 3 5 7" xfId="29897" xr:uid="{00000000-0005-0000-0000-0000C66F0000}"/>
    <cellStyle name="SAPBEXHLevel3 3 5 8" xfId="30424" xr:uid="{CD66E6E1-73DC-4CCA-A799-0A161640029B}"/>
    <cellStyle name="SAPBEXHLevel3 3 6" xfId="25860" xr:uid="{00000000-0005-0000-0000-0000C76F0000}"/>
    <cellStyle name="SAPBEXHLevel3 3 6 2" xfId="30779" xr:uid="{B7D70DE1-5CB6-42F4-A047-B3EFE4AB17AF}"/>
    <cellStyle name="SAPBEXHLevel3 3 7" xfId="28337" xr:uid="{00000000-0005-0000-0000-0000C86F0000}"/>
    <cellStyle name="SAPBEXHLevel3 3 7 2" xfId="32895" xr:uid="{B11384A2-482C-41A0-8123-04BFB108CE62}"/>
    <cellStyle name="SAPBEXHLevel3 3 8" xfId="26277" xr:uid="{00000000-0005-0000-0000-0000C96F0000}"/>
    <cellStyle name="SAPBEXHLevel3 3 8 2" xfId="31065" xr:uid="{E75C802E-1F11-4E60-AF63-3C04D2FC4AF9}"/>
    <cellStyle name="SAPBEXHLevel3 3 9" xfId="29889" xr:uid="{00000000-0005-0000-0000-0000CA6F0000}"/>
    <cellStyle name="SAPBEXHLevel3 4" xfId="130" xr:uid="{00000000-0005-0000-0000-0000CB6F0000}"/>
    <cellStyle name="SAPBEXHLevel3 4 2" xfId="13664" xr:uid="{00000000-0005-0000-0000-0000CC6F0000}"/>
    <cellStyle name="SAPBEXHLevel3 4 2 2" xfId="25502" xr:uid="{00000000-0005-0000-0000-0000CD6F0000}"/>
    <cellStyle name="SAPBEXHLevel3 4 2 2 2" xfId="27655" xr:uid="{00000000-0005-0000-0000-0000CE6F0000}"/>
    <cellStyle name="SAPBEXHLevel3 4 2 2 2 2" xfId="32242" xr:uid="{DCF34BC6-C1ED-4D4E-8CD2-00A315050FC3}"/>
    <cellStyle name="SAPBEXHLevel3 4 2 2 3" xfId="28350" xr:uid="{00000000-0005-0000-0000-0000CF6F0000}"/>
    <cellStyle name="SAPBEXHLevel3 4 2 2 3 2" xfId="32908" xr:uid="{D4EA904A-7EF7-487C-B227-50F81470DD38}"/>
    <cellStyle name="SAPBEXHLevel3 4 2 2 4" xfId="26709" xr:uid="{00000000-0005-0000-0000-0000D06F0000}"/>
    <cellStyle name="SAPBEXHLevel3 4 2 2 4 2" xfId="31471" xr:uid="{AA5AA700-C16F-4356-A6FC-79E66AF508EF}"/>
    <cellStyle name="SAPBEXHLevel3 4 2 2 5" xfId="29902" xr:uid="{00000000-0005-0000-0000-0000D16F0000}"/>
    <cellStyle name="SAPBEXHLevel3 4 2 3" xfId="26606" xr:uid="{00000000-0005-0000-0000-0000D26F0000}"/>
    <cellStyle name="SAPBEXHLevel3 4 2 3 2" xfId="31384" xr:uid="{31EB22C3-8594-40C4-BD48-3E1498FFDCBF}"/>
    <cellStyle name="SAPBEXHLevel3 4 2 4" xfId="28349" xr:uid="{00000000-0005-0000-0000-0000D36F0000}"/>
    <cellStyle name="SAPBEXHLevel3 4 2 4 2" xfId="32907" xr:uid="{D4D71F68-A404-42DB-A5EB-C1CF690FBD16}"/>
    <cellStyle name="SAPBEXHLevel3 4 2 5" xfId="26531" xr:uid="{00000000-0005-0000-0000-0000D46F0000}"/>
    <cellStyle name="SAPBEXHLevel3 4 2 5 2" xfId="31318" xr:uid="{4109E92F-63E2-4110-953B-D440C7DF01FA}"/>
    <cellStyle name="SAPBEXHLevel3 4 2 6" xfId="29901" xr:uid="{00000000-0005-0000-0000-0000D56F0000}"/>
    <cellStyle name="SAPBEXHLevel3 4 2 7" xfId="30204" xr:uid="{78E148D1-4B9F-4F13-8416-C8ABA4C9B8CB}"/>
    <cellStyle name="SAPBEXHLevel3 4 3" xfId="25861" xr:uid="{00000000-0005-0000-0000-0000D66F0000}"/>
    <cellStyle name="SAPBEXHLevel3 4 3 2" xfId="30780" xr:uid="{4793C011-09A9-41AE-91F7-6B1D3563F9B5}"/>
    <cellStyle name="SAPBEXHLevel3 4 4" xfId="28348" xr:uid="{00000000-0005-0000-0000-0000D76F0000}"/>
    <cellStyle name="SAPBEXHLevel3 4 4 2" xfId="32906" xr:uid="{5C370678-43BA-4143-8DC2-66461B3508E8}"/>
    <cellStyle name="SAPBEXHLevel3 4 5" xfId="26872" xr:uid="{00000000-0005-0000-0000-0000D86F0000}"/>
    <cellStyle name="SAPBEXHLevel3 4 5 2" xfId="31633" xr:uid="{9281A1B2-4AAE-4617-B8BA-ACECFF9D935F}"/>
    <cellStyle name="SAPBEXHLevel3 4 6" xfId="29900" xr:uid="{00000000-0005-0000-0000-0000D96F0000}"/>
    <cellStyle name="SAPBEXHLevel3 5" xfId="256" xr:uid="{00000000-0005-0000-0000-0000DA6F0000}"/>
    <cellStyle name="SAPBEXHLevel3 5 2" xfId="13721" xr:uid="{00000000-0005-0000-0000-0000DB6F0000}"/>
    <cellStyle name="SAPBEXHLevel3 5 2 2" xfId="25534" xr:uid="{00000000-0005-0000-0000-0000DC6F0000}"/>
    <cellStyle name="SAPBEXHLevel3 5 2 2 2" xfId="27687" xr:uid="{00000000-0005-0000-0000-0000DD6F0000}"/>
    <cellStyle name="SAPBEXHLevel3 5 2 2 2 2" xfId="32274" xr:uid="{5B25153C-21D5-4CC1-A987-84663E8FB2FF}"/>
    <cellStyle name="SAPBEXHLevel3 5 2 2 3" xfId="28353" xr:uid="{00000000-0005-0000-0000-0000DE6F0000}"/>
    <cellStyle name="SAPBEXHLevel3 5 2 2 3 2" xfId="32911" xr:uid="{08B18678-FA3B-46B9-809C-D530B3883FEB}"/>
    <cellStyle name="SAPBEXHLevel3 5 2 2 4" xfId="26367" xr:uid="{00000000-0005-0000-0000-0000DF6F0000}"/>
    <cellStyle name="SAPBEXHLevel3 5 2 2 4 2" xfId="31155" xr:uid="{C37B0BD9-8E79-469D-B398-9D802812FE38}"/>
    <cellStyle name="SAPBEXHLevel3 5 2 2 5" xfId="29905" xr:uid="{00000000-0005-0000-0000-0000E06F0000}"/>
    <cellStyle name="SAPBEXHLevel3 5 2 3" xfId="26641" xr:uid="{00000000-0005-0000-0000-0000E16F0000}"/>
    <cellStyle name="SAPBEXHLevel3 5 2 3 2" xfId="31418" xr:uid="{416B3960-B635-459F-8510-8D481B44FE18}"/>
    <cellStyle name="SAPBEXHLevel3 5 2 4" xfId="28352" xr:uid="{00000000-0005-0000-0000-0000E26F0000}"/>
    <cellStyle name="SAPBEXHLevel3 5 2 4 2" xfId="32910" xr:uid="{EA392423-7540-4DE5-9633-53EEF87AE1F0}"/>
    <cellStyle name="SAPBEXHLevel3 5 2 5" xfId="26147" xr:uid="{00000000-0005-0000-0000-0000E36F0000}"/>
    <cellStyle name="SAPBEXHLevel3 5 2 5 2" xfId="30936" xr:uid="{98E377F1-087C-48A6-93A6-32101F4D07BC}"/>
    <cellStyle name="SAPBEXHLevel3 5 2 6" xfId="29904" xr:uid="{00000000-0005-0000-0000-0000E46F0000}"/>
    <cellStyle name="SAPBEXHLevel3 5 2 7" xfId="30236" xr:uid="{2F74F913-0742-4C11-964F-17CD59297CB0}"/>
    <cellStyle name="SAPBEXHLevel3 5 3" xfId="25924" xr:uid="{00000000-0005-0000-0000-0000E56F0000}"/>
    <cellStyle name="SAPBEXHLevel3 5 3 2" xfId="30813" xr:uid="{F1C2AE9C-FD5E-45DB-ACA5-8F36E833280E}"/>
    <cellStyle name="SAPBEXHLevel3 5 4" xfId="28351" xr:uid="{00000000-0005-0000-0000-0000E66F0000}"/>
    <cellStyle name="SAPBEXHLevel3 5 4 2" xfId="32909" xr:uid="{B3DFA827-607E-4F8D-A577-BC4406EDF386}"/>
    <cellStyle name="SAPBEXHLevel3 5 5" xfId="27925" xr:uid="{00000000-0005-0000-0000-0000E76F0000}"/>
    <cellStyle name="SAPBEXHLevel3 5 5 2" xfId="32483" xr:uid="{D7F33FEC-024A-4948-A435-DEC870447515}"/>
    <cellStyle name="SAPBEXHLevel3 5 6" xfId="29903" xr:uid="{00000000-0005-0000-0000-0000E86F0000}"/>
    <cellStyle name="SAPBEXHLevel3 6" xfId="13661" xr:uid="{00000000-0005-0000-0000-0000E96F0000}"/>
    <cellStyle name="SAPBEXHLevel3 6 2" xfId="25499" xr:uid="{00000000-0005-0000-0000-0000EA6F0000}"/>
    <cellStyle name="SAPBEXHLevel3 6 2 2" xfId="27652" xr:uid="{00000000-0005-0000-0000-0000EB6F0000}"/>
    <cellStyle name="SAPBEXHLevel3 6 2 2 2" xfId="32239" xr:uid="{668D9F72-6A8C-4DE4-9C85-9EB40FC43A15}"/>
    <cellStyle name="SAPBEXHLevel3 6 2 3" xfId="28355" xr:uid="{00000000-0005-0000-0000-0000EC6F0000}"/>
    <cellStyle name="SAPBEXHLevel3 6 2 3 2" xfId="32913" xr:uid="{CB48DB85-A35F-4FEE-960E-5E7D48793C60}"/>
    <cellStyle name="SAPBEXHLevel3 6 2 4" xfId="26794" xr:uid="{00000000-0005-0000-0000-0000ED6F0000}"/>
    <cellStyle name="SAPBEXHLevel3 6 2 4 2" xfId="31555" xr:uid="{E176367F-542D-4131-8C4F-C0A0499599A7}"/>
    <cellStyle name="SAPBEXHLevel3 6 2 5" xfId="29907" xr:uid="{00000000-0005-0000-0000-0000EE6F0000}"/>
    <cellStyle name="SAPBEXHLevel3 6 3" xfId="26603" xr:uid="{00000000-0005-0000-0000-0000EF6F0000}"/>
    <cellStyle name="SAPBEXHLevel3 6 3 2" xfId="31381" xr:uid="{5F545534-DD63-4537-8E5B-E127F68486C8}"/>
    <cellStyle name="SAPBEXHLevel3 6 4" xfId="28354" xr:uid="{00000000-0005-0000-0000-0000F06F0000}"/>
    <cellStyle name="SAPBEXHLevel3 6 4 2" xfId="32912" xr:uid="{EB195557-1EBF-44AB-9361-F9DF343FF301}"/>
    <cellStyle name="SAPBEXHLevel3 6 5" xfId="26393" xr:uid="{00000000-0005-0000-0000-0000F16F0000}"/>
    <cellStyle name="SAPBEXHLevel3 6 5 2" xfId="31181" xr:uid="{4C4ED018-D722-4C94-9A2F-04D92C87ED0D}"/>
    <cellStyle name="SAPBEXHLevel3 6 6" xfId="29906" xr:uid="{00000000-0005-0000-0000-0000F26F0000}"/>
    <cellStyle name="SAPBEXHLevel3 6 7" xfId="30201" xr:uid="{9F4B375B-9C1F-4E71-ABB8-95C9CC45826E}"/>
    <cellStyle name="SAPBEXHLevel3 7" xfId="24651" xr:uid="{00000000-0005-0000-0000-0000F36F0000}"/>
    <cellStyle name="SAPBEXHLevel3 7 2" xfId="25418" xr:uid="{00000000-0005-0000-0000-0000F46F0000}"/>
    <cellStyle name="SAPBEXHLevel3 7 2 2" xfId="27572" xr:uid="{00000000-0005-0000-0000-0000F56F0000}"/>
    <cellStyle name="SAPBEXHLevel3 7 2 2 2" xfId="32163" xr:uid="{A04F3B43-2F39-4407-9E2C-77353E529F96}"/>
    <cellStyle name="SAPBEXHLevel3 7 2 3" xfId="28357" xr:uid="{00000000-0005-0000-0000-0000F66F0000}"/>
    <cellStyle name="SAPBEXHLevel3 7 2 3 2" xfId="32915" xr:uid="{805D60E6-F214-410B-8ED9-33B0B7A90C1D}"/>
    <cellStyle name="SAPBEXHLevel3 7 2 4" xfId="26385" xr:uid="{00000000-0005-0000-0000-0000F76F0000}"/>
    <cellStyle name="SAPBEXHLevel3 7 2 4 2" xfId="31173" xr:uid="{474F3DD6-0578-4BE0-920F-723127349A54}"/>
    <cellStyle name="SAPBEXHLevel3 7 2 5" xfId="29909" xr:uid="{00000000-0005-0000-0000-0000F86F0000}"/>
    <cellStyle name="SAPBEXHLevel3 7 2 6" xfId="30576" xr:uid="{8F984D2E-47FB-439E-9F86-48863A21BC1C}"/>
    <cellStyle name="SAPBEXHLevel3 7 3" xfId="25617" xr:uid="{00000000-0005-0000-0000-0000F96F0000}"/>
    <cellStyle name="SAPBEXHLevel3 7 3 2" xfId="27770" xr:uid="{00000000-0005-0000-0000-0000FA6F0000}"/>
    <cellStyle name="SAPBEXHLevel3 7 3 2 2" xfId="32357" xr:uid="{A61A6933-F8BB-4307-87FC-C237DF279BE1}"/>
    <cellStyle name="SAPBEXHLevel3 7 3 3" xfId="28358" xr:uid="{00000000-0005-0000-0000-0000FB6F0000}"/>
    <cellStyle name="SAPBEXHLevel3 7 3 3 2" xfId="32916" xr:uid="{E44D309F-6BA7-49EC-8C89-1451E2A6AD81}"/>
    <cellStyle name="SAPBEXHLevel3 7 3 4" xfId="27042" xr:uid="{00000000-0005-0000-0000-0000FC6F0000}"/>
    <cellStyle name="SAPBEXHLevel3 7 3 4 2" xfId="31790" xr:uid="{BE553B79-05D6-4193-9234-800F319C7455}"/>
    <cellStyle name="SAPBEXHLevel3 7 3 5" xfId="29910" xr:uid="{00000000-0005-0000-0000-0000FD6F0000}"/>
    <cellStyle name="SAPBEXHLevel3 7 4" xfId="27244" xr:uid="{00000000-0005-0000-0000-0000FE6F0000}"/>
    <cellStyle name="SAPBEXHLevel3 7 4 2" xfId="31879" xr:uid="{7B68BD0B-CF30-4926-9AE9-636DD273FD3A}"/>
    <cellStyle name="SAPBEXHLevel3 7 5" xfId="28356" xr:uid="{00000000-0005-0000-0000-0000FF6F0000}"/>
    <cellStyle name="SAPBEXHLevel3 7 5 2" xfId="32914" xr:uid="{A4201494-3AED-4732-854F-36AC61FC814B}"/>
    <cellStyle name="SAPBEXHLevel3 7 6" xfId="26436" xr:uid="{00000000-0005-0000-0000-000000700000}"/>
    <cellStyle name="SAPBEXHLevel3 7 6 2" xfId="31224" xr:uid="{A13C6F1F-C9B2-4637-BBF5-34473A453CF2}"/>
    <cellStyle name="SAPBEXHLevel3 7 7" xfId="29908" xr:uid="{00000000-0005-0000-0000-000001700000}"/>
    <cellStyle name="SAPBEXHLevel3 7 8" xfId="30319" xr:uid="{B11FE871-B35C-4986-9DF7-5A2060F8D49E}"/>
    <cellStyle name="SAPBEXHLevel3 8" xfId="25122" xr:uid="{00000000-0005-0000-0000-000002700000}"/>
    <cellStyle name="SAPBEXHLevel3 8 2" xfId="25388" xr:uid="{00000000-0005-0000-0000-000003700000}"/>
    <cellStyle name="SAPBEXHLevel3 8 2 2" xfId="27542" xr:uid="{00000000-0005-0000-0000-000004700000}"/>
    <cellStyle name="SAPBEXHLevel3 8 2 2 2" xfId="32133" xr:uid="{1BE6C9C2-FF59-4CD3-9BFC-2F1A68A02B35}"/>
    <cellStyle name="SAPBEXHLevel3 8 2 3" xfId="28360" xr:uid="{00000000-0005-0000-0000-000005700000}"/>
    <cellStyle name="SAPBEXHLevel3 8 2 3 2" xfId="32918" xr:uid="{A9A4C4EA-B837-47FB-968D-7AEB77BA049E}"/>
    <cellStyle name="SAPBEXHLevel3 8 2 4" xfId="26167" xr:uid="{00000000-0005-0000-0000-000006700000}"/>
    <cellStyle name="SAPBEXHLevel3 8 2 4 2" xfId="30956" xr:uid="{DA2571E1-2719-4E78-9545-47DA2E951D59}"/>
    <cellStyle name="SAPBEXHLevel3 8 2 5" xfId="29912" xr:uid="{00000000-0005-0000-0000-000007700000}"/>
    <cellStyle name="SAPBEXHLevel3 8 2 6" xfId="30546" xr:uid="{7DC491B1-983E-4C2B-BF6F-C9B3873ABC14}"/>
    <cellStyle name="SAPBEXHLevel3 8 3" xfId="25720" xr:uid="{00000000-0005-0000-0000-000008700000}"/>
    <cellStyle name="SAPBEXHLevel3 8 3 2" xfId="27873" xr:uid="{00000000-0005-0000-0000-000009700000}"/>
    <cellStyle name="SAPBEXHLevel3 8 3 2 2" xfId="32460" xr:uid="{A821DC7E-DAC6-4D4F-AAE2-24FF2B8A8FAE}"/>
    <cellStyle name="SAPBEXHLevel3 8 3 3" xfId="28361" xr:uid="{00000000-0005-0000-0000-00000A700000}"/>
    <cellStyle name="SAPBEXHLevel3 8 3 3 2" xfId="32919" xr:uid="{D1977913-2B64-468C-9881-AC5C3D7DF6AF}"/>
    <cellStyle name="SAPBEXHLevel3 8 3 4" xfId="27007" xr:uid="{00000000-0005-0000-0000-00000B700000}"/>
    <cellStyle name="SAPBEXHLevel3 8 3 4 2" xfId="31767" xr:uid="{C51FB8F3-9580-43FD-93AA-B0DFAC0F43B0}"/>
    <cellStyle name="SAPBEXHLevel3 8 3 5" xfId="29913" xr:uid="{00000000-0005-0000-0000-00000C700000}"/>
    <cellStyle name="SAPBEXHLevel3 8 3 6" xfId="30714" xr:uid="{F9848995-1295-42F8-95CC-5CA13C5980FE}"/>
    <cellStyle name="SAPBEXHLevel3 8 4" xfId="27407" xr:uid="{00000000-0005-0000-0000-00000D700000}"/>
    <cellStyle name="SAPBEXHLevel3 8 4 2" xfId="32005" xr:uid="{2F1555A1-B554-49EC-9141-30EF248D14EE}"/>
    <cellStyle name="SAPBEXHLevel3 8 5" xfId="28359" xr:uid="{00000000-0005-0000-0000-00000E700000}"/>
    <cellStyle name="SAPBEXHLevel3 8 5 2" xfId="32917" xr:uid="{610FB90E-49C4-4B0F-AD15-5023090204D0}"/>
    <cellStyle name="SAPBEXHLevel3 8 6" xfId="27011" xr:uid="{00000000-0005-0000-0000-00000F700000}"/>
    <cellStyle name="SAPBEXHLevel3 8 6 2" xfId="31771" xr:uid="{C762534F-965B-4BE1-8104-19AF190FDA03}"/>
    <cellStyle name="SAPBEXHLevel3 8 7" xfId="29911" xr:uid="{00000000-0005-0000-0000-000010700000}"/>
    <cellStyle name="SAPBEXHLevel3 8 8" xfId="30422" xr:uid="{F6BE29FF-10AE-4C07-8CB3-6CE8CEF910D2}"/>
    <cellStyle name="SAPBEXHLevel3 9" xfId="25858" xr:uid="{00000000-0005-0000-0000-000011700000}"/>
    <cellStyle name="SAPBEXHLevel3 9 2" xfId="30777" xr:uid="{268C28AB-60F0-499B-8CE2-918873F2311A}"/>
    <cellStyle name="SAPBEXHLevel3X" xfId="131" xr:uid="{00000000-0005-0000-0000-000012700000}"/>
    <cellStyle name="SAPBEXHLevel3X 10" xfId="28362" xr:uid="{00000000-0005-0000-0000-000013700000}"/>
    <cellStyle name="SAPBEXHLevel3X 10 2" xfId="32920" xr:uid="{11621F44-FDEB-4865-8F9A-08A93EE8731D}"/>
    <cellStyle name="SAPBEXHLevel3X 11" xfId="26346" xr:uid="{00000000-0005-0000-0000-000014700000}"/>
    <cellStyle name="SAPBEXHLevel3X 11 2" xfId="31134" xr:uid="{FA68AC57-2062-46B1-A5DF-F5927AE8776B}"/>
    <cellStyle name="SAPBEXHLevel3X 12" xfId="29914" xr:uid="{00000000-0005-0000-0000-000015700000}"/>
    <cellStyle name="SAPBEXHLevel3X 2" xfId="132" xr:uid="{00000000-0005-0000-0000-000016700000}"/>
    <cellStyle name="SAPBEXHLevel3X 2 2" xfId="13666" xr:uid="{00000000-0005-0000-0000-000017700000}"/>
    <cellStyle name="SAPBEXHLevel3X 2 2 2" xfId="25504" xr:uid="{00000000-0005-0000-0000-000018700000}"/>
    <cellStyle name="SAPBEXHLevel3X 2 2 2 2" xfId="27657" xr:uid="{00000000-0005-0000-0000-000019700000}"/>
    <cellStyle name="SAPBEXHLevel3X 2 2 2 2 2" xfId="32244" xr:uid="{A94E29C9-0001-4209-A89C-49E31D0A7749}"/>
    <cellStyle name="SAPBEXHLevel3X 2 2 2 3" xfId="28365" xr:uid="{00000000-0005-0000-0000-00001A700000}"/>
    <cellStyle name="SAPBEXHLevel3X 2 2 2 3 2" xfId="32923" xr:uid="{2E97E469-414C-4FD2-B278-36779B074FA2}"/>
    <cellStyle name="SAPBEXHLevel3X 2 2 2 4" xfId="26988" xr:uid="{00000000-0005-0000-0000-00001B700000}"/>
    <cellStyle name="SAPBEXHLevel3X 2 2 2 4 2" xfId="31749" xr:uid="{D0ED1A95-A758-4BD1-B905-CA6F27234B6E}"/>
    <cellStyle name="SAPBEXHLevel3X 2 2 2 5" xfId="29917" xr:uid="{00000000-0005-0000-0000-00001C700000}"/>
    <cellStyle name="SAPBEXHLevel3X 2 2 3" xfId="26608" xr:uid="{00000000-0005-0000-0000-00001D700000}"/>
    <cellStyle name="SAPBEXHLevel3X 2 2 3 2" xfId="31386" xr:uid="{C40AF5BB-0917-4918-9CF5-71FF6F2AF2C5}"/>
    <cellStyle name="SAPBEXHLevel3X 2 2 4" xfId="28364" xr:uid="{00000000-0005-0000-0000-00001E700000}"/>
    <cellStyle name="SAPBEXHLevel3X 2 2 4 2" xfId="32922" xr:uid="{A45550F3-51A4-4793-8FD2-DE19B259EDB3}"/>
    <cellStyle name="SAPBEXHLevel3X 2 2 5" xfId="26389" xr:uid="{00000000-0005-0000-0000-00001F700000}"/>
    <cellStyle name="SAPBEXHLevel3X 2 2 5 2" xfId="31177" xr:uid="{AB680CDE-526D-49FC-8FBC-4051E2F047FA}"/>
    <cellStyle name="SAPBEXHLevel3X 2 2 6" xfId="29916" xr:uid="{00000000-0005-0000-0000-000020700000}"/>
    <cellStyle name="SAPBEXHLevel3X 2 2 7" xfId="30206" xr:uid="{40CB4C43-24BF-4F00-ADEF-639D5F2188AB}"/>
    <cellStyle name="SAPBEXHLevel3X 2 3" xfId="24268" xr:uid="{00000000-0005-0000-0000-000021700000}"/>
    <cellStyle name="SAPBEXHLevel3X 2 3 2" xfId="25589" xr:uid="{00000000-0005-0000-0000-000022700000}"/>
    <cellStyle name="SAPBEXHLevel3X 2 3 2 2" xfId="27742" xr:uid="{00000000-0005-0000-0000-000023700000}"/>
    <cellStyle name="SAPBEXHLevel3X 2 3 2 2 2" xfId="32329" xr:uid="{DB735D1E-414A-464B-9CF6-43F01866573D}"/>
    <cellStyle name="SAPBEXHLevel3X 2 3 2 3" xfId="28367" xr:uid="{00000000-0005-0000-0000-000024700000}"/>
    <cellStyle name="SAPBEXHLevel3X 2 3 2 3 2" xfId="32925" xr:uid="{92FFC510-0780-4E32-8FC0-4866BC9D9F49}"/>
    <cellStyle name="SAPBEXHLevel3X 2 3 2 4" xfId="26922" xr:uid="{00000000-0005-0000-0000-000025700000}"/>
    <cellStyle name="SAPBEXHLevel3X 2 3 2 4 2" xfId="31683" xr:uid="{04C871BF-A386-41FE-840B-26A3E0419F42}"/>
    <cellStyle name="SAPBEXHLevel3X 2 3 2 5" xfId="29919" xr:uid="{00000000-0005-0000-0000-000026700000}"/>
    <cellStyle name="SAPBEXHLevel3X 2 3 3" xfId="27122" xr:uid="{00000000-0005-0000-0000-000027700000}"/>
    <cellStyle name="SAPBEXHLevel3X 2 3 3 2" xfId="31840" xr:uid="{9DAFE868-A6DA-41A0-851F-28068239C1C6}"/>
    <cellStyle name="SAPBEXHLevel3X 2 3 4" xfId="28366" xr:uid="{00000000-0005-0000-0000-000028700000}"/>
    <cellStyle name="SAPBEXHLevel3X 2 3 4 2" xfId="32924" xr:uid="{43C271B0-82E4-4B15-9AD0-81870F98FE3F}"/>
    <cellStyle name="SAPBEXHLevel3X 2 3 5" xfId="27164" xr:uid="{00000000-0005-0000-0000-000029700000}"/>
    <cellStyle name="SAPBEXHLevel3X 2 3 5 2" xfId="31855" xr:uid="{8663B18A-E581-4164-8027-AED7E7E69FD0}"/>
    <cellStyle name="SAPBEXHLevel3X 2 3 6" xfId="29918" xr:uid="{00000000-0005-0000-0000-00002A700000}"/>
    <cellStyle name="SAPBEXHLevel3X 2 3 7" xfId="30291" xr:uid="{C63E0506-4261-4F0D-BA32-E6D4B9B3F60D}"/>
    <cellStyle name="SAPBEXHLevel3X 2 4" xfId="24647" xr:uid="{00000000-0005-0000-0000-00002B700000}"/>
    <cellStyle name="SAPBEXHLevel3X 2 4 2" xfId="25358" xr:uid="{00000000-0005-0000-0000-00002C700000}"/>
    <cellStyle name="SAPBEXHLevel3X 2 4 2 2" xfId="27512" xr:uid="{00000000-0005-0000-0000-00002D700000}"/>
    <cellStyle name="SAPBEXHLevel3X 2 4 2 2 2" xfId="32103" xr:uid="{D7C9F1CC-12C8-41F1-B606-60011B4D22AE}"/>
    <cellStyle name="SAPBEXHLevel3X 2 4 2 3" xfId="28369" xr:uid="{00000000-0005-0000-0000-00002E700000}"/>
    <cellStyle name="SAPBEXHLevel3X 2 4 2 3 2" xfId="32927" xr:uid="{C2C4B16F-011E-485D-A304-6B8FAFEBE8A7}"/>
    <cellStyle name="SAPBEXHLevel3X 2 4 2 4" xfId="26137" xr:uid="{00000000-0005-0000-0000-00002F700000}"/>
    <cellStyle name="SAPBEXHLevel3X 2 4 2 4 2" xfId="30927" xr:uid="{2A25FF93-81DC-4245-85F2-7CBE6C48EE92}"/>
    <cellStyle name="SAPBEXHLevel3X 2 4 2 5" xfId="29921" xr:uid="{00000000-0005-0000-0000-000030700000}"/>
    <cellStyle name="SAPBEXHLevel3X 2 4 2 6" xfId="30516" xr:uid="{B4DCA501-5C1A-4F2A-A8A3-1517461D3419}"/>
    <cellStyle name="SAPBEXHLevel3X 2 4 3" xfId="25613" xr:uid="{00000000-0005-0000-0000-000031700000}"/>
    <cellStyle name="SAPBEXHLevel3X 2 4 3 2" xfId="27766" xr:uid="{00000000-0005-0000-0000-000032700000}"/>
    <cellStyle name="SAPBEXHLevel3X 2 4 3 2 2" xfId="32353" xr:uid="{43BB4D17-1E35-4B40-817B-4827DAAB81DD}"/>
    <cellStyle name="SAPBEXHLevel3X 2 4 3 3" xfId="28370" xr:uid="{00000000-0005-0000-0000-000033700000}"/>
    <cellStyle name="SAPBEXHLevel3X 2 4 3 3 2" xfId="32928" xr:uid="{016662A2-605E-48D3-AD0C-4689DC12773B}"/>
    <cellStyle name="SAPBEXHLevel3X 2 4 3 4" xfId="26416" xr:uid="{00000000-0005-0000-0000-000034700000}"/>
    <cellStyle name="SAPBEXHLevel3X 2 4 3 4 2" xfId="31204" xr:uid="{27C49BFC-72BA-4824-BA3D-F153A3E89D3F}"/>
    <cellStyle name="SAPBEXHLevel3X 2 4 3 5" xfId="29922" xr:uid="{00000000-0005-0000-0000-000035700000}"/>
    <cellStyle name="SAPBEXHLevel3X 2 4 4" xfId="27240" xr:uid="{00000000-0005-0000-0000-000036700000}"/>
    <cellStyle name="SAPBEXHLevel3X 2 4 4 2" xfId="31875" xr:uid="{ED0BC1E4-4364-4F95-B507-334C449D03D8}"/>
    <cellStyle name="SAPBEXHLevel3X 2 4 5" xfId="28368" xr:uid="{00000000-0005-0000-0000-000037700000}"/>
    <cellStyle name="SAPBEXHLevel3X 2 4 5 2" xfId="32926" xr:uid="{1174CCE6-2E97-42C9-B9FC-433ED4CF3D6D}"/>
    <cellStyle name="SAPBEXHLevel3X 2 4 6" xfId="26145" xr:uid="{00000000-0005-0000-0000-000038700000}"/>
    <cellStyle name="SAPBEXHLevel3X 2 4 6 2" xfId="30935" xr:uid="{FEEAC14C-EEEB-45D6-A5EA-973896FDA51F}"/>
    <cellStyle name="SAPBEXHLevel3X 2 4 7" xfId="29920" xr:uid="{00000000-0005-0000-0000-000039700000}"/>
    <cellStyle name="SAPBEXHLevel3X 2 4 8" xfId="30315" xr:uid="{77FC5731-9C3C-4578-9FA9-DA2BF5988AAE}"/>
    <cellStyle name="SAPBEXHLevel3X 2 5" xfId="25126" xr:uid="{00000000-0005-0000-0000-00003A700000}"/>
    <cellStyle name="SAPBEXHLevel3X 2 5 2" xfId="25327" xr:uid="{00000000-0005-0000-0000-00003B700000}"/>
    <cellStyle name="SAPBEXHLevel3X 2 5 2 2" xfId="27481" xr:uid="{00000000-0005-0000-0000-00003C700000}"/>
    <cellStyle name="SAPBEXHLevel3X 2 5 2 2 2" xfId="32072" xr:uid="{74D14D4D-B4BA-4416-8881-AF21335FAADA}"/>
    <cellStyle name="SAPBEXHLevel3X 2 5 2 3" xfId="28372" xr:uid="{00000000-0005-0000-0000-00003D700000}"/>
    <cellStyle name="SAPBEXHLevel3X 2 5 2 3 2" xfId="32930" xr:uid="{5910C690-B46C-4CB4-9A01-EAEDB0F63403}"/>
    <cellStyle name="SAPBEXHLevel3X 2 5 2 4" xfId="27084" xr:uid="{00000000-0005-0000-0000-00003E700000}"/>
    <cellStyle name="SAPBEXHLevel3X 2 5 2 4 2" xfId="31808" xr:uid="{598B73BA-12A2-4ED9-ACA8-D34CB7704AE5}"/>
    <cellStyle name="SAPBEXHLevel3X 2 5 2 5" xfId="29924" xr:uid="{00000000-0005-0000-0000-00003F700000}"/>
    <cellStyle name="SAPBEXHLevel3X 2 5 2 6" xfId="30485" xr:uid="{5F4BB849-C8DB-4B40-A74A-D0DC5A1488CE}"/>
    <cellStyle name="SAPBEXHLevel3X 2 5 3" xfId="25724" xr:uid="{00000000-0005-0000-0000-000040700000}"/>
    <cellStyle name="SAPBEXHLevel3X 2 5 3 2" xfId="27877" xr:uid="{00000000-0005-0000-0000-000041700000}"/>
    <cellStyle name="SAPBEXHLevel3X 2 5 3 2 2" xfId="32464" xr:uid="{089F2F43-5561-43EF-8547-5B9BB64E6E6E}"/>
    <cellStyle name="SAPBEXHLevel3X 2 5 3 3" xfId="28373" xr:uid="{00000000-0005-0000-0000-000042700000}"/>
    <cellStyle name="SAPBEXHLevel3X 2 5 3 3 2" xfId="32931" xr:uid="{1D7FD07F-E432-43A4-933D-F681EA8460FC}"/>
    <cellStyle name="SAPBEXHLevel3X 2 5 3 4" xfId="26467" xr:uid="{00000000-0005-0000-0000-000043700000}"/>
    <cellStyle name="SAPBEXHLevel3X 2 5 3 4 2" xfId="31255" xr:uid="{BB46B35F-4917-4B6E-A76B-D6E27C399AB4}"/>
    <cellStyle name="SAPBEXHLevel3X 2 5 3 5" xfId="29925" xr:uid="{00000000-0005-0000-0000-000044700000}"/>
    <cellStyle name="SAPBEXHLevel3X 2 5 3 6" xfId="30718" xr:uid="{9501C45C-F55E-408F-BBD8-46EF45884285}"/>
    <cellStyle name="SAPBEXHLevel3X 2 5 4" xfId="27411" xr:uid="{00000000-0005-0000-0000-000045700000}"/>
    <cellStyle name="SAPBEXHLevel3X 2 5 4 2" xfId="32009" xr:uid="{B963967A-B5BD-46DE-9661-6C3D661A43BA}"/>
    <cellStyle name="SAPBEXHLevel3X 2 5 5" xfId="28371" xr:uid="{00000000-0005-0000-0000-000046700000}"/>
    <cellStyle name="SAPBEXHLevel3X 2 5 5 2" xfId="32929" xr:uid="{FF6AD0FD-4A12-49B9-8E50-EC5BE2E61FE4}"/>
    <cellStyle name="SAPBEXHLevel3X 2 5 6" xfId="27349" xr:uid="{00000000-0005-0000-0000-000047700000}"/>
    <cellStyle name="SAPBEXHLevel3X 2 5 6 2" xfId="31947" xr:uid="{3A0F00AB-61D7-46EF-8DD5-44D14E4471EE}"/>
    <cellStyle name="SAPBEXHLevel3X 2 5 7" xfId="29923" xr:uid="{00000000-0005-0000-0000-000048700000}"/>
    <cellStyle name="SAPBEXHLevel3X 2 5 8" xfId="30426" xr:uid="{0D99F112-65FD-4913-808C-EC234BA6F5B8}"/>
    <cellStyle name="SAPBEXHLevel3X 2 6" xfId="25863" xr:uid="{00000000-0005-0000-0000-000049700000}"/>
    <cellStyle name="SAPBEXHLevel3X 2 6 2" xfId="30782" xr:uid="{5D7C521D-7709-4E30-A4A3-AEB4B661BCE7}"/>
    <cellStyle name="SAPBEXHLevel3X 2 7" xfId="28363" xr:uid="{00000000-0005-0000-0000-00004A700000}"/>
    <cellStyle name="SAPBEXHLevel3X 2 7 2" xfId="32921" xr:uid="{B8DCD961-5FED-4850-97AF-0E2F1363450C}"/>
    <cellStyle name="SAPBEXHLevel3X 2 8" xfId="26938" xr:uid="{00000000-0005-0000-0000-00004B700000}"/>
    <cellStyle name="SAPBEXHLevel3X 2 8 2" xfId="31699" xr:uid="{3533D43B-EEA1-49FB-B113-B4881C9CA127}"/>
    <cellStyle name="SAPBEXHLevel3X 2 9" xfId="29915" xr:uid="{00000000-0005-0000-0000-00004C700000}"/>
    <cellStyle name="SAPBEXHLevel3X 3" xfId="133" xr:uid="{00000000-0005-0000-0000-00004D700000}"/>
    <cellStyle name="SAPBEXHLevel3X 3 2" xfId="13667" xr:uid="{00000000-0005-0000-0000-00004E700000}"/>
    <cellStyle name="SAPBEXHLevel3X 3 2 2" xfId="25505" xr:uid="{00000000-0005-0000-0000-00004F700000}"/>
    <cellStyle name="SAPBEXHLevel3X 3 2 2 2" xfId="27658" xr:uid="{00000000-0005-0000-0000-000050700000}"/>
    <cellStyle name="SAPBEXHLevel3X 3 2 2 2 2" xfId="32245" xr:uid="{45C9EA8A-E4FD-4269-B7CB-01F2CE9D712D}"/>
    <cellStyle name="SAPBEXHLevel3X 3 2 2 3" xfId="28376" xr:uid="{00000000-0005-0000-0000-000051700000}"/>
    <cellStyle name="SAPBEXHLevel3X 3 2 2 3 2" xfId="32934" xr:uid="{7531EA30-1CF2-4937-8C60-A9F9B2B05CD3}"/>
    <cellStyle name="SAPBEXHLevel3X 3 2 2 4" xfId="26387" xr:uid="{00000000-0005-0000-0000-000052700000}"/>
    <cellStyle name="SAPBEXHLevel3X 3 2 2 4 2" xfId="31175" xr:uid="{3E890B52-0C3C-46A5-88C2-5148C2E18100}"/>
    <cellStyle name="SAPBEXHLevel3X 3 2 2 5" xfId="29928" xr:uid="{00000000-0005-0000-0000-000053700000}"/>
    <cellStyle name="SAPBEXHLevel3X 3 2 3" xfId="26609" xr:uid="{00000000-0005-0000-0000-000054700000}"/>
    <cellStyle name="SAPBEXHLevel3X 3 2 3 2" xfId="31387" xr:uid="{33F8AD2E-82C9-40DD-9503-73B4F74EB8D6}"/>
    <cellStyle name="SAPBEXHLevel3X 3 2 4" xfId="28375" xr:uid="{00000000-0005-0000-0000-000055700000}"/>
    <cellStyle name="SAPBEXHLevel3X 3 2 4 2" xfId="32933" xr:uid="{A6DB452C-6770-4CA2-8524-F3CB5F8D8EFE}"/>
    <cellStyle name="SAPBEXHLevel3X 3 2 5" xfId="26227" xr:uid="{00000000-0005-0000-0000-000056700000}"/>
    <cellStyle name="SAPBEXHLevel3X 3 2 5 2" xfId="31015" xr:uid="{0FE2B551-C769-455F-A119-03249EA0373E}"/>
    <cellStyle name="SAPBEXHLevel3X 3 2 6" xfId="29927" xr:uid="{00000000-0005-0000-0000-000057700000}"/>
    <cellStyle name="SAPBEXHLevel3X 3 2 7" xfId="30207" xr:uid="{53B2C8A4-0890-4B77-82CB-55055705A567}"/>
    <cellStyle name="SAPBEXHLevel3X 3 3" xfId="24269" xr:uid="{00000000-0005-0000-0000-000058700000}"/>
    <cellStyle name="SAPBEXHLevel3X 3 3 2" xfId="25590" xr:uid="{00000000-0005-0000-0000-000059700000}"/>
    <cellStyle name="SAPBEXHLevel3X 3 3 2 2" xfId="27743" xr:uid="{00000000-0005-0000-0000-00005A700000}"/>
    <cellStyle name="SAPBEXHLevel3X 3 3 2 2 2" xfId="32330" xr:uid="{D4735676-1E70-4426-96C1-8E973CE83299}"/>
    <cellStyle name="SAPBEXHLevel3X 3 3 2 3" xfId="28378" xr:uid="{00000000-0005-0000-0000-00005B700000}"/>
    <cellStyle name="SAPBEXHLevel3X 3 3 2 3 2" xfId="32936" xr:uid="{47CD5417-91F0-4586-8778-F4ADA13B265F}"/>
    <cellStyle name="SAPBEXHLevel3X 3 3 2 4" xfId="26856" xr:uid="{00000000-0005-0000-0000-00005C700000}"/>
    <cellStyle name="SAPBEXHLevel3X 3 3 2 4 2" xfId="31617" xr:uid="{F35650B9-1998-46A9-80CB-CC926C4B1C75}"/>
    <cellStyle name="SAPBEXHLevel3X 3 3 2 5" xfId="29930" xr:uid="{00000000-0005-0000-0000-00005D700000}"/>
    <cellStyle name="SAPBEXHLevel3X 3 3 3" xfId="27123" xr:uid="{00000000-0005-0000-0000-00005E700000}"/>
    <cellStyle name="SAPBEXHLevel3X 3 3 3 2" xfId="31841" xr:uid="{A2A3250A-9173-4538-AD50-1DF232369A34}"/>
    <cellStyle name="SAPBEXHLevel3X 3 3 4" xfId="28377" xr:uid="{00000000-0005-0000-0000-00005F700000}"/>
    <cellStyle name="SAPBEXHLevel3X 3 3 4 2" xfId="32935" xr:uid="{A92B8164-03E0-4534-90D0-9469A4607D93}"/>
    <cellStyle name="SAPBEXHLevel3X 3 3 5" xfId="26220" xr:uid="{00000000-0005-0000-0000-000060700000}"/>
    <cellStyle name="SAPBEXHLevel3X 3 3 5 2" xfId="31008" xr:uid="{52AD1348-1EEB-48E8-93DF-37DACCD3D1B6}"/>
    <cellStyle name="SAPBEXHLevel3X 3 3 6" xfId="29929" xr:uid="{00000000-0005-0000-0000-000061700000}"/>
    <cellStyle name="SAPBEXHLevel3X 3 3 7" xfId="30292" xr:uid="{02150287-7FDA-4614-85C9-ECDA83D69B0E}"/>
    <cellStyle name="SAPBEXHLevel3X 3 4" xfId="24646" xr:uid="{00000000-0005-0000-0000-000062700000}"/>
    <cellStyle name="SAPBEXHLevel3X 3 4 2" xfId="25442" xr:uid="{00000000-0005-0000-0000-000063700000}"/>
    <cellStyle name="SAPBEXHLevel3X 3 4 2 2" xfId="27596" xr:uid="{00000000-0005-0000-0000-000064700000}"/>
    <cellStyle name="SAPBEXHLevel3X 3 4 2 2 2" xfId="32187" xr:uid="{8E529128-2E78-4424-9B25-6A7FD379159C}"/>
    <cellStyle name="SAPBEXHLevel3X 3 4 2 3" xfId="28380" xr:uid="{00000000-0005-0000-0000-000065700000}"/>
    <cellStyle name="SAPBEXHLevel3X 3 4 2 3 2" xfId="32938" xr:uid="{98A0BD92-CFDA-4B56-A258-C04AE6CCBED3}"/>
    <cellStyle name="SAPBEXHLevel3X 3 4 2 4" xfId="27054" xr:uid="{00000000-0005-0000-0000-000066700000}"/>
    <cellStyle name="SAPBEXHLevel3X 3 4 2 4 2" xfId="31799" xr:uid="{874CF853-9C2A-4BBC-AF32-C7B644EA822F}"/>
    <cellStyle name="SAPBEXHLevel3X 3 4 2 5" xfId="29932" xr:uid="{00000000-0005-0000-0000-000067700000}"/>
    <cellStyle name="SAPBEXHLevel3X 3 4 2 6" xfId="30600" xr:uid="{15179D37-B044-4166-BC6D-052A57DCF611}"/>
    <cellStyle name="SAPBEXHLevel3X 3 4 3" xfId="25612" xr:uid="{00000000-0005-0000-0000-000068700000}"/>
    <cellStyle name="SAPBEXHLevel3X 3 4 3 2" xfId="27765" xr:uid="{00000000-0005-0000-0000-000069700000}"/>
    <cellStyle name="SAPBEXHLevel3X 3 4 3 2 2" xfId="32352" xr:uid="{172DD6D6-87DB-4594-98BE-0BD1541FA2C3}"/>
    <cellStyle name="SAPBEXHLevel3X 3 4 3 3" xfId="28381" xr:uid="{00000000-0005-0000-0000-00006A700000}"/>
    <cellStyle name="SAPBEXHLevel3X 3 4 3 3 2" xfId="32939" xr:uid="{25D86A90-082E-4162-8F5F-5A2C66EEC653}"/>
    <cellStyle name="SAPBEXHLevel3X 3 4 3 4" xfId="26928" xr:uid="{00000000-0005-0000-0000-00006B700000}"/>
    <cellStyle name="SAPBEXHLevel3X 3 4 3 4 2" xfId="31689" xr:uid="{C0357729-241F-4D8A-AE11-CC2D1DB45871}"/>
    <cellStyle name="SAPBEXHLevel3X 3 4 3 5" xfId="29933" xr:uid="{00000000-0005-0000-0000-00006C700000}"/>
    <cellStyle name="SAPBEXHLevel3X 3 4 4" xfId="27239" xr:uid="{00000000-0005-0000-0000-00006D700000}"/>
    <cellStyle name="SAPBEXHLevel3X 3 4 4 2" xfId="31874" xr:uid="{7C478664-1320-406F-9D50-BDA5498B65D0}"/>
    <cellStyle name="SAPBEXHLevel3X 3 4 5" xfId="28379" xr:uid="{00000000-0005-0000-0000-00006E700000}"/>
    <cellStyle name="SAPBEXHLevel3X 3 4 5 2" xfId="32937" xr:uid="{C404FCF7-6D4A-4604-B569-5C109511B721}"/>
    <cellStyle name="SAPBEXHLevel3X 3 4 6" xfId="26458" xr:uid="{00000000-0005-0000-0000-00006F700000}"/>
    <cellStyle name="SAPBEXHLevel3X 3 4 6 2" xfId="31246" xr:uid="{F376D0A3-6563-4E6B-B0FA-C719D730CADD}"/>
    <cellStyle name="SAPBEXHLevel3X 3 4 7" xfId="29931" xr:uid="{00000000-0005-0000-0000-000070700000}"/>
    <cellStyle name="SAPBEXHLevel3X 3 4 8" xfId="30314" xr:uid="{9C7F96D7-C898-45CD-AD25-FDA8A5006533}"/>
    <cellStyle name="SAPBEXHLevel3X 3 5" xfId="25127" xr:uid="{00000000-0005-0000-0000-000071700000}"/>
    <cellStyle name="SAPBEXHLevel3X 3 5 2" xfId="25428" xr:uid="{00000000-0005-0000-0000-000072700000}"/>
    <cellStyle name="SAPBEXHLevel3X 3 5 2 2" xfId="27582" xr:uid="{00000000-0005-0000-0000-000073700000}"/>
    <cellStyle name="SAPBEXHLevel3X 3 5 2 2 2" xfId="32173" xr:uid="{1B21319F-FE3D-49A4-8166-691F0E52E145}"/>
    <cellStyle name="SAPBEXHLevel3X 3 5 2 3" xfId="28383" xr:uid="{00000000-0005-0000-0000-000074700000}"/>
    <cellStyle name="SAPBEXHLevel3X 3 5 2 3 2" xfId="32941" xr:uid="{09BD3033-EE54-4276-87A9-462B7CBCF00E}"/>
    <cellStyle name="SAPBEXHLevel3X 3 5 2 4" xfId="26103" xr:uid="{00000000-0005-0000-0000-000075700000}"/>
    <cellStyle name="SAPBEXHLevel3X 3 5 2 4 2" xfId="30893" xr:uid="{EE724D09-6C37-48B0-9A6B-2502F315B0FF}"/>
    <cellStyle name="SAPBEXHLevel3X 3 5 2 5" xfId="29935" xr:uid="{00000000-0005-0000-0000-000076700000}"/>
    <cellStyle name="SAPBEXHLevel3X 3 5 2 6" xfId="30586" xr:uid="{E7B2D32A-8966-4AB1-843C-0FDDCC975C12}"/>
    <cellStyle name="SAPBEXHLevel3X 3 5 3" xfId="25725" xr:uid="{00000000-0005-0000-0000-000077700000}"/>
    <cellStyle name="SAPBEXHLevel3X 3 5 3 2" xfId="27878" xr:uid="{00000000-0005-0000-0000-000078700000}"/>
    <cellStyle name="SAPBEXHLevel3X 3 5 3 2 2" xfId="32465" xr:uid="{05DA57AD-D9EC-41A6-BECD-405554911E5C}"/>
    <cellStyle name="SAPBEXHLevel3X 3 5 3 3" xfId="28384" xr:uid="{00000000-0005-0000-0000-000079700000}"/>
    <cellStyle name="SAPBEXHLevel3X 3 5 3 3 2" xfId="32942" xr:uid="{F96DE1DF-5756-4F8F-B2F1-734EB2D9815E}"/>
    <cellStyle name="SAPBEXHLevel3X 3 5 3 4" xfId="26508" xr:uid="{00000000-0005-0000-0000-00007A700000}"/>
    <cellStyle name="SAPBEXHLevel3X 3 5 3 4 2" xfId="31296" xr:uid="{CAD70976-8996-443A-9418-1CA939F3EF17}"/>
    <cellStyle name="SAPBEXHLevel3X 3 5 3 5" xfId="29936" xr:uid="{00000000-0005-0000-0000-00007B700000}"/>
    <cellStyle name="SAPBEXHLevel3X 3 5 3 6" xfId="30719" xr:uid="{5C99FBAA-B4E1-4A51-840B-F673FA42281D}"/>
    <cellStyle name="SAPBEXHLevel3X 3 5 4" xfId="27412" xr:uid="{00000000-0005-0000-0000-00007C700000}"/>
    <cellStyle name="SAPBEXHLevel3X 3 5 4 2" xfId="32010" xr:uid="{2094438C-978F-4161-AA50-4DC8055F527B}"/>
    <cellStyle name="SAPBEXHLevel3X 3 5 5" xfId="28382" xr:uid="{00000000-0005-0000-0000-00007D700000}"/>
    <cellStyle name="SAPBEXHLevel3X 3 5 5 2" xfId="32940" xr:uid="{537EAACE-E228-447D-B4AB-A93491D7BB7D}"/>
    <cellStyle name="SAPBEXHLevel3X 3 5 6" xfId="26496" xr:uid="{00000000-0005-0000-0000-00007E700000}"/>
    <cellStyle name="SAPBEXHLevel3X 3 5 6 2" xfId="31284" xr:uid="{DB492B91-6731-4C01-BF2B-F64CE2048734}"/>
    <cellStyle name="SAPBEXHLevel3X 3 5 7" xfId="29934" xr:uid="{00000000-0005-0000-0000-00007F700000}"/>
    <cellStyle name="SAPBEXHLevel3X 3 5 8" xfId="30427" xr:uid="{2FCDDEB8-F9E5-47A8-BF9F-E2EB35A6F064}"/>
    <cellStyle name="SAPBEXHLevel3X 3 6" xfId="25864" xr:uid="{00000000-0005-0000-0000-000080700000}"/>
    <cellStyle name="SAPBEXHLevel3X 3 6 2" xfId="30783" xr:uid="{FA22FF2A-56DE-435D-BD51-B2DC772EDF96}"/>
    <cellStyle name="SAPBEXHLevel3X 3 7" xfId="28374" xr:uid="{00000000-0005-0000-0000-000081700000}"/>
    <cellStyle name="SAPBEXHLevel3X 3 7 2" xfId="32932" xr:uid="{00A9E9D9-3078-4324-B743-E89FCC929ADA}"/>
    <cellStyle name="SAPBEXHLevel3X 3 8" xfId="26413" xr:uid="{00000000-0005-0000-0000-000082700000}"/>
    <cellStyle name="SAPBEXHLevel3X 3 8 2" xfId="31201" xr:uid="{AA5E62CA-10E7-400C-BFF8-E934203BD2AE}"/>
    <cellStyle name="SAPBEXHLevel3X 3 9" xfId="29926" xr:uid="{00000000-0005-0000-0000-000083700000}"/>
    <cellStyle name="SAPBEXHLevel3X 4" xfId="134" xr:uid="{00000000-0005-0000-0000-000084700000}"/>
    <cellStyle name="SAPBEXHLevel3X 4 2" xfId="13668" xr:uid="{00000000-0005-0000-0000-000085700000}"/>
    <cellStyle name="SAPBEXHLevel3X 4 2 2" xfId="25506" xr:uid="{00000000-0005-0000-0000-000086700000}"/>
    <cellStyle name="SAPBEXHLevel3X 4 2 2 2" xfId="27659" xr:uid="{00000000-0005-0000-0000-000087700000}"/>
    <cellStyle name="SAPBEXHLevel3X 4 2 2 2 2" xfId="32246" xr:uid="{BCE1656E-6784-4AB3-AB71-1227A8F66DA6}"/>
    <cellStyle name="SAPBEXHLevel3X 4 2 2 3" xfId="28387" xr:uid="{00000000-0005-0000-0000-000088700000}"/>
    <cellStyle name="SAPBEXHLevel3X 4 2 2 3 2" xfId="32945" xr:uid="{34D3DA20-C764-4AE8-A870-3B88521D41F0}"/>
    <cellStyle name="SAPBEXHLevel3X 4 2 2 4" xfId="26127" xr:uid="{00000000-0005-0000-0000-000089700000}"/>
    <cellStyle name="SAPBEXHLevel3X 4 2 2 4 2" xfId="30917" xr:uid="{FCE1060C-123F-419A-BE20-65C9334370FD}"/>
    <cellStyle name="SAPBEXHLevel3X 4 2 2 5" xfId="29939" xr:uid="{00000000-0005-0000-0000-00008A700000}"/>
    <cellStyle name="SAPBEXHLevel3X 4 2 3" xfId="26610" xr:uid="{00000000-0005-0000-0000-00008B700000}"/>
    <cellStyle name="SAPBEXHLevel3X 4 2 3 2" xfId="31388" xr:uid="{DB7AA06A-C417-44D8-8505-5A8987FA45D9}"/>
    <cellStyle name="SAPBEXHLevel3X 4 2 4" xfId="28386" xr:uid="{00000000-0005-0000-0000-00008C700000}"/>
    <cellStyle name="SAPBEXHLevel3X 4 2 4 2" xfId="32944" xr:uid="{059C8CAB-AD2B-4347-8CE5-5ACF8CCA0B08}"/>
    <cellStyle name="SAPBEXHLevel3X 4 2 5" xfId="26356" xr:uid="{00000000-0005-0000-0000-00008D700000}"/>
    <cellStyle name="SAPBEXHLevel3X 4 2 5 2" xfId="31144" xr:uid="{3F017564-F0CA-4570-8FFA-2C568DD995F0}"/>
    <cellStyle name="SAPBEXHLevel3X 4 2 6" xfId="29938" xr:uid="{00000000-0005-0000-0000-00008E700000}"/>
    <cellStyle name="SAPBEXHLevel3X 4 2 7" xfId="30208" xr:uid="{634BA862-F399-4C76-9D22-CE789E832FBC}"/>
    <cellStyle name="SAPBEXHLevel3X 4 3" xfId="25865" xr:uid="{00000000-0005-0000-0000-00008F700000}"/>
    <cellStyle name="SAPBEXHLevel3X 4 3 2" xfId="30784" xr:uid="{7A7F6CB4-B13E-4B5C-AD91-87BECF742EB1}"/>
    <cellStyle name="SAPBEXHLevel3X 4 4" xfId="28385" xr:uid="{00000000-0005-0000-0000-000090700000}"/>
    <cellStyle name="SAPBEXHLevel3X 4 4 2" xfId="32943" xr:uid="{6E9CB22E-45CE-4BE8-89A3-E2D89B5B189C}"/>
    <cellStyle name="SAPBEXHLevel3X 4 5" xfId="26996" xr:uid="{00000000-0005-0000-0000-000091700000}"/>
    <cellStyle name="SAPBEXHLevel3X 4 5 2" xfId="31757" xr:uid="{FAC2BE78-A6B4-445B-8720-D7A1C7BDCF67}"/>
    <cellStyle name="SAPBEXHLevel3X 4 6" xfId="29937" xr:uid="{00000000-0005-0000-0000-000092700000}"/>
    <cellStyle name="SAPBEXHLevel3X 5" xfId="257" xr:uid="{00000000-0005-0000-0000-000093700000}"/>
    <cellStyle name="SAPBEXHLevel3X 5 2" xfId="13722" xr:uid="{00000000-0005-0000-0000-000094700000}"/>
    <cellStyle name="SAPBEXHLevel3X 5 2 2" xfId="25535" xr:uid="{00000000-0005-0000-0000-000095700000}"/>
    <cellStyle name="SAPBEXHLevel3X 5 2 2 2" xfId="27688" xr:uid="{00000000-0005-0000-0000-000096700000}"/>
    <cellStyle name="SAPBEXHLevel3X 5 2 2 2 2" xfId="32275" xr:uid="{E8A5EE03-50A0-4240-9220-DC11A54B3885}"/>
    <cellStyle name="SAPBEXHLevel3X 5 2 2 3" xfId="28390" xr:uid="{00000000-0005-0000-0000-000097700000}"/>
    <cellStyle name="SAPBEXHLevel3X 5 2 2 3 2" xfId="32948" xr:uid="{1E6139FD-3027-421E-9DDD-0067DCF3FFD2}"/>
    <cellStyle name="SAPBEXHLevel3X 5 2 2 4" xfId="26537" xr:uid="{00000000-0005-0000-0000-000098700000}"/>
    <cellStyle name="SAPBEXHLevel3X 5 2 2 4 2" xfId="31324" xr:uid="{6E13C0EE-DF69-480F-9D3C-8A3C860372FE}"/>
    <cellStyle name="SAPBEXHLevel3X 5 2 2 5" xfId="29942" xr:uid="{00000000-0005-0000-0000-000099700000}"/>
    <cellStyle name="SAPBEXHLevel3X 5 2 3" xfId="26642" xr:uid="{00000000-0005-0000-0000-00009A700000}"/>
    <cellStyle name="SAPBEXHLevel3X 5 2 3 2" xfId="31419" xr:uid="{3823216F-B58B-4ACE-97B1-BB5E64B03519}"/>
    <cellStyle name="SAPBEXHLevel3X 5 2 4" xfId="28389" xr:uid="{00000000-0005-0000-0000-00009B700000}"/>
    <cellStyle name="SAPBEXHLevel3X 5 2 4 2" xfId="32947" xr:uid="{B103FB01-8BC2-4145-8BC0-6644725E7CC4}"/>
    <cellStyle name="SAPBEXHLevel3X 5 2 5" xfId="26247" xr:uid="{00000000-0005-0000-0000-00009C700000}"/>
    <cellStyle name="SAPBEXHLevel3X 5 2 5 2" xfId="31035" xr:uid="{59A8A4E6-431F-4189-A0E6-FDFDFCC54D49}"/>
    <cellStyle name="SAPBEXHLevel3X 5 2 6" xfId="29941" xr:uid="{00000000-0005-0000-0000-00009D700000}"/>
    <cellStyle name="SAPBEXHLevel3X 5 2 7" xfId="30237" xr:uid="{5D0F3AAC-5157-40EC-9714-DBF28195E1A0}"/>
    <cellStyle name="SAPBEXHLevel3X 5 3" xfId="25925" xr:uid="{00000000-0005-0000-0000-00009E700000}"/>
    <cellStyle name="SAPBEXHLevel3X 5 3 2" xfId="30814" xr:uid="{8B2656C5-9F3A-4B11-8E2F-B0ACD9624AC3}"/>
    <cellStyle name="SAPBEXHLevel3X 5 4" xfId="28388" xr:uid="{00000000-0005-0000-0000-00009F700000}"/>
    <cellStyle name="SAPBEXHLevel3X 5 4 2" xfId="32946" xr:uid="{158EB2F5-0BE7-4648-8A80-F7F2CF99D94A}"/>
    <cellStyle name="SAPBEXHLevel3X 5 5" xfId="27926" xr:uid="{00000000-0005-0000-0000-0000A0700000}"/>
    <cellStyle name="SAPBEXHLevel3X 5 5 2" xfId="32484" xr:uid="{0E1C805C-125B-4C8F-A1E3-829552F84728}"/>
    <cellStyle name="SAPBEXHLevel3X 5 6" xfId="29940" xr:uid="{00000000-0005-0000-0000-0000A1700000}"/>
    <cellStyle name="SAPBEXHLevel3X 6" xfId="13665" xr:uid="{00000000-0005-0000-0000-0000A2700000}"/>
    <cellStyle name="SAPBEXHLevel3X 6 2" xfId="25503" xr:uid="{00000000-0005-0000-0000-0000A3700000}"/>
    <cellStyle name="SAPBEXHLevel3X 6 2 2" xfId="27656" xr:uid="{00000000-0005-0000-0000-0000A4700000}"/>
    <cellStyle name="SAPBEXHLevel3X 6 2 2 2" xfId="32243" xr:uid="{59C02CF4-9696-438C-AB17-00BA00ED1F9A}"/>
    <cellStyle name="SAPBEXHLevel3X 6 2 3" xfId="28392" xr:uid="{00000000-0005-0000-0000-0000A5700000}"/>
    <cellStyle name="SAPBEXHLevel3X 6 2 3 2" xfId="32950" xr:uid="{A70A3F1C-C535-4A50-965A-23056B6B8F38}"/>
    <cellStyle name="SAPBEXHLevel3X 6 2 4" xfId="26805" xr:uid="{00000000-0005-0000-0000-0000A6700000}"/>
    <cellStyle name="SAPBEXHLevel3X 6 2 4 2" xfId="31566" xr:uid="{4C728602-73BE-4E59-8123-19760408D66B}"/>
    <cellStyle name="SAPBEXHLevel3X 6 2 5" xfId="29944" xr:uid="{00000000-0005-0000-0000-0000A7700000}"/>
    <cellStyle name="SAPBEXHLevel3X 6 3" xfId="26607" xr:uid="{00000000-0005-0000-0000-0000A8700000}"/>
    <cellStyle name="SAPBEXHLevel3X 6 3 2" xfId="31385" xr:uid="{3D23335A-A6F2-45F2-98D3-9CDD0399F482}"/>
    <cellStyle name="SAPBEXHLevel3X 6 4" xfId="28391" xr:uid="{00000000-0005-0000-0000-0000A9700000}"/>
    <cellStyle name="SAPBEXHLevel3X 6 4 2" xfId="32949" xr:uid="{1274685D-3743-4D65-8A74-50868C7C8624}"/>
    <cellStyle name="SAPBEXHLevel3X 6 5" xfId="26120" xr:uid="{00000000-0005-0000-0000-0000AA700000}"/>
    <cellStyle name="SAPBEXHLevel3X 6 5 2" xfId="30910" xr:uid="{EAAD5286-CA08-4F8C-9FC0-C1170F6E4F80}"/>
    <cellStyle name="SAPBEXHLevel3X 6 6" xfId="29943" xr:uid="{00000000-0005-0000-0000-0000AB700000}"/>
    <cellStyle name="SAPBEXHLevel3X 6 7" xfId="30205" xr:uid="{3655B80D-A217-4F56-B61B-ACA014A35A1E}"/>
    <cellStyle name="SAPBEXHLevel3X 7" xfId="24648" xr:uid="{00000000-0005-0000-0000-0000AC700000}"/>
    <cellStyle name="SAPBEXHLevel3X 7 2" xfId="25392" xr:uid="{00000000-0005-0000-0000-0000AD700000}"/>
    <cellStyle name="SAPBEXHLevel3X 7 2 2" xfId="27546" xr:uid="{00000000-0005-0000-0000-0000AE700000}"/>
    <cellStyle name="SAPBEXHLevel3X 7 2 2 2" xfId="32137" xr:uid="{7CC33AB6-2FBF-4589-9DCC-8356C15E51CB}"/>
    <cellStyle name="SAPBEXHLevel3X 7 2 3" xfId="28394" xr:uid="{00000000-0005-0000-0000-0000AF700000}"/>
    <cellStyle name="SAPBEXHLevel3X 7 2 3 2" xfId="32952" xr:uid="{5218DFB4-9C8B-4255-8199-2E951C98061A}"/>
    <cellStyle name="SAPBEXHLevel3X 7 2 4" xfId="26527" xr:uid="{00000000-0005-0000-0000-0000B0700000}"/>
    <cellStyle name="SAPBEXHLevel3X 7 2 4 2" xfId="31314" xr:uid="{83B58F8D-68DB-46AC-ABBF-0D282F66988C}"/>
    <cellStyle name="SAPBEXHLevel3X 7 2 5" xfId="29946" xr:uid="{00000000-0005-0000-0000-0000B1700000}"/>
    <cellStyle name="SAPBEXHLevel3X 7 2 6" xfId="30550" xr:uid="{B1EE9249-7FDA-47C7-BD9F-3316C79AD5ED}"/>
    <cellStyle name="SAPBEXHLevel3X 7 3" xfId="25614" xr:uid="{00000000-0005-0000-0000-0000B2700000}"/>
    <cellStyle name="SAPBEXHLevel3X 7 3 2" xfId="27767" xr:uid="{00000000-0005-0000-0000-0000B3700000}"/>
    <cellStyle name="SAPBEXHLevel3X 7 3 2 2" xfId="32354" xr:uid="{F42B81ED-5BF4-4065-A397-BC2ABF82F0EA}"/>
    <cellStyle name="SAPBEXHLevel3X 7 3 3" xfId="28395" xr:uid="{00000000-0005-0000-0000-0000B4700000}"/>
    <cellStyle name="SAPBEXHLevel3X 7 3 3 2" xfId="32953" xr:uid="{6D99D37A-E8F0-4A6F-B791-F86D9715914F}"/>
    <cellStyle name="SAPBEXHLevel3X 7 3 4" xfId="26892" xr:uid="{00000000-0005-0000-0000-0000B5700000}"/>
    <cellStyle name="SAPBEXHLevel3X 7 3 4 2" xfId="31653" xr:uid="{C8E59616-84C5-494D-8A3F-BFFC7D6FD597}"/>
    <cellStyle name="SAPBEXHLevel3X 7 3 5" xfId="29947" xr:uid="{00000000-0005-0000-0000-0000B6700000}"/>
    <cellStyle name="SAPBEXHLevel3X 7 4" xfId="27241" xr:uid="{00000000-0005-0000-0000-0000B7700000}"/>
    <cellStyle name="SAPBEXHLevel3X 7 4 2" xfId="31876" xr:uid="{3D2A80C7-F827-489A-B6F7-5C6A97044B85}"/>
    <cellStyle name="SAPBEXHLevel3X 7 5" xfId="28393" xr:uid="{00000000-0005-0000-0000-0000B8700000}"/>
    <cellStyle name="SAPBEXHLevel3X 7 5 2" xfId="32951" xr:uid="{B996BF90-7336-45B5-AF61-BFE5C42EDF50}"/>
    <cellStyle name="SAPBEXHLevel3X 7 6" xfId="26426" xr:uid="{00000000-0005-0000-0000-0000B9700000}"/>
    <cellStyle name="SAPBEXHLevel3X 7 6 2" xfId="31214" xr:uid="{CF2C049C-A657-4B60-914F-2C40643340B0}"/>
    <cellStyle name="SAPBEXHLevel3X 7 7" xfId="29945" xr:uid="{00000000-0005-0000-0000-0000BA700000}"/>
    <cellStyle name="SAPBEXHLevel3X 7 8" xfId="30316" xr:uid="{4E695917-C041-4582-8901-18280CF2CE17}"/>
    <cellStyle name="SAPBEXHLevel3X 8" xfId="25125" xr:uid="{00000000-0005-0000-0000-0000BB700000}"/>
    <cellStyle name="SAPBEXHLevel3X 8 2" xfId="25414" xr:uid="{00000000-0005-0000-0000-0000BC700000}"/>
    <cellStyle name="SAPBEXHLevel3X 8 2 2" xfId="27568" xr:uid="{00000000-0005-0000-0000-0000BD700000}"/>
    <cellStyle name="SAPBEXHLevel3X 8 2 2 2" xfId="32159" xr:uid="{23F4745B-DC52-4355-B90C-5E01822F08C8}"/>
    <cellStyle name="SAPBEXHLevel3X 8 2 3" xfId="28397" xr:uid="{00000000-0005-0000-0000-0000BE700000}"/>
    <cellStyle name="SAPBEXHLevel3X 8 2 3 2" xfId="32955" xr:uid="{24744013-6FAD-464F-9156-9C215C2FBD74}"/>
    <cellStyle name="SAPBEXHLevel3X 8 2 4" xfId="26410" xr:uid="{00000000-0005-0000-0000-0000BF700000}"/>
    <cellStyle name="SAPBEXHLevel3X 8 2 4 2" xfId="31198" xr:uid="{765D670A-2483-4C3C-B436-DBD6EDD29432}"/>
    <cellStyle name="SAPBEXHLevel3X 8 2 5" xfId="29949" xr:uid="{00000000-0005-0000-0000-0000C0700000}"/>
    <cellStyle name="SAPBEXHLevel3X 8 2 6" xfId="30572" xr:uid="{36E80096-F8E1-40CF-9AB9-FE6B9DCE4B69}"/>
    <cellStyle name="SAPBEXHLevel3X 8 3" xfId="25723" xr:uid="{00000000-0005-0000-0000-0000C1700000}"/>
    <cellStyle name="SAPBEXHLevel3X 8 3 2" xfId="27876" xr:uid="{00000000-0005-0000-0000-0000C2700000}"/>
    <cellStyle name="SAPBEXHLevel3X 8 3 2 2" xfId="32463" xr:uid="{0DA899B9-A7A2-45D5-A485-18C101D666F7}"/>
    <cellStyle name="SAPBEXHLevel3X 8 3 3" xfId="28398" xr:uid="{00000000-0005-0000-0000-0000C3700000}"/>
    <cellStyle name="SAPBEXHLevel3X 8 3 3 2" xfId="32956" xr:uid="{8C4CC2ED-82E0-4B10-84C7-466A272FFD2B}"/>
    <cellStyle name="SAPBEXHLevel3X 8 3 4" xfId="26559" xr:uid="{00000000-0005-0000-0000-0000C4700000}"/>
    <cellStyle name="SAPBEXHLevel3X 8 3 4 2" xfId="31340" xr:uid="{A160F7CB-B045-4745-8777-D2B2444E6D14}"/>
    <cellStyle name="SAPBEXHLevel3X 8 3 5" xfId="29950" xr:uid="{00000000-0005-0000-0000-0000C5700000}"/>
    <cellStyle name="SAPBEXHLevel3X 8 3 6" xfId="30717" xr:uid="{75E9B26F-EBEB-4DEA-83E0-DA62D7697FB4}"/>
    <cellStyle name="SAPBEXHLevel3X 8 4" xfId="27410" xr:uid="{00000000-0005-0000-0000-0000C6700000}"/>
    <cellStyle name="SAPBEXHLevel3X 8 4 2" xfId="32008" xr:uid="{3E1AD465-B838-4DC5-A2D5-3A1D185E4EE3}"/>
    <cellStyle name="SAPBEXHLevel3X 8 5" xfId="28396" xr:uid="{00000000-0005-0000-0000-0000C7700000}"/>
    <cellStyle name="SAPBEXHLevel3X 8 5 2" xfId="32954" xr:uid="{C88F1E99-2D38-4D3D-A891-6A85B0C75960}"/>
    <cellStyle name="SAPBEXHLevel3X 8 6" xfId="26889" xr:uid="{00000000-0005-0000-0000-0000C8700000}"/>
    <cellStyle name="SAPBEXHLevel3X 8 6 2" xfId="31650" xr:uid="{A7BED088-0100-401F-BFB1-42FFD4A43473}"/>
    <cellStyle name="SAPBEXHLevel3X 8 7" xfId="29948" xr:uid="{00000000-0005-0000-0000-0000C9700000}"/>
    <cellStyle name="SAPBEXHLevel3X 8 8" xfId="30425" xr:uid="{1974C777-750B-4F6C-9D68-A17FF86EA43B}"/>
    <cellStyle name="SAPBEXHLevel3X 9" xfId="25862" xr:uid="{00000000-0005-0000-0000-0000CA700000}"/>
    <cellStyle name="SAPBEXHLevel3X 9 2" xfId="30781" xr:uid="{26A23DAD-FA9C-4CAB-BCA3-2DB80B9EE2E6}"/>
    <cellStyle name="SAPBEXinputData" xfId="24270" xr:uid="{00000000-0005-0000-0000-0000CB700000}"/>
    <cellStyle name="SAPBEXinputData 2" xfId="24271" xr:uid="{00000000-0005-0000-0000-0000CC700000}"/>
    <cellStyle name="SAPBEXinputData 2 2" xfId="24927" xr:uid="{00000000-0005-0000-0000-0000CD700000}"/>
    <cellStyle name="SAPBEXinputData 2 2 2" xfId="27336" xr:uid="{00000000-0005-0000-0000-0000CE700000}"/>
    <cellStyle name="SAPBEXinputData 2 3" xfId="27125" xr:uid="{00000000-0005-0000-0000-0000CF700000}"/>
    <cellStyle name="SAPBEXinputData 3" xfId="24272" xr:uid="{00000000-0005-0000-0000-0000D0700000}"/>
    <cellStyle name="SAPBEXinputData 3 2" xfId="24924" xr:uid="{00000000-0005-0000-0000-0000D1700000}"/>
    <cellStyle name="SAPBEXinputData 3 2 2" xfId="27333" xr:uid="{00000000-0005-0000-0000-0000D2700000}"/>
    <cellStyle name="SAPBEXinputData 3 3" xfId="27126" xr:uid="{00000000-0005-0000-0000-0000D3700000}"/>
    <cellStyle name="SAPBEXinputData 4" xfId="24771" xr:uid="{00000000-0005-0000-0000-0000D4700000}"/>
    <cellStyle name="SAPBEXinputData 4 2" xfId="27312" xr:uid="{00000000-0005-0000-0000-0000D5700000}"/>
    <cellStyle name="SAPBEXinputData 5" xfId="27124" xr:uid="{00000000-0005-0000-0000-0000D6700000}"/>
    <cellStyle name="SAPBEXresData" xfId="135" xr:uid="{00000000-0005-0000-0000-0000D7700000}"/>
    <cellStyle name="SAPBEXresData 2" xfId="13669" xr:uid="{00000000-0005-0000-0000-0000D8700000}"/>
    <cellStyle name="SAPBEXresData 2 2" xfId="25507" xr:uid="{00000000-0005-0000-0000-0000D9700000}"/>
    <cellStyle name="SAPBEXresData 2 2 2" xfId="27660" xr:uid="{00000000-0005-0000-0000-0000DA700000}"/>
    <cellStyle name="SAPBEXresData 2 2 2 2" xfId="32247" xr:uid="{31F18D4B-DE0A-468B-800F-CB07B9542BC9}"/>
    <cellStyle name="SAPBEXresData 2 2 3" xfId="28401" xr:uid="{00000000-0005-0000-0000-0000DB700000}"/>
    <cellStyle name="SAPBEXresData 2 2 3 2" xfId="32959" xr:uid="{C135B232-02CE-477D-B212-BC1534F5DF12}"/>
    <cellStyle name="SAPBEXresData 2 2 4" xfId="26499" xr:uid="{00000000-0005-0000-0000-0000DC700000}"/>
    <cellStyle name="SAPBEXresData 2 2 4 2" xfId="31287" xr:uid="{C40CCFAC-CD22-44E0-9B80-B03B15117FF8}"/>
    <cellStyle name="SAPBEXresData 2 2 5" xfId="29953" xr:uid="{00000000-0005-0000-0000-0000DD700000}"/>
    <cellStyle name="SAPBEXresData 2 3" xfId="26611" xr:uid="{00000000-0005-0000-0000-0000DE700000}"/>
    <cellStyle name="SAPBEXresData 2 3 2" xfId="31389" xr:uid="{9D513E72-31AA-45CF-BC1B-BCA72D20ADEE}"/>
    <cellStyle name="SAPBEXresData 2 4" xfId="28400" xr:uid="{00000000-0005-0000-0000-0000DF700000}"/>
    <cellStyle name="SAPBEXresData 2 4 2" xfId="32958" xr:uid="{E907A8F9-4CB0-4D04-948E-35404C48A1D6}"/>
    <cellStyle name="SAPBEXresData 2 5" xfId="26715" xr:uid="{00000000-0005-0000-0000-0000E0700000}"/>
    <cellStyle name="SAPBEXresData 2 5 2" xfId="31477" xr:uid="{CDA56021-F4A4-40D2-8249-B99836CC4F8F}"/>
    <cellStyle name="SAPBEXresData 2 6" xfId="29952" xr:uid="{00000000-0005-0000-0000-0000E1700000}"/>
    <cellStyle name="SAPBEXresData 2 7" xfId="30209" xr:uid="{588FC51F-DC46-481B-9DD5-800962759BCD}"/>
    <cellStyle name="SAPBEXresData 3" xfId="24645" xr:uid="{00000000-0005-0000-0000-0000E2700000}"/>
    <cellStyle name="SAPBEXresData 3 2" xfId="25341" xr:uid="{00000000-0005-0000-0000-0000E3700000}"/>
    <cellStyle name="SAPBEXresData 3 2 2" xfId="27495" xr:uid="{00000000-0005-0000-0000-0000E4700000}"/>
    <cellStyle name="SAPBEXresData 3 2 2 2" xfId="32086" xr:uid="{A13287A6-D481-4C26-881C-3FA5B17372DA}"/>
    <cellStyle name="SAPBEXresData 3 2 3" xfId="28403" xr:uid="{00000000-0005-0000-0000-0000E5700000}"/>
    <cellStyle name="SAPBEXresData 3 2 3 2" xfId="32961" xr:uid="{D0B87572-0820-4FFD-9189-EC41B2827FC6}"/>
    <cellStyle name="SAPBEXresData 3 2 4" xfId="26541" xr:uid="{00000000-0005-0000-0000-0000E6700000}"/>
    <cellStyle name="SAPBEXresData 3 2 4 2" xfId="31328" xr:uid="{55AE0055-7746-4D87-8475-F97FD3F0729B}"/>
    <cellStyle name="SAPBEXresData 3 2 5" xfId="29955" xr:uid="{00000000-0005-0000-0000-0000E7700000}"/>
    <cellStyle name="SAPBEXresData 3 2 6" xfId="30499" xr:uid="{B50FC92F-F0CB-4F38-8AF1-1AF96D23585D}"/>
    <cellStyle name="SAPBEXresData 3 3" xfId="25611" xr:uid="{00000000-0005-0000-0000-0000E8700000}"/>
    <cellStyle name="SAPBEXresData 3 3 2" xfId="27764" xr:uid="{00000000-0005-0000-0000-0000E9700000}"/>
    <cellStyle name="SAPBEXresData 3 3 2 2" xfId="32351" xr:uid="{0688740D-E7F9-4D74-843E-E4157EDB68F1}"/>
    <cellStyle name="SAPBEXresData 3 3 3" xfId="28404" xr:uid="{00000000-0005-0000-0000-0000EA700000}"/>
    <cellStyle name="SAPBEXresData 3 3 3 2" xfId="32962" xr:uid="{C245EF7D-E6F9-4BF1-90CB-F5DF8F549C80}"/>
    <cellStyle name="SAPBEXresData 3 3 4" xfId="26330" xr:uid="{00000000-0005-0000-0000-0000EB700000}"/>
    <cellStyle name="SAPBEXresData 3 3 4 2" xfId="31118" xr:uid="{4FF40185-9067-4EE2-A64F-A75C7F043B48}"/>
    <cellStyle name="SAPBEXresData 3 3 5" xfId="29956" xr:uid="{00000000-0005-0000-0000-0000EC700000}"/>
    <cellStyle name="SAPBEXresData 3 4" xfId="27238" xr:uid="{00000000-0005-0000-0000-0000ED700000}"/>
    <cellStyle name="SAPBEXresData 3 4 2" xfId="31873" xr:uid="{8C8F3C1E-9D2E-4991-B68F-AE6B00549F21}"/>
    <cellStyle name="SAPBEXresData 3 5" xfId="28402" xr:uid="{00000000-0005-0000-0000-0000EE700000}"/>
    <cellStyle name="SAPBEXresData 3 5 2" xfId="32960" xr:uid="{0E4ECC88-9DC2-4E81-9643-5DFA564C2B3E}"/>
    <cellStyle name="SAPBEXresData 3 6" xfId="26751" xr:uid="{00000000-0005-0000-0000-0000EF700000}"/>
    <cellStyle name="SAPBEXresData 3 6 2" xfId="31512" xr:uid="{528ECEEA-F1BD-47FF-82BC-DDFCC6E7796D}"/>
    <cellStyle name="SAPBEXresData 3 7" xfId="29954" xr:uid="{00000000-0005-0000-0000-0000F0700000}"/>
    <cellStyle name="SAPBEXresData 3 8" xfId="30313" xr:uid="{98D5FDE3-7A4B-44E1-B7F0-84C7A73756FA}"/>
    <cellStyle name="SAPBEXresData 4" xfId="25128" xr:uid="{00000000-0005-0000-0000-0000F1700000}"/>
    <cellStyle name="SAPBEXresData 4 2" xfId="25344" xr:uid="{00000000-0005-0000-0000-0000F2700000}"/>
    <cellStyle name="SAPBEXresData 4 2 2" xfId="27498" xr:uid="{00000000-0005-0000-0000-0000F3700000}"/>
    <cellStyle name="SAPBEXresData 4 2 2 2" xfId="32089" xr:uid="{FCA101A0-664E-4625-B783-DD3C6C6FB558}"/>
    <cellStyle name="SAPBEXresData 4 2 3" xfId="28406" xr:uid="{00000000-0005-0000-0000-0000F4700000}"/>
    <cellStyle name="SAPBEXresData 4 2 3 2" xfId="32964" xr:uid="{A3A07294-8B9C-4D21-BA5F-D09D42340CD5}"/>
    <cellStyle name="SAPBEXresData 4 2 4" xfId="26107" xr:uid="{00000000-0005-0000-0000-0000F5700000}"/>
    <cellStyle name="SAPBEXresData 4 2 4 2" xfId="30897" xr:uid="{09543267-4766-41FA-AE47-FEEB9601E6AF}"/>
    <cellStyle name="SAPBEXresData 4 2 5" xfId="29958" xr:uid="{00000000-0005-0000-0000-0000F6700000}"/>
    <cellStyle name="SAPBEXresData 4 2 6" xfId="30502" xr:uid="{411C24F2-E001-4709-A07B-96166EA5E295}"/>
    <cellStyle name="SAPBEXresData 4 3" xfId="25726" xr:uid="{00000000-0005-0000-0000-0000F7700000}"/>
    <cellStyle name="SAPBEXresData 4 3 2" xfId="27879" xr:uid="{00000000-0005-0000-0000-0000F8700000}"/>
    <cellStyle name="SAPBEXresData 4 3 2 2" xfId="32466" xr:uid="{0CE4D7B6-27D6-440E-BF6E-EE90A31DA340}"/>
    <cellStyle name="SAPBEXresData 4 3 3" xfId="28407" xr:uid="{00000000-0005-0000-0000-0000F9700000}"/>
    <cellStyle name="SAPBEXresData 4 3 3 2" xfId="32965" xr:uid="{BA000DEF-7153-4D69-8EC3-BE73C2E77D84}"/>
    <cellStyle name="SAPBEXresData 4 3 4" xfId="26862" xr:uid="{00000000-0005-0000-0000-0000FA700000}"/>
    <cellStyle name="SAPBEXresData 4 3 4 2" xfId="31623" xr:uid="{9C7F8C61-7F39-4974-A573-BEB57D747127}"/>
    <cellStyle name="SAPBEXresData 4 3 5" xfId="29959" xr:uid="{00000000-0005-0000-0000-0000FB700000}"/>
    <cellStyle name="SAPBEXresData 4 3 6" xfId="30720" xr:uid="{ADAA1D7E-62A2-4BE2-9FE9-C2B35ED28893}"/>
    <cellStyle name="SAPBEXresData 4 4" xfId="27413" xr:uid="{00000000-0005-0000-0000-0000FC700000}"/>
    <cellStyle name="SAPBEXresData 4 4 2" xfId="32011" xr:uid="{4137C93A-144D-4CF8-B103-F506FD47E2B5}"/>
    <cellStyle name="SAPBEXresData 4 5" xfId="28405" xr:uid="{00000000-0005-0000-0000-0000FD700000}"/>
    <cellStyle name="SAPBEXresData 4 5 2" xfId="32963" xr:uid="{21240C7F-76AF-4D19-9CCE-36C38AE9F239}"/>
    <cellStyle name="SAPBEXresData 4 6" xfId="26110" xr:uid="{00000000-0005-0000-0000-0000FE700000}"/>
    <cellStyle name="SAPBEXresData 4 6 2" xfId="30900" xr:uid="{E6FA5FF2-1A50-466A-BB3A-EA7AC2160900}"/>
    <cellStyle name="SAPBEXresData 4 7" xfId="29957" xr:uid="{00000000-0005-0000-0000-0000FF700000}"/>
    <cellStyle name="SAPBEXresData 4 8" xfId="30428" xr:uid="{3509B2EE-6847-4BE4-A7C8-7D6FAC8BA3BE}"/>
    <cellStyle name="SAPBEXresData 5" xfId="25866" xr:uid="{00000000-0005-0000-0000-000000710000}"/>
    <cellStyle name="SAPBEXresData 5 2" xfId="30785" xr:uid="{89020E5D-E677-4847-8404-A5FED79CD070}"/>
    <cellStyle name="SAPBEXresData 6" xfId="28399" xr:uid="{00000000-0005-0000-0000-000001710000}"/>
    <cellStyle name="SAPBEXresData 6 2" xfId="32957" xr:uid="{76ACBCB1-7E01-489D-BDBB-CFB175A7983B}"/>
    <cellStyle name="SAPBEXresData 7" xfId="26489" xr:uid="{00000000-0005-0000-0000-000002710000}"/>
    <cellStyle name="SAPBEXresData 7 2" xfId="31277" xr:uid="{BF10D402-DDAB-40A8-8196-2217B4CB615E}"/>
    <cellStyle name="SAPBEXresData 8" xfId="29951" xr:uid="{00000000-0005-0000-0000-000003710000}"/>
    <cellStyle name="SAPBEXresDataEmph" xfId="136" xr:uid="{00000000-0005-0000-0000-000004710000}"/>
    <cellStyle name="SAPBEXresDataEmph 2" xfId="13670" xr:uid="{00000000-0005-0000-0000-000005710000}"/>
    <cellStyle name="SAPBEXresDataEmph 2 2" xfId="25508" xr:uid="{00000000-0005-0000-0000-000006710000}"/>
    <cellStyle name="SAPBEXresDataEmph 2 2 2" xfId="27661" xr:uid="{00000000-0005-0000-0000-000007710000}"/>
    <cellStyle name="SAPBEXresDataEmph 2 2 2 2" xfId="32248" xr:uid="{CC2BAD40-7685-4B6B-8565-8F3029A8A40A}"/>
    <cellStyle name="SAPBEXresDataEmph 2 2 3" xfId="28410" xr:uid="{00000000-0005-0000-0000-000008710000}"/>
    <cellStyle name="SAPBEXresDataEmph 2 2 3 2" xfId="32968" xr:uid="{BD9A4AE5-A9DC-4D3F-ABF5-4DDBC27DCA42}"/>
    <cellStyle name="SAPBEXresDataEmph 2 2 4" xfId="26894" xr:uid="{00000000-0005-0000-0000-000009710000}"/>
    <cellStyle name="SAPBEXresDataEmph 2 2 4 2" xfId="31655" xr:uid="{EBAC9037-3727-43A9-943F-67402A80A1F8}"/>
    <cellStyle name="SAPBEXresDataEmph 2 2 5" xfId="29962" xr:uid="{00000000-0005-0000-0000-00000A710000}"/>
    <cellStyle name="SAPBEXresDataEmph 2 3" xfId="26612" xr:uid="{00000000-0005-0000-0000-00000B710000}"/>
    <cellStyle name="SAPBEXresDataEmph 2 3 2" xfId="31390" xr:uid="{E7820E30-1AA6-4097-84BC-91C6E5115A66}"/>
    <cellStyle name="SAPBEXresDataEmph 2 4" xfId="28409" xr:uid="{00000000-0005-0000-0000-00000C710000}"/>
    <cellStyle name="SAPBEXresDataEmph 2 4 2" xfId="32967" xr:uid="{5BDBE309-DA57-4062-B030-822DE2438060}"/>
    <cellStyle name="SAPBEXresDataEmph 2 5" xfId="26539" xr:uid="{00000000-0005-0000-0000-00000D710000}"/>
    <cellStyle name="SAPBEXresDataEmph 2 5 2" xfId="31326" xr:uid="{31BDFD7F-85A6-4534-B823-5F749CEDC4CF}"/>
    <cellStyle name="SAPBEXresDataEmph 2 6" xfId="29961" xr:uid="{00000000-0005-0000-0000-00000E710000}"/>
    <cellStyle name="SAPBEXresDataEmph 2 7" xfId="30210" xr:uid="{0008B232-9B18-4BAB-AD83-F2A96E2D67BD}"/>
    <cellStyle name="SAPBEXresDataEmph 3" xfId="24644" xr:uid="{00000000-0005-0000-0000-00000F710000}"/>
    <cellStyle name="SAPBEXresDataEmph 3 2" xfId="25425" xr:uid="{00000000-0005-0000-0000-000010710000}"/>
    <cellStyle name="SAPBEXresDataEmph 3 2 2" xfId="27579" xr:uid="{00000000-0005-0000-0000-000011710000}"/>
    <cellStyle name="SAPBEXresDataEmph 3 2 2 2" xfId="32170" xr:uid="{3C9006EB-966C-4311-BD1C-30C6CBF003BF}"/>
    <cellStyle name="SAPBEXresDataEmph 3 2 3" xfId="28412" xr:uid="{00000000-0005-0000-0000-000012710000}"/>
    <cellStyle name="SAPBEXresDataEmph 3 2 3 2" xfId="32970" xr:uid="{880627F5-D108-4DF4-BF59-7B48A3E1EBDA}"/>
    <cellStyle name="SAPBEXresDataEmph 3 2 4" xfId="26858" xr:uid="{00000000-0005-0000-0000-000013710000}"/>
    <cellStyle name="SAPBEXresDataEmph 3 2 4 2" xfId="31619" xr:uid="{B9D44A06-73B0-4C60-B95D-19DE9FAF22D6}"/>
    <cellStyle name="SAPBEXresDataEmph 3 2 5" xfId="29964" xr:uid="{00000000-0005-0000-0000-000014710000}"/>
    <cellStyle name="SAPBEXresDataEmph 3 2 6" xfId="30583" xr:uid="{118AEA6D-5ECA-44F9-A30E-97C01EB3D2ED}"/>
    <cellStyle name="SAPBEXresDataEmph 3 3" xfId="25610" xr:uid="{00000000-0005-0000-0000-000015710000}"/>
    <cellStyle name="SAPBEXresDataEmph 3 3 2" xfId="27763" xr:uid="{00000000-0005-0000-0000-000016710000}"/>
    <cellStyle name="SAPBEXresDataEmph 3 3 2 2" xfId="32350" xr:uid="{3E87F055-7D5E-4815-A065-51C972BACD7A}"/>
    <cellStyle name="SAPBEXresDataEmph 3 3 3" xfId="28413" xr:uid="{00000000-0005-0000-0000-000017710000}"/>
    <cellStyle name="SAPBEXresDataEmph 3 3 3 2" xfId="32971" xr:uid="{5319DF64-80FF-4ACC-90B6-DD1883D8C3E4}"/>
    <cellStyle name="SAPBEXresDataEmph 3 3 4" xfId="26395" xr:uid="{00000000-0005-0000-0000-000018710000}"/>
    <cellStyle name="SAPBEXresDataEmph 3 3 4 2" xfId="31183" xr:uid="{A443C37C-E0A8-4017-B108-737E0B8263C1}"/>
    <cellStyle name="SAPBEXresDataEmph 3 3 5" xfId="29965" xr:uid="{00000000-0005-0000-0000-000019710000}"/>
    <cellStyle name="SAPBEXresDataEmph 3 4" xfId="27237" xr:uid="{00000000-0005-0000-0000-00001A710000}"/>
    <cellStyle name="SAPBEXresDataEmph 3 4 2" xfId="31872" xr:uid="{21A0E2B4-E9EB-490A-876F-2980D4FE38C5}"/>
    <cellStyle name="SAPBEXresDataEmph 3 5" xfId="28411" xr:uid="{00000000-0005-0000-0000-00001B710000}"/>
    <cellStyle name="SAPBEXresDataEmph 3 5 2" xfId="32969" xr:uid="{28523237-3CAD-43AA-BC67-7CDCBBBAFDE3}"/>
    <cellStyle name="SAPBEXresDataEmph 3 6" xfId="26942" xr:uid="{00000000-0005-0000-0000-00001C710000}"/>
    <cellStyle name="SAPBEXresDataEmph 3 6 2" xfId="31703" xr:uid="{E5E4A04A-8C9C-4FC9-8554-4AED80F51B73}"/>
    <cellStyle name="SAPBEXresDataEmph 3 7" xfId="29963" xr:uid="{00000000-0005-0000-0000-00001D710000}"/>
    <cellStyle name="SAPBEXresDataEmph 3 8" xfId="30312" xr:uid="{45295B30-D13B-4F34-A0A5-E4B0FD6B8441}"/>
    <cellStyle name="SAPBEXresDataEmph 4" xfId="25129" xr:uid="{00000000-0005-0000-0000-00001E710000}"/>
    <cellStyle name="SAPBEXresDataEmph 4 2" xfId="25445" xr:uid="{00000000-0005-0000-0000-00001F710000}"/>
    <cellStyle name="SAPBEXresDataEmph 4 2 2" xfId="27599" xr:uid="{00000000-0005-0000-0000-000020710000}"/>
    <cellStyle name="SAPBEXresDataEmph 4 2 2 2" xfId="32190" xr:uid="{B526E0FD-18C7-4740-90B2-A0AF61D9A7DB}"/>
    <cellStyle name="SAPBEXresDataEmph 4 2 3" xfId="28415" xr:uid="{00000000-0005-0000-0000-000021710000}"/>
    <cellStyle name="SAPBEXresDataEmph 4 2 3 2" xfId="32973" xr:uid="{747E3ED8-A525-4339-A12E-CEE9E8DF9EBF}"/>
    <cellStyle name="SAPBEXresDataEmph 4 2 4" xfId="26502" xr:uid="{00000000-0005-0000-0000-000022710000}"/>
    <cellStyle name="SAPBEXresDataEmph 4 2 4 2" xfId="31290" xr:uid="{19279DAE-A5B4-464D-965C-C12B30D6DC89}"/>
    <cellStyle name="SAPBEXresDataEmph 4 2 5" xfId="29967" xr:uid="{00000000-0005-0000-0000-000023710000}"/>
    <cellStyle name="SAPBEXresDataEmph 4 2 6" xfId="30603" xr:uid="{947BB9F9-B1DC-4E58-A878-9F29896B084B}"/>
    <cellStyle name="SAPBEXresDataEmph 4 3" xfId="25727" xr:uid="{00000000-0005-0000-0000-000024710000}"/>
    <cellStyle name="SAPBEXresDataEmph 4 3 2" xfId="27880" xr:uid="{00000000-0005-0000-0000-000025710000}"/>
    <cellStyle name="SAPBEXresDataEmph 4 3 2 2" xfId="32467" xr:uid="{7357FA17-93D3-4A42-95E7-9281B0EA1AC6}"/>
    <cellStyle name="SAPBEXresDataEmph 4 3 3" xfId="28416" xr:uid="{00000000-0005-0000-0000-000026710000}"/>
    <cellStyle name="SAPBEXresDataEmph 4 3 3 2" xfId="32974" xr:uid="{8E28FBFB-A495-4021-994F-A1A6A51C0F28}"/>
    <cellStyle name="SAPBEXresDataEmph 4 3 4" xfId="26844" xr:uid="{00000000-0005-0000-0000-000027710000}"/>
    <cellStyle name="SAPBEXresDataEmph 4 3 4 2" xfId="31605" xr:uid="{EF3C1E56-8E20-4988-803A-95E0141F5C9B}"/>
    <cellStyle name="SAPBEXresDataEmph 4 3 5" xfId="29968" xr:uid="{00000000-0005-0000-0000-000028710000}"/>
    <cellStyle name="SAPBEXresDataEmph 4 3 6" xfId="30721" xr:uid="{B691638A-1E6C-4C5B-B110-68170A31A118}"/>
    <cellStyle name="SAPBEXresDataEmph 4 4" xfId="27414" xr:uid="{00000000-0005-0000-0000-000029710000}"/>
    <cellStyle name="SAPBEXresDataEmph 4 4 2" xfId="32012" xr:uid="{AE600082-B064-494C-96EE-8E531B7CF68D}"/>
    <cellStyle name="SAPBEXresDataEmph 4 5" xfId="28414" xr:uid="{00000000-0005-0000-0000-00002A710000}"/>
    <cellStyle name="SAPBEXresDataEmph 4 5 2" xfId="32972" xr:uid="{90532C1F-2ECF-49A8-829C-A6D409E295D5}"/>
    <cellStyle name="SAPBEXresDataEmph 4 6" xfId="26245" xr:uid="{00000000-0005-0000-0000-00002B710000}"/>
    <cellStyle name="SAPBEXresDataEmph 4 6 2" xfId="31033" xr:uid="{D004DBA8-B1E1-4D7F-B105-D1E54511FC5A}"/>
    <cellStyle name="SAPBEXresDataEmph 4 7" xfId="29966" xr:uid="{00000000-0005-0000-0000-00002C710000}"/>
    <cellStyle name="SAPBEXresDataEmph 4 8" xfId="30429" xr:uid="{8FB2A62A-1802-4E79-B1B2-BFD9C53A863C}"/>
    <cellStyle name="SAPBEXresDataEmph 5" xfId="25867" xr:uid="{00000000-0005-0000-0000-00002D710000}"/>
    <cellStyle name="SAPBEXresDataEmph 5 2" xfId="30786" xr:uid="{FFF959E2-3AC1-4645-A757-91898D25434E}"/>
    <cellStyle name="SAPBEXresDataEmph 6" xfId="28408" xr:uid="{00000000-0005-0000-0000-00002E710000}"/>
    <cellStyle name="SAPBEXresDataEmph 6 2" xfId="32966" xr:uid="{B3038231-9028-4686-9E7E-C271E67D17E3}"/>
    <cellStyle name="SAPBEXresDataEmph 7" xfId="26203" xr:uid="{00000000-0005-0000-0000-00002F710000}"/>
    <cellStyle name="SAPBEXresDataEmph 7 2" xfId="30991" xr:uid="{6F515C21-D15E-4F3C-9A74-C1D6824EBFE9}"/>
    <cellStyle name="SAPBEXresDataEmph 8" xfId="29960" xr:uid="{00000000-0005-0000-0000-000030710000}"/>
    <cellStyle name="SAPBEXresItem" xfId="137" xr:uid="{00000000-0005-0000-0000-000031710000}"/>
    <cellStyle name="SAPBEXresItem 2" xfId="13671" xr:uid="{00000000-0005-0000-0000-000032710000}"/>
    <cellStyle name="SAPBEXresItem 2 2" xfId="25509" xr:uid="{00000000-0005-0000-0000-000033710000}"/>
    <cellStyle name="SAPBEXresItem 2 2 2" xfId="27662" xr:uid="{00000000-0005-0000-0000-000034710000}"/>
    <cellStyle name="SAPBEXresItem 2 2 2 2" xfId="32249" xr:uid="{52318F6E-27F6-4D80-AD02-729626C991F0}"/>
    <cellStyle name="SAPBEXresItem 2 2 3" xfId="28419" xr:uid="{00000000-0005-0000-0000-000035710000}"/>
    <cellStyle name="SAPBEXresItem 2 2 3 2" xfId="32977" xr:uid="{5A75664B-C8DE-4257-9424-DBDDE3F1779F}"/>
    <cellStyle name="SAPBEXresItem 2 2 4" xfId="27043" xr:uid="{00000000-0005-0000-0000-000036710000}"/>
    <cellStyle name="SAPBEXresItem 2 2 4 2" xfId="31791" xr:uid="{5B35A57A-187C-42BE-A5EB-F006CC4BFDE6}"/>
    <cellStyle name="SAPBEXresItem 2 2 5" xfId="29971" xr:uid="{00000000-0005-0000-0000-000037710000}"/>
    <cellStyle name="SAPBEXresItem 2 3" xfId="26613" xr:uid="{00000000-0005-0000-0000-000038710000}"/>
    <cellStyle name="SAPBEXresItem 2 3 2" xfId="31391" xr:uid="{7C00BA68-6895-4290-A316-8F64AD140FB3}"/>
    <cellStyle name="SAPBEXresItem 2 4" xfId="28418" xr:uid="{00000000-0005-0000-0000-000039710000}"/>
    <cellStyle name="SAPBEXresItem 2 4 2" xfId="32976" xr:uid="{9464EFEF-957A-44B2-95B8-698BC8C1B168}"/>
    <cellStyle name="SAPBEXresItem 2 5" xfId="26239" xr:uid="{00000000-0005-0000-0000-00003A710000}"/>
    <cellStyle name="SAPBEXresItem 2 5 2" xfId="31027" xr:uid="{40945518-8415-4E7A-92E2-942FF1F02D6F}"/>
    <cellStyle name="SAPBEXresItem 2 6" xfId="29970" xr:uid="{00000000-0005-0000-0000-00003B710000}"/>
    <cellStyle name="SAPBEXresItem 2 7" xfId="30211" xr:uid="{78D343AB-EBB6-42AF-9FD8-C037755F5D01}"/>
    <cellStyle name="SAPBEXresItem 3" xfId="24643" xr:uid="{00000000-0005-0000-0000-00003C710000}"/>
    <cellStyle name="SAPBEXresItem 3 2" xfId="25324" xr:uid="{00000000-0005-0000-0000-00003D710000}"/>
    <cellStyle name="SAPBEXresItem 3 2 2" xfId="27478" xr:uid="{00000000-0005-0000-0000-00003E710000}"/>
    <cellStyle name="SAPBEXresItem 3 2 2 2" xfId="32069" xr:uid="{E032E2A0-C6DD-4919-832C-3BFEC77D5B00}"/>
    <cellStyle name="SAPBEXresItem 3 2 3" xfId="28421" xr:uid="{00000000-0005-0000-0000-00003F710000}"/>
    <cellStyle name="SAPBEXresItem 3 2 3 2" xfId="32979" xr:uid="{DEA2BF65-5A6B-4DAA-9964-B5AD048916B4}"/>
    <cellStyle name="SAPBEXresItem 3 2 4" xfId="26285" xr:uid="{00000000-0005-0000-0000-000040710000}"/>
    <cellStyle name="SAPBEXresItem 3 2 4 2" xfId="31073" xr:uid="{C47A41FD-3666-477B-A049-2DB0FEA3B263}"/>
    <cellStyle name="SAPBEXresItem 3 2 5" xfId="29973" xr:uid="{00000000-0005-0000-0000-000041710000}"/>
    <cellStyle name="SAPBEXresItem 3 2 6" xfId="30482" xr:uid="{EE957DA7-00F2-41E3-9FB3-058F6C112041}"/>
    <cellStyle name="SAPBEXresItem 3 3" xfId="25609" xr:uid="{00000000-0005-0000-0000-000042710000}"/>
    <cellStyle name="SAPBEXresItem 3 3 2" xfId="27762" xr:uid="{00000000-0005-0000-0000-000043710000}"/>
    <cellStyle name="SAPBEXresItem 3 3 2 2" xfId="32349" xr:uid="{144E2ED6-1AB1-45A2-BB73-70FCD6BB2752}"/>
    <cellStyle name="SAPBEXresItem 3 3 3" xfId="28422" xr:uid="{00000000-0005-0000-0000-000044710000}"/>
    <cellStyle name="SAPBEXresItem 3 3 3 2" xfId="32980" xr:uid="{2EF41680-8F4C-4493-B788-EC56347BDB0E}"/>
    <cellStyle name="SAPBEXresItem 3 3 4" xfId="26758" xr:uid="{00000000-0005-0000-0000-000045710000}"/>
    <cellStyle name="SAPBEXresItem 3 3 4 2" xfId="31519" xr:uid="{3DFF23BC-0CBB-4D2E-B35E-344C5CF92F0E}"/>
    <cellStyle name="SAPBEXresItem 3 3 5" xfId="29974" xr:uid="{00000000-0005-0000-0000-000046710000}"/>
    <cellStyle name="SAPBEXresItem 3 4" xfId="27236" xr:uid="{00000000-0005-0000-0000-000047710000}"/>
    <cellStyle name="SAPBEXresItem 3 4 2" xfId="31871" xr:uid="{55B4F386-3EA2-4BB9-9065-C5B14852E81A}"/>
    <cellStyle name="SAPBEXresItem 3 5" xfId="28420" xr:uid="{00000000-0005-0000-0000-000048710000}"/>
    <cellStyle name="SAPBEXresItem 3 5 2" xfId="32978" xr:uid="{B4A332ED-A41A-4018-A852-ADA4535A31D8}"/>
    <cellStyle name="SAPBEXresItem 3 6" xfId="26262" xr:uid="{00000000-0005-0000-0000-000049710000}"/>
    <cellStyle name="SAPBEXresItem 3 6 2" xfId="31050" xr:uid="{C48287E8-D790-4437-B93E-56A7109BA769}"/>
    <cellStyle name="SAPBEXresItem 3 7" xfId="29972" xr:uid="{00000000-0005-0000-0000-00004A710000}"/>
    <cellStyle name="SAPBEXresItem 3 8" xfId="30311" xr:uid="{9A0EB819-2046-4FBA-8392-80F36F38F624}"/>
    <cellStyle name="SAPBEXresItem 4" xfId="25130" xr:uid="{00000000-0005-0000-0000-00004B710000}"/>
    <cellStyle name="SAPBEXresItem 4 2" xfId="25359" xr:uid="{00000000-0005-0000-0000-00004C710000}"/>
    <cellStyle name="SAPBEXresItem 4 2 2" xfId="27513" xr:uid="{00000000-0005-0000-0000-00004D710000}"/>
    <cellStyle name="SAPBEXresItem 4 2 2 2" xfId="32104" xr:uid="{EE3BCF92-A63B-444C-A2AA-F9ACF77F9847}"/>
    <cellStyle name="SAPBEXresItem 4 2 3" xfId="28424" xr:uid="{00000000-0005-0000-0000-00004E710000}"/>
    <cellStyle name="SAPBEXresItem 4 2 3 2" xfId="32982" xr:uid="{0269FBE7-9D4A-4F5F-895E-8B64BFABEC40}"/>
    <cellStyle name="SAPBEXresItem 4 2 4" xfId="26390" xr:uid="{00000000-0005-0000-0000-00004F710000}"/>
    <cellStyle name="SAPBEXresItem 4 2 4 2" xfId="31178" xr:uid="{84BEF513-E694-41E1-B558-8899D3741EBA}"/>
    <cellStyle name="SAPBEXresItem 4 2 5" xfId="29976" xr:uid="{00000000-0005-0000-0000-000050710000}"/>
    <cellStyle name="SAPBEXresItem 4 2 6" xfId="30517" xr:uid="{199A6A53-C134-4E05-8544-57A9EEBAF9B2}"/>
    <cellStyle name="SAPBEXresItem 4 3" xfId="25728" xr:uid="{00000000-0005-0000-0000-000051710000}"/>
    <cellStyle name="SAPBEXresItem 4 3 2" xfId="27881" xr:uid="{00000000-0005-0000-0000-000052710000}"/>
    <cellStyle name="SAPBEXresItem 4 3 2 2" xfId="32468" xr:uid="{7EBAD6C1-1A41-4837-95D6-435B661C22F6}"/>
    <cellStyle name="SAPBEXresItem 4 3 3" xfId="28425" xr:uid="{00000000-0005-0000-0000-000053710000}"/>
    <cellStyle name="SAPBEXresItem 4 3 3 2" xfId="32983" xr:uid="{FC0A1BB6-10CA-4B88-9F61-6C1B29556F38}"/>
    <cellStyle name="SAPBEXresItem 4 3 4" xfId="26089" xr:uid="{00000000-0005-0000-0000-000054710000}"/>
    <cellStyle name="SAPBEXresItem 4 3 4 2" xfId="30879" xr:uid="{59A9CB58-2C88-48DD-BD34-3A4E0B966154}"/>
    <cellStyle name="SAPBEXresItem 4 3 5" xfId="29977" xr:uid="{00000000-0005-0000-0000-000055710000}"/>
    <cellStyle name="SAPBEXresItem 4 3 6" xfId="30722" xr:uid="{178772A6-10FE-4C85-B592-4A5D5C16EE77}"/>
    <cellStyle name="SAPBEXresItem 4 4" xfId="27415" xr:uid="{00000000-0005-0000-0000-000056710000}"/>
    <cellStyle name="SAPBEXresItem 4 4 2" xfId="32013" xr:uid="{25279071-EF0D-425C-9D9D-A28C2360DE31}"/>
    <cellStyle name="SAPBEXresItem 4 5" xfId="28423" xr:uid="{00000000-0005-0000-0000-000057710000}"/>
    <cellStyle name="SAPBEXresItem 4 5 2" xfId="32981" xr:uid="{9968FDDF-5FA8-4DF4-ACC5-6B0EB42E2D6A}"/>
    <cellStyle name="SAPBEXresItem 4 6" xfId="26173" xr:uid="{00000000-0005-0000-0000-000058710000}"/>
    <cellStyle name="SAPBEXresItem 4 6 2" xfId="30962" xr:uid="{95974007-B3EA-450E-B810-D3FC78735E3E}"/>
    <cellStyle name="SAPBEXresItem 4 7" xfId="29975" xr:uid="{00000000-0005-0000-0000-000059710000}"/>
    <cellStyle name="SAPBEXresItem 4 8" xfId="30430" xr:uid="{904981E1-9E29-43EF-8495-398467FB9408}"/>
    <cellStyle name="SAPBEXresItem 5" xfId="25868" xr:uid="{00000000-0005-0000-0000-00005A710000}"/>
    <cellStyle name="SAPBEXresItem 5 2" xfId="30787" xr:uid="{FE393BF8-D47A-4458-9C26-838606B5466E}"/>
    <cellStyle name="SAPBEXresItem 6" xfId="28417" xr:uid="{00000000-0005-0000-0000-00005B710000}"/>
    <cellStyle name="SAPBEXresItem 6 2" xfId="32975" xr:uid="{7CDBB365-8C41-4429-A8E0-C34DBC7AD173}"/>
    <cellStyle name="SAPBEXresItem 7" xfId="26060" xr:uid="{00000000-0005-0000-0000-00005C710000}"/>
    <cellStyle name="SAPBEXresItem 7 2" xfId="30850" xr:uid="{52ADF58C-1D3A-402D-B2B0-7ED5A5D91DAC}"/>
    <cellStyle name="SAPBEXresItem 8" xfId="29969" xr:uid="{00000000-0005-0000-0000-00005D710000}"/>
    <cellStyle name="SAPBEXresItemX" xfId="138" xr:uid="{00000000-0005-0000-0000-00005E710000}"/>
    <cellStyle name="SAPBEXresItemX 2" xfId="13672" xr:uid="{00000000-0005-0000-0000-00005F710000}"/>
    <cellStyle name="SAPBEXresItemX 2 2" xfId="25510" xr:uid="{00000000-0005-0000-0000-000060710000}"/>
    <cellStyle name="SAPBEXresItemX 2 2 2" xfId="27663" xr:uid="{00000000-0005-0000-0000-000061710000}"/>
    <cellStyle name="SAPBEXresItemX 2 2 2 2" xfId="32250" xr:uid="{53AD8C90-FFC3-40CA-99E8-E10FD5F78BCF}"/>
    <cellStyle name="SAPBEXresItemX 2 2 3" xfId="28428" xr:uid="{00000000-0005-0000-0000-000062710000}"/>
    <cellStyle name="SAPBEXresItemX 2 2 3 2" xfId="32986" xr:uid="{410E13BF-50EC-49FF-B6BB-BC08C436225E}"/>
    <cellStyle name="SAPBEXresItemX 2 2 4" xfId="29184" xr:uid="{00000000-0005-0000-0000-000063710000}"/>
    <cellStyle name="SAPBEXresItemX 2 2 4 2" xfId="33167" xr:uid="{A910185D-1D4B-4D9D-BEB4-523F12BAF3DF}"/>
    <cellStyle name="SAPBEXresItemX 2 2 5" xfId="29980" xr:uid="{00000000-0005-0000-0000-000064710000}"/>
    <cellStyle name="SAPBEXresItemX 2 3" xfId="26614" xr:uid="{00000000-0005-0000-0000-000065710000}"/>
    <cellStyle name="SAPBEXresItemX 2 3 2" xfId="31392" xr:uid="{9A88EDBA-C65A-4099-901A-86BBFF318240}"/>
    <cellStyle name="SAPBEXresItemX 2 4" xfId="28427" xr:uid="{00000000-0005-0000-0000-000066710000}"/>
    <cellStyle name="SAPBEXresItemX 2 4 2" xfId="32985" xr:uid="{EAF16952-C87D-49F1-8AC9-AE75A91DB4D9}"/>
    <cellStyle name="SAPBEXresItemX 2 5" xfId="26964" xr:uid="{00000000-0005-0000-0000-000067710000}"/>
    <cellStyle name="SAPBEXresItemX 2 5 2" xfId="31725" xr:uid="{65017915-715F-4BC5-9781-47CEAFE8095D}"/>
    <cellStyle name="SAPBEXresItemX 2 6" xfId="29979" xr:uid="{00000000-0005-0000-0000-000068710000}"/>
    <cellStyle name="SAPBEXresItemX 2 7" xfId="30212" xr:uid="{95AF9018-89CB-4A66-8425-795779C587AC}"/>
    <cellStyle name="SAPBEXresItemX 3" xfId="24642" xr:uid="{00000000-0005-0000-0000-000069710000}"/>
    <cellStyle name="SAPBEXresItemX 3 2" xfId="25411" xr:uid="{00000000-0005-0000-0000-00006A710000}"/>
    <cellStyle name="SAPBEXresItemX 3 2 2" xfId="27565" xr:uid="{00000000-0005-0000-0000-00006B710000}"/>
    <cellStyle name="SAPBEXresItemX 3 2 2 2" xfId="32156" xr:uid="{FB8E910C-FE6C-4248-95DA-9C554E3A8F7C}"/>
    <cellStyle name="SAPBEXresItemX 3 2 3" xfId="28430" xr:uid="{00000000-0005-0000-0000-00006C710000}"/>
    <cellStyle name="SAPBEXresItemX 3 2 3 2" xfId="32988" xr:uid="{5EA8B50B-FE48-4A20-A4CF-271BFA2A5089}"/>
    <cellStyle name="SAPBEXresItemX 3 2 4" xfId="27361" xr:uid="{00000000-0005-0000-0000-00006D710000}"/>
    <cellStyle name="SAPBEXresItemX 3 2 4 2" xfId="31959" xr:uid="{95B73734-F631-4A42-8C1F-0E5B8C893550}"/>
    <cellStyle name="SAPBEXresItemX 3 2 5" xfId="29982" xr:uid="{00000000-0005-0000-0000-00006E710000}"/>
    <cellStyle name="SAPBEXresItemX 3 2 6" xfId="30569" xr:uid="{54186D70-32FB-4E0A-9FB7-944A154F4F8A}"/>
    <cellStyle name="SAPBEXresItemX 3 3" xfId="25608" xr:uid="{00000000-0005-0000-0000-00006F710000}"/>
    <cellStyle name="SAPBEXresItemX 3 3 2" xfId="27761" xr:uid="{00000000-0005-0000-0000-000070710000}"/>
    <cellStyle name="SAPBEXresItemX 3 3 2 2" xfId="32348" xr:uid="{F3D1ED86-CE02-4479-9476-87509162F45A}"/>
    <cellStyle name="SAPBEXresItemX 3 3 3" xfId="28431" xr:uid="{00000000-0005-0000-0000-000071710000}"/>
    <cellStyle name="SAPBEXresItemX 3 3 3 2" xfId="32989" xr:uid="{AD41128B-35D3-4E5F-B808-3CCD73B80ADD}"/>
    <cellStyle name="SAPBEXresItemX 3 3 4" xfId="26727" xr:uid="{00000000-0005-0000-0000-000072710000}"/>
    <cellStyle name="SAPBEXresItemX 3 3 4 2" xfId="31488" xr:uid="{0EE4D0E4-0CA6-4650-B6DB-6AC84F4C7506}"/>
    <cellStyle name="SAPBEXresItemX 3 3 5" xfId="29983" xr:uid="{00000000-0005-0000-0000-000073710000}"/>
    <cellStyle name="SAPBEXresItemX 3 4" xfId="27235" xr:uid="{00000000-0005-0000-0000-000074710000}"/>
    <cellStyle name="SAPBEXresItemX 3 4 2" xfId="31870" xr:uid="{C235107F-A795-421E-B950-9C7ED79CC2B7}"/>
    <cellStyle name="SAPBEXresItemX 3 5" xfId="28429" xr:uid="{00000000-0005-0000-0000-000075710000}"/>
    <cellStyle name="SAPBEXresItemX 3 5 2" xfId="32987" xr:uid="{7DBB8A2E-5E05-4CCD-AD0B-CF1D39A1DAE3}"/>
    <cellStyle name="SAPBEXresItemX 3 6" xfId="26786" xr:uid="{00000000-0005-0000-0000-000076710000}"/>
    <cellStyle name="SAPBEXresItemX 3 6 2" xfId="31547" xr:uid="{20754AF5-828D-4081-8ED8-34F8519C796D}"/>
    <cellStyle name="SAPBEXresItemX 3 7" xfId="29981" xr:uid="{00000000-0005-0000-0000-000077710000}"/>
    <cellStyle name="SAPBEXresItemX 3 8" xfId="30310" xr:uid="{B544BC57-376E-45F1-9BDE-EE77E1ADF4E5}"/>
    <cellStyle name="SAPBEXresItemX 4" xfId="25131" xr:uid="{00000000-0005-0000-0000-000078710000}"/>
    <cellStyle name="SAPBEXresItemX 4 2" xfId="25296" xr:uid="{00000000-0005-0000-0000-000079710000}"/>
    <cellStyle name="SAPBEXresItemX 4 2 2" xfId="27450" xr:uid="{00000000-0005-0000-0000-00007A710000}"/>
    <cellStyle name="SAPBEXresItemX 4 2 2 2" xfId="32042" xr:uid="{3F5947A9-2D16-48A7-82D1-732ACBCD3FA6}"/>
    <cellStyle name="SAPBEXresItemX 4 2 3" xfId="28433" xr:uid="{00000000-0005-0000-0000-00007B710000}"/>
    <cellStyle name="SAPBEXresItemX 4 2 3 2" xfId="32991" xr:uid="{47AE9D4A-07EC-4009-9EF4-8A043B5F3949}"/>
    <cellStyle name="SAPBEXresItemX 4 2 4" xfId="26848" xr:uid="{00000000-0005-0000-0000-00007C710000}"/>
    <cellStyle name="SAPBEXresItemX 4 2 4 2" xfId="31609" xr:uid="{E420AF74-C1CF-4754-9F10-6755AC839197}"/>
    <cellStyle name="SAPBEXresItemX 4 2 5" xfId="29985" xr:uid="{00000000-0005-0000-0000-00007D710000}"/>
    <cellStyle name="SAPBEXresItemX 4 2 6" xfId="30455" xr:uid="{91547A3D-6356-46AB-AFB2-894878C9FF00}"/>
    <cellStyle name="SAPBEXresItemX 4 3" xfId="25729" xr:uid="{00000000-0005-0000-0000-00007E710000}"/>
    <cellStyle name="SAPBEXresItemX 4 3 2" xfId="27882" xr:uid="{00000000-0005-0000-0000-00007F710000}"/>
    <cellStyle name="SAPBEXresItemX 4 3 2 2" xfId="32469" xr:uid="{5C8F957D-3317-4740-9BEA-0C1CF797DDE8}"/>
    <cellStyle name="SAPBEXresItemX 4 3 3" xfId="28434" xr:uid="{00000000-0005-0000-0000-000080710000}"/>
    <cellStyle name="SAPBEXresItemX 4 3 3 2" xfId="32992" xr:uid="{21EF1449-BD6E-4670-B181-D27EA582F915}"/>
    <cellStyle name="SAPBEXresItemX 4 3 4" xfId="26734" xr:uid="{00000000-0005-0000-0000-000081710000}"/>
    <cellStyle name="SAPBEXresItemX 4 3 4 2" xfId="31495" xr:uid="{E5B76F23-F061-4966-9C7F-C26A8FCB31BB}"/>
    <cellStyle name="SAPBEXresItemX 4 3 5" xfId="29986" xr:uid="{00000000-0005-0000-0000-000082710000}"/>
    <cellStyle name="SAPBEXresItemX 4 3 6" xfId="30723" xr:uid="{0D1CF379-DD00-4381-B474-1DDA3C24F6E0}"/>
    <cellStyle name="SAPBEXresItemX 4 4" xfId="27416" xr:uid="{00000000-0005-0000-0000-000083710000}"/>
    <cellStyle name="SAPBEXresItemX 4 4 2" xfId="32014" xr:uid="{A2F09C70-C06D-4EEC-9B40-6F787FB07970}"/>
    <cellStyle name="SAPBEXresItemX 4 5" xfId="28432" xr:uid="{00000000-0005-0000-0000-000084710000}"/>
    <cellStyle name="SAPBEXresItemX 4 5 2" xfId="32990" xr:uid="{32284CED-3766-46E0-B68B-028853F4C675}"/>
    <cellStyle name="SAPBEXresItemX 4 6" xfId="26739" xr:uid="{00000000-0005-0000-0000-000085710000}"/>
    <cellStyle name="SAPBEXresItemX 4 6 2" xfId="31500" xr:uid="{1A4E4A20-47B6-4DA8-8FA6-9BC79219F610}"/>
    <cellStyle name="SAPBEXresItemX 4 7" xfId="29984" xr:uid="{00000000-0005-0000-0000-000086710000}"/>
    <cellStyle name="SAPBEXresItemX 4 8" xfId="30431" xr:uid="{E7B623BE-0AB8-4561-9EE3-83CDC59EFB8F}"/>
    <cellStyle name="SAPBEXresItemX 5" xfId="25869" xr:uid="{00000000-0005-0000-0000-000087710000}"/>
    <cellStyle name="SAPBEXresItemX 5 2" xfId="30788" xr:uid="{5B4BD75F-F7FC-4621-8B60-BD3AF64D9C38}"/>
    <cellStyle name="SAPBEXresItemX 6" xfId="28426" xr:uid="{00000000-0005-0000-0000-000088710000}"/>
    <cellStyle name="SAPBEXresItemX 6 2" xfId="32984" xr:uid="{65594BA8-DCF8-4BE1-B0FF-F3CF7DF2C3C7}"/>
    <cellStyle name="SAPBEXresItemX 7" xfId="29256" xr:uid="{00000000-0005-0000-0000-000089710000}"/>
    <cellStyle name="SAPBEXresItemX 7 2" xfId="33238" xr:uid="{A592596F-FF36-4019-B971-D4A1C03FF47B}"/>
    <cellStyle name="SAPBEXresItemX 8" xfId="29978" xr:uid="{00000000-0005-0000-0000-00008A710000}"/>
    <cellStyle name="SAPBEXstdData" xfId="139" xr:uid="{00000000-0005-0000-0000-00008B710000}"/>
    <cellStyle name="SAPBEXstdData 10" xfId="24641" xr:uid="{00000000-0005-0000-0000-00008C710000}"/>
    <cellStyle name="SAPBEXstdData 10 2" xfId="25309" xr:uid="{00000000-0005-0000-0000-00008D710000}"/>
    <cellStyle name="SAPBEXstdData 10 2 2" xfId="27463" xr:uid="{00000000-0005-0000-0000-00008E710000}"/>
    <cellStyle name="SAPBEXstdData 10 2 2 2" xfId="32055" xr:uid="{B05E8876-BA72-4D4C-BCAC-B5AF1EBF7EBC}"/>
    <cellStyle name="SAPBEXstdData 10 2 3" xfId="28437" xr:uid="{00000000-0005-0000-0000-00008F710000}"/>
    <cellStyle name="SAPBEXstdData 10 2 3 2" xfId="32995" xr:uid="{3120BA99-0AB0-4E3D-89D0-F4E519A27F9D}"/>
    <cellStyle name="SAPBEXstdData 10 2 4" xfId="26798" xr:uid="{00000000-0005-0000-0000-000090710000}"/>
    <cellStyle name="SAPBEXstdData 10 2 4 2" xfId="31559" xr:uid="{2098688E-92E8-4866-BF5F-57C3757891C4}"/>
    <cellStyle name="SAPBEXstdData 10 2 5" xfId="29989" xr:uid="{00000000-0005-0000-0000-000091710000}"/>
    <cellStyle name="SAPBEXstdData 10 2 6" xfId="30468" xr:uid="{6E4B5D26-2C55-4608-94CC-591045C26B2A}"/>
    <cellStyle name="SAPBEXstdData 10 3" xfId="25607" xr:uid="{00000000-0005-0000-0000-000092710000}"/>
    <cellStyle name="SAPBEXstdData 10 3 2" xfId="27760" xr:uid="{00000000-0005-0000-0000-000093710000}"/>
    <cellStyle name="SAPBEXstdData 10 3 2 2" xfId="32347" xr:uid="{2C40D5AC-B23A-4B5E-A101-487CD2355C0F}"/>
    <cellStyle name="SAPBEXstdData 10 3 3" xfId="28438" xr:uid="{00000000-0005-0000-0000-000094710000}"/>
    <cellStyle name="SAPBEXstdData 10 3 3 2" xfId="32996" xr:uid="{D7CB0E92-F3FF-4595-B62A-EE09BF029DCC}"/>
    <cellStyle name="SAPBEXstdData 10 3 4" xfId="26290" xr:uid="{00000000-0005-0000-0000-000095710000}"/>
    <cellStyle name="SAPBEXstdData 10 3 4 2" xfId="31078" xr:uid="{94C58FF4-40DD-48D2-9DF3-027D1694EFF5}"/>
    <cellStyle name="SAPBEXstdData 10 3 5" xfId="29990" xr:uid="{00000000-0005-0000-0000-000096710000}"/>
    <cellStyle name="SAPBEXstdData 10 4" xfId="27234" xr:uid="{00000000-0005-0000-0000-000097710000}"/>
    <cellStyle name="SAPBEXstdData 10 4 2" xfId="31869" xr:uid="{EEDF2C85-C5B4-4E87-B729-A7051D0CF60C}"/>
    <cellStyle name="SAPBEXstdData 10 5" xfId="28436" xr:uid="{00000000-0005-0000-0000-000098710000}"/>
    <cellStyle name="SAPBEXstdData 10 5 2" xfId="32994" xr:uid="{5D5D16DB-C51D-4326-A20D-962D2B3C13F1}"/>
    <cellStyle name="SAPBEXstdData 10 6" xfId="26327" xr:uid="{00000000-0005-0000-0000-000099710000}"/>
    <cellStyle name="SAPBEXstdData 10 6 2" xfId="31115" xr:uid="{FFC23425-295C-4B87-AF5E-33C5FF5FD9EC}"/>
    <cellStyle name="SAPBEXstdData 10 7" xfId="29988" xr:uid="{00000000-0005-0000-0000-00009A710000}"/>
    <cellStyle name="SAPBEXstdData 10 8" xfId="30309" xr:uid="{0F8C9CF7-83E2-49B6-9A84-B0F894765E52}"/>
    <cellStyle name="SAPBEXstdData 11" xfId="25132" xr:uid="{00000000-0005-0000-0000-00009B710000}"/>
    <cellStyle name="SAPBEXstdData 11 2" xfId="25282" xr:uid="{00000000-0005-0000-0000-00009C710000}"/>
    <cellStyle name="SAPBEXstdData 11 2 2" xfId="27437" xr:uid="{00000000-0005-0000-0000-00009D710000}"/>
    <cellStyle name="SAPBEXstdData 11 2 2 2" xfId="32032" xr:uid="{62DD0B01-FA65-44BA-A8FD-C0EE724A195A}"/>
    <cellStyle name="SAPBEXstdData 11 2 3" xfId="28440" xr:uid="{00000000-0005-0000-0000-00009E710000}"/>
    <cellStyle name="SAPBEXstdData 11 2 3 2" xfId="32998" xr:uid="{EC1E66EE-1CE7-419C-AAA6-1D487B3297F8}"/>
    <cellStyle name="SAPBEXstdData 11 2 4" xfId="27014" xr:uid="{00000000-0005-0000-0000-00009F710000}"/>
    <cellStyle name="SAPBEXstdData 11 2 4 2" xfId="31774" xr:uid="{9E31ED2B-3822-405D-9554-2D2A8944BF89}"/>
    <cellStyle name="SAPBEXstdData 11 2 5" xfId="29992" xr:uid="{00000000-0005-0000-0000-0000A0710000}"/>
    <cellStyle name="SAPBEXstdData 11 2 6" xfId="30445" xr:uid="{EDA2700C-F3AA-43B0-9BEA-C71D3264A84E}"/>
    <cellStyle name="SAPBEXstdData 11 3" xfId="25730" xr:uid="{00000000-0005-0000-0000-0000A1710000}"/>
    <cellStyle name="SAPBEXstdData 11 3 2" xfId="27883" xr:uid="{00000000-0005-0000-0000-0000A2710000}"/>
    <cellStyle name="SAPBEXstdData 11 3 2 2" xfId="32470" xr:uid="{9AF19C54-25D6-40FF-8260-884EF5C66A41}"/>
    <cellStyle name="SAPBEXstdData 11 3 3" xfId="28441" xr:uid="{00000000-0005-0000-0000-0000A3710000}"/>
    <cellStyle name="SAPBEXstdData 11 3 3 2" xfId="32999" xr:uid="{459FA47A-62CD-4E64-AF63-7F6B6AC1BDD9}"/>
    <cellStyle name="SAPBEXstdData 11 3 4" xfId="26151" xr:uid="{00000000-0005-0000-0000-0000A4710000}"/>
    <cellStyle name="SAPBEXstdData 11 3 4 2" xfId="30940" xr:uid="{8A07657E-2A5B-41BF-A372-19136E4C3D49}"/>
    <cellStyle name="SAPBEXstdData 11 3 5" xfId="29993" xr:uid="{00000000-0005-0000-0000-0000A5710000}"/>
    <cellStyle name="SAPBEXstdData 11 3 6" xfId="30724" xr:uid="{9DB7EB20-E8B2-4F25-AD62-40A87C0D2C85}"/>
    <cellStyle name="SAPBEXstdData 11 4" xfId="27417" xr:uid="{00000000-0005-0000-0000-0000A6710000}"/>
    <cellStyle name="SAPBEXstdData 11 4 2" xfId="32015" xr:uid="{0AECD3CA-668E-4F07-B4AC-FD2C5B36CFE9}"/>
    <cellStyle name="SAPBEXstdData 11 5" xfId="28439" xr:uid="{00000000-0005-0000-0000-0000A7710000}"/>
    <cellStyle name="SAPBEXstdData 11 5 2" xfId="32997" xr:uid="{762E15EF-B237-409B-AA2C-62B5282289E4}"/>
    <cellStyle name="SAPBEXstdData 11 6" xfId="27302" xr:uid="{00000000-0005-0000-0000-0000A8710000}"/>
    <cellStyle name="SAPBEXstdData 11 6 2" xfId="31931" xr:uid="{2E10869C-7272-4D87-B130-AE094B4B93BD}"/>
    <cellStyle name="SAPBEXstdData 11 7" xfId="29991" xr:uid="{00000000-0005-0000-0000-0000A9710000}"/>
    <cellStyle name="SAPBEXstdData 11 8" xfId="30432" xr:uid="{436EB1C3-ED9C-4ACD-8AC8-9D3C8C95AF3B}"/>
    <cellStyle name="SAPBEXstdData 12" xfId="25870" xr:uid="{00000000-0005-0000-0000-0000AA710000}"/>
    <cellStyle name="SAPBEXstdData 12 2" xfId="30789" xr:uid="{0C69F05A-53E9-48FC-BE5D-7B74EBDD4371}"/>
    <cellStyle name="SAPBEXstdData 13" xfId="28435" xr:uid="{00000000-0005-0000-0000-0000AB710000}"/>
    <cellStyle name="SAPBEXstdData 13 2" xfId="32993" xr:uid="{5940534C-4A89-44CF-B18D-4E122BF547AD}"/>
    <cellStyle name="SAPBEXstdData 14" xfId="29198" xr:uid="{00000000-0005-0000-0000-0000AC710000}"/>
    <cellStyle name="SAPBEXstdData 14 2" xfId="33181" xr:uid="{85680C9A-01B0-403D-A10B-72D4097CE49F}"/>
    <cellStyle name="SAPBEXstdData 15" xfId="29987" xr:uid="{00000000-0005-0000-0000-0000AD710000}"/>
    <cellStyle name="SAPBEXstdData 2" xfId="140" xr:uid="{00000000-0005-0000-0000-0000AE710000}"/>
    <cellStyle name="SAPBEXstdData 2 2" xfId="13674" xr:uid="{00000000-0005-0000-0000-0000AF710000}"/>
    <cellStyle name="SAPBEXstdData 2 2 2" xfId="25512" xr:uid="{00000000-0005-0000-0000-0000B0710000}"/>
    <cellStyle name="SAPBEXstdData 2 2 2 2" xfId="27665" xr:uid="{00000000-0005-0000-0000-0000B1710000}"/>
    <cellStyle name="SAPBEXstdData 2 2 2 2 2" xfId="32252" xr:uid="{7CF8C022-02D9-4EA1-9FFA-4D1B8CCBF34E}"/>
    <cellStyle name="SAPBEXstdData 2 2 2 3" xfId="28444" xr:uid="{00000000-0005-0000-0000-0000B2710000}"/>
    <cellStyle name="SAPBEXstdData 2 2 2 3 2" xfId="33002" xr:uid="{EEFF2867-575E-4590-A22B-52A48595D626}"/>
    <cellStyle name="SAPBEXstdData 2 2 2 4" xfId="26229" xr:uid="{00000000-0005-0000-0000-0000B3710000}"/>
    <cellStyle name="SAPBEXstdData 2 2 2 4 2" xfId="31017" xr:uid="{739C1F9A-23FF-4538-9D5B-3D4A69CEA782}"/>
    <cellStyle name="SAPBEXstdData 2 2 2 5" xfId="29996" xr:uid="{00000000-0005-0000-0000-0000B4710000}"/>
    <cellStyle name="SAPBEXstdData 2 2 3" xfId="26616" xr:uid="{00000000-0005-0000-0000-0000B5710000}"/>
    <cellStyle name="SAPBEXstdData 2 2 3 2" xfId="31394" xr:uid="{D97D2E37-2D81-4E8D-951F-2C298928F8D2}"/>
    <cellStyle name="SAPBEXstdData 2 2 4" xfId="28443" xr:uid="{00000000-0005-0000-0000-0000B6710000}"/>
    <cellStyle name="SAPBEXstdData 2 2 4 2" xfId="33001" xr:uid="{810E784D-4E98-4C38-B9A8-2DF39F5B7278}"/>
    <cellStyle name="SAPBEXstdData 2 2 5" xfId="26400" xr:uid="{00000000-0005-0000-0000-0000B7710000}"/>
    <cellStyle name="SAPBEXstdData 2 2 5 2" xfId="31188" xr:uid="{0E8A4D13-ADDB-4233-887F-F0E753718A29}"/>
    <cellStyle name="SAPBEXstdData 2 2 6" xfId="29995" xr:uid="{00000000-0005-0000-0000-0000B8710000}"/>
    <cellStyle name="SAPBEXstdData 2 2 7" xfId="30214" xr:uid="{DFEF52C8-08FE-40F4-A24C-F40DEFF9ACAF}"/>
    <cellStyle name="SAPBEXstdData 2 3" xfId="25871" xr:uid="{00000000-0005-0000-0000-0000B9710000}"/>
    <cellStyle name="SAPBEXstdData 2 3 2" xfId="30790" xr:uid="{9B5E8483-8500-4BD1-995D-20F90515F869}"/>
    <cellStyle name="SAPBEXstdData 2 4" xfId="28442" xr:uid="{00000000-0005-0000-0000-0000BA710000}"/>
    <cellStyle name="SAPBEXstdData 2 4 2" xfId="33000" xr:uid="{12ACE4CE-F589-4CFD-898E-E70F78C34355}"/>
    <cellStyle name="SAPBEXstdData 2 5" xfId="29182" xr:uid="{00000000-0005-0000-0000-0000BB710000}"/>
    <cellStyle name="SAPBEXstdData 2 5 2" xfId="33165" xr:uid="{5EBBE023-6A7C-4CE2-A468-55D972DFF252}"/>
    <cellStyle name="SAPBEXstdData 2 6" xfId="29994" xr:uid="{00000000-0005-0000-0000-0000BC710000}"/>
    <cellStyle name="SAPBEXstdData 3" xfId="258" xr:uid="{00000000-0005-0000-0000-0000BD710000}"/>
    <cellStyle name="SAPBEXstdData 3 2" xfId="13723" xr:uid="{00000000-0005-0000-0000-0000BE710000}"/>
    <cellStyle name="SAPBEXstdData 3 2 2" xfId="25536" xr:uid="{00000000-0005-0000-0000-0000BF710000}"/>
    <cellStyle name="SAPBEXstdData 3 2 2 2" xfId="27689" xr:uid="{00000000-0005-0000-0000-0000C0710000}"/>
    <cellStyle name="SAPBEXstdData 3 2 2 2 2" xfId="32276" xr:uid="{13382D6E-105A-4546-8DE2-397ECB5A9D81}"/>
    <cellStyle name="SAPBEXstdData 3 2 2 3" xfId="28447" xr:uid="{00000000-0005-0000-0000-0000C1710000}"/>
    <cellStyle name="SAPBEXstdData 3 2 2 3 2" xfId="33005" xr:uid="{9D3966AA-D612-4B1A-9F4C-A971C9F4EB9F}"/>
    <cellStyle name="SAPBEXstdData 3 2 2 4" xfId="26475" xr:uid="{00000000-0005-0000-0000-0000C2710000}"/>
    <cellStyle name="SAPBEXstdData 3 2 2 4 2" xfId="31263" xr:uid="{0DF836AD-19C1-41E2-8B15-7317C8766CDD}"/>
    <cellStyle name="SAPBEXstdData 3 2 2 5" xfId="29999" xr:uid="{00000000-0005-0000-0000-0000C3710000}"/>
    <cellStyle name="SAPBEXstdData 3 2 3" xfId="26643" xr:uid="{00000000-0005-0000-0000-0000C4710000}"/>
    <cellStyle name="SAPBEXstdData 3 2 3 2" xfId="31420" xr:uid="{6CE9F8B1-2D67-41AC-820F-E02E60EAD317}"/>
    <cellStyle name="SAPBEXstdData 3 2 4" xfId="28446" xr:uid="{00000000-0005-0000-0000-0000C5710000}"/>
    <cellStyle name="SAPBEXstdData 3 2 4 2" xfId="33004" xr:uid="{6DB1F29A-7836-4EF0-A9E1-D4E2C311CD4A}"/>
    <cellStyle name="SAPBEXstdData 3 2 5" xfId="26482" xr:uid="{00000000-0005-0000-0000-0000C6710000}"/>
    <cellStyle name="SAPBEXstdData 3 2 5 2" xfId="31270" xr:uid="{553F2D6E-64F8-4F57-8F6F-7F51751B0401}"/>
    <cellStyle name="SAPBEXstdData 3 2 6" xfId="29998" xr:uid="{00000000-0005-0000-0000-0000C7710000}"/>
    <cellStyle name="SAPBEXstdData 3 2 7" xfId="30238" xr:uid="{4D59176C-D9B6-4692-9AB4-19B1E2B4D14C}"/>
    <cellStyle name="SAPBEXstdData 3 3" xfId="25926" xr:uid="{00000000-0005-0000-0000-0000C8710000}"/>
    <cellStyle name="SAPBEXstdData 3 3 2" xfId="30815" xr:uid="{BA922E1A-F9F7-4326-8E04-1FCD3AF3DB7E}"/>
    <cellStyle name="SAPBEXstdData 3 4" xfId="28445" xr:uid="{00000000-0005-0000-0000-0000C9710000}"/>
    <cellStyle name="SAPBEXstdData 3 4 2" xfId="33003" xr:uid="{CB0C2F93-3F21-4AD5-8427-007368EEF373}"/>
    <cellStyle name="SAPBEXstdData 3 5" xfId="27927" xr:uid="{00000000-0005-0000-0000-0000CA710000}"/>
    <cellStyle name="SAPBEXstdData 3 5 2" xfId="32485" xr:uid="{36681907-28E8-4F17-B101-B02A7B0335C6}"/>
    <cellStyle name="SAPBEXstdData 3 6" xfId="29997" xr:uid="{00000000-0005-0000-0000-0000CB710000}"/>
    <cellStyle name="SAPBEXstdData 4" xfId="259" xr:uid="{00000000-0005-0000-0000-0000CC710000}"/>
    <cellStyle name="SAPBEXstdData 4 2" xfId="13724" xr:uid="{00000000-0005-0000-0000-0000CD710000}"/>
    <cellStyle name="SAPBEXstdData 4 2 2" xfId="25537" xr:uid="{00000000-0005-0000-0000-0000CE710000}"/>
    <cellStyle name="SAPBEXstdData 4 2 2 2" xfId="27690" xr:uid="{00000000-0005-0000-0000-0000CF710000}"/>
    <cellStyle name="SAPBEXstdData 4 2 2 2 2" xfId="32277" xr:uid="{C3D37178-1243-4687-AA27-4AE2008CF5B1}"/>
    <cellStyle name="SAPBEXstdData 4 2 2 3" xfId="28450" xr:uid="{00000000-0005-0000-0000-0000D0710000}"/>
    <cellStyle name="SAPBEXstdData 4 2 2 3 2" xfId="33008" xr:uid="{6137533C-9C36-4923-93B0-AB9EFA850A69}"/>
    <cellStyle name="SAPBEXstdData 4 2 2 4" xfId="26438" xr:uid="{00000000-0005-0000-0000-0000D1710000}"/>
    <cellStyle name="SAPBEXstdData 4 2 2 4 2" xfId="31226" xr:uid="{5721256A-B2FC-4845-8F7E-BBE95A185664}"/>
    <cellStyle name="SAPBEXstdData 4 2 2 5" xfId="30002" xr:uid="{00000000-0005-0000-0000-0000D2710000}"/>
    <cellStyle name="SAPBEXstdData 4 2 3" xfId="26644" xr:uid="{00000000-0005-0000-0000-0000D3710000}"/>
    <cellStyle name="SAPBEXstdData 4 2 3 2" xfId="31421" xr:uid="{2B7DC36C-1C8B-4A64-B65D-02A8B73D71C7}"/>
    <cellStyle name="SAPBEXstdData 4 2 4" xfId="28449" xr:uid="{00000000-0005-0000-0000-0000D4710000}"/>
    <cellStyle name="SAPBEXstdData 4 2 4 2" xfId="33007" xr:uid="{386F2B08-8FB3-4407-86C3-F89D44CC2C04}"/>
    <cellStyle name="SAPBEXstdData 4 2 5" xfId="26741" xr:uid="{00000000-0005-0000-0000-0000D5710000}"/>
    <cellStyle name="SAPBEXstdData 4 2 5 2" xfId="31502" xr:uid="{C338A613-1C95-4278-8FB9-4D6201EAED65}"/>
    <cellStyle name="SAPBEXstdData 4 2 6" xfId="30001" xr:uid="{00000000-0005-0000-0000-0000D6710000}"/>
    <cellStyle name="SAPBEXstdData 4 2 7" xfId="30239" xr:uid="{096EC458-3FF2-43E1-A1F6-5838C7CCE44F}"/>
    <cellStyle name="SAPBEXstdData 4 3" xfId="25927" xr:uid="{00000000-0005-0000-0000-0000D7710000}"/>
    <cellStyle name="SAPBEXstdData 4 3 2" xfId="30816" xr:uid="{1355830C-8261-4079-94F9-5431238621DB}"/>
    <cellStyle name="SAPBEXstdData 4 4" xfId="28448" xr:uid="{00000000-0005-0000-0000-0000D8710000}"/>
    <cellStyle name="SAPBEXstdData 4 4 2" xfId="33006" xr:uid="{AA8C8842-1256-4F06-A9B4-0503D8051E85}"/>
    <cellStyle name="SAPBEXstdData 4 5" xfId="27928" xr:uid="{00000000-0005-0000-0000-0000D9710000}"/>
    <cellStyle name="SAPBEXstdData 4 5 2" xfId="32486" xr:uid="{73928584-F901-48E9-9EB0-BC57D7B7C8E6}"/>
    <cellStyle name="SAPBEXstdData 4 6" xfId="30000" xr:uid="{00000000-0005-0000-0000-0000DA710000}"/>
    <cellStyle name="SAPBEXstdData 5" xfId="260" xr:uid="{00000000-0005-0000-0000-0000DB710000}"/>
    <cellStyle name="SAPBEXstdData 5 2" xfId="13725" xr:uid="{00000000-0005-0000-0000-0000DC710000}"/>
    <cellStyle name="SAPBEXstdData 5 2 2" xfId="25538" xr:uid="{00000000-0005-0000-0000-0000DD710000}"/>
    <cellStyle name="SAPBEXstdData 5 2 2 2" xfId="27691" xr:uid="{00000000-0005-0000-0000-0000DE710000}"/>
    <cellStyle name="SAPBEXstdData 5 2 2 2 2" xfId="32278" xr:uid="{A512DC99-19C6-4C59-A94B-9546900850FC}"/>
    <cellStyle name="SAPBEXstdData 5 2 2 3" xfId="28453" xr:uid="{00000000-0005-0000-0000-0000DF710000}"/>
    <cellStyle name="SAPBEXstdData 5 2 2 3 2" xfId="33011" xr:uid="{4F105195-5BB0-4831-A6B8-C078303734D8}"/>
    <cellStyle name="SAPBEXstdData 5 2 2 4" xfId="26419" xr:uid="{00000000-0005-0000-0000-0000E0710000}"/>
    <cellStyle name="SAPBEXstdData 5 2 2 4 2" xfId="31207" xr:uid="{777FFAFA-E68C-4C66-B6A6-7D2365A9ECD3}"/>
    <cellStyle name="SAPBEXstdData 5 2 2 5" xfId="30005" xr:uid="{00000000-0005-0000-0000-0000E1710000}"/>
    <cellStyle name="SAPBEXstdData 5 2 3" xfId="26645" xr:uid="{00000000-0005-0000-0000-0000E2710000}"/>
    <cellStyle name="SAPBEXstdData 5 2 3 2" xfId="31422" xr:uid="{5A0B12DF-FF47-47EC-BB0D-F02BD6C7668C}"/>
    <cellStyle name="SAPBEXstdData 5 2 4" xfId="28452" xr:uid="{00000000-0005-0000-0000-0000E3710000}"/>
    <cellStyle name="SAPBEXstdData 5 2 4 2" xfId="33010" xr:uid="{29F6836E-4864-4D9F-BF8A-9FCFCEA72DE4}"/>
    <cellStyle name="SAPBEXstdData 5 2 5" xfId="26259" xr:uid="{00000000-0005-0000-0000-0000E4710000}"/>
    <cellStyle name="SAPBEXstdData 5 2 5 2" xfId="31047" xr:uid="{92C2CDA4-2107-4FD0-81B5-00022EA4E2B8}"/>
    <cellStyle name="SAPBEXstdData 5 2 6" xfId="30004" xr:uid="{00000000-0005-0000-0000-0000E5710000}"/>
    <cellStyle name="SAPBEXstdData 5 2 7" xfId="30240" xr:uid="{C015ED9E-10EB-4B07-8F67-D4EDB7D49790}"/>
    <cellStyle name="SAPBEXstdData 5 3" xfId="25928" xr:uid="{00000000-0005-0000-0000-0000E6710000}"/>
    <cellStyle name="SAPBEXstdData 5 3 2" xfId="30817" xr:uid="{4C0E11B8-45DA-4D62-ADB6-067A073CB0DD}"/>
    <cellStyle name="SAPBEXstdData 5 4" xfId="28451" xr:uid="{00000000-0005-0000-0000-0000E7710000}"/>
    <cellStyle name="SAPBEXstdData 5 4 2" xfId="33009" xr:uid="{231ED612-7EFC-4B98-8698-AAB8CC248A4D}"/>
    <cellStyle name="SAPBEXstdData 5 5" xfId="28568" xr:uid="{00000000-0005-0000-0000-0000E8710000}"/>
    <cellStyle name="SAPBEXstdData 5 5 2" xfId="33126" xr:uid="{A4346555-7686-4575-B879-7FA803203005}"/>
    <cellStyle name="SAPBEXstdData 5 6" xfId="30003" xr:uid="{00000000-0005-0000-0000-0000E9710000}"/>
    <cellStyle name="SAPBEXstdData 6" xfId="261" xr:uid="{00000000-0005-0000-0000-0000EA710000}"/>
    <cellStyle name="SAPBEXstdData 6 2" xfId="13726" xr:uid="{00000000-0005-0000-0000-0000EB710000}"/>
    <cellStyle name="SAPBEXstdData 6 2 2" xfId="25539" xr:uid="{00000000-0005-0000-0000-0000EC710000}"/>
    <cellStyle name="SAPBEXstdData 6 2 2 2" xfId="27692" xr:uid="{00000000-0005-0000-0000-0000ED710000}"/>
    <cellStyle name="SAPBEXstdData 6 2 2 2 2" xfId="32279" xr:uid="{ECB69947-A60B-4E67-8174-4DD9966BE067}"/>
    <cellStyle name="SAPBEXstdData 6 2 2 3" xfId="28456" xr:uid="{00000000-0005-0000-0000-0000EE710000}"/>
    <cellStyle name="SAPBEXstdData 6 2 2 3 2" xfId="33014" xr:uid="{7317279E-711B-45F7-810E-D923C0528B7B}"/>
    <cellStyle name="SAPBEXstdData 6 2 2 4" xfId="26098" xr:uid="{00000000-0005-0000-0000-0000EF710000}"/>
    <cellStyle name="SAPBEXstdData 6 2 2 4 2" xfId="30888" xr:uid="{37DC453A-E91E-4C94-A2B8-CCB381944492}"/>
    <cellStyle name="SAPBEXstdData 6 2 2 5" xfId="30008" xr:uid="{00000000-0005-0000-0000-0000F0710000}"/>
    <cellStyle name="SAPBEXstdData 6 2 3" xfId="26646" xr:uid="{00000000-0005-0000-0000-0000F1710000}"/>
    <cellStyle name="SAPBEXstdData 6 2 3 2" xfId="31423" xr:uid="{9B050B83-861C-4718-9DBE-917C3F6F4AF0}"/>
    <cellStyle name="SAPBEXstdData 6 2 4" xfId="28455" xr:uid="{00000000-0005-0000-0000-0000F2710000}"/>
    <cellStyle name="SAPBEXstdData 6 2 4 2" xfId="33013" xr:uid="{7405DCA3-1F8D-4026-BE19-911A01BE113D}"/>
    <cellStyle name="SAPBEXstdData 6 2 5" xfId="26863" xr:uid="{00000000-0005-0000-0000-0000F3710000}"/>
    <cellStyle name="SAPBEXstdData 6 2 5 2" xfId="31624" xr:uid="{8C144ABE-4980-4003-8D69-2D52CB28A52B}"/>
    <cellStyle name="SAPBEXstdData 6 2 6" xfId="30007" xr:uid="{00000000-0005-0000-0000-0000F4710000}"/>
    <cellStyle name="SAPBEXstdData 6 2 7" xfId="30241" xr:uid="{0B28B474-ACF4-4B60-A1DC-EE1FD952C416}"/>
    <cellStyle name="SAPBEXstdData 6 3" xfId="25929" xr:uid="{00000000-0005-0000-0000-0000F5710000}"/>
    <cellStyle name="SAPBEXstdData 6 3 2" xfId="30818" xr:uid="{B47014C3-78AC-4AC8-B38B-A1DF7A383AC6}"/>
    <cellStyle name="SAPBEXstdData 6 4" xfId="28454" xr:uid="{00000000-0005-0000-0000-0000F6710000}"/>
    <cellStyle name="SAPBEXstdData 6 4 2" xfId="33012" xr:uid="{1187B200-02AB-4CC3-9B22-483132479092}"/>
    <cellStyle name="SAPBEXstdData 6 5" xfId="28569" xr:uid="{00000000-0005-0000-0000-0000F7710000}"/>
    <cellStyle name="SAPBEXstdData 6 5 2" xfId="33127" xr:uid="{36A26F5A-037E-4960-886E-0DEFE69034DA}"/>
    <cellStyle name="SAPBEXstdData 6 6" xfId="30006" xr:uid="{00000000-0005-0000-0000-0000F8710000}"/>
    <cellStyle name="SAPBEXstdData 7" xfId="262" xr:uid="{00000000-0005-0000-0000-0000F9710000}"/>
    <cellStyle name="SAPBEXstdData 7 2" xfId="30009" xr:uid="{00000000-0005-0000-0000-0000FA710000}"/>
    <cellStyle name="SAPBEXstdData 8" xfId="415" xr:uid="{00000000-0005-0000-0000-0000FB710000}"/>
    <cellStyle name="SAPBEXstdData 8 2" xfId="13794" xr:uid="{00000000-0005-0000-0000-0000FC710000}"/>
    <cellStyle name="SAPBEXstdData 8 2 2" xfId="25552" xr:uid="{00000000-0005-0000-0000-0000FD710000}"/>
    <cellStyle name="SAPBEXstdData 8 2 2 2" xfId="27705" xr:uid="{00000000-0005-0000-0000-0000FE710000}"/>
    <cellStyle name="SAPBEXstdData 8 2 2 2 2" xfId="32292" xr:uid="{2F350E49-9E79-4B62-B68F-BACE6ED48024}"/>
    <cellStyle name="SAPBEXstdData 8 2 2 3" xfId="28459" xr:uid="{00000000-0005-0000-0000-0000FF710000}"/>
    <cellStyle name="SAPBEXstdData 8 2 2 3 2" xfId="33017" xr:uid="{8C200174-1AA0-4019-AEB3-6E3846E819E0}"/>
    <cellStyle name="SAPBEXstdData 8 2 2 4" xfId="26456" xr:uid="{00000000-0005-0000-0000-000000720000}"/>
    <cellStyle name="SAPBEXstdData 8 2 2 4 2" xfId="31244" xr:uid="{5EA6F7B7-D4C0-4E42-B0AA-0EF20F2A0F4A}"/>
    <cellStyle name="SAPBEXstdData 8 2 2 5" xfId="30012" xr:uid="{00000000-0005-0000-0000-000001720000}"/>
    <cellStyle name="SAPBEXstdData 8 2 3" xfId="26669" xr:uid="{00000000-0005-0000-0000-000002720000}"/>
    <cellStyle name="SAPBEXstdData 8 2 3 2" xfId="31437" xr:uid="{E3CDF642-70ED-4426-B25F-180C63757242}"/>
    <cellStyle name="SAPBEXstdData 8 2 4" xfId="28458" xr:uid="{00000000-0005-0000-0000-000003720000}"/>
    <cellStyle name="SAPBEXstdData 8 2 4 2" xfId="33016" xr:uid="{0C2235BF-8EE0-4059-AAC2-78B7C08C06F6}"/>
    <cellStyle name="SAPBEXstdData 8 2 5" xfId="26076" xr:uid="{00000000-0005-0000-0000-000004720000}"/>
    <cellStyle name="SAPBEXstdData 8 2 5 2" xfId="30866" xr:uid="{D1E09095-3BFB-43DC-ACDA-F4AC2A2310BA}"/>
    <cellStyle name="SAPBEXstdData 8 2 6" xfId="30011" xr:uid="{00000000-0005-0000-0000-000005720000}"/>
    <cellStyle name="SAPBEXstdData 8 2 7" xfId="30254" xr:uid="{EFA4FADD-D61A-4AF5-94C0-0F270D52EBCD}"/>
    <cellStyle name="SAPBEXstdData 8 3" xfId="26010" xr:uid="{00000000-0005-0000-0000-000006720000}"/>
    <cellStyle name="SAPBEXstdData 8 3 2" xfId="30831" xr:uid="{C0F43442-2780-4A71-B5DA-82402504CA59}"/>
    <cellStyle name="SAPBEXstdData 8 4" xfId="28457" xr:uid="{00000000-0005-0000-0000-000007720000}"/>
    <cellStyle name="SAPBEXstdData 8 4 2" xfId="33015" xr:uid="{7660F239-36E9-4A4B-9CD9-0FCA13A7551F}"/>
    <cellStyle name="SAPBEXstdData 8 5" xfId="29216" xr:uid="{00000000-0005-0000-0000-000008720000}"/>
    <cellStyle name="SAPBEXstdData 8 5 2" xfId="33199" xr:uid="{FA836CD4-D54D-47B9-AC47-BDC617F36541}"/>
    <cellStyle name="SAPBEXstdData 8 6" xfId="30010" xr:uid="{00000000-0005-0000-0000-000009720000}"/>
    <cellStyle name="SAPBEXstdData 9" xfId="13673" xr:uid="{00000000-0005-0000-0000-00000A720000}"/>
    <cellStyle name="SAPBEXstdData 9 2" xfId="25511" xr:uid="{00000000-0005-0000-0000-00000B720000}"/>
    <cellStyle name="SAPBEXstdData 9 2 2" xfId="27664" xr:uid="{00000000-0005-0000-0000-00000C720000}"/>
    <cellStyle name="SAPBEXstdData 9 2 2 2" xfId="32251" xr:uid="{C26862EF-59CB-4964-8AA0-E4667E73DDA2}"/>
    <cellStyle name="SAPBEXstdData 9 2 3" xfId="28461" xr:uid="{00000000-0005-0000-0000-00000D720000}"/>
    <cellStyle name="SAPBEXstdData 9 2 3 2" xfId="33019" xr:uid="{CB89FF5F-F813-4921-8CC8-8A6E28971297}"/>
    <cellStyle name="SAPBEXstdData 9 2 4" xfId="26049" xr:uid="{00000000-0005-0000-0000-00000E720000}"/>
    <cellStyle name="SAPBEXstdData 9 2 4 2" xfId="30841" xr:uid="{3DEF1656-BCE4-4674-A01A-674865A15F0F}"/>
    <cellStyle name="SAPBEXstdData 9 2 5" xfId="30014" xr:uid="{00000000-0005-0000-0000-00000F720000}"/>
    <cellStyle name="SAPBEXstdData 9 3" xfId="26615" xr:uid="{00000000-0005-0000-0000-000010720000}"/>
    <cellStyle name="SAPBEXstdData 9 3 2" xfId="31393" xr:uid="{0F4C5B58-B276-43B0-AC0D-D489FB5206A0}"/>
    <cellStyle name="SAPBEXstdData 9 4" xfId="28460" xr:uid="{00000000-0005-0000-0000-000011720000}"/>
    <cellStyle name="SAPBEXstdData 9 4 2" xfId="33018" xr:uid="{B3516FEC-E82F-43D0-B5B8-EA90D8717362}"/>
    <cellStyle name="SAPBEXstdData 9 5" xfId="26329" xr:uid="{00000000-0005-0000-0000-000012720000}"/>
    <cellStyle name="SAPBEXstdData 9 5 2" xfId="31117" xr:uid="{59B1AE19-21BA-4E3E-845C-E45F3CE75F1E}"/>
    <cellStyle name="SAPBEXstdData 9 6" xfId="30013" xr:uid="{00000000-0005-0000-0000-000013720000}"/>
    <cellStyle name="SAPBEXstdData 9 7" xfId="30213" xr:uid="{48941877-D26B-4771-9716-4D46534FE40E}"/>
    <cellStyle name="SAPBEXstdData_Copy of xSAPtemp5457" xfId="263" xr:uid="{00000000-0005-0000-0000-000014720000}"/>
    <cellStyle name="SAPBEXstdDataEmph" xfId="141" xr:uid="{00000000-0005-0000-0000-000015720000}"/>
    <cellStyle name="SAPBEXstdDataEmph 2" xfId="13675" xr:uid="{00000000-0005-0000-0000-000016720000}"/>
    <cellStyle name="SAPBEXstdDataEmph 2 2" xfId="25513" xr:uid="{00000000-0005-0000-0000-000017720000}"/>
    <cellStyle name="SAPBEXstdDataEmph 2 2 2" xfId="27666" xr:uid="{00000000-0005-0000-0000-000018720000}"/>
    <cellStyle name="SAPBEXstdDataEmph 2 2 2 2" xfId="32253" xr:uid="{6C649EDB-A2F5-40C0-A2A7-C7264DEDF202}"/>
    <cellStyle name="SAPBEXstdDataEmph 2 2 3" xfId="28464" xr:uid="{00000000-0005-0000-0000-000019720000}"/>
    <cellStyle name="SAPBEXstdDataEmph 2 2 3 2" xfId="33022" xr:uid="{940E1A11-B64C-44DD-912B-78DAE898F187}"/>
    <cellStyle name="SAPBEXstdDataEmph 2 2 4" xfId="26985" xr:uid="{00000000-0005-0000-0000-00001A720000}"/>
    <cellStyle name="SAPBEXstdDataEmph 2 2 4 2" xfId="31746" xr:uid="{848A66EA-CBA5-46DA-9012-B484E6B8A73C}"/>
    <cellStyle name="SAPBEXstdDataEmph 2 2 5" xfId="30017" xr:uid="{00000000-0005-0000-0000-00001B720000}"/>
    <cellStyle name="SAPBEXstdDataEmph 2 3" xfId="26617" xr:uid="{00000000-0005-0000-0000-00001C720000}"/>
    <cellStyle name="SAPBEXstdDataEmph 2 3 2" xfId="31395" xr:uid="{097D0D70-26EE-4CA9-B363-7D9BB207809B}"/>
    <cellStyle name="SAPBEXstdDataEmph 2 4" xfId="28463" xr:uid="{00000000-0005-0000-0000-00001D720000}"/>
    <cellStyle name="SAPBEXstdDataEmph 2 4 2" xfId="33021" xr:uid="{8BAE36D8-5132-45D4-B409-1D80B3F3B201}"/>
    <cellStyle name="SAPBEXstdDataEmph 2 5" xfId="26823" xr:uid="{00000000-0005-0000-0000-00001E720000}"/>
    <cellStyle name="SAPBEXstdDataEmph 2 5 2" xfId="31584" xr:uid="{241EC948-B9DC-4DB5-98C3-4D70862923BD}"/>
    <cellStyle name="SAPBEXstdDataEmph 2 6" xfId="30016" xr:uid="{00000000-0005-0000-0000-00001F720000}"/>
    <cellStyle name="SAPBEXstdDataEmph 2 7" xfId="30215" xr:uid="{14432CF8-CB79-4547-B514-2B092D099D46}"/>
    <cellStyle name="SAPBEXstdDataEmph 3" xfId="24640" xr:uid="{00000000-0005-0000-0000-000020720000}"/>
    <cellStyle name="SAPBEXstdDataEmph 3 2" xfId="25401" xr:uid="{00000000-0005-0000-0000-000021720000}"/>
    <cellStyle name="SAPBEXstdDataEmph 3 2 2" xfId="27555" xr:uid="{00000000-0005-0000-0000-000022720000}"/>
    <cellStyle name="SAPBEXstdDataEmph 3 2 2 2" xfId="32146" xr:uid="{92034934-59B1-4B47-97C8-01E0BBA5E1CC}"/>
    <cellStyle name="SAPBEXstdDataEmph 3 2 3" xfId="28466" xr:uid="{00000000-0005-0000-0000-000023720000}"/>
    <cellStyle name="SAPBEXstdDataEmph 3 2 3 2" xfId="33024" xr:uid="{1292078A-90F8-4801-974C-C127B9217E47}"/>
    <cellStyle name="SAPBEXstdDataEmph 3 2 4" xfId="26462" xr:uid="{00000000-0005-0000-0000-000024720000}"/>
    <cellStyle name="SAPBEXstdDataEmph 3 2 4 2" xfId="31250" xr:uid="{E0E2A86E-8DB5-4FE4-A024-9EB12F258DEE}"/>
    <cellStyle name="SAPBEXstdDataEmph 3 2 5" xfId="30019" xr:uid="{00000000-0005-0000-0000-000025720000}"/>
    <cellStyle name="SAPBEXstdDataEmph 3 2 6" xfId="30559" xr:uid="{E8986772-1807-4A47-8012-BA5F428AEC62}"/>
    <cellStyle name="SAPBEXstdDataEmph 3 3" xfId="25606" xr:uid="{00000000-0005-0000-0000-000026720000}"/>
    <cellStyle name="SAPBEXstdDataEmph 3 3 2" xfId="27759" xr:uid="{00000000-0005-0000-0000-000027720000}"/>
    <cellStyle name="SAPBEXstdDataEmph 3 3 2 2" xfId="32346" xr:uid="{C84438FF-9D79-4980-AFF1-D1AC31684EA7}"/>
    <cellStyle name="SAPBEXstdDataEmph 3 3 3" xfId="28467" xr:uid="{00000000-0005-0000-0000-000028720000}"/>
    <cellStyle name="SAPBEXstdDataEmph 3 3 3 2" xfId="33025" xr:uid="{C95F8EE6-DCE2-4C3A-BD77-3F85B187D19B}"/>
    <cellStyle name="SAPBEXstdDataEmph 3 3 4" xfId="27299" xr:uid="{00000000-0005-0000-0000-000029720000}"/>
    <cellStyle name="SAPBEXstdDataEmph 3 3 4 2" xfId="31928" xr:uid="{FEA5A6FE-BF89-4B8A-A339-9EBDB37695FA}"/>
    <cellStyle name="SAPBEXstdDataEmph 3 3 5" xfId="30020" xr:uid="{00000000-0005-0000-0000-00002A720000}"/>
    <cellStyle name="SAPBEXstdDataEmph 3 4" xfId="27233" xr:uid="{00000000-0005-0000-0000-00002B720000}"/>
    <cellStyle name="SAPBEXstdDataEmph 3 4 2" xfId="31868" xr:uid="{3F71C599-362F-4AFA-A546-C7178FF950FB}"/>
    <cellStyle name="SAPBEXstdDataEmph 3 5" xfId="28465" xr:uid="{00000000-0005-0000-0000-00002C720000}"/>
    <cellStyle name="SAPBEXstdDataEmph 3 5 2" xfId="33023" xr:uid="{9DB387F2-BC1A-4200-A51D-1206CF697C38}"/>
    <cellStyle name="SAPBEXstdDataEmph 3 6" xfId="26309" xr:uid="{00000000-0005-0000-0000-00002D720000}"/>
    <cellStyle name="SAPBEXstdDataEmph 3 6 2" xfId="31097" xr:uid="{59ED7346-941B-41AE-9498-B31ADC581229}"/>
    <cellStyle name="SAPBEXstdDataEmph 3 7" xfId="30018" xr:uid="{00000000-0005-0000-0000-00002E720000}"/>
    <cellStyle name="SAPBEXstdDataEmph 3 8" xfId="30308" xr:uid="{7BF7292D-ED29-4A4F-9629-9CA4D29C1449}"/>
    <cellStyle name="SAPBEXstdDataEmph 4" xfId="25133" xr:uid="{00000000-0005-0000-0000-00002F720000}"/>
    <cellStyle name="SAPBEXstdDataEmph 4 2" xfId="25365" xr:uid="{00000000-0005-0000-0000-000030720000}"/>
    <cellStyle name="SAPBEXstdDataEmph 4 2 2" xfId="27519" xr:uid="{00000000-0005-0000-0000-000031720000}"/>
    <cellStyle name="SAPBEXstdDataEmph 4 2 2 2" xfId="32110" xr:uid="{C3DB6E0D-4C64-402F-AF6F-F87EC42A57A0}"/>
    <cellStyle name="SAPBEXstdDataEmph 4 2 3" xfId="28469" xr:uid="{00000000-0005-0000-0000-000032720000}"/>
    <cellStyle name="SAPBEXstdDataEmph 4 2 3 2" xfId="33027" xr:uid="{03DB1558-DFB9-44E7-8AF1-A00784726736}"/>
    <cellStyle name="SAPBEXstdDataEmph 4 2 4" xfId="26106" xr:uid="{00000000-0005-0000-0000-000033720000}"/>
    <cellStyle name="SAPBEXstdDataEmph 4 2 4 2" xfId="30896" xr:uid="{C145BEC5-B10F-41E8-8AA1-8065C6991384}"/>
    <cellStyle name="SAPBEXstdDataEmph 4 2 5" xfId="30022" xr:uid="{00000000-0005-0000-0000-000034720000}"/>
    <cellStyle name="SAPBEXstdDataEmph 4 2 6" xfId="30523" xr:uid="{B93307D7-4979-4CF4-8FCC-E3E0ABBD6DE6}"/>
    <cellStyle name="SAPBEXstdDataEmph 4 3" xfId="25731" xr:uid="{00000000-0005-0000-0000-000035720000}"/>
    <cellStyle name="SAPBEXstdDataEmph 4 3 2" xfId="27884" xr:uid="{00000000-0005-0000-0000-000036720000}"/>
    <cellStyle name="SAPBEXstdDataEmph 4 3 2 2" xfId="32471" xr:uid="{2E6FCE45-E9CC-4CDE-BF1A-7E92C0EF760E}"/>
    <cellStyle name="SAPBEXstdDataEmph 4 3 3" xfId="28470" xr:uid="{00000000-0005-0000-0000-000037720000}"/>
    <cellStyle name="SAPBEXstdDataEmph 4 3 3 2" xfId="33028" xr:uid="{955BB6CF-61D1-4756-83E9-9A56A20CB11C}"/>
    <cellStyle name="SAPBEXstdDataEmph 4 3 4" xfId="27013" xr:uid="{00000000-0005-0000-0000-000038720000}"/>
    <cellStyle name="SAPBEXstdDataEmph 4 3 4 2" xfId="31773" xr:uid="{B086D7B8-C840-48B7-A6D0-B7DAEF42AAB1}"/>
    <cellStyle name="SAPBEXstdDataEmph 4 3 5" xfId="30023" xr:uid="{00000000-0005-0000-0000-000039720000}"/>
    <cellStyle name="SAPBEXstdDataEmph 4 3 6" xfId="30725" xr:uid="{735FE7FD-41B0-401E-8EBE-0E809E5745CA}"/>
    <cellStyle name="SAPBEXstdDataEmph 4 4" xfId="27418" xr:uid="{00000000-0005-0000-0000-00003A720000}"/>
    <cellStyle name="SAPBEXstdDataEmph 4 4 2" xfId="32016" xr:uid="{84EE8AAE-91BA-4DEF-9C49-A1058B424518}"/>
    <cellStyle name="SAPBEXstdDataEmph 4 5" xfId="28468" xr:uid="{00000000-0005-0000-0000-00003B720000}"/>
    <cellStyle name="SAPBEXstdDataEmph 4 5 2" xfId="33026" xr:uid="{66822EB3-F42A-4099-8615-39FEB50EA92A}"/>
    <cellStyle name="SAPBEXstdDataEmph 4 6" xfId="26816" xr:uid="{00000000-0005-0000-0000-00003C720000}"/>
    <cellStyle name="SAPBEXstdDataEmph 4 6 2" xfId="31577" xr:uid="{2231C6E4-FE15-40CC-A8E4-67C8AD8E35C3}"/>
    <cellStyle name="SAPBEXstdDataEmph 4 7" xfId="30021" xr:uid="{00000000-0005-0000-0000-00003D720000}"/>
    <cellStyle name="SAPBEXstdDataEmph 4 8" xfId="30433" xr:uid="{7E7934BB-4CDE-4914-ADFD-6F133E14CD07}"/>
    <cellStyle name="SAPBEXstdDataEmph 5" xfId="25872" xr:uid="{00000000-0005-0000-0000-00003E720000}"/>
    <cellStyle name="SAPBEXstdDataEmph 5 2" xfId="30791" xr:uid="{565538A6-2502-4992-A7FB-98538A320F68}"/>
    <cellStyle name="SAPBEXstdDataEmph 6" xfId="28462" xr:uid="{00000000-0005-0000-0000-00003F720000}"/>
    <cellStyle name="SAPBEXstdDataEmph 6 2" xfId="33020" xr:uid="{9AFAABCD-7C3C-416C-BEE5-F95693649CF4}"/>
    <cellStyle name="SAPBEXstdDataEmph 7" xfId="29246" xr:uid="{00000000-0005-0000-0000-000040720000}"/>
    <cellStyle name="SAPBEXstdDataEmph 7 2" xfId="33228" xr:uid="{DD80551F-22CF-41D5-A477-5E2B829C95F9}"/>
    <cellStyle name="SAPBEXstdDataEmph 8" xfId="30015" xr:uid="{00000000-0005-0000-0000-000041720000}"/>
    <cellStyle name="SAPBEXstdItem" xfId="142" xr:uid="{00000000-0005-0000-0000-000042720000}"/>
    <cellStyle name="SAPBEXstdItem 10" xfId="13676" xr:uid="{00000000-0005-0000-0000-000043720000}"/>
    <cellStyle name="SAPBEXstdItem 10 2" xfId="25514" xr:uid="{00000000-0005-0000-0000-000044720000}"/>
    <cellStyle name="SAPBEXstdItem 10 2 2" xfId="27667" xr:uid="{00000000-0005-0000-0000-000045720000}"/>
    <cellStyle name="SAPBEXstdItem 10 2 2 2" xfId="32254" xr:uid="{7D516838-2059-4549-BF1E-17D4AE5F6889}"/>
    <cellStyle name="SAPBEXstdItem 10 2 3" xfId="28473" xr:uid="{00000000-0005-0000-0000-000046720000}"/>
    <cellStyle name="SAPBEXstdItem 10 2 3 2" xfId="33031" xr:uid="{5F895FB3-966C-44C4-849F-34E9E656E6B7}"/>
    <cellStyle name="SAPBEXstdItem 10 2 4" xfId="26956" xr:uid="{00000000-0005-0000-0000-000047720000}"/>
    <cellStyle name="SAPBEXstdItem 10 2 4 2" xfId="31717" xr:uid="{E188FEB3-1FDF-4FE9-AA13-17537B49E2C0}"/>
    <cellStyle name="SAPBEXstdItem 10 2 5" xfId="30026" xr:uid="{00000000-0005-0000-0000-000048720000}"/>
    <cellStyle name="SAPBEXstdItem 10 3" xfId="26618" xr:uid="{00000000-0005-0000-0000-000049720000}"/>
    <cellStyle name="SAPBEXstdItem 10 3 2" xfId="31396" xr:uid="{E82856EF-9F70-42EA-B44B-61410958F902}"/>
    <cellStyle name="SAPBEXstdItem 10 4" xfId="28472" xr:uid="{00000000-0005-0000-0000-00004A720000}"/>
    <cellStyle name="SAPBEXstdItem 10 4 2" xfId="33030" xr:uid="{043BF500-34B1-466D-8CB2-D76B146B9567}"/>
    <cellStyle name="SAPBEXstdItem 10 5" xfId="26494" xr:uid="{00000000-0005-0000-0000-00004B720000}"/>
    <cellStyle name="SAPBEXstdItem 10 5 2" xfId="31282" xr:uid="{CEAC0034-716C-4DE0-B62B-8A2432C96AD3}"/>
    <cellStyle name="SAPBEXstdItem 10 6" xfId="30025" xr:uid="{00000000-0005-0000-0000-00004C720000}"/>
    <cellStyle name="SAPBEXstdItem 10 7" xfId="30216" xr:uid="{1E91C4F7-07F4-4518-B240-4C92F223DC71}"/>
    <cellStyle name="SAPBEXstdItem 11" xfId="24639" xr:uid="{00000000-0005-0000-0000-00004D720000}"/>
    <cellStyle name="SAPBEXstdItem 11 2" xfId="25385" xr:uid="{00000000-0005-0000-0000-00004E720000}"/>
    <cellStyle name="SAPBEXstdItem 11 2 2" xfId="27539" xr:uid="{00000000-0005-0000-0000-00004F720000}"/>
    <cellStyle name="SAPBEXstdItem 11 2 2 2" xfId="32130" xr:uid="{02BEAEA3-DCF8-4973-9D3E-A7F611D9F75E}"/>
    <cellStyle name="SAPBEXstdItem 11 2 3" xfId="28475" xr:uid="{00000000-0005-0000-0000-000050720000}"/>
    <cellStyle name="SAPBEXstdItem 11 2 3 2" xfId="33033" xr:uid="{37057B8F-AC3B-48A3-8A72-17B997A3BF6E}"/>
    <cellStyle name="SAPBEXstdItem 11 2 4" xfId="26455" xr:uid="{00000000-0005-0000-0000-000051720000}"/>
    <cellStyle name="SAPBEXstdItem 11 2 4 2" xfId="31243" xr:uid="{36F12AA0-35D3-4E9B-A301-E890BC29AF02}"/>
    <cellStyle name="SAPBEXstdItem 11 2 5" xfId="30028" xr:uid="{00000000-0005-0000-0000-000052720000}"/>
    <cellStyle name="SAPBEXstdItem 11 2 6" xfId="30543" xr:uid="{E134D3F1-720F-4874-A32F-8529DCD2F790}"/>
    <cellStyle name="SAPBEXstdItem 11 3" xfId="25605" xr:uid="{00000000-0005-0000-0000-000053720000}"/>
    <cellStyle name="SAPBEXstdItem 11 3 2" xfId="27758" xr:uid="{00000000-0005-0000-0000-000054720000}"/>
    <cellStyle name="SAPBEXstdItem 11 3 2 2" xfId="32345" xr:uid="{B4A2052D-72BA-4A55-8B1F-1CB6B713AB48}"/>
    <cellStyle name="SAPBEXstdItem 11 3 3" xfId="28476" xr:uid="{00000000-0005-0000-0000-000055720000}"/>
    <cellStyle name="SAPBEXstdItem 11 3 3 2" xfId="33034" xr:uid="{69024373-1E71-4559-BD1C-D4F2788C10F1}"/>
    <cellStyle name="SAPBEXstdItem 11 3 4" xfId="26812" xr:uid="{00000000-0005-0000-0000-000056720000}"/>
    <cellStyle name="SAPBEXstdItem 11 3 4 2" xfId="31573" xr:uid="{C89EDFA2-E246-4599-9154-B4B08FD77D65}"/>
    <cellStyle name="SAPBEXstdItem 11 3 5" xfId="30029" xr:uid="{00000000-0005-0000-0000-000057720000}"/>
    <cellStyle name="SAPBEXstdItem 11 4" xfId="27232" xr:uid="{00000000-0005-0000-0000-000058720000}"/>
    <cellStyle name="SAPBEXstdItem 11 4 2" xfId="31867" xr:uid="{7889C2A1-42D6-48E0-95D1-F1BB65C8FB84}"/>
    <cellStyle name="SAPBEXstdItem 11 5" xfId="28474" xr:uid="{00000000-0005-0000-0000-000059720000}"/>
    <cellStyle name="SAPBEXstdItem 11 5 2" xfId="33032" xr:uid="{5F6E539F-F53C-44AC-9347-B925503AD9B1}"/>
    <cellStyle name="SAPBEXstdItem 11 6" xfId="26384" xr:uid="{00000000-0005-0000-0000-00005A720000}"/>
    <cellStyle name="SAPBEXstdItem 11 6 2" xfId="31172" xr:uid="{FC60DFD3-0147-41BF-B105-6E95D68F2FDE}"/>
    <cellStyle name="SAPBEXstdItem 11 7" xfId="30027" xr:uid="{00000000-0005-0000-0000-00005B720000}"/>
    <cellStyle name="SAPBEXstdItem 11 8" xfId="30307" xr:uid="{2AF6E124-2F3F-4F8D-A7EA-049A1A01AF25}"/>
    <cellStyle name="SAPBEXstdItem 12" xfId="25134" xr:uid="{00000000-0005-0000-0000-00005C720000}"/>
    <cellStyle name="SAPBEXstdItem 12 2" xfId="25379" xr:uid="{00000000-0005-0000-0000-00005D720000}"/>
    <cellStyle name="SAPBEXstdItem 12 2 2" xfId="27533" xr:uid="{00000000-0005-0000-0000-00005E720000}"/>
    <cellStyle name="SAPBEXstdItem 12 2 2 2" xfId="32124" xr:uid="{D27E560F-9BF6-4229-9F1A-498B4DD98F63}"/>
    <cellStyle name="SAPBEXstdItem 12 2 3" xfId="28478" xr:uid="{00000000-0005-0000-0000-00005F720000}"/>
    <cellStyle name="SAPBEXstdItem 12 2 3 2" xfId="33036" xr:uid="{D844B4D7-CD17-4B05-BFC5-ACE730F2582E}"/>
    <cellStyle name="SAPBEXstdItem 12 2 4" xfId="26136" xr:uid="{00000000-0005-0000-0000-000060720000}"/>
    <cellStyle name="SAPBEXstdItem 12 2 4 2" xfId="30926" xr:uid="{5B3C1DA1-79AF-44B7-B530-E884DD7C41BC}"/>
    <cellStyle name="SAPBEXstdItem 12 2 5" xfId="30031" xr:uid="{00000000-0005-0000-0000-000061720000}"/>
    <cellStyle name="SAPBEXstdItem 12 2 6" xfId="30537" xr:uid="{1B85A3BF-9FC1-4D77-9F42-13F96FAC7F22}"/>
    <cellStyle name="SAPBEXstdItem 12 3" xfId="25732" xr:uid="{00000000-0005-0000-0000-000062720000}"/>
    <cellStyle name="SAPBEXstdItem 12 3 2" xfId="27885" xr:uid="{00000000-0005-0000-0000-000063720000}"/>
    <cellStyle name="SAPBEXstdItem 12 3 2 2" xfId="32472" xr:uid="{E45C59CD-23E8-4BE9-BB2E-F3F2B3BBE5E7}"/>
    <cellStyle name="SAPBEXstdItem 12 3 3" xfId="28479" xr:uid="{00000000-0005-0000-0000-000064720000}"/>
    <cellStyle name="SAPBEXstdItem 12 3 3 2" xfId="33037" xr:uid="{B276B874-BD72-4BDE-A8A0-3462BC9F5443}"/>
    <cellStyle name="SAPBEXstdItem 12 3 4" xfId="26369" xr:uid="{00000000-0005-0000-0000-000065720000}"/>
    <cellStyle name="SAPBEXstdItem 12 3 4 2" xfId="31157" xr:uid="{E644A67F-BDAC-41F3-84E3-2DF7986CAEC0}"/>
    <cellStyle name="SAPBEXstdItem 12 3 5" xfId="30032" xr:uid="{00000000-0005-0000-0000-000066720000}"/>
    <cellStyle name="SAPBEXstdItem 12 3 6" xfId="30726" xr:uid="{19016C21-975C-4390-A620-1E379C7B2287}"/>
    <cellStyle name="SAPBEXstdItem 12 4" xfId="27419" xr:uid="{00000000-0005-0000-0000-000067720000}"/>
    <cellStyle name="SAPBEXstdItem 12 4 2" xfId="32017" xr:uid="{DE928E43-71EE-45CB-9CEA-A4F481339B5B}"/>
    <cellStyle name="SAPBEXstdItem 12 5" xfId="28477" xr:uid="{00000000-0005-0000-0000-000068720000}"/>
    <cellStyle name="SAPBEXstdItem 12 5 2" xfId="33035" xr:uid="{A6840F9F-DA6C-4DB5-9F48-9F9FC63770E6}"/>
    <cellStyle name="SAPBEXstdItem 12 6" xfId="26452" xr:uid="{00000000-0005-0000-0000-000069720000}"/>
    <cellStyle name="SAPBEXstdItem 12 6 2" xfId="31240" xr:uid="{D8656223-C067-43D5-812E-64BB93BDD6EC}"/>
    <cellStyle name="SAPBEXstdItem 12 7" xfId="30030" xr:uid="{00000000-0005-0000-0000-00006A720000}"/>
    <cellStyle name="SAPBEXstdItem 12 8" xfId="30434" xr:uid="{FDE54373-F2BC-40DB-BE8D-7BA59BAC4E44}"/>
    <cellStyle name="SAPBEXstdItem 13" xfId="25873" xr:uid="{00000000-0005-0000-0000-00006B720000}"/>
    <cellStyle name="SAPBEXstdItem 13 2" xfId="30792" xr:uid="{B15561DA-BA49-4E99-9D4F-1DDA8061DEDF}"/>
    <cellStyle name="SAPBEXstdItem 14" xfId="28471" xr:uid="{00000000-0005-0000-0000-00006C720000}"/>
    <cellStyle name="SAPBEXstdItem 14 2" xfId="33029" xr:uid="{AE37E7B4-FAA3-402F-A678-168F87B1E84D}"/>
    <cellStyle name="SAPBEXstdItem 15" xfId="29209" xr:uid="{00000000-0005-0000-0000-00006D720000}"/>
    <cellStyle name="SAPBEXstdItem 15 2" xfId="33192" xr:uid="{1DE7E4B1-6DAB-4F2F-ADFC-1B7C186465CE}"/>
    <cellStyle name="SAPBEXstdItem 16" xfId="30024" xr:uid="{00000000-0005-0000-0000-00006E720000}"/>
    <cellStyle name="SAPBEXstdItem 2" xfId="143" xr:uid="{00000000-0005-0000-0000-00006F720000}"/>
    <cellStyle name="SAPBEXstdItem 2 2" xfId="13677" xr:uid="{00000000-0005-0000-0000-000070720000}"/>
    <cellStyle name="SAPBEXstdItem 2 2 2" xfId="25515" xr:uid="{00000000-0005-0000-0000-000071720000}"/>
    <cellStyle name="SAPBEXstdItem 2 2 2 2" xfId="27668" xr:uid="{00000000-0005-0000-0000-000072720000}"/>
    <cellStyle name="SAPBEXstdItem 2 2 2 2 2" xfId="32255" xr:uid="{696E9D6A-C1B3-4AA3-AD6A-87722D7571B7}"/>
    <cellStyle name="SAPBEXstdItem 2 2 2 3" xfId="28482" xr:uid="{00000000-0005-0000-0000-000073720000}"/>
    <cellStyle name="SAPBEXstdItem 2 2 2 3 2" xfId="33040" xr:uid="{6BF646E8-E27D-4DD5-B34F-F8BF8E1EE11C}"/>
    <cellStyle name="SAPBEXstdItem 2 2 2 4" xfId="26943" xr:uid="{00000000-0005-0000-0000-000074720000}"/>
    <cellStyle name="SAPBEXstdItem 2 2 2 4 2" xfId="31704" xr:uid="{4C72149F-6ECC-4652-B466-CD99280FAD44}"/>
    <cellStyle name="SAPBEXstdItem 2 2 2 5" xfId="30035" xr:uid="{00000000-0005-0000-0000-000075720000}"/>
    <cellStyle name="SAPBEXstdItem 2 2 3" xfId="26619" xr:uid="{00000000-0005-0000-0000-000076720000}"/>
    <cellStyle name="SAPBEXstdItem 2 2 3 2" xfId="31397" xr:uid="{7C978F41-27D8-480E-B306-7FA8B2900AC4}"/>
    <cellStyle name="SAPBEXstdItem 2 2 4" xfId="28481" xr:uid="{00000000-0005-0000-0000-000077720000}"/>
    <cellStyle name="SAPBEXstdItem 2 2 4 2" xfId="33039" xr:uid="{E29D8BD4-78EB-4195-8E9A-68118CC55C74}"/>
    <cellStyle name="SAPBEXstdItem 2 2 5" xfId="26514" xr:uid="{00000000-0005-0000-0000-000078720000}"/>
    <cellStyle name="SAPBEXstdItem 2 2 5 2" xfId="31302" xr:uid="{F63CBD9C-1327-4193-8051-294F91FF2D59}"/>
    <cellStyle name="SAPBEXstdItem 2 2 6" xfId="30034" xr:uid="{00000000-0005-0000-0000-000079720000}"/>
    <cellStyle name="SAPBEXstdItem 2 2 7" xfId="30217" xr:uid="{CF994EC1-D8C3-4EB2-9A75-5E70A7D56FB3}"/>
    <cellStyle name="SAPBEXstdItem 2 3" xfId="25874" xr:uid="{00000000-0005-0000-0000-00007A720000}"/>
    <cellStyle name="SAPBEXstdItem 2 3 2" xfId="30793" xr:uid="{EA128775-1CBF-4AEA-9D27-9D5EA39C04F2}"/>
    <cellStyle name="SAPBEXstdItem 2 4" xfId="28480" xr:uid="{00000000-0005-0000-0000-00007B720000}"/>
    <cellStyle name="SAPBEXstdItem 2 4 2" xfId="33038" xr:uid="{E0AA107B-C196-4163-9C91-F27A7D044E97}"/>
    <cellStyle name="SAPBEXstdItem 2 5" xfId="26050" xr:uid="{00000000-0005-0000-0000-00007C720000}"/>
    <cellStyle name="SAPBEXstdItem 2 5 2" xfId="30842" xr:uid="{99293753-3EA6-4A60-AD32-F1125BCB9804}"/>
    <cellStyle name="SAPBEXstdItem 2 6" xfId="30033" xr:uid="{00000000-0005-0000-0000-00007D720000}"/>
    <cellStyle name="SAPBEXstdItem 3" xfId="264" xr:uid="{00000000-0005-0000-0000-00007E720000}"/>
    <cellStyle name="SAPBEXstdItem 3 2" xfId="13727" xr:uid="{00000000-0005-0000-0000-00007F720000}"/>
    <cellStyle name="SAPBEXstdItem 3 2 2" xfId="25540" xr:uid="{00000000-0005-0000-0000-000080720000}"/>
    <cellStyle name="SAPBEXstdItem 3 2 2 2" xfId="27693" xr:uid="{00000000-0005-0000-0000-000081720000}"/>
    <cellStyle name="SAPBEXstdItem 3 2 2 2 2" xfId="32280" xr:uid="{6985C235-AFF0-4F97-9938-F58B5CFC5A9E}"/>
    <cellStyle name="SAPBEXstdItem 3 2 2 3" xfId="28485" xr:uid="{00000000-0005-0000-0000-000082720000}"/>
    <cellStyle name="SAPBEXstdItem 3 2 2 3 2" xfId="33043" xr:uid="{6A6A8FA8-BACD-47C1-A580-4243E59733A2}"/>
    <cellStyle name="SAPBEXstdItem 3 2 2 4" xfId="26696" xr:uid="{00000000-0005-0000-0000-000083720000}"/>
    <cellStyle name="SAPBEXstdItem 3 2 2 4 2" xfId="31458" xr:uid="{FCE8D75C-BD5C-48FA-96F5-9338A6092641}"/>
    <cellStyle name="SAPBEXstdItem 3 2 2 5" xfId="30038" xr:uid="{00000000-0005-0000-0000-000084720000}"/>
    <cellStyle name="SAPBEXstdItem 3 2 3" xfId="26647" xr:uid="{00000000-0005-0000-0000-000085720000}"/>
    <cellStyle name="SAPBEXstdItem 3 2 3 2" xfId="31424" xr:uid="{87C21466-7482-44B5-8CFE-BE7C7B976A4F}"/>
    <cellStyle name="SAPBEXstdItem 3 2 4" xfId="28484" xr:uid="{00000000-0005-0000-0000-000086720000}"/>
    <cellStyle name="SAPBEXstdItem 3 2 4 2" xfId="33042" xr:uid="{0110FBA5-9D1D-48C4-8501-A2FA48B3EC7B}"/>
    <cellStyle name="SAPBEXstdItem 3 2 5" xfId="26242" xr:uid="{00000000-0005-0000-0000-000087720000}"/>
    <cellStyle name="SAPBEXstdItem 3 2 5 2" xfId="31030" xr:uid="{7405C4C0-AE2D-4335-9D17-B9A90015A59A}"/>
    <cellStyle name="SAPBEXstdItem 3 2 6" xfId="30037" xr:uid="{00000000-0005-0000-0000-000088720000}"/>
    <cellStyle name="SAPBEXstdItem 3 2 7" xfId="30242" xr:uid="{DFECBD3B-2808-4947-A060-1025849DBB5E}"/>
    <cellStyle name="SAPBEXstdItem 3 3" xfId="25930" xr:uid="{00000000-0005-0000-0000-000089720000}"/>
    <cellStyle name="SAPBEXstdItem 3 3 2" xfId="30819" xr:uid="{90A9C38F-F533-4290-828F-050A4CFE7DB3}"/>
    <cellStyle name="SAPBEXstdItem 3 4" xfId="28483" xr:uid="{00000000-0005-0000-0000-00008A720000}"/>
    <cellStyle name="SAPBEXstdItem 3 4 2" xfId="33041" xr:uid="{DB02B5ED-8DAA-429C-B3E8-D97C4760D959}"/>
    <cellStyle name="SAPBEXstdItem 3 5" xfId="27929" xr:uid="{00000000-0005-0000-0000-00008B720000}"/>
    <cellStyle name="SAPBEXstdItem 3 5 2" xfId="32487" xr:uid="{96285822-A17F-4307-B5E4-3926E2C1CEFE}"/>
    <cellStyle name="SAPBEXstdItem 3 6" xfId="30036" xr:uid="{00000000-0005-0000-0000-00008C720000}"/>
    <cellStyle name="SAPBEXstdItem 4" xfId="265" xr:uid="{00000000-0005-0000-0000-00008D720000}"/>
    <cellStyle name="SAPBEXstdItem 4 2" xfId="13728" xr:uid="{00000000-0005-0000-0000-00008E720000}"/>
    <cellStyle name="SAPBEXstdItem 4 2 2" xfId="25541" xr:uid="{00000000-0005-0000-0000-00008F720000}"/>
    <cellStyle name="SAPBEXstdItem 4 2 2 2" xfId="27694" xr:uid="{00000000-0005-0000-0000-000090720000}"/>
    <cellStyle name="SAPBEXstdItem 4 2 2 2 2" xfId="32281" xr:uid="{BA55B361-4B9D-4F73-A554-BE337B3695C9}"/>
    <cellStyle name="SAPBEXstdItem 4 2 2 3" xfId="28488" xr:uid="{00000000-0005-0000-0000-000091720000}"/>
    <cellStyle name="SAPBEXstdItem 4 2 2 3 2" xfId="33046" xr:uid="{59935496-8342-40CF-8F6B-68A5DDCE2877}"/>
    <cellStyle name="SAPBEXstdItem 4 2 2 4" xfId="26160" xr:uid="{00000000-0005-0000-0000-000092720000}"/>
    <cellStyle name="SAPBEXstdItem 4 2 2 4 2" xfId="30949" xr:uid="{838666B9-E9A6-435B-83E0-2167E01C3C7A}"/>
    <cellStyle name="SAPBEXstdItem 4 2 2 5" xfId="30041" xr:uid="{00000000-0005-0000-0000-000093720000}"/>
    <cellStyle name="SAPBEXstdItem 4 2 3" xfId="26648" xr:uid="{00000000-0005-0000-0000-000094720000}"/>
    <cellStyle name="SAPBEXstdItem 4 2 3 2" xfId="31425" xr:uid="{D0DDBB1F-5634-45F6-BDB2-C1A1BE05E9B3}"/>
    <cellStyle name="SAPBEXstdItem 4 2 4" xfId="28487" xr:uid="{00000000-0005-0000-0000-000095720000}"/>
    <cellStyle name="SAPBEXstdItem 4 2 4 2" xfId="33045" xr:uid="{7D0C6730-F3AB-461C-88D0-38BD0C44178B}"/>
    <cellStyle name="SAPBEXstdItem 4 2 5" xfId="26118" xr:uid="{00000000-0005-0000-0000-000096720000}"/>
    <cellStyle name="SAPBEXstdItem 4 2 5 2" xfId="30908" xr:uid="{2F4A2F80-FA9C-4A8B-8303-BBEBD72A48FD}"/>
    <cellStyle name="SAPBEXstdItem 4 2 6" xfId="30040" xr:uid="{00000000-0005-0000-0000-000097720000}"/>
    <cellStyle name="SAPBEXstdItem 4 2 7" xfId="30243" xr:uid="{3D600FC7-16B8-47FA-8F80-96BAD9BF94CB}"/>
    <cellStyle name="SAPBEXstdItem 4 3" xfId="25931" xr:uid="{00000000-0005-0000-0000-000098720000}"/>
    <cellStyle name="SAPBEXstdItem 4 3 2" xfId="30820" xr:uid="{B96F8E83-4834-4CDE-84B6-90336E133109}"/>
    <cellStyle name="SAPBEXstdItem 4 4" xfId="28486" xr:uid="{00000000-0005-0000-0000-000099720000}"/>
    <cellStyle name="SAPBEXstdItem 4 4 2" xfId="33044" xr:uid="{88B94184-2749-4E6E-B69A-2E52FCDC5D1C}"/>
    <cellStyle name="SAPBEXstdItem 4 5" xfId="29217" xr:uid="{00000000-0005-0000-0000-00009A720000}"/>
    <cellStyle name="SAPBEXstdItem 4 5 2" xfId="33200" xr:uid="{EC8D61F5-2AFF-4C1E-809B-5CD5F6276A41}"/>
    <cellStyle name="SAPBEXstdItem 4 6" xfId="30039" xr:uid="{00000000-0005-0000-0000-00009B720000}"/>
    <cellStyle name="SAPBEXstdItem 5" xfId="266" xr:uid="{00000000-0005-0000-0000-00009C720000}"/>
    <cellStyle name="SAPBEXstdItem 5 2" xfId="13729" xr:uid="{00000000-0005-0000-0000-00009D720000}"/>
    <cellStyle name="SAPBEXstdItem 5 2 2" xfId="25542" xr:uid="{00000000-0005-0000-0000-00009E720000}"/>
    <cellStyle name="SAPBEXstdItem 5 2 2 2" xfId="27695" xr:uid="{00000000-0005-0000-0000-00009F720000}"/>
    <cellStyle name="SAPBEXstdItem 5 2 2 2 2" xfId="32282" xr:uid="{8AB2937F-3855-466C-8513-5A2CA4D9C60D}"/>
    <cellStyle name="SAPBEXstdItem 5 2 2 3" xfId="28491" xr:uid="{00000000-0005-0000-0000-0000A0720000}"/>
    <cellStyle name="SAPBEXstdItem 5 2 2 3 2" xfId="33049" xr:uid="{97F5E2E8-943D-4712-A72D-9C87792233CB}"/>
    <cellStyle name="SAPBEXstdItem 5 2 2 4" xfId="26979" xr:uid="{00000000-0005-0000-0000-0000A1720000}"/>
    <cellStyle name="SAPBEXstdItem 5 2 2 4 2" xfId="31740" xr:uid="{CE9C04E6-1564-4660-88BB-1A46D22F771A}"/>
    <cellStyle name="SAPBEXstdItem 5 2 2 5" xfId="30044" xr:uid="{00000000-0005-0000-0000-0000A2720000}"/>
    <cellStyle name="SAPBEXstdItem 5 2 3" xfId="26649" xr:uid="{00000000-0005-0000-0000-0000A3720000}"/>
    <cellStyle name="SAPBEXstdItem 5 2 3 2" xfId="31426" xr:uid="{67FEBB94-350B-4639-A157-37401D1093B2}"/>
    <cellStyle name="SAPBEXstdItem 5 2 4" xfId="28490" xr:uid="{00000000-0005-0000-0000-0000A4720000}"/>
    <cellStyle name="SAPBEXstdItem 5 2 4 2" xfId="33048" xr:uid="{B3151FFB-8738-4439-886E-6D5AA2B63BC8}"/>
    <cellStyle name="SAPBEXstdItem 5 2 5" xfId="26736" xr:uid="{00000000-0005-0000-0000-0000A5720000}"/>
    <cellStyle name="SAPBEXstdItem 5 2 5 2" xfId="31497" xr:uid="{31443F00-E23F-4A6D-9818-37B9187F851C}"/>
    <cellStyle name="SAPBEXstdItem 5 2 6" xfId="30043" xr:uid="{00000000-0005-0000-0000-0000A6720000}"/>
    <cellStyle name="SAPBEXstdItem 5 2 7" xfId="30244" xr:uid="{3FA22EDC-745E-47D4-BAC0-F42AB0837140}"/>
    <cellStyle name="SAPBEXstdItem 5 3" xfId="25932" xr:uid="{00000000-0005-0000-0000-0000A7720000}"/>
    <cellStyle name="SAPBEXstdItem 5 3 2" xfId="30821" xr:uid="{704D1973-5298-4610-BCC8-865BE2BA0ABB}"/>
    <cellStyle name="SAPBEXstdItem 5 4" xfId="28489" xr:uid="{00000000-0005-0000-0000-0000A8720000}"/>
    <cellStyle name="SAPBEXstdItem 5 4 2" xfId="33047" xr:uid="{17ABF4AF-C1AE-449F-BC1A-645A4F542230}"/>
    <cellStyle name="SAPBEXstdItem 5 5" xfId="26818" xr:uid="{00000000-0005-0000-0000-0000A9720000}"/>
    <cellStyle name="SAPBEXstdItem 5 5 2" xfId="31579" xr:uid="{5EA776B2-B43E-4AD5-97E6-3F43F4C48838}"/>
    <cellStyle name="SAPBEXstdItem 5 6" xfId="30042" xr:uid="{00000000-0005-0000-0000-0000AA720000}"/>
    <cellStyle name="SAPBEXstdItem 6" xfId="267" xr:uid="{00000000-0005-0000-0000-0000AB720000}"/>
    <cellStyle name="SAPBEXstdItem 6 2" xfId="13730" xr:uid="{00000000-0005-0000-0000-0000AC720000}"/>
    <cellStyle name="SAPBEXstdItem 6 2 2" xfId="25543" xr:uid="{00000000-0005-0000-0000-0000AD720000}"/>
    <cellStyle name="SAPBEXstdItem 6 2 2 2" xfId="27696" xr:uid="{00000000-0005-0000-0000-0000AE720000}"/>
    <cellStyle name="SAPBEXstdItem 6 2 2 2 2" xfId="32283" xr:uid="{2D740B26-59CB-4597-B548-C02B489D9AA7}"/>
    <cellStyle name="SAPBEXstdItem 6 2 2 3" xfId="28494" xr:uid="{00000000-0005-0000-0000-0000AF720000}"/>
    <cellStyle name="SAPBEXstdItem 6 2 2 3 2" xfId="33052" xr:uid="{30F72A85-F673-4D64-B204-B373C5977653}"/>
    <cellStyle name="SAPBEXstdItem 6 2 2 4" xfId="26990" xr:uid="{00000000-0005-0000-0000-0000B0720000}"/>
    <cellStyle name="SAPBEXstdItem 6 2 2 4 2" xfId="31751" xr:uid="{8588298E-827D-4779-94CA-26B2C9A0D8AE}"/>
    <cellStyle name="SAPBEXstdItem 6 2 2 5" xfId="30047" xr:uid="{00000000-0005-0000-0000-0000B1720000}"/>
    <cellStyle name="SAPBEXstdItem 6 2 3" xfId="26650" xr:uid="{00000000-0005-0000-0000-0000B2720000}"/>
    <cellStyle name="SAPBEXstdItem 6 2 3 2" xfId="31427" xr:uid="{0B066A34-38E4-4AA9-BDDC-5B769B9E89BE}"/>
    <cellStyle name="SAPBEXstdItem 6 2 4" xfId="28493" xr:uid="{00000000-0005-0000-0000-0000B3720000}"/>
    <cellStyle name="SAPBEXstdItem 6 2 4 2" xfId="33051" xr:uid="{700E2564-6A4F-4F27-9425-884ED2289BFC}"/>
    <cellStyle name="SAPBEXstdItem 6 2 5" xfId="26714" xr:uid="{00000000-0005-0000-0000-0000B4720000}"/>
    <cellStyle name="SAPBEXstdItem 6 2 5 2" xfId="31476" xr:uid="{44221BFB-7587-4B39-89A3-2D6105BFF88E}"/>
    <cellStyle name="SAPBEXstdItem 6 2 6" xfId="30046" xr:uid="{00000000-0005-0000-0000-0000B5720000}"/>
    <cellStyle name="SAPBEXstdItem 6 2 7" xfId="30245" xr:uid="{FC078262-2F3C-4771-888F-BA5155B57ED8}"/>
    <cellStyle name="SAPBEXstdItem 6 3" xfId="25933" xr:uid="{00000000-0005-0000-0000-0000B6720000}"/>
    <cellStyle name="SAPBEXstdItem 6 3 2" xfId="30822" xr:uid="{D21B78F2-CF4E-4ED4-A0BC-1F74A4210DAA}"/>
    <cellStyle name="SAPBEXstdItem 6 4" xfId="28492" xr:uid="{00000000-0005-0000-0000-0000B7720000}"/>
    <cellStyle name="SAPBEXstdItem 6 4 2" xfId="33050" xr:uid="{1663D4C5-1AFA-46B6-B267-9398D61DA737}"/>
    <cellStyle name="SAPBEXstdItem 6 5" xfId="29222" xr:uid="{00000000-0005-0000-0000-0000B8720000}"/>
    <cellStyle name="SAPBEXstdItem 6 5 2" xfId="33205" xr:uid="{C7AF8F48-C2F8-4193-87FB-C5D69D620641}"/>
    <cellStyle name="SAPBEXstdItem 6 6" xfId="30045" xr:uid="{00000000-0005-0000-0000-0000B9720000}"/>
    <cellStyle name="SAPBEXstdItem 7" xfId="268" xr:uid="{00000000-0005-0000-0000-0000BA720000}"/>
    <cellStyle name="SAPBEXstdItem 7 2" xfId="13731" xr:uid="{00000000-0005-0000-0000-0000BB720000}"/>
    <cellStyle name="SAPBEXstdItem 7 2 2" xfId="25544" xr:uid="{00000000-0005-0000-0000-0000BC720000}"/>
    <cellStyle name="SAPBEXstdItem 7 2 2 2" xfId="27697" xr:uid="{00000000-0005-0000-0000-0000BD720000}"/>
    <cellStyle name="SAPBEXstdItem 7 2 2 2 2" xfId="32284" xr:uid="{E21CDEFD-7E91-42C0-92DD-9EA523EEC3AF}"/>
    <cellStyle name="SAPBEXstdItem 7 2 2 3" xfId="28497" xr:uid="{00000000-0005-0000-0000-0000BE720000}"/>
    <cellStyle name="SAPBEXstdItem 7 2 2 3 2" xfId="33055" xr:uid="{0270057D-A899-47A1-BD5A-9BF688C52639}"/>
    <cellStyle name="SAPBEXstdItem 7 2 2 4" xfId="26468" xr:uid="{00000000-0005-0000-0000-0000BF720000}"/>
    <cellStyle name="SAPBEXstdItem 7 2 2 4 2" xfId="31256" xr:uid="{EAE69160-DA68-4209-A242-83C57F08876E}"/>
    <cellStyle name="SAPBEXstdItem 7 2 2 5" xfId="30050" xr:uid="{00000000-0005-0000-0000-0000C0720000}"/>
    <cellStyle name="SAPBEXstdItem 7 2 3" xfId="26651" xr:uid="{00000000-0005-0000-0000-0000C1720000}"/>
    <cellStyle name="SAPBEXstdItem 7 2 3 2" xfId="31428" xr:uid="{35738A9C-30BB-40FC-9184-44086A11D765}"/>
    <cellStyle name="SAPBEXstdItem 7 2 4" xfId="28496" xr:uid="{00000000-0005-0000-0000-0000C2720000}"/>
    <cellStyle name="SAPBEXstdItem 7 2 4 2" xfId="33054" xr:uid="{26567702-F94E-4923-A2A7-9C79EEF88D27}"/>
    <cellStyle name="SAPBEXstdItem 7 2 5" xfId="27015" xr:uid="{00000000-0005-0000-0000-0000C3720000}"/>
    <cellStyle name="SAPBEXstdItem 7 2 5 2" xfId="31775" xr:uid="{FD77F79D-D49D-488E-BBFD-9EC8514538ED}"/>
    <cellStyle name="SAPBEXstdItem 7 2 6" xfId="30049" xr:uid="{00000000-0005-0000-0000-0000C4720000}"/>
    <cellStyle name="SAPBEXstdItem 7 2 7" xfId="30246" xr:uid="{61361662-69CD-4397-BBF9-B0081A913AD2}"/>
    <cellStyle name="SAPBEXstdItem 7 3" xfId="25934" xr:uid="{00000000-0005-0000-0000-0000C5720000}"/>
    <cellStyle name="SAPBEXstdItem 7 3 2" xfId="30823" xr:uid="{B1B4484C-EC93-4362-9EB8-C48F0316CCB3}"/>
    <cellStyle name="SAPBEXstdItem 7 4" xfId="28495" xr:uid="{00000000-0005-0000-0000-0000C6720000}"/>
    <cellStyle name="SAPBEXstdItem 7 4 2" xfId="33053" xr:uid="{E9338782-8223-4DD7-9738-8EFEA1E61D8E}"/>
    <cellStyle name="SAPBEXstdItem 7 5" xfId="26223" xr:uid="{00000000-0005-0000-0000-0000C7720000}"/>
    <cellStyle name="SAPBEXstdItem 7 5 2" xfId="31011" xr:uid="{0EEA543C-F7F4-4BE2-BF84-38EC12740A9D}"/>
    <cellStyle name="SAPBEXstdItem 7 6" xfId="30048" xr:uid="{00000000-0005-0000-0000-0000C8720000}"/>
    <cellStyle name="SAPBEXstdItem 8" xfId="416" xr:uid="{00000000-0005-0000-0000-0000C9720000}"/>
    <cellStyle name="SAPBEXstdItem 8 2" xfId="13795" xr:uid="{00000000-0005-0000-0000-0000CA720000}"/>
    <cellStyle name="SAPBEXstdItem 8 2 2" xfId="25553" xr:uid="{00000000-0005-0000-0000-0000CB720000}"/>
    <cellStyle name="SAPBEXstdItem 8 2 2 2" xfId="27706" xr:uid="{00000000-0005-0000-0000-0000CC720000}"/>
    <cellStyle name="SAPBEXstdItem 8 2 2 2 2" xfId="32293" xr:uid="{D30D4205-5F54-4900-9916-E4441AA7CA4F}"/>
    <cellStyle name="SAPBEXstdItem 8 2 2 3" xfId="28500" xr:uid="{00000000-0005-0000-0000-0000CD720000}"/>
    <cellStyle name="SAPBEXstdItem 8 2 2 3 2" xfId="33058" xr:uid="{7332AD0A-8557-49CF-9956-71FF6D895310}"/>
    <cellStyle name="SAPBEXstdItem 8 2 2 4" xfId="26129" xr:uid="{00000000-0005-0000-0000-0000CE720000}"/>
    <cellStyle name="SAPBEXstdItem 8 2 2 4 2" xfId="30919" xr:uid="{AAF40E07-866B-45F0-9F7A-6D9459E65E19}"/>
    <cellStyle name="SAPBEXstdItem 8 2 2 5" xfId="30053" xr:uid="{00000000-0005-0000-0000-0000CF720000}"/>
    <cellStyle name="SAPBEXstdItem 8 2 3" xfId="26670" xr:uid="{00000000-0005-0000-0000-0000D0720000}"/>
    <cellStyle name="SAPBEXstdItem 8 2 3 2" xfId="31438" xr:uid="{2A2D3166-BAB0-47E2-924D-3DD0C1176EDD}"/>
    <cellStyle name="SAPBEXstdItem 8 2 4" xfId="28499" xr:uid="{00000000-0005-0000-0000-0000D1720000}"/>
    <cellStyle name="SAPBEXstdItem 8 2 4 2" xfId="33057" xr:uid="{201E6516-7941-450F-86EA-2D4285A8D997}"/>
    <cellStyle name="SAPBEXstdItem 8 2 5" xfId="26407" xr:uid="{00000000-0005-0000-0000-0000D2720000}"/>
    <cellStyle name="SAPBEXstdItem 8 2 5 2" xfId="31195" xr:uid="{A18DEEE5-EA94-406F-A298-C9E928B8D34A}"/>
    <cellStyle name="SAPBEXstdItem 8 2 6" xfId="30052" xr:uid="{00000000-0005-0000-0000-0000D3720000}"/>
    <cellStyle name="SAPBEXstdItem 8 2 7" xfId="30255" xr:uid="{2162DB1E-34DC-40E3-A6D2-2D699CD3299C}"/>
    <cellStyle name="SAPBEXstdItem 8 3" xfId="26011" xr:uid="{00000000-0005-0000-0000-0000D4720000}"/>
    <cellStyle name="SAPBEXstdItem 8 3 2" xfId="30832" xr:uid="{D3E9926A-8CAB-418D-AD87-A5DE07390A19}"/>
    <cellStyle name="SAPBEXstdItem 8 4" xfId="28498" xr:uid="{00000000-0005-0000-0000-0000D5720000}"/>
    <cellStyle name="SAPBEXstdItem 8 4 2" xfId="33056" xr:uid="{73AD4AED-2DBE-47DD-B1A9-43199632E870}"/>
    <cellStyle name="SAPBEXstdItem 8 5" xfId="26783" xr:uid="{00000000-0005-0000-0000-0000D6720000}"/>
    <cellStyle name="SAPBEXstdItem 8 5 2" xfId="31544" xr:uid="{2E5B7600-D7CB-4389-8D84-BEFDC09AC730}"/>
    <cellStyle name="SAPBEXstdItem 8 6" xfId="30051" xr:uid="{00000000-0005-0000-0000-0000D7720000}"/>
    <cellStyle name="SAPBEXstdItem 9" xfId="390" xr:uid="{00000000-0005-0000-0000-0000D8720000}"/>
    <cellStyle name="SAPBEXstdItem 9 2" xfId="13785" xr:uid="{00000000-0005-0000-0000-0000D9720000}"/>
    <cellStyle name="SAPBEXstdItem 9 2 2" xfId="25550" xr:uid="{00000000-0005-0000-0000-0000DA720000}"/>
    <cellStyle name="SAPBEXstdItem 9 2 2 2" xfId="27703" xr:uid="{00000000-0005-0000-0000-0000DB720000}"/>
    <cellStyle name="SAPBEXstdItem 9 2 2 2 2" xfId="32290" xr:uid="{FC5FAF89-B973-4220-A508-2C323A63AA4F}"/>
    <cellStyle name="SAPBEXstdItem 9 2 2 3" xfId="28503" xr:uid="{00000000-0005-0000-0000-0000DC720000}"/>
    <cellStyle name="SAPBEXstdItem 9 2 2 3 2" xfId="33061" xr:uid="{F6B53ED1-B409-42EA-8901-4385869A478B}"/>
    <cellStyle name="SAPBEXstdItem 9 2 2 4" xfId="26874" xr:uid="{00000000-0005-0000-0000-0000DD720000}"/>
    <cellStyle name="SAPBEXstdItem 9 2 2 4 2" xfId="31635" xr:uid="{2E748202-5BF5-42F9-86BE-811F07998D4A}"/>
    <cellStyle name="SAPBEXstdItem 9 2 2 5" xfId="30056" xr:uid="{00000000-0005-0000-0000-0000DE720000}"/>
    <cellStyle name="SAPBEXstdItem 9 2 3" xfId="26666" xr:uid="{00000000-0005-0000-0000-0000DF720000}"/>
    <cellStyle name="SAPBEXstdItem 9 2 3 2" xfId="31435" xr:uid="{E1584895-BC74-471F-9FB2-3F591342C952}"/>
    <cellStyle name="SAPBEXstdItem 9 2 4" xfId="28502" xr:uid="{00000000-0005-0000-0000-0000E0720000}"/>
    <cellStyle name="SAPBEXstdItem 9 2 4 2" xfId="33060" xr:uid="{BD3B9994-431C-4E10-B3A5-69FF96D42208}"/>
    <cellStyle name="SAPBEXstdItem 9 2 5" xfId="26914" xr:uid="{00000000-0005-0000-0000-0000E1720000}"/>
    <cellStyle name="SAPBEXstdItem 9 2 5 2" xfId="31675" xr:uid="{EB98D1A1-DD4F-4318-993B-19B27BEE66EA}"/>
    <cellStyle name="SAPBEXstdItem 9 2 6" xfId="30055" xr:uid="{00000000-0005-0000-0000-0000E2720000}"/>
    <cellStyle name="SAPBEXstdItem 9 2 7" xfId="30252" xr:uid="{34D26DA7-6042-42AB-94B9-D00C562E1852}"/>
    <cellStyle name="SAPBEXstdItem 9 3" xfId="26001" xr:uid="{00000000-0005-0000-0000-0000E3720000}"/>
    <cellStyle name="SAPBEXstdItem 9 3 2" xfId="30829" xr:uid="{68C2CEF7-8D30-4BCF-8B6A-899C64E2EC72}"/>
    <cellStyle name="SAPBEXstdItem 9 4" xfId="28501" xr:uid="{00000000-0005-0000-0000-0000E4720000}"/>
    <cellStyle name="SAPBEXstdItem 9 4 2" xfId="33059" xr:uid="{1F596DCC-4D2F-462A-B512-ABE366DFFB95}"/>
    <cellStyle name="SAPBEXstdItem 9 5" xfId="26185" xr:uid="{00000000-0005-0000-0000-0000E5720000}"/>
    <cellStyle name="SAPBEXstdItem 9 5 2" xfId="30973" xr:uid="{60DEF704-4DC3-4205-8EFB-3BB04E0F2B53}"/>
    <cellStyle name="SAPBEXstdItem 9 6" xfId="30054" xr:uid="{00000000-0005-0000-0000-0000E6720000}"/>
    <cellStyle name="SAPBEXstdItem_Copy of xSAPtemp5457" xfId="269" xr:uid="{00000000-0005-0000-0000-0000E7720000}"/>
    <cellStyle name="SAPBEXstdItemX" xfId="144" xr:uid="{00000000-0005-0000-0000-0000E8720000}"/>
    <cellStyle name="SAPBEXstdItemX 10" xfId="24638" xr:uid="{00000000-0005-0000-0000-0000E9720000}"/>
    <cellStyle name="SAPBEXstdItemX 10 2" xfId="25372" xr:uid="{00000000-0005-0000-0000-0000EA720000}"/>
    <cellStyle name="SAPBEXstdItemX 10 2 2" xfId="27526" xr:uid="{00000000-0005-0000-0000-0000EB720000}"/>
    <cellStyle name="SAPBEXstdItemX 10 2 2 2" xfId="32117" xr:uid="{BE6ED098-B76A-412A-8C84-FD84DA07FE60}"/>
    <cellStyle name="SAPBEXstdItemX 10 2 3" xfId="28506" xr:uid="{00000000-0005-0000-0000-0000EC720000}"/>
    <cellStyle name="SAPBEXstdItemX 10 2 3 2" xfId="33064" xr:uid="{068F6A29-45CC-4065-89DD-CA1F43BFFBAA}"/>
    <cellStyle name="SAPBEXstdItemX 10 2 4" xfId="26343" xr:uid="{00000000-0005-0000-0000-0000ED720000}"/>
    <cellStyle name="SAPBEXstdItemX 10 2 4 2" xfId="31131" xr:uid="{B108C3F8-1537-4F60-AF55-44E5D9CB7148}"/>
    <cellStyle name="SAPBEXstdItemX 10 2 5" xfId="30059" xr:uid="{00000000-0005-0000-0000-0000EE720000}"/>
    <cellStyle name="SAPBEXstdItemX 10 2 6" xfId="30530" xr:uid="{FB2D7D71-37B4-4DA6-94A1-8C320F4A8C6D}"/>
    <cellStyle name="SAPBEXstdItemX 10 3" xfId="25604" xr:uid="{00000000-0005-0000-0000-0000EF720000}"/>
    <cellStyle name="SAPBEXstdItemX 10 3 2" xfId="27757" xr:uid="{00000000-0005-0000-0000-0000F0720000}"/>
    <cellStyle name="SAPBEXstdItemX 10 3 2 2" xfId="32344" xr:uid="{4F0D5557-1B45-4CC0-B0D0-074C02E61F09}"/>
    <cellStyle name="SAPBEXstdItemX 10 3 3" xfId="28507" xr:uid="{00000000-0005-0000-0000-0000F1720000}"/>
    <cellStyle name="SAPBEXstdItemX 10 3 3 2" xfId="33065" xr:uid="{A2E4BB60-ECF9-4485-AC4B-AA8A2D0AF916}"/>
    <cellStyle name="SAPBEXstdItemX 10 3 4" xfId="26157" xr:uid="{00000000-0005-0000-0000-0000F2720000}"/>
    <cellStyle name="SAPBEXstdItemX 10 3 4 2" xfId="30946" xr:uid="{CF3DF234-942D-40B2-8FE7-BC185A8F6599}"/>
    <cellStyle name="SAPBEXstdItemX 10 3 5" xfId="30060" xr:uid="{00000000-0005-0000-0000-0000F3720000}"/>
    <cellStyle name="SAPBEXstdItemX 10 4" xfId="27231" xr:uid="{00000000-0005-0000-0000-0000F4720000}"/>
    <cellStyle name="SAPBEXstdItemX 10 4 2" xfId="31866" xr:uid="{96E71D92-0CD1-4C98-83DB-4DBBFBA8E389}"/>
    <cellStyle name="SAPBEXstdItemX 10 5" xfId="28505" xr:uid="{00000000-0005-0000-0000-0000F5720000}"/>
    <cellStyle name="SAPBEXstdItemX 10 5 2" xfId="33063" xr:uid="{AFC5D090-4EB8-474D-B926-E8FD54C36D94}"/>
    <cellStyle name="SAPBEXstdItemX 10 6" xfId="26817" xr:uid="{00000000-0005-0000-0000-0000F6720000}"/>
    <cellStyle name="SAPBEXstdItemX 10 6 2" xfId="31578" xr:uid="{8C6AD66F-A482-467A-B4C0-960835230A37}"/>
    <cellStyle name="SAPBEXstdItemX 10 7" xfId="30058" xr:uid="{00000000-0005-0000-0000-0000F7720000}"/>
    <cellStyle name="SAPBEXstdItemX 10 8" xfId="30306" xr:uid="{469C9D92-3790-46B7-A006-B35C9A660C4B}"/>
    <cellStyle name="SAPBEXstdItemX 11" xfId="25135" xr:uid="{00000000-0005-0000-0000-0000F8720000}"/>
    <cellStyle name="SAPBEXstdItemX 11 2" xfId="25393" xr:uid="{00000000-0005-0000-0000-0000F9720000}"/>
    <cellStyle name="SAPBEXstdItemX 11 2 2" xfId="27547" xr:uid="{00000000-0005-0000-0000-0000FA720000}"/>
    <cellStyle name="SAPBEXstdItemX 11 2 2 2" xfId="32138" xr:uid="{F80BC26C-8E2E-48CE-A2AD-44DF8F8169AF}"/>
    <cellStyle name="SAPBEXstdItemX 11 2 3" xfId="28509" xr:uid="{00000000-0005-0000-0000-0000FB720000}"/>
    <cellStyle name="SAPBEXstdItemX 11 2 3 2" xfId="33067" xr:uid="{DFBD76AC-FD7F-432D-B891-C71E2177209A}"/>
    <cellStyle name="SAPBEXstdItemX 11 2 4" xfId="26936" xr:uid="{00000000-0005-0000-0000-0000FC720000}"/>
    <cellStyle name="SAPBEXstdItemX 11 2 4 2" xfId="31697" xr:uid="{6DADB447-29E9-4F1D-A32C-EC5FF1F59ED4}"/>
    <cellStyle name="SAPBEXstdItemX 11 2 5" xfId="30062" xr:uid="{00000000-0005-0000-0000-0000FD720000}"/>
    <cellStyle name="SAPBEXstdItemX 11 2 6" xfId="30551" xr:uid="{8E824CFF-6EE6-4B9C-8D55-8F9F4A63DF9A}"/>
    <cellStyle name="SAPBEXstdItemX 11 3" xfId="25733" xr:uid="{00000000-0005-0000-0000-0000FE720000}"/>
    <cellStyle name="SAPBEXstdItemX 11 3 2" xfId="27886" xr:uid="{00000000-0005-0000-0000-0000FF720000}"/>
    <cellStyle name="SAPBEXstdItemX 11 3 2 2" xfId="32473" xr:uid="{982B4582-EE8C-4C66-AEF0-D57E4776F136}"/>
    <cellStyle name="SAPBEXstdItemX 11 3 3" xfId="28510" xr:uid="{00000000-0005-0000-0000-000000730000}"/>
    <cellStyle name="SAPBEXstdItemX 11 3 3 2" xfId="33068" xr:uid="{97D7F3ED-666C-4489-BDDF-EAAE5B679DFC}"/>
    <cellStyle name="SAPBEXstdItemX 11 3 4" xfId="26503" xr:uid="{00000000-0005-0000-0000-000001730000}"/>
    <cellStyle name="SAPBEXstdItemX 11 3 4 2" xfId="31291" xr:uid="{1A0A6709-935F-4649-9B34-D1B0D390BF5D}"/>
    <cellStyle name="SAPBEXstdItemX 11 3 5" xfId="30063" xr:uid="{00000000-0005-0000-0000-000002730000}"/>
    <cellStyle name="SAPBEXstdItemX 11 3 6" xfId="30727" xr:uid="{FC27EFC6-ACD8-4E9C-B916-EAF31F2B71F2}"/>
    <cellStyle name="SAPBEXstdItemX 11 4" xfId="27420" xr:uid="{00000000-0005-0000-0000-000003730000}"/>
    <cellStyle name="SAPBEXstdItemX 11 4 2" xfId="32018" xr:uid="{8F59E05C-E4EC-4591-A253-78017FF4FF77}"/>
    <cellStyle name="SAPBEXstdItemX 11 5" xfId="28508" xr:uid="{00000000-0005-0000-0000-000004730000}"/>
    <cellStyle name="SAPBEXstdItemX 11 5 2" xfId="33066" xr:uid="{D6532987-E911-4FFD-86A4-F6D73E05B852}"/>
    <cellStyle name="SAPBEXstdItemX 11 6" xfId="26901" xr:uid="{00000000-0005-0000-0000-000005730000}"/>
    <cellStyle name="SAPBEXstdItemX 11 6 2" xfId="31662" xr:uid="{242F3B15-E70B-4502-B22D-7B1B97010A27}"/>
    <cellStyle name="SAPBEXstdItemX 11 7" xfId="30061" xr:uid="{00000000-0005-0000-0000-000006730000}"/>
    <cellStyle name="SAPBEXstdItemX 11 8" xfId="30435" xr:uid="{420A8787-3A43-48AB-B173-80A93038E12F}"/>
    <cellStyle name="SAPBEXstdItemX 12" xfId="25875" xr:uid="{00000000-0005-0000-0000-000007730000}"/>
    <cellStyle name="SAPBEXstdItemX 12 2" xfId="30794" xr:uid="{BC8DDD42-1B18-4A77-A0DC-EC76A27862BA}"/>
    <cellStyle name="SAPBEXstdItemX 13" xfId="28504" xr:uid="{00000000-0005-0000-0000-000008730000}"/>
    <cellStyle name="SAPBEXstdItemX 13 2" xfId="33062" xr:uid="{306B671E-2CA5-4283-9CC2-6C5C3A114545}"/>
    <cellStyle name="SAPBEXstdItemX 14" xfId="29231" xr:uid="{00000000-0005-0000-0000-000009730000}"/>
    <cellStyle name="SAPBEXstdItemX 14 2" xfId="33214" xr:uid="{3B6CE51F-2FEF-4519-A55B-E8B4FB785D61}"/>
    <cellStyle name="SAPBEXstdItemX 15" xfId="30057" xr:uid="{00000000-0005-0000-0000-00000A730000}"/>
    <cellStyle name="SAPBEXstdItemX 2" xfId="145" xr:uid="{00000000-0005-0000-0000-00000B730000}"/>
    <cellStyle name="SAPBEXstdItemX 2 2" xfId="13679" xr:uid="{00000000-0005-0000-0000-00000C730000}"/>
    <cellStyle name="SAPBEXstdItemX 2 2 2" xfId="25517" xr:uid="{00000000-0005-0000-0000-00000D730000}"/>
    <cellStyle name="SAPBEXstdItemX 2 2 2 2" xfId="27670" xr:uid="{00000000-0005-0000-0000-00000E730000}"/>
    <cellStyle name="SAPBEXstdItemX 2 2 2 2 2" xfId="32257" xr:uid="{F301BCE4-7412-4D58-91FE-BA8D26C45B89}"/>
    <cellStyle name="SAPBEXstdItemX 2 2 2 3" xfId="28513" xr:uid="{00000000-0005-0000-0000-00000F730000}"/>
    <cellStyle name="SAPBEXstdItemX 2 2 2 3 2" xfId="33071" xr:uid="{E971B834-8FDA-4C39-B881-D7198F76055C}"/>
    <cellStyle name="SAPBEXstdItemX 2 2 2 4" xfId="26533" xr:uid="{00000000-0005-0000-0000-000010730000}"/>
    <cellStyle name="SAPBEXstdItemX 2 2 2 4 2" xfId="31320" xr:uid="{FD055C53-4284-49A6-8999-E48C8CAC182D}"/>
    <cellStyle name="SAPBEXstdItemX 2 2 2 5" xfId="30066" xr:uid="{00000000-0005-0000-0000-000011730000}"/>
    <cellStyle name="SAPBEXstdItemX 2 2 3" xfId="26621" xr:uid="{00000000-0005-0000-0000-000012730000}"/>
    <cellStyle name="SAPBEXstdItemX 2 2 3 2" xfId="31399" xr:uid="{8EF8B65D-8512-4257-87ED-DECF5B810A74}"/>
    <cellStyle name="SAPBEXstdItemX 2 2 4" xfId="28512" xr:uid="{00000000-0005-0000-0000-000013730000}"/>
    <cellStyle name="SAPBEXstdItemX 2 2 4 2" xfId="33070" xr:uid="{B711DA77-B8FE-445B-A5DA-37F3EED58D11}"/>
    <cellStyle name="SAPBEXstdItemX 2 2 5" xfId="26148" xr:uid="{00000000-0005-0000-0000-000014730000}"/>
    <cellStyle name="SAPBEXstdItemX 2 2 5 2" xfId="30937" xr:uid="{BD061F09-CAB7-48D3-8A1D-748D6B8CF1E1}"/>
    <cellStyle name="SAPBEXstdItemX 2 2 6" xfId="30065" xr:uid="{00000000-0005-0000-0000-000015730000}"/>
    <cellStyle name="SAPBEXstdItemX 2 2 7" xfId="30219" xr:uid="{B6403426-D85D-41E5-B79D-E57BB10DAEEE}"/>
    <cellStyle name="SAPBEXstdItemX 2 3" xfId="25876" xr:uid="{00000000-0005-0000-0000-000016730000}"/>
    <cellStyle name="SAPBEXstdItemX 2 3 2" xfId="30795" xr:uid="{5A72E37F-BF9E-4E87-8CBE-2A256ACE2B03}"/>
    <cellStyle name="SAPBEXstdItemX 2 4" xfId="28511" xr:uid="{00000000-0005-0000-0000-000017730000}"/>
    <cellStyle name="SAPBEXstdItemX 2 4 2" xfId="33069" xr:uid="{9D8DF68B-372D-4711-B7A8-9725E7A1D69E}"/>
    <cellStyle name="SAPBEXstdItemX 2 5" xfId="29195" xr:uid="{00000000-0005-0000-0000-000018730000}"/>
    <cellStyle name="SAPBEXstdItemX 2 5 2" xfId="33178" xr:uid="{5D261E12-24F4-4BC2-8E5E-DB3C76DA0D10}"/>
    <cellStyle name="SAPBEXstdItemX 2 6" xfId="30064" xr:uid="{00000000-0005-0000-0000-000019730000}"/>
    <cellStyle name="SAPBEXstdItemX 3" xfId="270" xr:uid="{00000000-0005-0000-0000-00001A730000}"/>
    <cellStyle name="SAPBEXstdItemX 3 2" xfId="13732" xr:uid="{00000000-0005-0000-0000-00001B730000}"/>
    <cellStyle name="SAPBEXstdItemX 3 2 2" xfId="25545" xr:uid="{00000000-0005-0000-0000-00001C730000}"/>
    <cellStyle name="SAPBEXstdItemX 3 2 2 2" xfId="27698" xr:uid="{00000000-0005-0000-0000-00001D730000}"/>
    <cellStyle name="SAPBEXstdItemX 3 2 2 2 2" xfId="32285" xr:uid="{8BBA2E43-F3F8-4A4A-9B7E-D57AB4CD30DC}"/>
    <cellStyle name="SAPBEXstdItemX 3 2 2 3" xfId="28516" xr:uid="{00000000-0005-0000-0000-00001E730000}"/>
    <cellStyle name="SAPBEXstdItemX 3 2 2 3 2" xfId="33074" xr:uid="{DDA3E2BC-79A7-4051-B5F3-EDB911F1D5E9}"/>
    <cellStyle name="SAPBEXstdItemX 3 2 2 4" xfId="26382" xr:uid="{00000000-0005-0000-0000-00001F730000}"/>
    <cellStyle name="SAPBEXstdItemX 3 2 2 4 2" xfId="31170" xr:uid="{4C739ED3-4FBE-4EEC-A057-13BBAA17C82D}"/>
    <cellStyle name="SAPBEXstdItemX 3 2 2 5" xfId="30069" xr:uid="{00000000-0005-0000-0000-000020730000}"/>
    <cellStyle name="SAPBEXstdItemX 3 2 3" xfId="26652" xr:uid="{00000000-0005-0000-0000-000021730000}"/>
    <cellStyle name="SAPBEXstdItemX 3 2 3 2" xfId="31429" xr:uid="{80A8558D-9CD1-4C88-8B24-7B019C48ACE4}"/>
    <cellStyle name="SAPBEXstdItemX 3 2 4" xfId="28515" xr:uid="{00000000-0005-0000-0000-000022730000}"/>
    <cellStyle name="SAPBEXstdItemX 3 2 4 2" xfId="33073" xr:uid="{3DA91B19-0041-4F6D-AD00-9F022D097686}"/>
    <cellStyle name="SAPBEXstdItemX 3 2 5" xfId="26866" xr:uid="{00000000-0005-0000-0000-000023730000}"/>
    <cellStyle name="SAPBEXstdItemX 3 2 5 2" xfId="31627" xr:uid="{F4DF52B3-71E3-4964-B3D5-2C159709FBF7}"/>
    <cellStyle name="SAPBEXstdItemX 3 2 6" xfId="30068" xr:uid="{00000000-0005-0000-0000-000024730000}"/>
    <cellStyle name="SAPBEXstdItemX 3 2 7" xfId="30247" xr:uid="{7D145856-47CB-4BCF-839F-FE68AFABF04C}"/>
    <cellStyle name="SAPBEXstdItemX 3 3" xfId="25935" xr:uid="{00000000-0005-0000-0000-000025730000}"/>
    <cellStyle name="SAPBEXstdItemX 3 3 2" xfId="30824" xr:uid="{1AE69990-0467-4998-85D4-8056033595FC}"/>
    <cellStyle name="SAPBEXstdItemX 3 4" xfId="28514" xr:uid="{00000000-0005-0000-0000-000026730000}"/>
    <cellStyle name="SAPBEXstdItemX 3 4 2" xfId="33072" xr:uid="{017DA5A1-C96A-4258-AC38-9EE460AF55C8}"/>
    <cellStyle name="SAPBEXstdItemX 3 5" xfId="29221" xr:uid="{00000000-0005-0000-0000-000027730000}"/>
    <cellStyle name="SAPBEXstdItemX 3 5 2" xfId="33204" xr:uid="{771D8C86-ACE4-4150-A5EA-729288498D8B}"/>
    <cellStyle name="SAPBEXstdItemX 3 6" xfId="30067" xr:uid="{00000000-0005-0000-0000-000028730000}"/>
    <cellStyle name="SAPBEXstdItemX 4" xfId="271" xr:uid="{00000000-0005-0000-0000-000029730000}"/>
    <cellStyle name="SAPBEXstdItemX 4 2" xfId="13733" xr:uid="{00000000-0005-0000-0000-00002A730000}"/>
    <cellStyle name="SAPBEXstdItemX 4 2 2" xfId="25546" xr:uid="{00000000-0005-0000-0000-00002B730000}"/>
    <cellStyle name="SAPBEXstdItemX 4 2 2 2" xfId="27699" xr:uid="{00000000-0005-0000-0000-00002C730000}"/>
    <cellStyle name="SAPBEXstdItemX 4 2 2 2 2" xfId="32286" xr:uid="{FC528E10-79F8-47C9-A076-9DB4C710C98A}"/>
    <cellStyle name="SAPBEXstdItemX 4 2 2 3" xfId="28519" xr:uid="{00000000-0005-0000-0000-00002D730000}"/>
    <cellStyle name="SAPBEXstdItemX 4 2 2 3 2" xfId="33077" xr:uid="{9BA3EB99-56A3-4744-B4E1-2986FB88B5FE}"/>
    <cellStyle name="SAPBEXstdItemX 4 2 2 4" xfId="26059" xr:uid="{00000000-0005-0000-0000-00002E730000}"/>
    <cellStyle name="SAPBEXstdItemX 4 2 2 4 2" xfId="30849" xr:uid="{E5D060F9-0642-4671-B7CC-BDEC86259764}"/>
    <cellStyle name="SAPBEXstdItemX 4 2 2 5" xfId="30072" xr:uid="{00000000-0005-0000-0000-00002F730000}"/>
    <cellStyle name="SAPBEXstdItemX 4 2 3" xfId="26653" xr:uid="{00000000-0005-0000-0000-000030730000}"/>
    <cellStyle name="SAPBEXstdItemX 4 2 3 2" xfId="31430" xr:uid="{684137D4-AE1E-4736-9F2B-CD0B50A5F85F}"/>
    <cellStyle name="SAPBEXstdItemX 4 2 4" xfId="28518" xr:uid="{00000000-0005-0000-0000-000031730000}"/>
    <cellStyle name="SAPBEXstdItemX 4 2 4 2" xfId="33076" xr:uid="{E00A8E8E-3321-4449-94A1-34D279EE9074}"/>
    <cellStyle name="SAPBEXstdItemX 4 2 5" xfId="26252" xr:uid="{00000000-0005-0000-0000-000032730000}"/>
    <cellStyle name="SAPBEXstdItemX 4 2 5 2" xfId="31040" xr:uid="{7EE8F957-3FA4-4E4E-A440-E03B5883C4BF}"/>
    <cellStyle name="SAPBEXstdItemX 4 2 6" xfId="30071" xr:uid="{00000000-0005-0000-0000-000033730000}"/>
    <cellStyle name="SAPBEXstdItemX 4 2 7" xfId="30248" xr:uid="{AE0A61D7-07C0-4FDC-9CB4-1DC661638F62}"/>
    <cellStyle name="SAPBEXstdItemX 4 3" xfId="25936" xr:uid="{00000000-0005-0000-0000-000034730000}"/>
    <cellStyle name="SAPBEXstdItemX 4 3 2" xfId="30825" xr:uid="{D47DDF7E-67D7-4FB5-ACA9-5FB0377066D1}"/>
    <cellStyle name="SAPBEXstdItemX 4 4" xfId="28517" xr:uid="{00000000-0005-0000-0000-000035730000}"/>
    <cellStyle name="SAPBEXstdItemX 4 4 2" xfId="33075" xr:uid="{36FE4F9E-BECB-40EC-A9FD-C82DAD89DC74}"/>
    <cellStyle name="SAPBEXstdItemX 4 5" xfId="26433" xr:uid="{00000000-0005-0000-0000-000036730000}"/>
    <cellStyle name="SAPBEXstdItemX 4 5 2" xfId="31221" xr:uid="{6DDD48BE-46E8-4F80-8A5E-3ADF3EC97C15}"/>
    <cellStyle name="SAPBEXstdItemX 4 6" xfId="30070" xr:uid="{00000000-0005-0000-0000-000037730000}"/>
    <cellStyle name="SAPBEXstdItemX 5" xfId="272" xr:uid="{00000000-0005-0000-0000-000038730000}"/>
    <cellStyle name="SAPBEXstdItemX 5 2" xfId="13734" xr:uid="{00000000-0005-0000-0000-000039730000}"/>
    <cellStyle name="SAPBEXstdItemX 5 2 2" xfId="25547" xr:uid="{00000000-0005-0000-0000-00003A730000}"/>
    <cellStyle name="SAPBEXstdItemX 5 2 2 2" xfId="27700" xr:uid="{00000000-0005-0000-0000-00003B730000}"/>
    <cellStyle name="SAPBEXstdItemX 5 2 2 2 2" xfId="32287" xr:uid="{6EE99632-DF73-4094-BF31-9EEAE0FFEA12}"/>
    <cellStyle name="SAPBEXstdItemX 5 2 2 3" xfId="28522" xr:uid="{00000000-0005-0000-0000-00003C730000}"/>
    <cellStyle name="SAPBEXstdItemX 5 2 2 3 2" xfId="33080" xr:uid="{2B12378D-44AB-4067-B268-6BEB88A042D8}"/>
    <cellStyle name="SAPBEXstdItemX 5 2 2 4" xfId="26853" xr:uid="{00000000-0005-0000-0000-00003D730000}"/>
    <cellStyle name="SAPBEXstdItemX 5 2 2 4 2" xfId="31614" xr:uid="{E2C86D21-7F8A-4908-97A2-B5AF7A4DF18F}"/>
    <cellStyle name="SAPBEXstdItemX 5 2 2 5" xfId="30075" xr:uid="{00000000-0005-0000-0000-00003E730000}"/>
    <cellStyle name="SAPBEXstdItemX 5 2 3" xfId="26654" xr:uid="{00000000-0005-0000-0000-00003F730000}"/>
    <cellStyle name="SAPBEXstdItemX 5 2 3 2" xfId="31431" xr:uid="{B0FFD81B-6646-421B-B5EB-38EC0949E029}"/>
    <cellStyle name="SAPBEXstdItemX 5 2 4" xfId="28521" xr:uid="{00000000-0005-0000-0000-000040730000}"/>
    <cellStyle name="SAPBEXstdItemX 5 2 4 2" xfId="33079" xr:uid="{7F8870CD-6134-475E-A357-27B91ED208A5}"/>
    <cellStyle name="SAPBEXstdItemX 5 2 5" xfId="26907" xr:uid="{00000000-0005-0000-0000-000041730000}"/>
    <cellStyle name="SAPBEXstdItemX 5 2 5 2" xfId="31668" xr:uid="{0B28BC9F-A0EA-4FF5-A0FE-9B874C5E04F3}"/>
    <cellStyle name="SAPBEXstdItemX 5 2 6" xfId="30074" xr:uid="{00000000-0005-0000-0000-000042730000}"/>
    <cellStyle name="SAPBEXstdItemX 5 2 7" xfId="30249" xr:uid="{AC91DFF6-B9BB-479E-B800-1F1155984BF5}"/>
    <cellStyle name="SAPBEXstdItemX 5 3" xfId="25937" xr:uid="{00000000-0005-0000-0000-000043730000}"/>
    <cellStyle name="SAPBEXstdItemX 5 3 2" xfId="30826" xr:uid="{723BAB75-E70A-4700-B7BC-6E9D96072EEB}"/>
    <cellStyle name="SAPBEXstdItemX 5 4" xfId="28520" xr:uid="{00000000-0005-0000-0000-000044730000}"/>
    <cellStyle name="SAPBEXstdItemX 5 4 2" xfId="33078" xr:uid="{E807CC80-1593-4149-8695-00E1AFB2A1B4}"/>
    <cellStyle name="SAPBEXstdItemX 5 5" xfId="27930" xr:uid="{00000000-0005-0000-0000-000045730000}"/>
    <cellStyle name="SAPBEXstdItemX 5 5 2" xfId="32488" xr:uid="{096DDE8C-4754-4693-ABC9-F82FDE129BC1}"/>
    <cellStyle name="SAPBEXstdItemX 5 6" xfId="30073" xr:uid="{00000000-0005-0000-0000-000046730000}"/>
    <cellStyle name="SAPBEXstdItemX 6" xfId="273" xr:uid="{00000000-0005-0000-0000-000047730000}"/>
    <cellStyle name="SAPBEXstdItemX 6 2" xfId="13735" xr:uid="{00000000-0005-0000-0000-000048730000}"/>
    <cellStyle name="SAPBEXstdItemX 6 2 2" xfId="25548" xr:uid="{00000000-0005-0000-0000-000049730000}"/>
    <cellStyle name="SAPBEXstdItemX 6 2 2 2" xfId="27701" xr:uid="{00000000-0005-0000-0000-00004A730000}"/>
    <cellStyle name="SAPBEXstdItemX 6 2 2 2 2" xfId="32288" xr:uid="{11C3BCD7-324A-4C55-BE8E-21A4FA27A42F}"/>
    <cellStyle name="SAPBEXstdItemX 6 2 2 3" xfId="28525" xr:uid="{00000000-0005-0000-0000-00004B730000}"/>
    <cellStyle name="SAPBEXstdItemX 6 2 2 3 2" xfId="33083" xr:uid="{2800FA63-C15A-472C-B9CA-E1561B365FBB}"/>
    <cellStyle name="SAPBEXstdItemX 6 2 2 4" xfId="26784" xr:uid="{00000000-0005-0000-0000-00004C730000}"/>
    <cellStyle name="SAPBEXstdItemX 6 2 2 4 2" xfId="31545" xr:uid="{BD4EE693-716F-4ACD-93EE-9E9DBC3093ED}"/>
    <cellStyle name="SAPBEXstdItemX 6 2 2 5" xfId="30078" xr:uid="{00000000-0005-0000-0000-00004D730000}"/>
    <cellStyle name="SAPBEXstdItemX 6 2 3" xfId="26655" xr:uid="{00000000-0005-0000-0000-00004E730000}"/>
    <cellStyle name="SAPBEXstdItemX 6 2 3 2" xfId="31432" xr:uid="{F8A5FCA0-3BA1-43CD-AEF6-22B46B668D2E}"/>
    <cellStyle name="SAPBEXstdItemX 6 2 4" xfId="28524" xr:uid="{00000000-0005-0000-0000-00004F730000}"/>
    <cellStyle name="SAPBEXstdItemX 6 2 4 2" xfId="33082" xr:uid="{87E6B9E0-47F8-4F13-BC53-6A564ABD6FC8}"/>
    <cellStyle name="SAPBEXstdItemX 6 2 5" xfId="26344" xr:uid="{00000000-0005-0000-0000-000050730000}"/>
    <cellStyle name="SAPBEXstdItemX 6 2 5 2" xfId="31132" xr:uid="{EC09C0D6-16B6-439C-84E8-BA3D06180146}"/>
    <cellStyle name="SAPBEXstdItemX 6 2 6" xfId="30077" xr:uid="{00000000-0005-0000-0000-000051730000}"/>
    <cellStyle name="SAPBEXstdItemX 6 2 7" xfId="30250" xr:uid="{C680E9A1-59B9-4A19-8572-FA25172AF7AE}"/>
    <cellStyle name="SAPBEXstdItemX 6 3" xfId="25938" xr:uid="{00000000-0005-0000-0000-000052730000}"/>
    <cellStyle name="SAPBEXstdItemX 6 3 2" xfId="30827" xr:uid="{189D7F85-42C2-4F5C-8212-C933626A3831}"/>
    <cellStyle name="SAPBEXstdItemX 6 4" xfId="28523" xr:uid="{00000000-0005-0000-0000-000053730000}"/>
    <cellStyle name="SAPBEXstdItemX 6 4 2" xfId="33081" xr:uid="{E5419951-A691-4CFF-927B-563A17FA0816}"/>
    <cellStyle name="SAPBEXstdItemX 6 5" xfId="29220" xr:uid="{00000000-0005-0000-0000-000054730000}"/>
    <cellStyle name="SAPBEXstdItemX 6 5 2" xfId="33203" xr:uid="{F46F8C07-D52E-4095-A9C2-D716C9112FED}"/>
    <cellStyle name="SAPBEXstdItemX 6 6" xfId="30076" xr:uid="{00000000-0005-0000-0000-000055730000}"/>
    <cellStyle name="SAPBEXstdItemX 7" xfId="274" xr:uid="{00000000-0005-0000-0000-000056730000}"/>
    <cellStyle name="SAPBEXstdItemX 7 2" xfId="13736" xr:uid="{00000000-0005-0000-0000-000057730000}"/>
    <cellStyle name="SAPBEXstdItemX 7 2 2" xfId="25549" xr:uid="{00000000-0005-0000-0000-000058730000}"/>
    <cellStyle name="SAPBEXstdItemX 7 2 2 2" xfId="27702" xr:uid="{00000000-0005-0000-0000-000059730000}"/>
    <cellStyle name="SAPBEXstdItemX 7 2 2 2 2" xfId="32289" xr:uid="{B93ACB71-6D13-41FC-8697-CB5E7AD8341F}"/>
    <cellStyle name="SAPBEXstdItemX 7 2 2 3" xfId="28528" xr:uid="{00000000-0005-0000-0000-00005A730000}"/>
    <cellStyle name="SAPBEXstdItemX 7 2 2 3 2" xfId="33086" xr:uid="{D19F5BCA-A1AB-4875-BF6C-061B1003A3BD}"/>
    <cellStyle name="SAPBEXstdItemX 7 2 2 4" xfId="26260" xr:uid="{00000000-0005-0000-0000-00005B730000}"/>
    <cellStyle name="SAPBEXstdItemX 7 2 2 4 2" xfId="31048" xr:uid="{0B5CEE1A-6271-48FF-B334-390DE5EDC680}"/>
    <cellStyle name="SAPBEXstdItemX 7 2 2 5" xfId="30081" xr:uid="{00000000-0005-0000-0000-00005C730000}"/>
    <cellStyle name="SAPBEXstdItemX 7 2 3" xfId="26656" xr:uid="{00000000-0005-0000-0000-00005D730000}"/>
    <cellStyle name="SAPBEXstdItemX 7 2 3 2" xfId="31433" xr:uid="{0EA861F8-4675-4D92-AC03-4CBCBF3FE8D5}"/>
    <cellStyle name="SAPBEXstdItemX 7 2 4" xfId="28527" xr:uid="{00000000-0005-0000-0000-00005E730000}"/>
    <cellStyle name="SAPBEXstdItemX 7 2 4 2" xfId="33085" xr:uid="{FDA09D18-3BB8-4AB5-9976-4F51924ECF52}"/>
    <cellStyle name="SAPBEXstdItemX 7 2 5" xfId="26983" xr:uid="{00000000-0005-0000-0000-00005F730000}"/>
    <cellStyle name="SAPBEXstdItemX 7 2 5 2" xfId="31744" xr:uid="{336AEBD4-2B34-4CDA-8B36-8255DE691433}"/>
    <cellStyle name="SAPBEXstdItemX 7 2 6" xfId="30080" xr:uid="{00000000-0005-0000-0000-000060730000}"/>
    <cellStyle name="SAPBEXstdItemX 7 2 7" xfId="30251" xr:uid="{EBD6C858-9C96-47AB-B594-C49322D1F6AD}"/>
    <cellStyle name="SAPBEXstdItemX 7 3" xfId="25939" xr:uid="{00000000-0005-0000-0000-000061730000}"/>
    <cellStyle name="SAPBEXstdItemX 7 3 2" xfId="30828" xr:uid="{F33AFE55-1C43-4A7D-B5C9-B35B2B29CBB2}"/>
    <cellStyle name="SAPBEXstdItemX 7 4" xfId="28526" xr:uid="{00000000-0005-0000-0000-000062730000}"/>
    <cellStyle name="SAPBEXstdItemX 7 4 2" xfId="33084" xr:uid="{A96A4E1F-D61A-4512-8C00-69908C61CA73}"/>
    <cellStyle name="SAPBEXstdItemX 7 5" xfId="27019" xr:uid="{00000000-0005-0000-0000-000063730000}"/>
    <cellStyle name="SAPBEXstdItemX 7 5 2" xfId="31779" xr:uid="{51429CE8-F284-4A88-BCED-163B7FE73601}"/>
    <cellStyle name="SAPBEXstdItemX 7 6" xfId="30079" xr:uid="{00000000-0005-0000-0000-000064730000}"/>
    <cellStyle name="SAPBEXstdItemX 8" xfId="417" xr:uid="{00000000-0005-0000-0000-000065730000}"/>
    <cellStyle name="SAPBEXstdItemX 8 2" xfId="13796" xr:uid="{00000000-0005-0000-0000-000066730000}"/>
    <cellStyle name="SAPBEXstdItemX 8 2 2" xfId="25554" xr:uid="{00000000-0005-0000-0000-000067730000}"/>
    <cellStyle name="SAPBEXstdItemX 8 2 2 2" xfId="27707" xr:uid="{00000000-0005-0000-0000-000068730000}"/>
    <cellStyle name="SAPBEXstdItemX 8 2 2 2 2" xfId="32294" xr:uid="{58BAB257-47CA-41F4-A638-5AB553E69E49}"/>
    <cellStyle name="SAPBEXstdItemX 8 2 2 3" xfId="28531" xr:uid="{00000000-0005-0000-0000-000069730000}"/>
    <cellStyle name="SAPBEXstdItemX 8 2 2 3 2" xfId="33089" xr:uid="{9D9EBBFB-8916-40BE-8303-700E2577E6D7}"/>
    <cellStyle name="SAPBEXstdItemX 8 2 2 4" xfId="26424" xr:uid="{00000000-0005-0000-0000-00006A730000}"/>
    <cellStyle name="SAPBEXstdItemX 8 2 2 4 2" xfId="31212" xr:uid="{96890A57-9D45-4664-B0B7-BBB12C9EF8C1}"/>
    <cellStyle name="SAPBEXstdItemX 8 2 2 5" xfId="30084" xr:uid="{00000000-0005-0000-0000-00006B730000}"/>
    <cellStyle name="SAPBEXstdItemX 8 2 3" xfId="26671" xr:uid="{00000000-0005-0000-0000-00006C730000}"/>
    <cellStyle name="SAPBEXstdItemX 8 2 3 2" xfId="31439" xr:uid="{5CE92563-2449-4044-B909-85EE0048475C}"/>
    <cellStyle name="SAPBEXstdItemX 8 2 4" xfId="28530" xr:uid="{00000000-0005-0000-0000-00006D730000}"/>
    <cellStyle name="SAPBEXstdItemX 8 2 4 2" xfId="33088" xr:uid="{573E094E-4A84-4491-8613-66296BE5D821}"/>
    <cellStyle name="SAPBEXstdItemX 8 2 5" xfId="26921" xr:uid="{00000000-0005-0000-0000-00006E730000}"/>
    <cellStyle name="SAPBEXstdItemX 8 2 5 2" xfId="31682" xr:uid="{E505CF38-C793-44BA-9D78-59C540D7A720}"/>
    <cellStyle name="SAPBEXstdItemX 8 2 6" xfId="30083" xr:uid="{00000000-0005-0000-0000-00006F730000}"/>
    <cellStyle name="SAPBEXstdItemX 8 2 7" xfId="30256" xr:uid="{4A17123D-C2DB-4A5B-966D-50B84868ECCB}"/>
    <cellStyle name="SAPBEXstdItemX 8 3" xfId="26012" xr:uid="{00000000-0005-0000-0000-000070730000}"/>
    <cellStyle name="SAPBEXstdItemX 8 3 2" xfId="30833" xr:uid="{C9923C25-7610-4B2A-B5A7-FF1BE0CF6C11}"/>
    <cellStyle name="SAPBEXstdItemX 8 4" xfId="28529" xr:uid="{00000000-0005-0000-0000-000071730000}"/>
    <cellStyle name="SAPBEXstdItemX 8 4 2" xfId="33087" xr:uid="{A8765E78-CF8D-46E6-B842-21ADDD4B03E2}"/>
    <cellStyle name="SAPBEXstdItemX 8 5" xfId="29219" xr:uid="{00000000-0005-0000-0000-000072730000}"/>
    <cellStyle name="SAPBEXstdItemX 8 5 2" xfId="33202" xr:uid="{6EA610E5-23A9-4C02-9F2B-B4AD52413FEF}"/>
    <cellStyle name="SAPBEXstdItemX 8 6" xfId="30082" xr:uid="{00000000-0005-0000-0000-000073730000}"/>
    <cellStyle name="SAPBEXstdItemX 9" xfId="13678" xr:uid="{00000000-0005-0000-0000-000074730000}"/>
    <cellStyle name="SAPBEXstdItemX 9 2" xfId="25516" xr:uid="{00000000-0005-0000-0000-000075730000}"/>
    <cellStyle name="SAPBEXstdItemX 9 2 2" xfId="27669" xr:uid="{00000000-0005-0000-0000-000076730000}"/>
    <cellStyle name="SAPBEXstdItemX 9 2 2 2" xfId="32256" xr:uid="{DE638686-9821-45B1-AAAD-DBEE24AAEEA8}"/>
    <cellStyle name="SAPBEXstdItemX 9 2 3" xfId="28533" xr:uid="{00000000-0005-0000-0000-000077730000}"/>
    <cellStyle name="SAPBEXstdItemX 9 2 3 2" xfId="33091" xr:uid="{5839C20F-2F53-402C-9F6A-B1D65109CA61}"/>
    <cellStyle name="SAPBEXstdItemX 9 2 4" xfId="26099" xr:uid="{00000000-0005-0000-0000-000078730000}"/>
    <cellStyle name="SAPBEXstdItemX 9 2 4 2" xfId="30889" xr:uid="{4BC93D4B-9E82-4748-BE6B-B9619D28ACC5}"/>
    <cellStyle name="SAPBEXstdItemX 9 2 5" xfId="30086" xr:uid="{00000000-0005-0000-0000-000079730000}"/>
    <cellStyle name="SAPBEXstdItemX 9 3" xfId="26620" xr:uid="{00000000-0005-0000-0000-00007A730000}"/>
    <cellStyle name="SAPBEXstdItemX 9 3 2" xfId="31398" xr:uid="{D9A55871-18BE-4C06-A4E6-F4720AFA8253}"/>
    <cellStyle name="SAPBEXstdItemX 9 4" xfId="28532" xr:uid="{00000000-0005-0000-0000-00007B730000}"/>
    <cellStyle name="SAPBEXstdItemX 9 4 2" xfId="33090" xr:uid="{B25FF3D0-5845-4317-8882-6C775D83DD17}"/>
    <cellStyle name="SAPBEXstdItemX 9 5" xfId="26945" xr:uid="{00000000-0005-0000-0000-00007C730000}"/>
    <cellStyle name="SAPBEXstdItemX 9 5 2" xfId="31706" xr:uid="{9A171132-910B-4C9E-86AF-44B5E9D3C55D}"/>
    <cellStyle name="SAPBEXstdItemX 9 6" xfId="30085" xr:uid="{00000000-0005-0000-0000-00007D730000}"/>
    <cellStyle name="SAPBEXstdItemX 9 7" xfId="30218" xr:uid="{EECE3B27-50DE-4A5E-A24D-C56EFB1E434D}"/>
    <cellStyle name="SAPBEXstdItemX_Copy of xSAPtemp5457" xfId="275" xr:uid="{00000000-0005-0000-0000-00007E730000}"/>
    <cellStyle name="SAPBEXtitle" xfId="7" xr:uid="{00000000-0005-0000-0000-00007F730000}"/>
    <cellStyle name="SAPBEXtitle 2" xfId="146" xr:uid="{00000000-0005-0000-0000-000080730000}"/>
    <cellStyle name="SAPBEXtitle 3" xfId="147" xr:uid="{00000000-0005-0000-0000-000081730000}"/>
    <cellStyle name="SAPBEXtitle 4" xfId="148" xr:uid="{00000000-0005-0000-0000-000082730000}"/>
    <cellStyle name="SAPBEXtitle 5" xfId="276" xr:uid="{00000000-0005-0000-0000-000083730000}"/>
    <cellStyle name="SAPBEXtitle 6" xfId="277" xr:uid="{00000000-0005-0000-0000-000084730000}"/>
    <cellStyle name="SAPBEXtitle 7" xfId="278" xr:uid="{00000000-0005-0000-0000-000085730000}"/>
    <cellStyle name="SAPBEXtitle 8" xfId="279" xr:uid="{00000000-0005-0000-0000-000086730000}"/>
    <cellStyle name="SAPBEXtitle_Copy of xSAPtemp5457" xfId="280" xr:uid="{00000000-0005-0000-0000-000087730000}"/>
    <cellStyle name="SAPBEXundefined" xfId="149" xr:uid="{00000000-0005-0000-0000-000088730000}"/>
    <cellStyle name="SAPBEXundefined 2" xfId="13680" xr:uid="{00000000-0005-0000-0000-000089730000}"/>
    <cellStyle name="SAPBEXundefined 2 2" xfId="25518" xr:uid="{00000000-0005-0000-0000-00008A730000}"/>
    <cellStyle name="SAPBEXundefined 2 2 2" xfId="27671" xr:uid="{00000000-0005-0000-0000-00008B730000}"/>
    <cellStyle name="SAPBEXundefined 2 2 2 2" xfId="32258" xr:uid="{BDC55BF4-7204-43E1-9F0E-59DF6E1491DE}"/>
    <cellStyle name="SAPBEXundefined 2 2 3" xfId="28536" xr:uid="{00000000-0005-0000-0000-00008C730000}"/>
    <cellStyle name="SAPBEXundefined 2 2 3 2" xfId="33094" xr:uid="{F5B48F76-AB89-485B-89EB-B74E01320F1A}"/>
    <cellStyle name="SAPBEXundefined 2 2 4" xfId="26161" xr:uid="{00000000-0005-0000-0000-00008D730000}"/>
    <cellStyle name="SAPBEXundefined 2 2 4 2" xfId="30950" xr:uid="{62D84EDE-257F-4089-B99B-929D0EFBFF1C}"/>
    <cellStyle name="SAPBEXundefined 2 2 5" xfId="30089" xr:uid="{00000000-0005-0000-0000-00008E730000}"/>
    <cellStyle name="SAPBEXundefined 2 3" xfId="26622" xr:uid="{00000000-0005-0000-0000-00008F730000}"/>
    <cellStyle name="SAPBEXundefined 2 3 2" xfId="31400" xr:uid="{612E5BF1-7D78-407C-874D-41D1AE7F3678}"/>
    <cellStyle name="SAPBEXundefined 2 4" xfId="28535" xr:uid="{00000000-0005-0000-0000-000090730000}"/>
    <cellStyle name="SAPBEXundefined 2 4 2" xfId="33093" xr:uid="{F7132882-E4AA-458E-90B7-09833B19C24D}"/>
    <cellStyle name="SAPBEXundefined 2 5" xfId="26700" xr:uid="{00000000-0005-0000-0000-000091730000}"/>
    <cellStyle name="SAPBEXundefined 2 5 2" xfId="31462" xr:uid="{C7FC8AFA-0FD0-4F25-B21E-5642022C53F4}"/>
    <cellStyle name="SAPBEXundefined 2 6" xfId="30088" xr:uid="{00000000-0005-0000-0000-000092730000}"/>
    <cellStyle name="SAPBEXundefined 2 7" xfId="30220" xr:uid="{E9DC0663-EFBF-4B06-B157-9A2226886898}"/>
    <cellStyle name="SAPBEXundefined 3" xfId="24637" xr:uid="{00000000-0005-0000-0000-000093730000}"/>
    <cellStyle name="SAPBEXundefined 3 2" xfId="25290" xr:uid="{00000000-0005-0000-0000-000094730000}"/>
    <cellStyle name="SAPBEXundefined 3 2 2" xfId="27445" xr:uid="{00000000-0005-0000-0000-000095730000}"/>
    <cellStyle name="SAPBEXundefined 3 2 2 2" xfId="32040" xr:uid="{9DA453D4-9299-42E6-BC85-AAC24FDCFE2B}"/>
    <cellStyle name="SAPBEXundefined 3 2 3" xfId="28538" xr:uid="{00000000-0005-0000-0000-000096730000}"/>
    <cellStyle name="SAPBEXundefined 3 2 3 2" xfId="33096" xr:uid="{D9831055-EEA6-47E3-9CAE-0E6F8AEBFB13}"/>
    <cellStyle name="SAPBEXundefined 3 2 4" xfId="26819" xr:uid="{00000000-0005-0000-0000-000097730000}"/>
    <cellStyle name="SAPBEXundefined 3 2 4 2" xfId="31580" xr:uid="{5A5C041F-C078-4E48-AE0C-5DB434731E3A}"/>
    <cellStyle name="SAPBEXundefined 3 2 5" xfId="30091" xr:uid="{00000000-0005-0000-0000-000098730000}"/>
    <cellStyle name="SAPBEXundefined 3 2 6" xfId="30453" xr:uid="{FBD6A3B2-109A-4BBB-9236-1C6E178B9490}"/>
    <cellStyle name="SAPBEXundefined 3 3" xfId="25603" xr:uid="{00000000-0005-0000-0000-000099730000}"/>
    <cellStyle name="SAPBEXundefined 3 3 2" xfId="27756" xr:uid="{00000000-0005-0000-0000-00009A730000}"/>
    <cellStyle name="SAPBEXundefined 3 3 2 2" xfId="32343" xr:uid="{5D26A014-C50C-46AA-8A55-A1178A46A351}"/>
    <cellStyle name="SAPBEXundefined 3 3 3" xfId="28539" xr:uid="{00000000-0005-0000-0000-00009B730000}"/>
    <cellStyle name="SAPBEXundefined 3 3 3 2" xfId="33097" xr:uid="{8B10621F-339C-4A35-B3C1-C77C3A01A568}"/>
    <cellStyle name="SAPBEXundefined 3 3 4" xfId="26846" xr:uid="{00000000-0005-0000-0000-00009C730000}"/>
    <cellStyle name="SAPBEXundefined 3 3 4 2" xfId="31607" xr:uid="{20C1F85A-2827-44EE-AA74-4E54BD2D2DD2}"/>
    <cellStyle name="SAPBEXundefined 3 3 5" xfId="30092" xr:uid="{00000000-0005-0000-0000-00009D730000}"/>
    <cellStyle name="SAPBEXundefined 3 4" xfId="27230" xr:uid="{00000000-0005-0000-0000-00009E730000}"/>
    <cellStyle name="SAPBEXundefined 3 4 2" xfId="31865" xr:uid="{02982E18-B9C6-4B8A-B386-E8AF63731C13}"/>
    <cellStyle name="SAPBEXundefined 3 5" xfId="28537" xr:uid="{00000000-0005-0000-0000-00009F730000}"/>
    <cellStyle name="SAPBEXundefined 3 5 2" xfId="33095" xr:uid="{11D7B02E-52D6-43AE-B503-40FEE1D2555C}"/>
    <cellStyle name="SAPBEXundefined 3 6" xfId="27303" xr:uid="{00000000-0005-0000-0000-0000A0730000}"/>
    <cellStyle name="SAPBEXundefined 3 6 2" xfId="31932" xr:uid="{730DF74C-CC6B-4032-B2AE-1BE26E1B71F9}"/>
    <cellStyle name="SAPBEXundefined 3 7" xfId="30090" xr:uid="{00000000-0005-0000-0000-0000A1730000}"/>
    <cellStyle name="SAPBEXundefined 3 8" xfId="30305" xr:uid="{67B6F329-1088-4E68-A745-3D6961C43E10}"/>
    <cellStyle name="SAPBEXundefined 4" xfId="25136" xr:uid="{00000000-0005-0000-0000-0000A2730000}"/>
    <cellStyle name="SAPBEXundefined 4 2" xfId="25302" xr:uid="{00000000-0005-0000-0000-0000A3730000}"/>
    <cellStyle name="SAPBEXundefined 4 2 2" xfId="27456" xr:uid="{00000000-0005-0000-0000-0000A4730000}"/>
    <cellStyle name="SAPBEXundefined 4 2 2 2" xfId="32048" xr:uid="{2CF128D3-D9FC-4152-8E09-C81AA6AB47FA}"/>
    <cellStyle name="SAPBEXundefined 4 2 3" xfId="28541" xr:uid="{00000000-0005-0000-0000-0000A5730000}"/>
    <cellStyle name="SAPBEXundefined 4 2 3 2" xfId="33099" xr:uid="{D7D22DC2-C6A8-4B8D-A6C1-4FF4853F7251}"/>
    <cellStyle name="SAPBEXundefined 4 2 4" xfId="26109" xr:uid="{00000000-0005-0000-0000-0000A6730000}"/>
    <cellStyle name="SAPBEXundefined 4 2 4 2" xfId="30899" xr:uid="{19660AF1-8C1F-428D-82A4-D787F56D5985}"/>
    <cellStyle name="SAPBEXundefined 4 2 5" xfId="30094" xr:uid="{00000000-0005-0000-0000-0000A7730000}"/>
    <cellStyle name="SAPBEXundefined 4 2 6" xfId="30461" xr:uid="{0A01F62F-D495-4385-A9E6-EA570CF7E530}"/>
    <cellStyle name="SAPBEXundefined 4 3" xfId="25734" xr:uid="{00000000-0005-0000-0000-0000A8730000}"/>
    <cellStyle name="SAPBEXundefined 4 3 2" xfId="27887" xr:uid="{00000000-0005-0000-0000-0000A9730000}"/>
    <cellStyle name="SAPBEXundefined 4 3 2 2" xfId="32474" xr:uid="{360CCC03-6C0E-40FD-8357-7FC8C54C5A84}"/>
    <cellStyle name="SAPBEXundefined 4 3 3" xfId="28542" xr:uid="{00000000-0005-0000-0000-0000AA730000}"/>
    <cellStyle name="SAPBEXundefined 4 3 3 2" xfId="33100" xr:uid="{BF85F5D2-B6F8-4435-8E52-78FAE85D38B9}"/>
    <cellStyle name="SAPBEXundefined 4 3 4" xfId="26414" xr:uid="{00000000-0005-0000-0000-0000AB730000}"/>
    <cellStyle name="SAPBEXundefined 4 3 4 2" xfId="31202" xr:uid="{C4CB4795-BBD1-4A9B-840E-4F5C66F9ADC7}"/>
    <cellStyle name="SAPBEXundefined 4 3 5" xfId="30095" xr:uid="{00000000-0005-0000-0000-0000AC730000}"/>
    <cellStyle name="SAPBEXundefined 4 3 6" xfId="30728" xr:uid="{93F2A48A-243B-40C0-ABA9-07BCFDD330CF}"/>
    <cellStyle name="SAPBEXundefined 4 4" xfId="27421" xr:uid="{00000000-0005-0000-0000-0000AD730000}"/>
    <cellStyle name="SAPBEXundefined 4 4 2" xfId="32019" xr:uid="{6E514A2B-6693-49FA-8C82-6B556A3FA68A}"/>
    <cellStyle name="SAPBEXundefined 4 5" xfId="28540" xr:uid="{00000000-0005-0000-0000-0000AE730000}"/>
    <cellStyle name="SAPBEXundefined 4 5 2" xfId="33098" xr:uid="{9B91B373-E114-42BC-AE76-D06FA85C97F9}"/>
    <cellStyle name="SAPBEXundefined 4 6" xfId="26396" xr:uid="{00000000-0005-0000-0000-0000AF730000}"/>
    <cellStyle name="SAPBEXundefined 4 6 2" xfId="31184" xr:uid="{9A46F83B-EEA4-46C2-BADC-E1C413C67531}"/>
    <cellStyle name="SAPBEXundefined 4 7" xfId="30093" xr:uid="{00000000-0005-0000-0000-0000B0730000}"/>
    <cellStyle name="SAPBEXundefined 4 8" xfId="30436" xr:uid="{3D780699-2066-4027-80EE-10FA320F903F}"/>
    <cellStyle name="SAPBEXundefined 5" xfId="25877" xr:uid="{00000000-0005-0000-0000-0000B1730000}"/>
    <cellStyle name="SAPBEXundefined 5 2" xfId="30796" xr:uid="{7992197B-4F7D-40DB-BFAF-B2B6690295E2}"/>
    <cellStyle name="SAPBEXundefined 6" xfId="28534" xr:uid="{00000000-0005-0000-0000-0000B2730000}"/>
    <cellStyle name="SAPBEXundefined 6 2" xfId="33092" xr:uid="{521329CA-6D9F-4D30-9844-3E5135BA34B5}"/>
    <cellStyle name="SAPBEXundefined 7" xfId="26760" xr:uid="{00000000-0005-0000-0000-0000B3730000}"/>
    <cellStyle name="SAPBEXundefined 7 2" xfId="31521" xr:uid="{B362A1A0-73A4-4D62-A9FD-9CA06CBF605A}"/>
    <cellStyle name="SAPBEXundefined 8" xfId="30087" xr:uid="{00000000-0005-0000-0000-0000B4730000}"/>
    <cellStyle name="Shade" xfId="150" xr:uid="{00000000-0005-0000-0000-0000B5730000}"/>
    <cellStyle name="Shaded" xfId="615" xr:uid="{00000000-0005-0000-0000-0000B6730000}"/>
    <cellStyle name="Sheet Title" xfId="24273" xr:uid="{00000000-0005-0000-0000-0000B7730000}"/>
    <cellStyle name="Special" xfId="151" xr:uid="{00000000-0005-0000-0000-0000B8730000}"/>
    <cellStyle name="Special 2" xfId="25878" xr:uid="{00000000-0005-0000-0000-0000B9730000}"/>
    <cellStyle name="Special 3" xfId="28543" xr:uid="{00000000-0005-0000-0000-0000BA730000}"/>
    <cellStyle name="Special 3 2" xfId="33101" xr:uid="{588AE46A-41C9-47E8-BF6D-C8065FD2F889}"/>
    <cellStyle name="Special 4" xfId="30096" xr:uid="{00000000-0005-0000-0000-0000BB730000}"/>
    <cellStyle name="Special 4 2" xfId="33352" xr:uid="{B5DAA20B-90F2-4473-9E6B-1EA4BE6E2925}"/>
    <cellStyle name="Style 1" xfId="152" xr:uid="{00000000-0005-0000-0000-0000BC730000}"/>
    <cellStyle name="Style 1 2" xfId="24274" xr:uid="{00000000-0005-0000-0000-0000BD730000}"/>
    <cellStyle name="Style 1 2 2" xfId="27127" xr:uid="{00000000-0005-0000-0000-0000BE730000}"/>
    <cellStyle name="Style 1 3" xfId="23908" xr:uid="{00000000-0005-0000-0000-0000BF730000}"/>
    <cellStyle name="Style 1 4" xfId="25879" xr:uid="{00000000-0005-0000-0000-0000C0730000}"/>
    <cellStyle name="Style 1 5" xfId="29263" xr:uid="{00000000-0005-0000-0000-0000C1730000}"/>
    <cellStyle name="Style 2" xfId="29264" xr:uid="{00000000-0005-0000-0000-0000C2730000}"/>
    <cellStyle name="Style 27" xfId="153" xr:uid="{00000000-0005-0000-0000-0000C3730000}"/>
    <cellStyle name="Style 27 2" xfId="25880" xr:uid="{00000000-0005-0000-0000-0000C4730000}"/>
    <cellStyle name="Style 35" xfId="154" xr:uid="{00000000-0005-0000-0000-0000C5730000}"/>
    <cellStyle name="Style 36" xfId="155" xr:uid="{00000000-0005-0000-0000-0000C6730000}"/>
    <cellStyle name="Summary" xfId="616" xr:uid="{00000000-0005-0000-0000-0000C7730000}"/>
    <cellStyle name="System" xfId="617" xr:uid="{00000000-0005-0000-0000-0000C8730000}"/>
    <cellStyle name="Table Col Head" xfId="618" xr:uid="{00000000-0005-0000-0000-0000C9730000}"/>
    <cellStyle name="Table Sub Head" xfId="619" xr:uid="{00000000-0005-0000-0000-0000CA730000}"/>
    <cellStyle name="Table Title" xfId="620" xr:uid="{00000000-0005-0000-0000-0000CB730000}"/>
    <cellStyle name="Table Units" xfId="621" xr:uid="{00000000-0005-0000-0000-0000CC730000}"/>
    <cellStyle name="TableBase" xfId="622" xr:uid="{00000000-0005-0000-0000-0000CD730000}"/>
    <cellStyle name="TableBase 2" xfId="24528" xr:uid="{00000000-0005-0000-0000-0000CE730000}"/>
    <cellStyle name="TableBase 2 2" xfId="25352" xr:uid="{00000000-0005-0000-0000-0000CF730000}"/>
    <cellStyle name="TableBase 2 2 2" xfId="27506" xr:uid="{00000000-0005-0000-0000-0000D0730000}"/>
    <cellStyle name="TableBase 2 2 2 2" xfId="32097" xr:uid="{CE1D3B3D-01A0-4DDF-97FA-847A82D7A846}"/>
    <cellStyle name="TableBase 2 2 3" xfId="29197" xr:uid="{00000000-0005-0000-0000-0000D1730000}"/>
    <cellStyle name="TableBase 2 2 3 2" xfId="33180" xr:uid="{F71DBC97-94A3-45BC-A505-6F7B470C1533}"/>
    <cellStyle name="TableBase 2 2 4" xfId="27018" xr:uid="{00000000-0005-0000-0000-0000D2730000}"/>
    <cellStyle name="TableBase 2 2 4 2" xfId="31778" xr:uid="{0833D50F-7F5B-4921-B0D5-FFB91A9DAB25}"/>
    <cellStyle name="TableBase 2 2 5" xfId="29270" xr:uid="{00000000-0005-0000-0000-0000D3730000}"/>
    <cellStyle name="TableBase 2 2 6" xfId="29423" xr:uid="{00000000-0005-0000-0000-0000D4730000}"/>
    <cellStyle name="TableBase 2 2 7" xfId="30510" xr:uid="{65868625-B039-482E-96E9-C42A282F9469}"/>
    <cellStyle name="TableBase 2 3" xfId="25598" xr:uid="{00000000-0005-0000-0000-0000D5730000}"/>
    <cellStyle name="TableBase 2 3 2" xfId="27751" xr:uid="{00000000-0005-0000-0000-0000D6730000}"/>
    <cellStyle name="TableBase 2 3 2 2" xfId="32338" xr:uid="{F398C911-750B-4F76-8F5E-41D030D7EBFD}"/>
    <cellStyle name="TableBase 2 3 3" xfId="29234" xr:uid="{00000000-0005-0000-0000-0000D7730000}"/>
    <cellStyle name="TableBase 2 3 3 2" xfId="33217" xr:uid="{E54243C6-6F5D-4D40-BBB5-BBBD9E463CA6}"/>
    <cellStyle name="TableBase 2 3 4" xfId="26249" xr:uid="{00000000-0005-0000-0000-0000D8730000}"/>
    <cellStyle name="TableBase 2 3 4 2" xfId="31037" xr:uid="{8D9E6AC7-BD53-4928-92A4-37132158A0A7}"/>
    <cellStyle name="TableBase 2 3 5" xfId="29269" xr:uid="{00000000-0005-0000-0000-0000D9730000}"/>
    <cellStyle name="TableBase 2 3 6" xfId="29424" xr:uid="{00000000-0005-0000-0000-0000DA730000}"/>
    <cellStyle name="TableBase 2 3 7" xfId="30639" xr:uid="{B39F3AF0-8C6F-4B0B-AC55-965F0F5DAB48}"/>
    <cellStyle name="TableBase 2 4" xfId="27208" xr:uid="{00000000-0005-0000-0000-0000DB730000}"/>
    <cellStyle name="TableBase 2 4 2" xfId="31858" xr:uid="{045E42C3-D56B-4128-99FB-2ACA81DD8781}"/>
    <cellStyle name="TableBase 2 5" xfId="27038" xr:uid="{00000000-0005-0000-0000-0000DC730000}"/>
    <cellStyle name="TableBase 2 5 2" xfId="31789" xr:uid="{109C4FA2-84E0-4FA2-9037-BE4DEEED450D}"/>
    <cellStyle name="TableBase 2 6" xfId="26764" xr:uid="{00000000-0005-0000-0000-0000DD730000}"/>
    <cellStyle name="TableBase 2 6 2" xfId="31525" xr:uid="{794BC1CA-BB5D-4944-A82B-9F8B9D892063}"/>
    <cellStyle name="TableBase 2 7" xfId="29271" xr:uid="{00000000-0005-0000-0000-0000DE730000}"/>
    <cellStyle name="TableBase 2 8" xfId="29422" xr:uid="{00000000-0005-0000-0000-0000DF730000}"/>
    <cellStyle name="TableBase 2 9" xfId="30300" xr:uid="{D3820272-D3B7-415A-8FB7-AA84313CD6AB}"/>
    <cellStyle name="TableBase 3" xfId="24688" xr:uid="{00000000-0005-0000-0000-0000E0730000}"/>
    <cellStyle name="TableBase 3 2" xfId="25440" xr:uid="{00000000-0005-0000-0000-0000E1730000}"/>
    <cellStyle name="TableBase 3 2 2" xfId="27594" xr:uid="{00000000-0005-0000-0000-0000E2730000}"/>
    <cellStyle name="TableBase 3 2 2 2" xfId="32185" xr:uid="{925815FA-CA04-40E1-B188-E29CC1E0148D}"/>
    <cellStyle name="TableBase 3 2 3" xfId="29213" xr:uid="{00000000-0005-0000-0000-0000E3730000}"/>
    <cellStyle name="TableBase 3 2 3 2" xfId="33196" xr:uid="{7F5C0DE2-045E-4D25-BBFE-EA93089D0F5B}"/>
    <cellStyle name="TableBase 3 2 4" xfId="26338" xr:uid="{00000000-0005-0000-0000-0000E4730000}"/>
    <cellStyle name="TableBase 3 2 4 2" xfId="31126" xr:uid="{81E67D89-95C6-493B-9817-73B89208F7B1}"/>
    <cellStyle name="TableBase 3 2 5" xfId="29267" xr:uid="{00000000-0005-0000-0000-0000E5730000}"/>
    <cellStyle name="TableBase 3 2 6" xfId="29426" xr:uid="{00000000-0005-0000-0000-0000E6730000}"/>
    <cellStyle name="TableBase 3 2 7" xfId="30598" xr:uid="{ED54E79D-9107-41C5-850D-652AC3282B8B}"/>
    <cellStyle name="TableBase 3 3" xfId="25650" xr:uid="{00000000-0005-0000-0000-0000E7730000}"/>
    <cellStyle name="TableBase 3 3 2" xfId="27803" xr:uid="{00000000-0005-0000-0000-0000E8730000}"/>
    <cellStyle name="TableBase 3 3 2 2" xfId="32390" xr:uid="{10AE01FB-390D-4B97-ADE8-0265A1F1AE78}"/>
    <cellStyle name="TableBase 3 3 3" xfId="29236" xr:uid="{00000000-0005-0000-0000-0000E9730000}"/>
    <cellStyle name="TableBase 3 3 3 2" xfId="33218" xr:uid="{4E251EF7-D38E-4893-9208-93423C227400}"/>
    <cellStyle name="TableBase 3 3 4" xfId="26278" xr:uid="{00000000-0005-0000-0000-0000EA730000}"/>
    <cellStyle name="TableBase 3 3 4 2" xfId="31066" xr:uid="{7764611B-88DD-4EA7-A0FC-9B2C06FAB1B2}"/>
    <cellStyle name="TableBase 3 3 5" xfId="29266" xr:uid="{00000000-0005-0000-0000-0000EB730000}"/>
    <cellStyle name="TableBase 3 3 6" xfId="29427" xr:uid="{00000000-0005-0000-0000-0000EC730000}"/>
    <cellStyle name="TableBase 3 3 7" xfId="30644" xr:uid="{AEAB9BD3-6153-44FF-8BB6-D2FF88300096}"/>
    <cellStyle name="TableBase 3 4" xfId="27278" xr:uid="{00000000-0005-0000-0000-0000ED730000}"/>
    <cellStyle name="TableBase 3 4 2" xfId="31912" xr:uid="{BF207EEF-67E4-4B5A-B463-398417E61C5D}"/>
    <cellStyle name="TableBase 3 5" xfId="26036" xr:uid="{00000000-0005-0000-0000-0000EE730000}"/>
    <cellStyle name="TableBase 3 5 2" xfId="30837" xr:uid="{19E09015-F9D6-4EE7-99F9-D45E8C761AF3}"/>
    <cellStyle name="TableBase 3 6" xfId="26809" xr:uid="{00000000-0005-0000-0000-0000EF730000}"/>
    <cellStyle name="TableBase 3 6 2" xfId="31570" xr:uid="{FBC86008-14A9-4131-AF59-DFF704AF25C4}"/>
    <cellStyle name="TableBase 3 7" xfId="29268" xr:uid="{00000000-0005-0000-0000-0000F0730000}"/>
    <cellStyle name="TableBase 3 8" xfId="29425" xr:uid="{00000000-0005-0000-0000-0000F1730000}"/>
    <cellStyle name="TableBase 3 9" xfId="30352" xr:uid="{24F8F1CF-A606-4767-8929-F94F03D76C84}"/>
    <cellStyle name="TableBase 4" xfId="29272" xr:uid="{00000000-0005-0000-0000-0000F2730000}"/>
    <cellStyle name="TableHead" xfId="623" xr:uid="{00000000-0005-0000-0000-0000F3730000}"/>
    <cellStyle name="Text" xfId="624" xr:uid="{00000000-0005-0000-0000-0000F4730000}"/>
    <cellStyle name="Time" xfId="625" xr:uid="{00000000-0005-0000-0000-0000F5730000}"/>
    <cellStyle name="Time 2" xfId="24275" xr:uid="{00000000-0005-0000-0000-0000F6730000}"/>
    <cellStyle name="Title - Underline" xfId="626" xr:uid="{00000000-0005-0000-0000-0000F7730000}"/>
    <cellStyle name="Title 2" xfId="24276" xr:uid="{00000000-0005-0000-0000-0000F8730000}"/>
    <cellStyle name="Titles" xfId="156" xr:uid="{00000000-0005-0000-0000-0000F9730000}"/>
    <cellStyle name="Titles - Other" xfId="627" xr:uid="{00000000-0005-0000-0000-0000FA730000}"/>
    <cellStyle name="Titles - Other 2" xfId="24277" xr:uid="{00000000-0005-0000-0000-0000FB730000}"/>
    <cellStyle name="Titles 2" xfId="24929" xr:uid="{00000000-0005-0000-0000-0000FC730000}"/>
    <cellStyle name="Titles 3" xfId="25137" xr:uid="{00000000-0005-0000-0000-0000FD730000}"/>
    <cellStyle name="Total 10" xfId="3476" xr:uid="{00000000-0005-0000-0000-0000FE730000}"/>
    <cellStyle name="Total 11" xfId="3477" xr:uid="{00000000-0005-0000-0000-0000FF730000}"/>
    <cellStyle name="Total 12" xfId="3478" xr:uid="{00000000-0005-0000-0000-000000740000}"/>
    <cellStyle name="Total 13" xfId="3479" xr:uid="{00000000-0005-0000-0000-000001740000}"/>
    <cellStyle name="Total 14" xfId="3480" xr:uid="{00000000-0005-0000-0000-000002740000}"/>
    <cellStyle name="Total 15" xfId="3481" xr:uid="{00000000-0005-0000-0000-000003740000}"/>
    <cellStyle name="Total 16" xfId="3482" xr:uid="{00000000-0005-0000-0000-000004740000}"/>
    <cellStyle name="Total 17" xfId="3483" xr:uid="{00000000-0005-0000-0000-000005740000}"/>
    <cellStyle name="Total 18" xfId="3484" xr:uid="{00000000-0005-0000-0000-000006740000}"/>
    <cellStyle name="Total 19" xfId="3485" xr:uid="{00000000-0005-0000-0000-000007740000}"/>
    <cellStyle name="Total 2" xfId="157" xr:uid="{00000000-0005-0000-0000-000008740000}"/>
    <cellStyle name="Total 2 2" xfId="3486" xr:uid="{00000000-0005-0000-0000-000009740000}"/>
    <cellStyle name="Total 2 2 2" xfId="24279" xr:uid="{00000000-0005-0000-0000-00000A740000}"/>
    <cellStyle name="Total 2 2 2 2" xfId="25412" xr:uid="{00000000-0005-0000-0000-00000B740000}"/>
    <cellStyle name="Total 2 2 2 2 2" xfId="27566" xr:uid="{00000000-0005-0000-0000-00000C740000}"/>
    <cellStyle name="Total 2 2 2 2 2 2" xfId="32157" xr:uid="{09EE0226-7981-4556-ABDD-473779325ABA}"/>
    <cellStyle name="Total 2 2 2 2 3" xfId="28550" xr:uid="{00000000-0005-0000-0000-00000D740000}"/>
    <cellStyle name="Total 2 2 2 2 3 2" xfId="33108" xr:uid="{1BBE41D4-3DD4-481A-A5A2-B404CCD6B23E}"/>
    <cellStyle name="Total 2 2 2 2 4" xfId="26251" xr:uid="{00000000-0005-0000-0000-00000E740000}"/>
    <cellStyle name="Total 2 2 2 2 4 2" xfId="31039" xr:uid="{FBDB0E74-F8EE-486A-A488-1B681BD27872}"/>
    <cellStyle name="Total 2 2 2 2 5" xfId="30098" xr:uid="{00000000-0005-0000-0000-00000F740000}"/>
    <cellStyle name="Total 2 2 2 2 6" xfId="30570" xr:uid="{2F5991BB-6954-429F-A43E-A08D6DF600B2}"/>
    <cellStyle name="Total 2 2 2 3" xfId="25592" xr:uid="{00000000-0005-0000-0000-000010740000}"/>
    <cellStyle name="Total 2 2 2 3 2" xfId="27745" xr:uid="{00000000-0005-0000-0000-000011740000}"/>
    <cellStyle name="Total 2 2 2 3 2 2" xfId="32332" xr:uid="{73C33BD2-9DA0-430F-ADEF-4FFCEAFC1D37}"/>
    <cellStyle name="Total 2 2 2 3 3" xfId="28551" xr:uid="{00000000-0005-0000-0000-000012740000}"/>
    <cellStyle name="Total 2 2 2 3 3 2" xfId="33109" xr:uid="{A4D2341F-5110-447D-B0C7-2D4CC9AC0D9C}"/>
    <cellStyle name="Total 2 2 2 3 4" xfId="26940" xr:uid="{00000000-0005-0000-0000-000013740000}"/>
    <cellStyle name="Total 2 2 2 3 4 2" xfId="31701" xr:uid="{D59D3FB4-6BA5-4D9B-9E53-875239A95659}"/>
    <cellStyle name="Total 2 2 2 3 5" xfId="30099" xr:uid="{00000000-0005-0000-0000-000014740000}"/>
    <cellStyle name="Total 2 2 2 3 6" xfId="30633" xr:uid="{3E310DBB-8EE4-4B86-8311-31FE88E695A6}"/>
    <cellStyle name="Total 2 2 2 4" xfId="27129" xr:uid="{00000000-0005-0000-0000-000015740000}"/>
    <cellStyle name="Total 2 2 2 4 2" xfId="31843" xr:uid="{808641F3-A0E8-4B4C-B068-15D9048450E3}"/>
    <cellStyle name="Total 2 2 2 5" xfId="28549" xr:uid="{00000000-0005-0000-0000-000016740000}"/>
    <cellStyle name="Total 2 2 2 5 2" xfId="33107" xr:uid="{218E2E99-13BA-492F-B8C0-5406D954D2BB}"/>
    <cellStyle name="Total 2 2 2 6" xfId="26073" xr:uid="{00000000-0005-0000-0000-000017740000}"/>
    <cellStyle name="Total 2 2 2 6 2" xfId="30863" xr:uid="{4BC39723-DEC7-4040-9690-1A9B4422AD90}"/>
    <cellStyle name="Total 2 2 2 7" xfId="30097" xr:uid="{00000000-0005-0000-0000-000018740000}"/>
    <cellStyle name="Total 2 2 2 8" xfId="30294" xr:uid="{AB46E8A1-008E-467A-B1C7-0466D0555D6E}"/>
    <cellStyle name="Total 2 2 3" xfId="24633" xr:uid="{00000000-0005-0000-0000-000019740000}"/>
    <cellStyle name="Total 2 2 3 2" xfId="25351" xr:uid="{00000000-0005-0000-0000-00001A740000}"/>
    <cellStyle name="Total 2 2 3 2 2" xfId="27505" xr:uid="{00000000-0005-0000-0000-00001B740000}"/>
    <cellStyle name="Total 2 2 3 2 2 2" xfId="32096" xr:uid="{8CE9766B-FA3B-4102-B5BE-30685C1CC1CD}"/>
    <cellStyle name="Total 2 2 3 2 3" xfId="28553" xr:uid="{00000000-0005-0000-0000-00001C740000}"/>
    <cellStyle name="Total 2 2 3 2 3 2" xfId="33111" xr:uid="{37691D6E-4DD6-4C7E-92A2-AE1758642F79}"/>
    <cellStyle name="Total 2 2 3 2 4" xfId="26870" xr:uid="{00000000-0005-0000-0000-00001D740000}"/>
    <cellStyle name="Total 2 2 3 2 4 2" xfId="31631" xr:uid="{6C431A3A-870E-4ED3-BF7D-6D7051A71B19}"/>
    <cellStyle name="Total 2 2 3 2 5" xfId="30101" xr:uid="{00000000-0005-0000-0000-00001E740000}"/>
    <cellStyle name="Total 2 2 3 2 6" xfId="30509" xr:uid="{66047F43-BEBF-438A-A05F-357736EC2D0D}"/>
    <cellStyle name="Total 2 2 3 3" xfId="25601" xr:uid="{00000000-0005-0000-0000-00001F740000}"/>
    <cellStyle name="Total 2 2 3 3 2" xfId="27754" xr:uid="{00000000-0005-0000-0000-000020740000}"/>
    <cellStyle name="Total 2 2 3 3 2 2" xfId="32341" xr:uid="{4999E069-6BA1-4A3A-8B1D-0FD10F73517D}"/>
    <cellStyle name="Total 2 2 3 3 3" xfId="28554" xr:uid="{00000000-0005-0000-0000-000021740000}"/>
    <cellStyle name="Total 2 2 3 3 3 2" xfId="33112" xr:uid="{41B8A705-C68E-4DA0-A881-C6F9435FED47}"/>
    <cellStyle name="Total 2 2 3 3 4" xfId="26210" xr:uid="{00000000-0005-0000-0000-000022740000}"/>
    <cellStyle name="Total 2 2 3 3 4 2" xfId="30998" xr:uid="{5E132638-CBA1-4F5F-B625-E673A40A5889}"/>
    <cellStyle name="Total 2 2 3 3 5" xfId="30102" xr:uid="{00000000-0005-0000-0000-000023740000}"/>
    <cellStyle name="Total 2 2 3 3 6" xfId="30642" xr:uid="{21BC435D-8F8C-4718-91A3-E710F323BBE2}"/>
    <cellStyle name="Total 2 2 3 4" xfId="27227" xr:uid="{00000000-0005-0000-0000-000024740000}"/>
    <cellStyle name="Total 2 2 3 4 2" xfId="31863" xr:uid="{E84DC1B8-0F3C-461C-BF2D-41B18709A888}"/>
    <cellStyle name="Total 2 2 3 5" xfId="28552" xr:uid="{00000000-0005-0000-0000-000025740000}"/>
    <cellStyle name="Total 2 2 3 5 2" xfId="33110" xr:uid="{A9C3FC89-54DB-42AF-B554-1F053361BB99}"/>
    <cellStyle name="Total 2 2 3 6" xfId="26116" xr:uid="{00000000-0005-0000-0000-000026740000}"/>
    <cellStyle name="Total 2 2 3 6 2" xfId="30906" xr:uid="{3A269408-99D0-4BFD-B4A1-946D74B34F16}"/>
    <cellStyle name="Total 2 2 3 7" xfId="30100" xr:uid="{00000000-0005-0000-0000-000027740000}"/>
    <cellStyle name="Total 2 2 3 8" xfId="30303" xr:uid="{F7BBF354-E48E-481E-866B-F82FE1BD56AD}"/>
    <cellStyle name="Total 2 2 4" xfId="25139" xr:uid="{00000000-0005-0000-0000-000028740000}"/>
    <cellStyle name="Total 2 2 4 2" xfId="25422" xr:uid="{00000000-0005-0000-0000-000029740000}"/>
    <cellStyle name="Total 2 2 4 2 2" xfId="27576" xr:uid="{00000000-0005-0000-0000-00002A740000}"/>
    <cellStyle name="Total 2 2 4 2 2 2" xfId="32167" xr:uid="{F9B4F9C9-065F-442E-9131-25D6ACDF9486}"/>
    <cellStyle name="Total 2 2 4 2 3" xfId="28556" xr:uid="{00000000-0005-0000-0000-00002B740000}"/>
    <cellStyle name="Total 2 2 4 2 3 2" xfId="33114" xr:uid="{4DB5294B-F1B1-4949-B746-75FE3950104E}"/>
    <cellStyle name="Total 2 2 4 2 4" xfId="26737" xr:uid="{00000000-0005-0000-0000-00002C740000}"/>
    <cellStyle name="Total 2 2 4 2 4 2" xfId="31498" xr:uid="{A2DAAEB7-22D5-456E-9D4C-B31B5546C4EA}"/>
    <cellStyle name="Total 2 2 4 2 5" xfId="30104" xr:uid="{00000000-0005-0000-0000-00002D740000}"/>
    <cellStyle name="Total 2 2 4 2 6" xfId="30580" xr:uid="{056D6584-37B5-4993-B029-E86C1EFF9795}"/>
    <cellStyle name="Total 2 2 4 3" xfId="25736" xr:uid="{00000000-0005-0000-0000-00002E740000}"/>
    <cellStyle name="Total 2 2 4 3 2" xfId="27889" xr:uid="{00000000-0005-0000-0000-00002F740000}"/>
    <cellStyle name="Total 2 2 4 3 2 2" xfId="32476" xr:uid="{96345B05-03C4-475C-A748-7C0BE7E43064}"/>
    <cellStyle name="Total 2 2 4 3 3" xfId="28557" xr:uid="{00000000-0005-0000-0000-000030740000}"/>
    <cellStyle name="Total 2 2 4 3 3 2" xfId="33115" xr:uid="{7DA5D0EF-88CD-482F-8ADC-844AFF54633D}"/>
    <cellStyle name="Total 2 2 4 3 4" xfId="29258" xr:uid="{00000000-0005-0000-0000-000031740000}"/>
    <cellStyle name="Total 2 2 4 3 4 2" xfId="33240" xr:uid="{C47144C2-9CAE-44E0-A55E-794DA78DEC61}"/>
    <cellStyle name="Total 2 2 4 3 5" xfId="30105" xr:uid="{00000000-0005-0000-0000-000032740000}"/>
    <cellStyle name="Total 2 2 4 3 6" xfId="30730" xr:uid="{9DBCDA8A-FC7D-4AFC-BA5D-F6EC10DA1393}"/>
    <cellStyle name="Total 2 2 4 4" xfId="27423" xr:uid="{00000000-0005-0000-0000-000033740000}"/>
    <cellStyle name="Total 2 2 4 4 2" xfId="32021" xr:uid="{D0680DF0-A2A1-4C08-ACC4-2CD95E941120}"/>
    <cellStyle name="Total 2 2 4 5" xfId="28555" xr:uid="{00000000-0005-0000-0000-000034740000}"/>
    <cellStyle name="Total 2 2 4 5 2" xfId="33113" xr:uid="{EA5F274C-232A-42C0-B983-4A80478F2735}"/>
    <cellStyle name="Total 2 2 4 6" xfId="26941" xr:uid="{00000000-0005-0000-0000-000035740000}"/>
    <cellStyle name="Total 2 2 4 6 2" xfId="31702" xr:uid="{9E7AA0C8-C283-45AF-B706-BB146DAA2ACD}"/>
    <cellStyle name="Total 2 2 4 7" xfId="30103" xr:uid="{00000000-0005-0000-0000-000036740000}"/>
    <cellStyle name="Total 2 2 4 8" xfId="30438" xr:uid="{43DF1FEB-B7BD-4927-BE6C-8354B6B55455}"/>
    <cellStyle name="Total 2 3" xfId="13681" xr:uid="{00000000-0005-0000-0000-000037740000}"/>
    <cellStyle name="Total 2 4" xfId="24278" xr:uid="{00000000-0005-0000-0000-000038740000}"/>
    <cellStyle name="Total 2 4 2" xfId="25310" xr:uid="{00000000-0005-0000-0000-000039740000}"/>
    <cellStyle name="Total 2 4 2 2" xfId="27464" xr:uid="{00000000-0005-0000-0000-00003A740000}"/>
    <cellStyle name="Total 2 4 2 2 2" xfId="32056" xr:uid="{03F5C887-76CE-4993-9466-C641BF5BB254}"/>
    <cellStyle name="Total 2 4 2 3" xfId="28559" xr:uid="{00000000-0005-0000-0000-00003B740000}"/>
    <cellStyle name="Total 2 4 2 3 2" xfId="33117" xr:uid="{B75D1382-9045-465A-9195-285CC700B6FA}"/>
    <cellStyle name="Total 2 4 2 4" xfId="26951" xr:uid="{00000000-0005-0000-0000-00003C740000}"/>
    <cellStyle name="Total 2 4 2 4 2" xfId="31712" xr:uid="{C7848FA9-6DAC-482C-A883-56DA5C8D9AA7}"/>
    <cellStyle name="Total 2 4 2 5" xfId="30107" xr:uid="{00000000-0005-0000-0000-00003D740000}"/>
    <cellStyle name="Total 2 4 2 6" xfId="30469" xr:uid="{6D9C7339-1642-4E97-A734-58778A07D5A7}"/>
    <cellStyle name="Total 2 4 3" xfId="25591" xr:uid="{00000000-0005-0000-0000-00003E740000}"/>
    <cellStyle name="Total 2 4 3 2" xfId="27744" xr:uid="{00000000-0005-0000-0000-00003F740000}"/>
    <cellStyle name="Total 2 4 3 2 2" xfId="32331" xr:uid="{9BB08DDE-080D-4DC0-B10F-79263354C82F}"/>
    <cellStyle name="Total 2 4 3 3" xfId="28560" xr:uid="{00000000-0005-0000-0000-000040740000}"/>
    <cellStyle name="Total 2 4 3 3 2" xfId="33118" xr:uid="{8BE39DB1-FA93-450D-92B6-F7A7396F09E7}"/>
    <cellStyle name="Total 2 4 3 4" xfId="26333" xr:uid="{00000000-0005-0000-0000-000041740000}"/>
    <cellStyle name="Total 2 4 3 4 2" xfId="31121" xr:uid="{0BCAB065-DF40-4C2F-A5B1-32CE93710DEF}"/>
    <cellStyle name="Total 2 4 3 5" xfId="30108" xr:uid="{00000000-0005-0000-0000-000042740000}"/>
    <cellStyle name="Total 2 4 3 6" xfId="30632" xr:uid="{401B59A7-E822-4AE8-A985-FB9E80E66F05}"/>
    <cellStyle name="Total 2 4 4" xfId="27128" xr:uid="{00000000-0005-0000-0000-000043740000}"/>
    <cellStyle name="Total 2 4 4 2" xfId="31842" xr:uid="{433FFB42-A782-4AC9-970D-FFCFD7F553A5}"/>
    <cellStyle name="Total 2 4 5" xfId="28558" xr:uid="{00000000-0005-0000-0000-000044740000}"/>
    <cellStyle name="Total 2 4 5 2" xfId="33116" xr:uid="{EEE379A3-1B84-466C-81E1-E711F43C6523}"/>
    <cellStyle name="Total 2 4 6" xfId="26672" xr:uid="{00000000-0005-0000-0000-000045740000}"/>
    <cellStyle name="Total 2 4 6 2" xfId="31440" xr:uid="{5BE4EEEB-C8E3-428A-9404-F4CB154E2CEB}"/>
    <cellStyle name="Total 2 4 7" xfId="30106" xr:uid="{00000000-0005-0000-0000-000046740000}"/>
    <cellStyle name="Total 2 4 8" xfId="30293" xr:uid="{ED9E4BE2-6C6A-4EB4-9399-9C307C62DECA}"/>
    <cellStyle name="Total 2 5" xfId="24634" xr:uid="{00000000-0005-0000-0000-000047740000}"/>
    <cellStyle name="Total 2 5 2" xfId="25452" xr:uid="{00000000-0005-0000-0000-000048740000}"/>
    <cellStyle name="Total 2 5 2 2" xfId="27606" xr:uid="{00000000-0005-0000-0000-000049740000}"/>
    <cellStyle name="Total 2 5 2 2 2" xfId="32197" xr:uid="{0F29F80F-D7B2-41A5-8C8F-8E29FCADA158}"/>
    <cellStyle name="Total 2 5 2 3" xfId="28562" xr:uid="{00000000-0005-0000-0000-00004A740000}"/>
    <cellStyle name="Total 2 5 2 3 2" xfId="33120" xr:uid="{7FDE34CF-B069-40A9-A659-2199E86D2E70}"/>
    <cellStyle name="Total 2 5 2 4" xfId="26849" xr:uid="{00000000-0005-0000-0000-00004B740000}"/>
    <cellStyle name="Total 2 5 2 4 2" xfId="31610" xr:uid="{8ED164CA-52F5-44A0-B5E3-0D5AAF63E137}"/>
    <cellStyle name="Total 2 5 2 5" xfId="30110" xr:uid="{00000000-0005-0000-0000-00004C740000}"/>
    <cellStyle name="Total 2 5 2 6" xfId="30610" xr:uid="{3363A8E9-A061-4946-9450-F6D81FF76262}"/>
    <cellStyle name="Total 2 5 3" xfId="25602" xr:uid="{00000000-0005-0000-0000-00004D740000}"/>
    <cellStyle name="Total 2 5 3 2" xfId="27755" xr:uid="{00000000-0005-0000-0000-00004E740000}"/>
    <cellStyle name="Total 2 5 3 2 2" xfId="32342" xr:uid="{885EAF7E-09B2-405F-9861-BC64C9255ABC}"/>
    <cellStyle name="Total 2 5 3 3" xfId="28563" xr:uid="{00000000-0005-0000-0000-00004F740000}"/>
    <cellStyle name="Total 2 5 3 3 2" xfId="33121" xr:uid="{F2973C02-BE19-4E11-80B8-3465E5030BD2}"/>
    <cellStyle name="Total 2 5 3 4" xfId="26095" xr:uid="{00000000-0005-0000-0000-000050740000}"/>
    <cellStyle name="Total 2 5 3 4 2" xfId="30885" xr:uid="{5ACDE122-9DEF-4C0E-9E74-3FECC75EA94F}"/>
    <cellStyle name="Total 2 5 3 5" xfId="30111" xr:uid="{00000000-0005-0000-0000-000051740000}"/>
    <cellStyle name="Total 2 5 3 6" xfId="30643" xr:uid="{1C4566A9-F474-47D4-A093-DEDDCAC01134}"/>
    <cellStyle name="Total 2 5 4" xfId="27228" xr:uid="{00000000-0005-0000-0000-000052740000}"/>
    <cellStyle name="Total 2 5 4 2" xfId="31864" xr:uid="{E56FA133-FC66-455A-887A-09CE1755A737}"/>
    <cellStyle name="Total 2 5 5" xfId="28561" xr:uid="{00000000-0005-0000-0000-000053740000}"/>
    <cellStyle name="Total 2 5 5 2" xfId="33119" xr:uid="{C5714789-7AFD-41DC-A9E8-7AE849ABF029}"/>
    <cellStyle name="Total 2 5 6" xfId="26698" xr:uid="{00000000-0005-0000-0000-000054740000}"/>
    <cellStyle name="Total 2 5 6 2" xfId="31460" xr:uid="{13278DD0-2269-4D28-A109-FA6257B16C8D}"/>
    <cellStyle name="Total 2 5 7" xfId="30109" xr:uid="{00000000-0005-0000-0000-000055740000}"/>
    <cellStyle name="Total 2 5 8" xfId="30304" xr:uid="{5B0D063A-660A-4B00-9E50-C49A8411D7E4}"/>
    <cellStyle name="Total 2 6" xfId="25138" xr:uid="{00000000-0005-0000-0000-000056740000}"/>
    <cellStyle name="Total 2 6 2" xfId="25318" xr:uid="{00000000-0005-0000-0000-000057740000}"/>
    <cellStyle name="Total 2 6 2 2" xfId="27472" xr:uid="{00000000-0005-0000-0000-000058740000}"/>
    <cellStyle name="Total 2 6 2 2 2" xfId="32063" xr:uid="{58B035EB-303F-47DE-B3C3-0542415EF7E1}"/>
    <cellStyle name="Total 2 6 2 3" xfId="28565" xr:uid="{00000000-0005-0000-0000-000059740000}"/>
    <cellStyle name="Total 2 6 2 3 2" xfId="33123" xr:uid="{F0DEB96A-4045-4D03-9DFB-616A35F7D55B}"/>
    <cellStyle name="Total 2 6 2 4" xfId="26865" xr:uid="{00000000-0005-0000-0000-00005A740000}"/>
    <cellStyle name="Total 2 6 2 4 2" xfId="31626" xr:uid="{36713479-7827-493F-911A-333B0EEFEEAA}"/>
    <cellStyle name="Total 2 6 2 5" xfId="30113" xr:uid="{00000000-0005-0000-0000-00005B740000}"/>
    <cellStyle name="Total 2 6 2 6" xfId="30476" xr:uid="{3F7F02EA-F975-4789-BFD1-E030C6A5F965}"/>
    <cellStyle name="Total 2 6 3" xfId="25735" xr:uid="{00000000-0005-0000-0000-00005C740000}"/>
    <cellStyle name="Total 2 6 3 2" xfId="27888" xr:uid="{00000000-0005-0000-0000-00005D740000}"/>
    <cellStyle name="Total 2 6 3 2 2" xfId="32475" xr:uid="{AE556F90-C752-4782-94A2-6DEB72BE58B8}"/>
    <cellStyle name="Total 2 6 3 3" xfId="28566" xr:uid="{00000000-0005-0000-0000-00005E740000}"/>
    <cellStyle name="Total 2 6 3 3 2" xfId="33124" xr:uid="{44C4BC4A-3B2E-4F9B-91E3-EB79CCAC2AD5}"/>
    <cellStyle name="Total 2 6 3 4" xfId="26963" xr:uid="{00000000-0005-0000-0000-00005F740000}"/>
    <cellStyle name="Total 2 6 3 4 2" xfId="31724" xr:uid="{F66DD7EC-FD6D-4CAE-99DB-189DD484ACBB}"/>
    <cellStyle name="Total 2 6 3 5" xfId="30114" xr:uid="{00000000-0005-0000-0000-000060740000}"/>
    <cellStyle name="Total 2 6 3 6" xfId="30729" xr:uid="{5899EE3C-87ED-4965-A6D1-E429D4768DA0}"/>
    <cellStyle name="Total 2 6 4" xfId="27422" xr:uid="{00000000-0005-0000-0000-000061740000}"/>
    <cellStyle name="Total 2 6 4 2" xfId="32020" xr:uid="{CF2C2147-A49F-4CBE-93AC-F228ED8FBA0B}"/>
    <cellStyle name="Total 2 6 5" xfId="28564" xr:uid="{00000000-0005-0000-0000-000062740000}"/>
    <cellStyle name="Total 2 6 5 2" xfId="33122" xr:uid="{6629F2E5-E241-43F9-A01D-B55CE3ACF3C3}"/>
    <cellStyle name="Total 2 6 6" xfId="26334" xr:uid="{00000000-0005-0000-0000-000063740000}"/>
    <cellStyle name="Total 2 6 6 2" xfId="31122" xr:uid="{A4C0409F-E108-48BE-AB20-86C5B9744D7A}"/>
    <cellStyle name="Total 2 6 7" xfId="30112" xr:uid="{00000000-0005-0000-0000-000064740000}"/>
    <cellStyle name="Total 2 6 8" xfId="30437" xr:uid="{E4B59085-5DAF-4BE6-B1FA-83CF159D6D56}"/>
    <cellStyle name="Total 20" xfId="3487" xr:uid="{00000000-0005-0000-0000-000065740000}"/>
    <cellStyle name="Total 21" xfId="3488" xr:uid="{00000000-0005-0000-0000-000066740000}"/>
    <cellStyle name="Total 22" xfId="3489" xr:uid="{00000000-0005-0000-0000-000067740000}"/>
    <cellStyle name="Total 23" xfId="3490" xr:uid="{00000000-0005-0000-0000-000068740000}"/>
    <cellStyle name="Total 24" xfId="3491" xr:uid="{00000000-0005-0000-0000-000069740000}"/>
    <cellStyle name="Total 25" xfId="3492" xr:uid="{00000000-0005-0000-0000-00006A740000}"/>
    <cellStyle name="Total 26" xfId="3493" xr:uid="{00000000-0005-0000-0000-00006B740000}"/>
    <cellStyle name="Total 27" xfId="3494" xr:uid="{00000000-0005-0000-0000-00006C740000}"/>
    <cellStyle name="Total 28" xfId="3495" xr:uid="{00000000-0005-0000-0000-00006D740000}"/>
    <cellStyle name="Total 29" xfId="3496" xr:uid="{00000000-0005-0000-0000-00006E740000}"/>
    <cellStyle name="Total 3" xfId="3497" xr:uid="{00000000-0005-0000-0000-00006F740000}"/>
    <cellStyle name="Total 3 2" xfId="24281" xr:uid="{00000000-0005-0000-0000-000070740000}"/>
    <cellStyle name="Total 3 2 10" xfId="30296" xr:uid="{385E2AD9-841E-475A-A9B0-FBE4F1F5DE11}"/>
    <cellStyle name="Total 3 2 2" xfId="24631" xr:uid="{00000000-0005-0000-0000-000071740000}"/>
    <cellStyle name="Total 3 2 2 2" xfId="25334" xr:uid="{00000000-0005-0000-0000-000072740000}"/>
    <cellStyle name="Total 3 2 2 2 2" xfId="27488" xr:uid="{00000000-0005-0000-0000-000073740000}"/>
    <cellStyle name="Total 3 2 2 2 2 2" xfId="32079" xr:uid="{59DA73F7-1617-4740-81AB-4E2B53A7A73C}"/>
    <cellStyle name="Total 3 2 2 2 3" xfId="28572" xr:uid="{00000000-0005-0000-0000-000074740000}"/>
    <cellStyle name="Total 3 2 2 2 3 2" xfId="33130" xr:uid="{9889E3BB-2D4A-4E7D-BEA9-EED552A85663}"/>
    <cellStyle name="Total 3 2 2 2 4" xfId="26240" xr:uid="{00000000-0005-0000-0000-000075740000}"/>
    <cellStyle name="Total 3 2 2 2 4 2" xfId="31028" xr:uid="{9AAD0F01-4BC3-4587-97B6-C8749DB3B9F7}"/>
    <cellStyle name="Total 3 2 2 2 5" xfId="30117" xr:uid="{00000000-0005-0000-0000-000076740000}"/>
    <cellStyle name="Total 3 2 2 2 6" xfId="30492" xr:uid="{A6244883-4348-4D6B-B193-F21480213BDF}"/>
    <cellStyle name="Total 3 2 2 3" xfId="25599" xr:uid="{00000000-0005-0000-0000-000077740000}"/>
    <cellStyle name="Total 3 2 2 3 2" xfId="27752" xr:uid="{00000000-0005-0000-0000-000078740000}"/>
    <cellStyle name="Total 3 2 2 3 2 2" xfId="32339" xr:uid="{21AA8AE0-067C-4CCE-A45B-7B88A70F4583}"/>
    <cellStyle name="Total 3 2 2 3 3" xfId="28573" xr:uid="{00000000-0005-0000-0000-000079740000}"/>
    <cellStyle name="Total 3 2 2 3 3 2" xfId="33131" xr:uid="{932DF98C-50C0-4B2A-81BF-55DD0E469881}"/>
    <cellStyle name="Total 3 2 2 3 4" xfId="26294" xr:uid="{00000000-0005-0000-0000-00007A740000}"/>
    <cellStyle name="Total 3 2 2 3 4 2" xfId="31082" xr:uid="{968053EE-0A4C-4EFC-8568-6A77DAA0CC3A}"/>
    <cellStyle name="Total 3 2 2 3 5" xfId="30118" xr:uid="{00000000-0005-0000-0000-00007B740000}"/>
    <cellStyle name="Total 3 2 2 3 6" xfId="30640" xr:uid="{A656EE7B-1A51-4D43-8491-203272F4DC8B}"/>
    <cellStyle name="Total 3 2 2 4" xfId="27225" xr:uid="{00000000-0005-0000-0000-00007C740000}"/>
    <cellStyle name="Total 3 2 2 4 2" xfId="31861" xr:uid="{7C687B4E-3C4D-41C1-99F8-20496200970D}"/>
    <cellStyle name="Total 3 2 2 5" xfId="28571" xr:uid="{00000000-0005-0000-0000-00007D740000}"/>
    <cellStyle name="Total 3 2 2 5 2" xfId="33129" xr:uid="{6E4D43D8-CEA0-41FA-A915-B80FFB9DB486}"/>
    <cellStyle name="Total 3 2 2 6" xfId="26546" xr:uid="{00000000-0005-0000-0000-00007E740000}"/>
    <cellStyle name="Total 3 2 2 6 2" xfId="31333" xr:uid="{9B1C10EC-8EE4-4B6D-8AD8-4C8974A0AC5E}"/>
    <cellStyle name="Total 3 2 2 7" xfId="30116" xr:uid="{00000000-0005-0000-0000-00007F740000}"/>
    <cellStyle name="Total 3 2 2 8" xfId="30301" xr:uid="{9A3DAA71-1F8D-407D-B6EB-4FCEAF061A73}"/>
    <cellStyle name="Total 3 2 3" xfId="25141" xr:uid="{00000000-0005-0000-0000-000080740000}"/>
    <cellStyle name="Total 3 2 3 2" xfId="25436" xr:uid="{00000000-0005-0000-0000-000081740000}"/>
    <cellStyle name="Total 3 2 3 2 2" xfId="27590" xr:uid="{00000000-0005-0000-0000-000082740000}"/>
    <cellStyle name="Total 3 2 3 2 2 2" xfId="32181" xr:uid="{87FCEA46-A21E-40FB-AA21-24E7F7226370}"/>
    <cellStyle name="Total 3 2 3 2 3" xfId="28575" xr:uid="{00000000-0005-0000-0000-000083740000}"/>
    <cellStyle name="Total 3 2 3 2 3 2" xfId="33133" xr:uid="{A9A8045C-C8DD-4CB3-97C9-E1A66853327D}"/>
    <cellStyle name="Total 3 2 3 2 4" xfId="27044" xr:uid="{00000000-0005-0000-0000-000084740000}"/>
    <cellStyle name="Total 3 2 3 2 4 2" xfId="31792" xr:uid="{7E7C5CC4-6B06-49C2-9530-B36FA28014F6}"/>
    <cellStyle name="Total 3 2 3 2 5" xfId="30120" xr:uid="{00000000-0005-0000-0000-000085740000}"/>
    <cellStyle name="Total 3 2 3 2 6" xfId="30594" xr:uid="{0CF27471-32EE-40A6-A2FC-19F7D0A5CF3A}"/>
    <cellStyle name="Total 3 2 3 3" xfId="25738" xr:uid="{00000000-0005-0000-0000-000086740000}"/>
    <cellStyle name="Total 3 2 3 3 2" xfId="27891" xr:uid="{00000000-0005-0000-0000-000087740000}"/>
    <cellStyle name="Total 3 2 3 3 2 2" xfId="32478" xr:uid="{6F73D233-CFD9-4FEC-BCCB-74DB26BB1DD0}"/>
    <cellStyle name="Total 3 2 3 3 3" xfId="28576" xr:uid="{00000000-0005-0000-0000-000088740000}"/>
    <cellStyle name="Total 3 2 3 3 3 2" xfId="33134" xr:uid="{6CFC6D8C-FC42-4836-AE96-887967098842}"/>
    <cellStyle name="Total 3 2 3 3 4" xfId="29260" xr:uid="{00000000-0005-0000-0000-000089740000}"/>
    <cellStyle name="Total 3 2 3 3 4 2" xfId="33242" xr:uid="{31855C4D-AF09-44D6-9AA5-33D911E180BA}"/>
    <cellStyle name="Total 3 2 3 3 5" xfId="30121" xr:uid="{00000000-0005-0000-0000-00008A740000}"/>
    <cellStyle name="Total 3 2 3 3 6" xfId="30732" xr:uid="{4E9B4EB9-B82E-41DA-AF36-BEC1600B575A}"/>
    <cellStyle name="Total 3 2 3 4" xfId="27425" xr:uid="{00000000-0005-0000-0000-00008B740000}"/>
    <cellStyle name="Total 3 2 3 4 2" xfId="32023" xr:uid="{12BA33AF-16B2-499C-ACAE-69F781C3F78E}"/>
    <cellStyle name="Total 3 2 3 5" xfId="28574" xr:uid="{00000000-0005-0000-0000-00008C740000}"/>
    <cellStyle name="Total 3 2 3 5 2" xfId="33132" xr:uid="{9375B9B2-3863-4F43-899E-B274A240608F}"/>
    <cellStyle name="Total 3 2 3 6" xfId="26808" xr:uid="{00000000-0005-0000-0000-00008D740000}"/>
    <cellStyle name="Total 3 2 3 6 2" xfId="31569" xr:uid="{0C55BE48-ABF4-482C-AA08-C452AA64105B}"/>
    <cellStyle name="Total 3 2 3 7" xfId="30119" xr:uid="{00000000-0005-0000-0000-00008E740000}"/>
    <cellStyle name="Total 3 2 3 8" xfId="30440" xr:uid="{28DA7D18-07C8-4DD9-BB11-0E68365B1620}"/>
    <cellStyle name="Total 3 2 4" xfId="25426" xr:uid="{00000000-0005-0000-0000-00008F740000}"/>
    <cellStyle name="Total 3 2 4 2" xfId="27580" xr:uid="{00000000-0005-0000-0000-000090740000}"/>
    <cellStyle name="Total 3 2 4 2 2" xfId="32171" xr:uid="{FDD1E658-E151-47B2-8869-FC1B79F9A5E8}"/>
    <cellStyle name="Total 3 2 4 3" xfId="28577" xr:uid="{00000000-0005-0000-0000-000091740000}"/>
    <cellStyle name="Total 3 2 4 3 2" xfId="33135" xr:uid="{6E4371A4-873F-41A6-BF26-57CCB69BACDA}"/>
    <cellStyle name="Total 3 2 4 4" xfId="26824" xr:uid="{00000000-0005-0000-0000-000092740000}"/>
    <cellStyle name="Total 3 2 4 4 2" xfId="31585" xr:uid="{7B7C6254-C6DC-4526-A303-FA4B035B005A}"/>
    <cellStyle name="Total 3 2 4 5" xfId="30122" xr:uid="{00000000-0005-0000-0000-000093740000}"/>
    <cellStyle name="Total 3 2 4 6" xfId="30584" xr:uid="{972ACF2D-84D5-484A-9606-7788997CF651}"/>
    <cellStyle name="Total 3 2 5" xfId="25594" xr:uid="{00000000-0005-0000-0000-000094740000}"/>
    <cellStyle name="Total 3 2 5 2" xfId="27747" xr:uid="{00000000-0005-0000-0000-000095740000}"/>
    <cellStyle name="Total 3 2 5 2 2" xfId="32334" xr:uid="{75E9352B-BEBD-42A6-81E2-9B162E62794E}"/>
    <cellStyle name="Total 3 2 5 3" xfId="28578" xr:uid="{00000000-0005-0000-0000-000096740000}"/>
    <cellStyle name="Total 3 2 5 3 2" xfId="33136" xr:uid="{47C14431-BA95-4CA0-943B-A555C8101378}"/>
    <cellStyle name="Total 3 2 5 4" xfId="26807" xr:uid="{00000000-0005-0000-0000-000097740000}"/>
    <cellStyle name="Total 3 2 5 4 2" xfId="31568" xr:uid="{CEC5B46E-CDEE-4C48-B5AF-62B3E99954BF}"/>
    <cellStyle name="Total 3 2 5 5" xfId="30123" xr:uid="{00000000-0005-0000-0000-000098740000}"/>
    <cellStyle name="Total 3 2 5 6" xfId="30635" xr:uid="{DC2ADBC3-EDF7-4CE7-AE0E-219BF32EA32A}"/>
    <cellStyle name="Total 3 2 6" xfId="27131" xr:uid="{00000000-0005-0000-0000-000099740000}"/>
    <cellStyle name="Total 3 2 6 2" xfId="31845" xr:uid="{0CD25318-C880-41B1-BFFB-CCEC29345F48}"/>
    <cellStyle name="Total 3 2 7" xfId="28570" xr:uid="{00000000-0005-0000-0000-00009A740000}"/>
    <cellStyle name="Total 3 2 7 2" xfId="33128" xr:uid="{E95F106D-EB55-43EC-96D2-01EA9571FDD2}"/>
    <cellStyle name="Total 3 2 8" xfId="26917" xr:uid="{00000000-0005-0000-0000-00009B740000}"/>
    <cellStyle name="Total 3 2 8 2" xfId="31678" xr:uid="{A48B4EC0-D660-483A-BDB5-4D1732A78DC4}"/>
    <cellStyle name="Total 3 2 9" xfId="30115" xr:uid="{00000000-0005-0000-0000-00009C740000}"/>
    <cellStyle name="Total 3 3" xfId="24280" xr:uid="{00000000-0005-0000-0000-00009D740000}"/>
    <cellStyle name="Total 3 3 2" xfId="25325" xr:uid="{00000000-0005-0000-0000-00009E740000}"/>
    <cellStyle name="Total 3 3 2 2" xfId="27479" xr:uid="{00000000-0005-0000-0000-00009F740000}"/>
    <cellStyle name="Total 3 3 2 2 2" xfId="32070" xr:uid="{D4385871-11C2-4902-8002-BE751F37473B}"/>
    <cellStyle name="Total 3 3 2 3" xfId="28580" xr:uid="{00000000-0005-0000-0000-0000A0740000}"/>
    <cellStyle name="Total 3 3 2 3 2" xfId="33138" xr:uid="{DE052871-8847-4D23-82D3-FEE8A1109662}"/>
    <cellStyle name="Total 3 3 2 4" xfId="26170" xr:uid="{00000000-0005-0000-0000-0000A1740000}"/>
    <cellStyle name="Total 3 3 2 4 2" xfId="30959" xr:uid="{33CA7F80-6C6D-45C1-AA75-0DACCDDA1A1B}"/>
    <cellStyle name="Total 3 3 2 5" xfId="30125" xr:uid="{00000000-0005-0000-0000-0000A2740000}"/>
    <cellStyle name="Total 3 3 2 6" xfId="30483" xr:uid="{C443BAB3-CB26-46F2-A734-35C235ECC3AB}"/>
    <cellStyle name="Total 3 3 3" xfId="25593" xr:uid="{00000000-0005-0000-0000-0000A3740000}"/>
    <cellStyle name="Total 3 3 3 2" xfId="27746" xr:uid="{00000000-0005-0000-0000-0000A4740000}"/>
    <cellStyle name="Total 3 3 3 2 2" xfId="32333" xr:uid="{25D3C0E6-EAE0-45BC-AF1C-E265B76E9B3F}"/>
    <cellStyle name="Total 3 3 3 3" xfId="28581" xr:uid="{00000000-0005-0000-0000-0000A5740000}"/>
    <cellStyle name="Total 3 3 3 3 2" xfId="33139" xr:uid="{DFF0714C-2B9E-4B3D-85F6-67C045C0473F}"/>
    <cellStyle name="Total 3 3 3 4" xfId="26298" xr:uid="{00000000-0005-0000-0000-0000A6740000}"/>
    <cellStyle name="Total 3 3 3 4 2" xfId="31086" xr:uid="{1A64A809-93A6-48D1-BC39-84A66723CD86}"/>
    <cellStyle name="Total 3 3 3 5" xfId="30126" xr:uid="{00000000-0005-0000-0000-0000A7740000}"/>
    <cellStyle name="Total 3 3 3 6" xfId="30634" xr:uid="{0FFE2D68-50EE-491B-A851-6937403B1C30}"/>
    <cellStyle name="Total 3 3 4" xfId="27130" xr:uid="{00000000-0005-0000-0000-0000A8740000}"/>
    <cellStyle name="Total 3 3 4 2" xfId="31844" xr:uid="{86C2F497-C6A7-44D6-A49C-C5BB694F724F}"/>
    <cellStyle name="Total 3 3 5" xfId="28579" xr:uid="{00000000-0005-0000-0000-0000A9740000}"/>
    <cellStyle name="Total 3 3 5 2" xfId="33137" xr:uid="{9A5E4462-D476-4DD4-8A4E-394EDC107B58}"/>
    <cellStyle name="Total 3 3 6" xfId="26517" xr:uid="{00000000-0005-0000-0000-0000AA740000}"/>
    <cellStyle name="Total 3 3 6 2" xfId="31305" xr:uid="{1D62CE08-AD50-495E-AB2E-3322EC0AD491}"/>
    <cellStyle name="Total 3 3 7" xfId="30124" xr:uid="{00000000-0005-0000-0000-0000AB740000}"/>
    <cellStyle name="Total 3 3 8" xfId="30295" xr:uid="{7E583215-454A-4CCE-8F3E-2CCF039F5FA4}"/>
    <cellStyle name="Total 3 4" xfId="24632" xr:uid="{00000000-0005-0000-0000-0000AC740000}"/>
    <cellStyle name="Total 3 4 2" xfId="25435" xr:uid="{00000000-0005-0000-0000-0000AD740000}"/>
    <cellStyle name="Total 3 4 2 2" xfId="27589" xr:uid="{00000000-0005-0000-0000-0000AE740000}"/>
    <cellStyle name="Total 3 4 2 2 2" xfId="32180" xr:uid="{A2BDB1D8-7DD2-4173-A680-DC1EC64367B1}"/>
    <cellStyle name="Total 3 4 2 3" xfId="28583" xr:uid="{00000000-0005-0000-0000-0000AF740000}"/>
    <cellStyle name="Total 3 4 2 3 2" xfId="33141" xr:uid="{65A6898F-CF4A-4F6F-90FC-F54707BC3756}"/>
    <cellStyle name="Total 3 4 2 4" xfId="26993" xr:uid="{00000000-0005-0000-0000-0000B0740000}"/>
    <cellStyle name="Total 3 4 2 4 2" xfId="31754" xr:uid="{5B604051-A4EA-473B-9F8D-AEC9FC44DFC2}"/>
    <cellStyle name="Total 3 4 2 5" xfId="30128" xr:uid="{00000000-0005-0000-0000-0000B1740000}"/>
    <cellStyle name="Total 3 4 2 6" xfId="30593" xr:uid="{297BF418-CAF9-47A2-B3EF-DD9AAD8FDCDC}"/>
    <cellStyle name="Total 3 4 3" xfId="25600" xr:uid="{00000000-0005-0000-0000-0000B2740000}"/>
    <cellStyle name="Total 3 4 3 2" xfId="27753" xr:uid="{00000000-0005-0000-0000-0000B3740000}"/>
    <cellStyle name="Total 3 4 3 2 2" xfId="32340" xr:uid="{9937F65C-C050-41FF-9E90-A221999BC221}"/>
    <cellStyle name="Total 3 4 3 3" xfId="28584" xr:uid="{00000000-0005-0000-0000-0000B4740000}"/>
    <cellStyle name="Total 3 4 3 3 2" xfId="33142" xr:uid="{61B46CD8-40FB-4ABE-A068-E84356084486}"/>
    <cellStyle name="Total 3 4 3 4" xfId="26225" xr:uid="{00000000-0005-0000-0000-0000B5740000}"/>
    <cellStyle name="Total 3 4 3 4 2" xfId="31013" xr:uid="{D7E14494-F708-48F9-B3FC-4C4E5DDF860F}"/>
    <cellStyle name="Total 3 4 3 5" xfId="30129" xr:uid="{00000000-0005-0000-0000-0000B6740000}"/>
    <cellStyle name="Total 3 4 3 6" xfId="30641" xr:uid="{77B694A4-07D1-4484-B234-3731FC02F60B}"/>
    <cellStyle name="Total 3 4 4" xfId="27226" xr:uid="{00000000-0005-0000-0000-0000B7740000}"/>
    <cellStyle name="Total 3 4 4 2" xfId="31862" xr:uid="{09202994-A834-4AEB-B20A-931CDEA2AFF9}"/>
    <cellStyle name="Total 3 4 5" xfId="28582" xr:uid="{00000000-0005-0000-0000-0000B8740000}"/>
    <cellStyle name="Total 3 4 5 2" xfId="33140" xr:uid="{3A5CE6F9-C6F0-4A83-AE3F-0DED7180AC00}"/>
    <cellStyle name="Total 3 4 6" xfId="26421" xr:uid="{00000000-0005-0000-0000-0000B9740000}"/>
    <cellStyle name="Total 3 4 6 2" xfId="31209" xr:uid="{F514AB7B-36E9-4F4C-97E7-2553075C8CC0}"/>
    <cellStyle name="Total 3 4 7" xfId="30127" xr:uid="{00000000-0005-0000-0000-0000BA740000}"/>
    <cellStyle name="Total 3 4 8" xfId="30302" xr:uid="{DEFD5126-9A94-4AE1-AC42-929B70077E1C}"/>
    <cellStyle name="Total 3 5" xfId="25140" xr:uid="{00000000-0005-0000-0000-0000BB740000}"/>
    <cellStyle name="Total 3 5 2" xfId="25339" xr:uid="{00000000-0005-0000-0000-0000BC740000}"/>
    <cellStyle name="Total 3 5 2 2" xfId="27493" xr:uid="{00000000-0005-0000-0000-0000BD740000}"/>
    <cellStyle name="Total 3 5 2 2 2" xfId="32084" xr:uid="{60532C45-AFD9-4369-B8D3-C86DE7713B19}"/>
    <cellStyle name="Total 3 5 2 3" xfId="28586" xr:uid="{00000000-0005-0000-0000-0000BE740000}"/>
    <cellStyle name="Total 3 5 2 3 2" xfId="33144" xr:uid="{42C3C0B3-5574-4286-A9E7-1FDBE875ECF1}"/>
    <cellStyle name="Total 3 5 2 4" xfId="26339" xr:uid="{00000000-0005-0000-0000-0000BF740000}"/>
    <cellStyle name="Total 3 5 2 4 2" xfId="31127" xr:uid="{617C2EFD-9BD8-4E3D-8110-2967ED77E4DA}"/>
    <cellStyle name="Total 3 5 2 5" xfId="30131" xr:uid="{00000000-0005-0000-0000-0000C0740000}"/>
    <cellStyle name="Total 3 5 2 6" xfId="30497" xr:uid="{8CB14B0D-F9CD-4C73-8408-50AF7E0A485F}"/>
    <cellStyle name="Total 3 5 3" xfId="25737" xr:uid="{00000000-0005-0000-0000-0000C1740000}"/>
    <cellStyle name="Total 3 5 3 2" xfId="27890" xr:uid="{00000000-0005-0000-0000-0000C2740000}"/>
    <cellStyle name="Total 3 5 3 2 2" xfId="32477" xr:uid="{13222091-B404-4799-BAF5-9757ACC67C97}"/>
    <cellStyle name="Total 3 5 3 3" xfId="28587" xr:uid="{00000000-0005-0000-0000-0000C3740000}"/>
    <cellStyle name="Total 3 5 3 3 2" xfId="33145" xr:uid="{56A480DC-415B-4599-840F-1B86A9173F74}"/>
    <cellStyle name="Total 3 5 3 4" xfId="29259" xr:uid="{00000000-0005-0000-0000-0000C4740000}"/>
    <cellStyle name="Total 3 5 3 4 2" xfId="33241" xr:uid="{E9082A5F-C7D7-4375-8B8E-3007D3DF31D4}"/>
    <cellStyle name="Total 3 5 3 5" xfId="30132" xr:uid="{00000000-0005-0000-0000-0000C5740000}"/>
    <cellStyle name="Total 3 5 3 6" xfId="30731" xr:uid="{F3FB0EF9-E15F-4620-84A2-E3879B627515}"/>
    <cellStyle name="Total 3 5 4" xfId="27424" xr:uid="{00000000-0005-0000-0000-0000C6740000}"/>
    <cellStyle name="Total 3 5 4 2" xfId="32022" xr:uid="{9042B7DD-2832-4980-89BF-E90E227D488E}"/>
    <cellStyle name="Total 3 5 5" xfId="28585" xr:uid="{00000000-0005-0000-0000-0000C7740000}"/>
    <cellStyle name="Total 3 5 5 2" xfId="33143" xr:uid="{DBC7BA00-A685-4478-ABF2-84EF78868508}"/>
    <cellStyle name="Total 3 5 6" xfId="26299" xr:uid="{00000000-0005-0000-0000-0000C8740000}"/>
    <cellStyle name="Total 3 5 6 2" xfId="31087" xr:uid="{BEBE9579-1DEF-4EC8-8B97-E248E9586C23}"/>
    <cellStyle name="Total 3 5 7" xfId="30130" xr:uid="{00000000-0005-0000-0000-0000C9740000}"/>
    <cellStyle name="Total 3 5 8" xfId="30439" xr:uid="{298B25C6-2464-4FC2-A047-EE581E9EBB9C}"/>
    <cellStyle name="Total 30" xfId="3498" xr:uid="{00000000-0005-0000-0000-0000CA740000}"/>
    <cellStyle name="Total 31" xfId="3499" xr:uid="{00000000-0005-0000-0000-0000CB740000}"/>
    <cellStyle name="Total 32" xfId="3500" xr:uid="{00000000-0005-0000-0000-0000CC740000}"/>
    <cellStyle name="Total 33" xfId="3501" xr:uid="{00000000-0005-0000-0000-0000CD740000}"/>
    <cellStyle name="Total 34" xfId="3502" xr:uid="{00000000-0005-0000-0000-0000CE740000}"/>
    <cellStyle name="Total 35" xfId="3503" xr:uid="{00000000-0005-0000-0000-0000CF740000}"/>
    <cellStyle name="Total 36" xfId="3504" xr:uid="{00000000-0005-0000-0000-0000D0740000}"/>
    <cellStyle name="Total 37" xfId="3505" xr:uid="{00000000-0005-0000-0000-0000D1740000}"/>
    <cellStyle name="Total 38" xfId="3506" xr:uid="{00000000-0005-0000-0000-0000D2740000}"/>
    <cellStyle name="Total 39" xfId="3507" xr:uid="{00000000-0005-0000-0000-0000D3740000}"/>
    <cellStyle name="Total 4" xfId="3508" xr:uid="{00000000-0005-0000-0000-0000D4740000}"/>
    <cellStyle name="Total 4 2" xfId="24282" xr:uid="{00000000-0005-0000-0000-0000D5740000}"/>
    <cellStyle name="Total 4 2 2" xfId="25342" xr:uid="{00000000-0005-0000-0000-0000D6740000}"/>
    <cellStyle name="Total 4 2 2 2" xfId="27496" xr:uid="{00000000-0005-0000-0000-0000D7740000}"/>
    <cellStyle name="Total 4 2 2 2 2" xfId="32087" xr:uid="{4378C6B3-2DA9-474F-A647-C3CA09AFEC45}"/>
    <cellStyle name="Total 4 2 2 3" xfId="28589" xr:uid="{00000000-0005-0000-0000-0000D8740000}"/>
    <cellStyle name="Total 4 2 2 3 2" xfId="33147" xr:uid="{BB8D41DE-6671-4C6A-B244-D7BDDEA8C537}"/>
    <cellStyle name="Total 4 2 2 4" xfId="26403" xr:uid="{00000000-0005-0000-0000-0000D9740000}"/>
    <cellStyle name="Total 4 2 2 4 2" xfId="31191" xr:uid="{06FA5306-906D-4ACA-ACBA-CF8833D650F0}"/>
    <cellStyle name="Total 4 2 2 5" xfId="30134" xr:uid="{00000000-0005-0000-0000-0000DA740000}"/>
    <cellStyle name="Total 4 2 2 6" xfId="30500" xr:uid="{94C8C99B-1DD9-41F2-99AF-5448E8C931A7}"/>
    <cellStyle name="Total 4 2 3" xfId="25595" xr:uid="{00000000-0005-0000-0000-0000DB740000}"/>
    <cellStyle name="Total 4 2 3 2" xfId="27748" xr:uid="{00000000-0005-0000-0000-0000DC740000}"/>
    <cellStyle name="Total 4 2 3 2 2" xfId="32335" xr:uid="{85C4C2A5-C66F-49A1-BC57-4B2771D10C8B}"/>
    <cellStyle name="Total 4 2 3 3" xfId="28590" xr:uid="{00000000-0005-0000-0000-0000DD740000}"/>
    <cellStyle name="Total 4 2 3 3 2" xfId="33148" xr:uid="{B891C2B4-10D8-41F3-8312-28F63F7F3A20}"/>
    <cellStyle name="Total 4 2 3 4" xfId="26125" xr:uid="{00000000-0005-0000-0000-0000DE740000}"/>
    <cellStyle name="Total 4 2 3 4 2" xfId="30915" xr:uid="{0833D6C1-7CFA-4DF1-9782-8D07003D88E2}"/>
    <cellStyle name="Total 4 2 3 5" xfId="30135" xr:uid="{00000000-0005-0000-0000-0000DF740000}"/>
    <cellStyle name="Total 4 2 3 6" xfId="30636" xr:uid="{633D8663-1054-4EED-A030-814D93776AC8}"/>
    <cellStyle name="Total 4 2 4" xfId="27132" xr:uid="{00000000-0005-0000-0000-0000E0740000}"/>
    <cellStyle name="Total 4 2 4 2" xfId="31846" xr:uid="{7B71D4F2-F41A-4B45-97DE-60010697BFF7}"/>
    <cellStyle name="Total 4 2 5" xfId="28588" xr:uid="{00000000-0005-0000-0000-0000E1740000}"/>
    <cellStyle name="Total 4 2 5 2" xfId="33146" xr:uid="{16A73471-B493-4D5E-93DE-743BB0476318}"/>
    <cellStyle name="Total 4 2 6" xfId="26084" xr:uid="{00000000-0005-0000-0000-0000E2740000}"/>
    <cellStyle name="Total 4 2 6 2" xfId="30874" xr:uid="{CC9A10D6-1D0B-4AC0-A0CE-A52BE0B212FA}"/>
    <cellStyle name="Total 4 2 7" xfId="30133" xr:uid="{00000000-0005-0000-0000-0000E3740000}"/>
    <cellStyle name="Total 4 2 8" xfId="30297" xr:uid="{22AB453E-1F3E-4C84-8EDE-D41A5226AF77}"/>
    <cellStyle name="Total 4 3" xfId="24919" xr:uid="{00000000-0005-0000-0000-0000E4740000}"/>
    <cellStyle name="Total 4 3 2" xfId="25398" xr:uid="{00000000-0005-0000-0000-0000E5740000}"/>
    <cellStyle name="Total 4 3 2 2" xfId="27552" xr:uid="{00000000-0005-0000-0000-0000E6740000}"/>
    <cellStyle name="Total 4 3 2 2 2" xfId="32143" xr:uid="{54D0D36D-D38A-48EA-8F9F-12929664FC29}"/>
    <cellStyle name="Total 4 3 2 3" xfId="28592" xr:uid="{00000000-0005-0000-0000-0000E7740000}"/>
    <cellStyle name="Total 4 3 2 3 2" xfId="33150" xr:uid="{A23ECFBC-7E32-4834-A929-03A01C36286D}"/>
    <cellStyle name="Total 4 3 2 4" xfId="26267" xr:uid="{00000000-0005-0000-0000-0000E8740000}"/>
    <cellStyle name="Total 4 3 2 4 2" xfId="31055" xr:uid="{E620B1FD-F492-4409-96F2-9F0FCC8A5754}"/>
    <cellStyle name="Total 4 3 2 5" xfId="30137" xr:uid="{00000000-0005-0000-0000-0000E9740000}"/>
    <cellStyle name="Total 4 3 2 6" xfId="30556" xr:uid="{274C8E83-2BAF-42F9-9960-12767F2A3B03}"/>
    <cellStyle name="Total 4 3 3" xfId="25666" xr:uid="{00000000-0005-0000-0000-0000EA740000}"/>
    <cellStyle name="Total 4 3 3 2" xfId="27819" xr:uid="{00000000-0005-0000-0000-0000EB740000}"/>
    <cellStyle name="Total 4 3 3 2 2" xfId="32406" xr:uid="{65D3F2E4-7BB4-4281-ACA6-E60E12B1D4DB}"/>
    <cellStyle name="Total 4 3 3 3" xfId="28593" xr:uid="{00000000-0005-0000-0000-0000EC740000}"/>
    <cellStyle name="Total 4 3 3 3 2" xfId="33151" xr:uid="{4E0E1F52-E922-4562-B145-9D61CE70DF1F}"/>
    <cellStyle name="Total 4 3 3 4" xfId="26388" xr:uid="{00000000-0005-0000-0000-0000ED740000}"/>
    <cellStyle name="Total 4 3 3 4 2" xfId="31176" xr:uid="{3CAB2FCC-F2E0-4BDB-A841-12D9D04BAF9F}"/>
    <cellStyle name="Total 4 3 3 5" xfId="30138" xr:uid="{00000000-0005-0000-0000-0000EE740000}"/>
    <cellStyle name="Total 4 3 3 6" xfId="30660" xr:uid="{790C6D1E-DF37-4DCD-9EC8-900A78DCE377}"/>
    <cellStyle name="Total 4 3 4" xfId="27328" xr:uid="{00000000-0005-0000-0000-0000EF740000}"/>
    <cellStyle name="Total 4 3 4 2" xfId="31944" xr:uid="{98248B7B-8F55-4195-AA4F-E85B2CA4FEE5}"/>
    <cellStyle name="Total 4 3 5" xfId="28591" xr:uid="{00000000-0005-0000-0000-0000F0740000}"/>
    <cellStyle name="Total 4 3 5 2" xfId="33149" xr:uid="{719FC50C-2925-4713-9C24-ECA6FA9D3B66}"/>
    <cellStyle name="Total 4 3 6" xfId="26486" xr:uid="{00000000-0005-0000-0000-0000F1740000}"/>
    <cellStyle name="Total 4 3 6 2" xfId="31274" xr:uid="{9E428137-BA87-4A98-B509-36FC34EACE8A}"/>
    <cellStyle name="Total 4 3 7" xfId="30136" xr:uid="{00000000-0005-0000-0000-0000F2740000}"/>
    <cellStyle name="Total 4 3 8" xfId="30368" xr:uid="{4B374924-25EA-483F-8E15-64CC10DA2880}"/>
    <cellStyle name="Total 4 4" xfId="25142" xr:uid="{00000000-0005-0000-0000-0000F3740000}"/>
    <cellStyle name="Total 4 4 2" xfId="25353" xr:uid="{00000000-0005-0000-0000-0000F4740000}"/>
    <cellStyle name="Total 4 4 2 2" xfId="27507" xr:uid="{00000000-0005-0000-0000-0000F5740000}"/>
    <cellStyle name="Total 4 4 2 2 2" xfId="32098" xr:uid="{48E2DFAC-9E19-46B6-A672-AA24C70FD3F4}"/>
    <cellStyle name="Total 4 4 2 3" xfId="28595" xr:uid="{00000000-0005-0000-0000-0000F6740000}"/>
    <cellStyle name="Total 4 4 2 3 2" xfId="33153" xr:uid="{2BD78EBB-DF9A-4B00-B320-34FD1A0C67C2}"/>
    <cellStyle name="Total 4 4 2 4" xfId="26361" xr:uid="{00000000-0005-0000-0000-0000F7740000}"/>
    <cellStyle name="Total 4 4 2 4 2" xfId="31149" xr:uid="{9DDD0831-4314-47DA-AD44-61B64DD6E563}"/>
    <cellStyle name="Total 4 4 2 5" xfId="30140" xr:uid="{00000000-0005-0000-0000-0000F8740000}"/>
    <cellStyle name="Total 4 4 2 6" xfId="30511" xr:uid="{54DB8FF2-E2DC-4873-822C-DE6A7A7A6DBF}"/>
    <cellStyle name="Total 4 4 3" xfId="25739" xr:uid="{00000000-0005-0000-0000-0000F9740000}"/>
    <cellStyle name="Total 4 4 3 2" xfId="27892" xr:uid="{00000000-0005-0000-0000-0000FA740000}"/>
    <cellStyle name="Total 4 4 3 2 2" xfId="32479" xr:uid="{6F7AA709-90E0-4E39-94DB-9A06C4DC19BD}"/>
    <cellStyle name="Total 4 4 3 3" xfId="28596" xr:uid="{00000000-0005-0000-0000-0000FB740000}"/>
    <cellStyle name="Total 4 4 3 3 2" xfId="33154" xr:uid="{63508A8A-AA8E-4271-A08F-6E8229F49EE4}"/>
    <cellStyle name="Total 4 4 3 4" xfId="29261" xr:uid="{00000000-0005-0000-0000-0000FC740000}"/>
    <cellStyle name="Total 4 4 3 4 2" xfId="33243" xr:uid="{223558E1-C7F3-4532-B769-B31B96400F07}"/>
    <cellStyle name="Total 4 4 3 5" xfId="30141" xr:uid="{00000000-0005-0000-0000-0000FD740000}"/>
    <cellStyle name="Total 4 4 3 6" xfId="30733" xr:uid="{86F6F288-E04E-4796-9995-7EF0A0200931}"/>
    <cellStyle name="Total 4 4 4" xfId="27426" xr:uid="{00000000-0005-0000-0000-0000FE740000}"/>
    <cellStyle name="Total 4 4 4 2" xfId="32024" xr:uid="{9EAC94FF-9547-4198-A634-ED1886989857}"/>
    <cellStyle name="Total 4 4 5" xfId="28594" xr:uid="{00000000-0005-0000-0000-0000FF740000}"/>
    <cellStyle name="Total 4 4 5 2" xfId="33152" xr:uid="{CB6FE6EE-EFF1-4214-97C2-6D3C099ABB87}"/>
    <cellStyle name="Total 4 4 6" xfId="26140" xr:uid="{00000000-0005-0000-0000-000000750000}"/>
    <cellStyle name="Total 4 4 6 2" xfId="30930" xr:uid="{BE8099BB-5C21-44A0-9E6D-608F862F7BA3}"/>
    <cellStyle name="Total 4 4 7" xfId="30139" xr:uid="{00000000-0005-0000-0000-000001750000}"/>
    <cellStyle name="Total 4 4 8" xfId="30441" xr:uid="{571703F0-F760-4DEB-834D-F8CC05FDB234}"/>
    <cellStyle name="Total 40" xfId="3509" xr:uid="{00000000-0005-0000-0000-000002750000}"/>
    <cellStyle name="Total 41" xfId="3510" xr:uid="{00000000-0005-0000-0000-000003750000}"/>
    <cellStyle name="Total 42" xfId="3511" xr:uid="{00000000-0005-0000-0000-000004750000}"/>
    <cellStyle name="Total 43" xfId="3512" xr:uid="{00000000-0005-0000-0000-000005750000}"/>
    <cellStyle name="Total 44" xfId="3513" xr:uid="{00000000-0005-0000-0000-000006750000}"/>
    <cellStyle name="Total 45" xfId="3514" xr:uid="{00000000-0005-0000-0000-000007750000}"/>
    <cellStyle name="Total 46" xfId="3515" xr:uid="{00000000-0005-0000-0000-000008750000}"/>
    <cellStyle name="Total 47" xfId="3516" xr:uid="{00000000-0005-0000-0000-000009750000}"/>
    <cellStyle name="Total 48" xfId="3517" xr:uid="{00000000-0005-0000-0000-00000A750000}"/>
    <cellStyle name="Total 49" xfId="3518" xr:uid="{00000000-0005-0000-0000-00000B750000}"/>
    <cellStyle name="Total 5" xfId="3519" xr:uid="{00000000-0005-0000-0000-00000C750000}"/>
    <cellStyle name="Total 5 2" xfId="24283" xr:uid="{00000000-0005-0000-0000-00000D750000}"/>
    <cellStyle name="Total 5 2 2" xfId="25443" xr:uid="{00000000-0005-0000-0000-00000E750000}"/>
    <cellStyle name="Total 5 2 2 2" xfId="27597" xr:uid="{00000000-0005-0000-0000-00000F750000}"/>
    <cellStyle name="Total 5 2 2 2 2" xfId="32188" xr:uid="{1A01EE37-E5FB-4D5F-B501-61FCBC1B5FC1}"/>
    <cellStyle name="Total 5 2 2 3" xfId="28598" xr:uid="{00000000-0005-0000-0000-000010750000}"/>
    <cellStyle name="Total 5 2 2 3 2" xfId="33156" xr:uid="{FAEED872-5722-49A8-B50C-6D623D92AACB}"/>
    <cellStyle name="Total 5 2 2 4" xfId="26811" xr:uid="{00000000-0005-0000-0000-000011750000}"/>
    <cellStyle name="Total 5 2 2 4 2" xfId="31572" xr:uid="{85056974-46FB-4BD2-9997-A72E569750F2}"/>
    <cellStyle name="Total 5 2 2 5" xfId="30143" xr:uid="{00000000-0005-0000-0000-000012750000}"/>
    <cellStyle name="Total 5 2 2 6" xfId="30601" xr:uid="{0E6F7E58-40F1-4547-9584-A423349B45FD}"/>
    <cellStyle name="Total 5 2 3" xfId="25596" xr:uid="{00000000-0005-0000-0000-000013750000}"/>
    <cellStyle name="Total 5 2 3 2" xfId="27749" xr:uid="{00000000-0005-0000-0000-000014750000}"/>
    <cellStyle name="Total 5 2 3 2 2" xfId="32336" xr:uid="{E4BB1665-5941-405A-92B1-7623F824D543}"/>
    <cellStyle name="Total 5 2 3 3" xfId="28599" xr:uid="{00000000-0005-0000-0000-000015750000}"/>
    <cellStyle name="Total 5 2 3 3 2" xfId="33157" xr:uid="{0B7F333A-09FB-4988-9956-925D5D7A87EA}"/>
    <cellStyle name="Total 5 2 3 4" xfId="26072" xr:uid="{00000000-0005-0000-0000-000016750000}"/>
    <cellStyle name="Total 5 2 3 4 2" xfId="30862" xr:uid="{E033AB36-09E1-46FA-AE2C-4A7B1C24EC53}"/>
    <cellStyle name="Total 5 2 3 5" xfId="30144" xr:uid="{00000000-0005-0000-0000-000017750000}"/>
    <cellStyle name="Total 5 2 3 6" xfId="30637" xr:uid="{76ACCD91-D6E0-4875-8BBD-0A2C4B297263}"/>
    <cellStyle name="Total 5 2 4" xfId="27133" xr:uid="{00000000-0005-0000-0000-000018750000}"/>
    <cellStyle name="Total 5 2 4 2" xfId="31847" xr:uid="{F21D570B-EB8C-4CD4-94DA-9A1EBA8F5904}"/>
    <cellStyle name="Total 5 2 5" xfId="28597" xr:uid="{00000000-0005-0000-0000-000019750000}"/>
    <cellStyle name="Total 5 2 5 2" xfId="33155" xr:uid="{F1DB78CE-759B-4265-A60F-E10226159B3C}"/>
    <cellStyle name="Total 5 2 6" xfId="26931" xr:uid="{00000000-0005-0000-0000-00001A750000}"/>
    <cellStyle name="Total 5 2 6 2" xfId="31692" xr:uid="{123F0A2A-567E-4F1F-A89D-E7C951991C9D}"/>
    <cellStyle name="Total 5 2 7" xfId="30142" xr:uid="{00000000-0005-0000-0000-00001B750000}"/>
    <cellStyle name="Total 5 2 8" xfId="30298" xr:uid="{5F65EC68-8286-45EE-A89E-0C21A3079FAB}"/>
    <cellStyle name="Total 5 3" xfId="24920" xr:uid="{00000000-0005-0000-0000-00001C750000}"/>
    <cellStyle name="Total 5 3 2" xfId="25306" xr:uid="{00000000-0005-0000-0000-00001D750000}"/>
    <cellStyle name="Total 5 3 2 2" xfId="27460" xr:uid="{00000000-0005-0000-0000-00001E750000}"/>
    <cellStyle name="Total 5 3 2 2 2" xfId="32052" xr:uid="{CF4FB559-6B06-4D86-9F52-4081997E7A2D}"/>
    <cellStyle name="Total 5 3 2 3" xfId="28601" xr:uid="{00000000-0005-0000-0000-00001F750000}"/>
    <cellStyle name="Total 5 3 2 3 2" xfId="33159" xr:uid="{4C6A5994-8188-40CD-97CE-F157044AB362}"/>
    <cellStyle name="Total 5 3 2 4" xfId="27300" xr:uid="{00000000-0005-0000-0000-000020750000}"/>
    <cellStyle name="Total 5 3 2 4 2" xfId="31929" xr:uid="{EC9E496B-C1B7-433F-B501-7281817D5566}"/>
    <cellStyle name="Total 5 3 2 5" xfId="30146" xr:uid="{00000000-0005-0000-0000-000021750000}"/>
    <cellStyle name="Total 5 3 2 6" xfId="30465" xr:uid="{21EAE05D-F815-4308-8C74-68FFAA9511AB}"/>
    <cellStyle name="Total 5 3 3" xfId="25667" xr:uid="{00000000-0005-0000-0000-000022750000}"/>
    <cellStyle name="Total 5 3 3 2" xfId="27820" xr:uid="{00000000-0005-0000-0000-000023750000}"/>
    <cellStyle name="Total 5 3 3 2 2" xfId="32407" xr:uid="{9474D353-DE2F-4581-B8B8-3603CFAFDEA1}"/>
    <cellStyle name="Total 5 3 3 3" xfId="28602" xr:uid="{00000000-0005-0000-0000-000024750000}"/>
    <cellStyle name="Total 5 3 3 3 2" xfId="33160" xr:uid="{5C47D7FD-0052-4F73-845A-DE60E448E2E0}"/>
    <cellStyle name="Total 5 3 3 4" xfId="26154" xr:uid="{00000000-0005-0000-0000-000025750000}"/>
    <cellStyle name="Total 5 3 3 4 2" xfId="30943" xr:uid="{E1D73A66-2E7C-4EF2-A995-A3EB03087788}"/>
    <cellStyle name="Total 5 3 3 5" xfId="30147" xr:uid="{00000000-0005-0000-0000-000026750000}"/>
    <cellStyle name="Total 5 3 3 6" xfId="30661" xr:uid="{EC622344-C1E2-4C46-A0BB-3449E4C0DA9F}"/>
    <cellStyle name="Total 5 3 4" xfId="27329" xr:uid="{00000000-0005-0000-0000-000027750000}"/>
    <cellStyle name="Total 5 3 4 2" xfId="31945" xr:uid="{939B9C63-19BB-4437-B801-11B491A6BA9A}"/>
    <cellStyle name="Total 5 3 5" xfId="28600" xr:uid="{00000000-0005-0000-0000-000028750000}"/>
    <cellStyle name="Total 5 3 5 2" xfId="33158" xr:uid="{D982A6EF-C445-4861-AEEA-769905690067}"/>
    <cellStyle name="Total 5 3 6" xfId="26506" xr:uid="{00000000-0005-0000-0000-000029750000}"/>
    <cellStyle name="Total 5 3 6 2" xfId="31294" xr:uid="{B61A439A-4AE3-4E86-A6F9-DB221DA44F24}"/>
    <cellStyle name="Total 5 3 7" xfId="30145" xr:uid="{00000000-0005-0000-0000-00002A750000}"/>
    <cellStyle name="Total 5 3 8" xfId="30369" xr:uid="{A21F8164-8F15-4AA3-8340-904BD57D9AE3}"/>
    <cellStyle name="Total 5 4" xfId="25143" xr:uid="{00000000-0005-0000-0000-00002B750000}"/>
    <cellStyle name="Total 5 4 2" xfId="25387" xr:uid="{00000000-0005-0000-0000-00002C750000}"/>
    <cellStyle name="Total 5 4 2 2" xfId="27541" xr:uid="{00000000-0005-0000-0000-00002D750000}"/>
    <cellStyle name="Total 5 4 2 2 2" xfId="32132" xr:uid="{C09A800A-9F4B-4F15-B088-673EA64C0818}"/>
    <cellStyle name="Total 5 4 2 3" xfId="28604" xr:uid="{00000000-0005-0000-0000-00002E750000}"/>
    <cellStyle name="Total 5 4 2 3 2" xfId="33162" xr:uid="{5CC72DBA-655D-4417-BA0C-00A0AC5704E0}"/>
    <cellStyle name="Total 5 4 2 4" xfId="26946" xr:uid="{00000000-0005-0000-0000-00002F750000}"/>
    <cellStyle name="Total 5 4 2 4 2" xfId="31707" xr:uid="{B27BEE8D-3D5F-405A-AC8C-2FB611591DD3}"/>
    <cellStyle name="Total 5 4 2 5" xfId="30149" xr:uid="{00000000-0005-0000-0000-000030750000}"/>
    <cellStyle name="Total 5 4 2 6" xfId="30545" xr:uid="{AB83CD1D-3767-49BD-90E8-FDED0C653E28}"/>
    <cellStyle name="Total 5 4 3" xfId="25740" xr:uid="{00000000-0005-0000-0000-000031750000}"/>
    <cellStyle name="Total 5 4 3 2" xfId="27893" xr:uid="{00000000-0005-0000-0000-000032750000}"/>
    <cellStyle name="Total 5 4 3 2 2" xfId="32480" xr:uid="{70D1F87F-92C2-4634-9950-15391789CD5C}"/>
    <cellStyle name="Total 5 4 3 3" xfId="28605" xr:uid="{00000000-0005-0000-0000-000033750000}"/>
    <cellStyle name="Total 5 4 3 3 2" xfId="33163" xr:uid="{1592B783-BA75-4FFD-8345-F22111F870AF}"/>
    <cellStyle name="Total 5 4 3 4" xfId="29262" xr:uid="{00000000-0005-0000-0000-000034750000}"/>
    <cellStyle name="Total 5 4 3 4 2" xfId="33244" xr:uid="{D27FBA5E-96B8-45AF-8329-5312102AE377}"/>
    <cellStyle name="Total 5 4 3 5" xfId="30150" xr:uid="{00000000-0005-0000-0000-000035750000}"/>
    <cellStyle name="Total 5 4 3 6" xfId="30734" xr:uid="{F2B97EC6-FE1B-42C0-A0D1-EF201A6CC8D7}"/>
    <cellStyle name="Total 5 4 4" xfId="27427" xr:uid="{00000000-0005-0000-0000-000036750000}"/>
    <cellStyle name="Total 5 4 4 2" xfId="32025" xr:uid="{6D38578B-548C-42A8-8C39-834BA18D03AC}"/>
    <cellStyle name="Total 5 4 5" xfId="28603" xr:uid="{00000000-0005-0000-0000-000037750000}"/>
    <cellStyle name="Total 5 4 5 2" xfId="33161" xr:uid="{76046E16-1B43-40D5-A231-BF5B9483B287}"/>
    <cellStyle name="Total 5 4 6" xfId="26500" xr:uid="{00000000-0005-0000-0000-000038750000}"/>
    <cellStyle name="Total 5 4 6 2" xfId="31288" xr:uid="{EB843CE7-4408-42DC-A1FF-58F1A1BDA695}"/>
    <cellStyle name="Total 5 4 7" xfId="30148" xr:uid="{00000000-0005-0000-0000-000039750000}"/>
    <cellStyle name="Total 5 4 8" xfId="30442" xr:uid="{58C69EA8-9FA2-4BC2-80F8-63264066A1D4}"/>
    <cellStyle name="Total 50" xfId="3520" xr:uid="{00000000-0005-0000-0000-00003A750000}"/>
    <cellStyle name="Total 51" xfId="3521" xr:uid="{00000000-0005-0000-0000-00003B750000}"/>
    <cellStyle name="Total 52" xfId="3522" xr:uid="{00000000-0005-0000-0000-00003C750000}"/>
    <cellStyle name="Total 53" xfId="3523" xr:uid="{00000000-0005-0000-0000-00003D750000}"/>
    <cellStyle name="Total 54" xfId="3524" xr:uid="{00000000-0005-0000-0000-00003E750000}"/>
    <cellStyle name="Total 55" xfId="3525" xr:uid="{00000000-0005-0000-0000-00003F750000}"/>
    <cellStyle name="Total 56" xfId="3526" xr:uid="{00000000-0005-0000-0000-000040750000}"/>
    <cellStyle name="Total 57" xfId="3527" xr:uid="{00000000-0005-0000-0000-000041750000}"/>
    <cellStyle name="Total 58" xfId="3528" xr:uid="{00000000-0005-0000-0000-000042750000}"/>
    <cellStyle name="Total 59" xfId="3529" xr:uid="{00000000-0005-0000-0000-000043750000}"/>
    <cellStyle name="Total 6" xfId="3530" xr:uid="{00000000-0005-0000-0000-000044750000}"/>
    <cellStyle name="Total 60" xfId="3531" xr:uid="{00000000-0005-0000-0000-000045750000}"/>
    <cellStyle name="Total 61" xfId="3532" xr:uid="{00000000-0005-0000-0000-000046750000}"/>
    <cellStyle name="Total 62" xfId="3533" xr:uid="{00000000-0005-0000-0000-000047750000}"/>
    <cellStyle name="Total 63" xfId="3534" xr:uid="{00000000-0005-0000-0000-000048750000}"/>
    <cellStyle name="Total 64" xfId="3535" xr:uid="{00000000-0005-0000-0000-000049750000}"/>
    <cellStyle name="Total 65" xfId="3536" xr:uid="{00000000-0005-0000-0000-00004A750000}"/>
    <cellStyle name="Total 66" xfId="3537" xr:uid="{00000000-0005-0000-0000-00004B750000}"/>
    <cellStyle name="Total 67" xfId="3538" xr:uid="{00000000-0005-0000-0000-00004C750000}"/>
    <cellStyle name="Total 68" xfId="3539" xr:uid="{00000000-0005-0000-0000-00004D750000}"/>
    <cellStyle name="Total 69" xfId="3540" xr:uid="{00000000-0005-0000-0000-00004E750000}"/>
    <cellStyle name="Total 7" xfId="3541" xr:uid="{00000000-0005-0000-0000-00004F750000}"/>
    <cellStyle name="Total 70" xfId="3542" xr:uid="{00000000-0005-0000-0000-000050750000}"/>
    <cellStyle name="Total 71" xfId="3543" xr:uid="{00000000-0005-0000-0000-000051750000}"/>
    <cellStyle name="Total 72" xfId="3544" xr:uid="{00000000-0005-0000-0000-000052750000}"/>
    <cellStyle name="Total 73" xfId="23927" xr:uid="{00000000-0005-0000-0000-000053750000}"/>
    <cellStyle name="Total 73 2" xfId="27041" xr:uid="{00000000-0005-0000-0000-000054750000}"/>
    <cellStyle name="Total 8" xfId="3545" xr:uid="{00000000-0005-0000-0000-000055750000}"/>
    <cellStyle name="Total 9" xfId="3546" xr:uid="{00000000-0005-0000-0000-000056750000}"/>
    <cellStyle name="Total2 - Style2" xfId="158" xr:uid="{00000000-0005-0000-0000-000057750000}"/>
    <cellStyle name="TRANSMISSION RELIABILITY PORTION OF PROJECT" xfId="159" xr:uid="{00000000-0005-0000-0000-000058750000}"/>
    <cellStyle name="Underl - Style4" xfId="160" xr:uid="{00000000-0005-0000-0000-000059750000}"/>
    <cellStyle name="Underl - Style4 2" xfId="30151" xr:uid="{00000000-0005-0000-0000-00005A750000}"/>
    <cellStyle name="Underl - Style4 2 2" xfId="33353" xr:uid="{0F704DC6-C2B6-487A-B63B-F599903011A2}"/>
    <cellStyle name="UNLocked" xfId="628" xr:uid="{00000000-0005-0000-0000-00005B750000}"/>
    <cellStyle name="UNLocked 2" xfId="24284" xr:uid="{00000000-0005-0000-0000-00005C750000}"/>
    <cellStyle name="Unprot" xfId="161" xr:uid="{00000000-0005-0000-0000-00005D750000}"/>
    <cellStyle name="Unprot$" xfId="162" xr:uid="{00000000-0005-0000-0000-00005E750000}"/>
    <cellStyle name="Unprotect" xfId="163" xr:uid="{00000000-0005-0000-0000-00005F750000}"/>
    <cellStyle name="UploadThisRowValue" xfId="3547" xr:uid="{00000000-0005-0000-0000-000060750000}"/>
    <cellStyle name="Warning Text 10" xfId="3548" xr:uid="{00000000-0005-0000-0000-000061750000}"/>
    <cellStyle name="Warning Text 11" xfId="3549" xr:uid="{00000000-0005-0000-0000-000062750000}"/>
    <cellStyle name="Warning Text 12" xfId="3550" xr:uid="{00000000-0005-0000-0000-000063750000}"/>
    <cellStyle name="Warning Text 13" xfId="3551" xr:uid="{00000000-0005-0000-0000-000064750000}"/>
    <cellStyle name="Warning Text 14" xfId="3552" xr:uid="{00000000-0005-0000-0000-000065750000}"/>
    <cellStyle name="Warning Text 15" xfId="3553" xr:uid="{00000000-0005-0000-0000-000066750000}"/>
    <cellStyle name="Warning Text 16" xfId="3554" xr:uid="{00000000-0005-0000-0000-000067750000}"/>
    <cellStyle name="Warning Text 17" xfId="3555" xr:uid="{00000000-0005-0000-0000-000068750000}"/>
    <cellStyle name="Warning Text 18" xfId="3556" xr:uid="{00000000-0005-0000-0000-000069750000}"/>
    <cellStyle name="Warning Text 19" xfId="3557" xr:uid="{00000000-0005-0000-0000-00006A750000}"/>
    <cellStyle name="Warning Text 2" xfId="3558" xr:uid="{00000000-0005-0000-0000-00006B750000}"/>
    <cellStyle name="Warning Text 2 2" xfId="24287" xr:uid="{00000000-0005-0000-0000-00006C750000}"/>
    <cellStyle name="Warning Text 2 3" xfId="24286" xr:uid="{00000000-0005-0000-0000-00006D750000}"/>
    <cellStyle name="Warning Text 20" xfId="3559" xr:uid="{00000000-0005-0000-0000-00006E750000}"/>
    <cellStyle name="Warning Text 21" xfId="3560" xr:uid="{00000000-0005-0000-0000-00006F750000}"/>
    <cellStyle name="Warning Text 22" xfId="3561" xr:uid="{00000000-0005-0000-0000-000070750000}"/>
    <cellStyle name="Warning Text 23" xfId="3562" xr:uid="{00000000-0005-0000-0000-000071750000}"/>
    <cellStyle name="Warning Text 24" xfId="3563" xr:uid="{00000000-0005-0000-0000-000072750000}"/>
    <cellStyle name="Warning Text 25" xfId="3564" xr:uid="{00000000-0005-0000-0000-000073750000}"/>
    <cellStyle name="Warning Text 26" xfId="3565" xr:uid="{00000000-0005-0000-0000-000074750000}"/>
    <cellStyle name="Warning Text 27" xfId="3566" xr:uid="{00000000-0005-0000-0000-000075750000}"/>
    <cellStyle name="Warning Text 28" xfId="3567" xr:uid="{00000000-0005-0000-0000-000076750000}"/>
    <cellStyle name="Warning Text 29" xfId="3568" xr:uid="{00000000-0005-0000-0000-000077750000}"/>
    <cellStyle name="Warning Text 3" xfId="3569" xr:uid="{00000000-0005-0000-0000-000078750000}"/>
    <cellStyle name="Warning Text 3 2" xfId="24289" xr:uid="{00000000-0005-0000-0000-000079750000}"/>
    <cellStyle name="Warning Text 3 3" xfId="24288" xr:uid="{00000000-0005-0000-0000-00007A750000}"/>
    <cellStyle name="Warning Text 30" xfId="3570" xr:uid="{00000000-0005-0000-0000-00007B750000}"/>
    <cellStyle name="Warning Text 31" xfId="3571" xr:uid="{00000000-0005-0000-0000-00007C750000}"/>
    <cellStyle name="Warning Text 32" xfId="3572" xr:uid="{00000000-0005-0000-0000-00007D750000}"/>
    <cellStyle name="Warning Text 33" xfId="3573" xr:uid="{00000000-0005-0000-0000-00007E750000}"/>
    <cellStyle name="Warning Text 34" xfId="3574" xr:uid="{00000000-0005-0000-0000-00007F750000}"/>
    <cellStyle name="Warning Text 35" xfId="3575" xr:uid="{00000000-0005-0000-0000-000080750000}"/>
    <cellStyle name="Warning Text 36" xfId="3576" xr:uid="{00000000-0005-0000-0000-000081750000}"/>
    <cellStyle name="Warning Text 37" xfId="3577" xr:uid="{00000000-0005-0000-0000-000082750000}"/>
    <cellStyle name="Warning Text 38" xfId="3578" xr:uid="{00000000-0005-0000-0000-000083750000}"/>
    <cellStyle name="Warning Text 39" xfId="3579" xr:uid="{00000000-0005-0000-0000-000084750000}"/>
    <cellStyle name="Warning Text 4" xfId="3580" xr:uid="{00000000-0005-0000-0000-000085750000}"/>
    <cellStyle name="Warning Text 4 2" xfId="24290" xr:uid="{00000000-0005-0000-0000-000086750000}"/>
    <cellStyle name="Warning Text 40" xfId="3581" xr:uid="{00000000-0005-0000-0000-000087750000}"/>
    <cellStyle name="Warning Text 41" xfId="3582" xr:uid="{00000000-0005-0000-0000-000088750000}"/>
    <cellStyle name="Warning Text 42" xfId="3583" xr:uid="{00000000-0005-0000-0000-000089750000}"/>
    <cellStyle name="Warning Text 43" xfId="3584" xr:uid="{00000000-0005-0000-0000-00008A750000}"/>
    <cellStyle name="Warning Text 44" xfId="3585" xr:uid="{00000000-0005-0000-0000-00008B750000}"/>
    <cellStyle name="Warning Text 45" xfId="3586" xr:uid="{00000000-0005-0000-0000-00008C750000}"/>
    <cellStyle name="Warning Text 46" xfId="3587" xr:uid="{00000000-0005-0000-0000-00008D750000}"/>
    <cellStyle name="Warning Text 47" xfId="3588" xr:uid="{00000000-0005-0000-0000-00008E750000}"/>
    <cellStyle name="Warning Text 48" xfId="3589" xr:uid="{00000000-0005-0000-0000-00008F750000}"/>
    <cellStyle name="Warning Text 49" xfId="3590" xr:uid="{00000000-0005-0000-0000-000090750000}"/>
    <cellStyle name="Warning Text 5" xfId="3591" xr:uid="{00000000-0005-0000-0000-000091750000}"/>
    <cellStyle name="Warning Text 5 2" xfId="24291" xr:uid="{00000000-0005-0000-0000-000092750000}"/>
    <cellStyle name="Warning Text 50" xfId="3592" xr:uid="{00000000-0005-0000-0000-000093750000}"/>
    <cellStyle name="Warning Text 51" xfId="3593" xr:uid="{00000000-0005-0000-0000-000094750000}"/>
    <cellStyle name="Warning Text 52" xfId="3594" xr:uid="{00000000-0005-0000-0000-000095750000}"/>
    <cellStyle name="Warning Text 53" xfId="3595" xr:uid="{00000000-0005-0000-0000-000096750000}"/>
    <cellStyle name="Warning Text 54" xfId="3596" xr:uid="{00000000-0005-0000-0000-000097750000}"/>
    <cellStyle name="Warning Text 55" xfId="3597" xr:uid="{00000000-0005-0000-0000-000098750000}"/>
    <cellStyle name="Warning Text 56" xfId="3598" xr:uid="{00000000-0005-0000-0000-000099750000}"/>
    <cellStyle name="Warning Text 57" xfId="3599" xr:uid="{00000000-0005-0000-0000-00009A750000}"/>
    <cellStyle name="Warning Text 58" xfId="3600" xr:uid="{00000000-0005-0000-0000-00009B750000}"/>
    <cellStyle name="Warning Text 59" xfId="3601" xr:uid="{00000000-0005-0000-0000-00009C750000}"/>
    <cellStyle name="Warning Text 6" xfId="3602" xr:uid="{00000000-0005-0000-0000-00009D750000}"/>
    <cellStyle name="Warning Text 60" xfId="3603" xr:uid="{00000000-0005-0000-0000-00009E750000}"/>
    <cellStyle name="Warning Text 61" xfId="3604" xr:uid="{00000000-0005-0000-0000-00009F750000}"/>
    <cellStyle name="Warning Text 62" xfId="3605" xr:uid="{00000000-0005-0000-0000-0000A0750000}"/>
    <cellStyle name="Warning Text 63" xfId="3606" xr:uid="{00000000-0005-0000-0000-0000A1750000}"/>
    <cellStyle name="Warning Text 64" xfId="3607" xr:uid="{00000000-0005-0000-0000-0000A2750000}"/>
    <cellStyle name="Warning Text 65" xfId="3608" xr:uid="{00000000-0005-0000-0000-0000A3750000}"/>
    <cellStyle name="Warning Text 66" xfId="3609" xr:uid="{00000000-0005-0000-0000-0000A4750000}"/>
    <cellStyle name="Warning Text 67" xfId="3610" xr:uid="{00000000-0005-0000-0000-0000A5750000}"/>
    <cellStyle name="Warning Text 68" xfId="3611" xr:uid="{00000000-0005-0000-0000-0000A6750000}"/>
    <cellStyle name="Warning Text 69" xfId="3612" xr:uid="{00000000-0005-0000-0000-0000A7750000}"/>
    <cellStyle name="Warning Text 7" xfId="3613" xr:uid="{00000000-0005-0000-0000-0000A8750000}"/>
    <cellStyle name="Warning Text 70" xfId="3614" xr:uid="{00000000-0005-0000-0000-0000A9750000}"/>
    <cellStyle name="Warning Text 71" xfId="3615" xr:uid="{00000000-0005-0000-0000-0000AA750000}"/>
    <cellStyle name="Warning Text 72" xfId="3616" xr:uid="{00000000-0005-0000-0000-0000AB750000}"/>
    <cellStyle name="Warning Text 8" xfId="3617" xr:uid="{00000000-0005-0000-0000-0000AC750000}"/>
    <cellStyle name="Warning Text 9" xfId="3618" xr:uid="{00000000-0005-0000-0000-0000AD750000}"/>
    <cellStyle name="WhitePattern" xfId="629" xr:uid="{00000000-0005-0000-0000-0000AE750000}"/>
    <cellStyle name="WhitePattern1" xfId="630" xr:uid="{00000000-0005-0000-0000-0000AF750000}"/>
    <cellStyle name="WhitePattern1 2" xfId="24526" xr:uid="{00000000-0005-0000-0000-0000B0750000}"/>
    <cellStyle name="WhitePattern1 2 2" xfId="25335" xr:uid="{00000000-0005-0000-0000-0000B1750000}"/>
    <cellStyle name="WhitePattern1 2 2 2" xfId="27489" xr:uid="{00000000-0005-0000-0000-0000B2750000}"/>
    <cellStyle name="WhitePattern1 2 2 2 2" xfId="32080" xr:uid="{3D7F4097-1613-4242-9EB3-38E8E0B0D100}"/>
    <cellStyle name="WhitePattern1 2 2 3" xfId="28607" xr:uid="{00000000-0005-0000-0000-0000B3750000}"/>
    <cellStyle name="WhitePattern1 2 2 4" xfId="29194" xr:uid="{00000000-0005-0000-0000-0000B4750000}"/>
    <cellStyle name="WhitePattern1 2 2 4 2" xfId="33177" xr:uid="{987C6AE6-E2DD-4418-8E04-302731C07A72}"/>
    <cellStyle name="WhitePattern1 2 2 5" xfId="26548" xr:uid="{00000000-0005-0000-0000-0000B5750000}"/>
    <cellStyle name="WhitePattern1 2 2 5 2" xfId="31335" xr:uid="{8211B196-BB97-4FA9-A6A3-4CD24162809B}"/>
    <cellStyle name="WhitePattern1 2 2 6" xfId="30493" xr:uid="{9E93F7AB-2649-4819-BE1D-4E50729CED18}"/>
    <cellStyle name="WhitePattern1 2 3" xfId="25597" xr:uid="{00000000-0005-0000-0000-0000B6750000}"/>
    <cellStyle name="WhitePattern1 2 3 2" xfId="27750" xr:uid="{00000000-0005-0000-0000-0000B7750000}"/>
    <cellStyle name="WhitePattern1 2 3 2 2" xfId="32337" xr:uid="{A66D0E0A-2CA6-4FF8-89BB-C84C17B6F8E7}"/>
    <cellStyle name="WhitePattern1 2 3 3" xfId="28608" xr:uid="{00000000-0005-0000-0000-0000B8750000}"/>
    <cellStyle name="WhitePattern1 2 3 4" xfId="29233" xr:uid="{00000000-0005-0000-0000-0000B9750000}"/>
    <cellStyle name="WhitePattern1 2 3 4 2" xfId="33216" xr:uid="{1A0DAAC5-6B55-472A-853A-8C6E4F897558}"/>
    <cellStyle name="WhitePattern1 2 3 5" xfId="27026" xr:uid="{00000000-0005-0000-0000-0000BA750000}"/>
    <cellStyle name="WhitePattern1 2 3 5 2" xfId="31786" xr:uid="{06BC4E06-0171-4472-A0CF-069DA41E695D}"/>
    <cellStyle name="WhitePattern1 2 3 6" xfId="30638" xr:uid="{371C4DE1-05A7-48C3-9A1D-B86F84C4BD78}"/>
    <cellStyle name="WhitePattern1 2 4" xfId="27206" xr:uid="{00000000-0005-0000-0000-0000BB750000}"/>
    <cellStyle name="WhitePattern1 2 4 2" xfId="31857" xr:uid="{E9ADB847-31CD-443E-AA95-7AA671B227CD}"/>
    <cellStyle name="WhitePattern1 2 5" xfId="28606" xr:uid="{00000000-0005-0000-0000-0000BC750000}"/>
    <cellStyle name="WhitePattern1 2 6" xfId="25813" xr:uid="{00000000-0005-0000-0000-0000BD750000}"/>
    <cellStyle name="WhitePattern1 2 6 2" xfId="30735" xr:uid="{8F4CD6E2-A2AD-4359-A907-72F9D9D90E1A}"/>
    <cellStyle name="WhitePattern1 2 7" xfId="27322" xr:uid="{00000000-0005-0000-0000-0000BE750000}"/>
    <cellStyle name="WhitePattern1 2 7 2" xfId="31941" xr:uid="{64893512-7A36-483D-B9E6-E77C10839FF0}"/>
    <cellStyle name="WhitePattern1 2 8" xfId="30299" xr:uid="{28B441C0-B556-4105-BE08-54B9621BE9DC}"/>
    <cellStyle name="WhitePattern1 3" xfId="24769" xr:uid="{00000000-0005-0000-0000-0000BF750000}"/>
    <cellStyle name="WhitePattern1 3 2" xfId="25286" xr:uid="{00000000-0005-0000-0000-0000C0750000}"/>
    <cellStyle name="WhitePattern1 3 2 2" xfId="27441" xr:uid="{00000000-0005-0000-0000-0000C1750000}"/>
    <cellStyle name="WhitePattern1 3 2 2 2" xfId="32036" xr:uid="{C6CE3513-29F6-4FDB-9D57-1729BB92C432}"/>
    <cellStyle name="WhitePattern1 3 2 3" xfId="28610" xr:uid="{00000000-0005-0000-0000-0000C2750000}"/>
    <cellStyle name="WhitePattern1 3 2 4" xfId="29188" xr:uid="{00000000-0005-0000-0000-0000C3750000}"/>
    <cellStyle name="WhitePattern1 3 2 4 2" xfId="33171" xr:uid="{0B94CD2E-41B2-44F1-9623-4B5BF85E69EC}"/>
    <cellStyle name="WhitePattern1 3 2 5" xfId="26187" xr:uid="{00000000-0005-0000-0000-0000C4750000}"/>
    <cellStyle name="WhitePattern1 3 2 5 2" xfId="30975" xr:uid="{8D53C3B0-45C8-4525-82F2-F5352406E767}"/>
    <cellStyle name="WhitePattern1 3 2 6" xfId="30449" xr:uid="{6ECED2A9-EFFE-4828-8000-6BCC2FC33046}"/>
    <cellStyle name="WhitePattern1 3 3" xfId="25665" xr:uid="{00000000-0005-0000-0000-0000C5750000}"/>
    <cellStyle name="WhitePattern1 3 3 2" xfId="27818" xr:uid="{00000000-0005-0000-0000-0000C6750000}"/>
    <cellStyle name="WhitePattern1 3 3 2 2" xfId="32405" xr:uid="{AF3E3D5D-0E06-4C65-9354-AF80E12493CE}"/>
    <cellStyle name="WhitePattern1 3 3 3" xfId="28611" xr:uid="{00000000-0005-0000-0000-0000C7750000}"/>
    <cellStyle name="WhitePattern1 3 3 4" xfId="29245" xr:uid="{00000000-0005-0000-0000-0000C8750000}"/>
    <cellStyle name="WhitePattern1 3 3 4 2" xfId="33227" xr:uid="{F4A4B164-C3D6-4BDD-A45F-DD2A6BF9496D}"/>
    <cellStyle name="WhitePattern1 3 3 5" xfId="26092" xr:uid="{00000000-0005-0000-0000-0000C9750000}"/>
    <cellStyle name="WhitePattern1 3 3 5 2" xfId="30882" xr:uid="{64215532-3F6A-480D-96EF-4984DFB0DCD6}"/>
    <cellStyle name="WhitePattern1 3 3 6" xfId="30659" xr:uid="{3720EFBA-7F7F-44F2-B225-40EE135C6323}"/>
    <cellStyle name="WhitePattern1 3 4" xfId="27311" xr:uid="{00000000-0005-0000-0000-0000CA750000}"/>
    <cellStyle name="WhitePattern1 3 4 2" xfId="31934" xr:uid="{9267BEF5-6B1E-4DC3-9403-0A643820597D}"/>
    <cellStyle name="WhitePattern1 3 5" xfId="28609" xr:uid="{00000000-0005-0000-0000-0000CB750000}"/>
    <cellStyle name="WhitePattern1 3 6" xfId="27315" xr:uid="{00000000-0005-0000-0000-0000CC750000}"/>
    <cellStyle name="WhitePattern1 3 6 2" xfId="31935" xr:uid="{A06184E5-0197-463D-B461-695BDED431E6}"/>
    <cellStyle name="WhitePattern1 3 7" xfId="26477" xr:uid="{00000000-0005-0000-0000-0000CD750000}"/>
    <cellStyle name="WhitePattern1 3 7 2" xfId="31265" xr:uid="{358A1C1A-007F-4290-9D0F-EF38D2905B17}"/>
    <cellStyle name="WhitePattern1 3 8" xfId="30367" xr:uid="{E87AC47D-952D-49F6-9FF4-B2C968B208A8}"/>
    <cellStyle name="WhiteText" xfId="631" xr:uid="{00000000-0005-0000-0000-0000CE750000}"/>
    <cellStyle name="Year" xfId="632" xr:uid="{00000000-0005-0000-0000-0000CF7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oneCellAnchor>
    <xdr:from>
      <xdr:col>0</xdr:col>
      <xdr:colOff>1</xdr:colOff>
      <xdr:row>4</xdr:row>
      <xdr:rowOff>19050</xdr:rowOff>
    </xdr:from>
    <xdr:ext cx="3086099" cy="2076450"/>
    <xdr:sp macro="" textlink="">
      <xdr:nvSpPr>
        <xdr:cNvPr id="5" name="TextBox 4">
          <a:extLst>
            <a:ext uri="{FF2B5EF4-FFF2-40B4-BE49-F238E27FC236}">
              <a16:creationId xmlns:a16="http://schemas.microsoft.com/office/drawing/2014/main" id="{1867BEC0-A683-4F9B-A115-C0D4BA2ECE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6" name="Straight Connector 5">
          <a:extLst>
            <a:ext uri="{FF2B5EF4-FFF2-40B4-BE49-F238E27FC236}">
              <a16:creationId xmlns:a16="http://schemas.microsoft.com/office/drawing/2014/main" id="{01940E48-460C-453A-83D7-7FFDDF1865C9}"/>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7" name="Straight Connector 6">
          <a:extLst>
            <a:ext uri="{FF2B5EF4-FFF2-40B4-BE49-F238E27FC236}">
              <a16:creationId xmlns:a16="http://schemas.microsoft.com/office/drawing/2014/main" id="{72D4C4BD-4EA0-4D51-B791-F3619F9EAFEE}"/>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WA%20Rate%20Case%202020%20UG-200568\Testimony\Peters\Rev.%20Requirement%20Back-Up\CNG%202020%20Approved%20Budget%20by%20St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B29" sqref="B29"/>
    </sheetView>
  </sheetViews>
  <sheetFormatPr defaultColWidth="9.109375" defaultRowHeight="15.6"/>
  <cols>
    <col min="1" max="1" width="98.6640625" style="4" customWidth="1"/>
    <col min="2" max="2" width="29.44140625" style="4" customWidth="1"/>
    <col min="3" max="16384" width="9.109375" style="4"/>
  </cols>
  <sheetData>
    <row r="1" spans="1:7">
      <c r="A1" s="15" t="s">
        <v>2484</v>
      </c>
    </row>
    <row r="2" spans="1:7">
      <c r="A2" s="15" t="s">
        <v>2485</v>
      </c>
    </row>
    <row r="3" spans="1:7">
      <c r="A3" s="15" t="s">
        <v>1841</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1283</v>
      </c>
    </row>
    <row r="22" spans="1:1">
      <c r="A22" s="18"/>
    </row>
    <row r="23" spans="1:1">
      <c r="A23" s="18"/>
    </row>
    <row r="24" spans="1:1">
      <c r="A24" s="19" t="s">
        <v>2486</v>
      </c>
    </row>
    <row r="25" spans="1:1">
      <c r="A25" s="18"/>
    </row>
    <row r="26" spans="1:1">
      <c r="A26" s="18"/>
    </row>
    <row r="27" spans="1:1">
      <c r="A27" s="18"/>
    </row>
    <row r="28" spans="1:1">
      <c r="A28" s="18"/>
    </row>
    <row r="29" spans="1:1">
      <c r="A29" s="18"/>
    </row>
    <row r="30" spans="1:1">
      <c r="A30" s="313" t="s">
        <v>2479</v>
      </c>
    </row>
    <row r="31" spans="1:1">
      <c r="A31" s="31"/>
    </row>
    <row r="32" spans="1:1">
      <c r="A32" s="14"/>
    </row>
    <row r="33" spans="1:1">
      <c r="A33" s="14"/>
    </row>
    <row r="34" spans="1:1">
      <c r="A34" s="14"/>
    </row>
    <row r="35" spans="1:1">
      <c r="A35" s="14"/>
    </row>
    <row r="36" spans="1:1">
      <c r="A36" s="14"/>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pageSetUpPr fitToPage="1"/>
  </sheetPr>
  <dimension ref="A1:N224"/>
  <sheetViews>
    <sheetView topLeftCell="E190" zoomScale="70" zoomScaleNormal="70" workbookViewId="0">
      <selection activeCell="K206" sqref="K206"/>
    </sheetView>
  </sheetViews>
  <sheetFormatPr defaultColWidth="9.109375" defaultRowHeight="15.6"/>
  <cols>
    <col min="1" max="1" width="9.109375" style="26"/>
    <col min="2" max="2" width="14.109375" style="24" bestFit="1" customWidth="1"/>
    <col min="3" max="3" width="60.109375" style="24" bestFit="1" customWidth="1"/>
    <col min="4" max="4" width="17.33203125" style="24" bestFit="1" customWidth="1"/>
    <col min="5" max="5" width="18.88671875" style="24" bestFit="1" customWidth="1"/>
    <col min="6" max="6" width="9.88671875" style="24" bestFit="1" customWidth="1"/>
    <col min="7" max="7" width="22.109375" style="24" bestFit="1" customWidth="1"/>
    <col min="8" max="8" width="18" style="24" bestFit="1" customWidth="1"/>
    <col min="9" max="9" width="12.33203125" style="24" bestFit="1" customWidth="1"/>
    <col min="10" max="10" width="16" style="372" bestFit="1" customWidth="1"/>
    <col min="11" max="11" width="14.5546875" style="24" bestFit="1" customWidth="1"/>
    <col min="12" max="12" width="9.109375" style="24"/>
    <col min="13" max="13" width="16.44140625" style="24" bestFit="1" customWidth="1"/>
    <col min="14" max="14" width="15" style="24" bestFit="1" customWidth="1"/>
    <col min="15" max="16" width="9.109375" style="24"/>
    <col min="17" max="17" width="12.44140625" style="24" bestFit="1" customWidth="1"/>
    <col min="18" max="16384" width="9.109375" style="24"/>
  </cols>
  <sheetData>
    <row r="1" spans="1:11">
      <c r="C1" s="867" t="s">
        <v>783</v>
      </c>
      <c r="D1" s="867"/>
      <c r="E1" s="867"/>
      <c r="F1" s="867"/>
      <c r="G1" s="867"/>
      <c r="H1" s="867"/>
      <c r="I1" s="867"/>
    </row>
    <row r="2" spans="1:11">
      <c r="C2" s="867" t="s">
        <v>1826</v>
      </c>
      <c r="D2" s="867"/>
      <c r="E2" s="867"/>
      <c r="F2" s="867"/>
      <c r="G2" s="867"/>
      <c r="H2" s="867"/>
      <c r="I2" s="867"/>
    </row>
    <row r="3" spans="1:11">
      <c r="C3" s="867" t="s">
        <v>1985</v>
      </c>
      <c r="D3" s="867"/>
      <c r="E3" s="867"/>
      <c r="F3" s="867"/>
      <c r="G3" s="867"/>
      <c r="H3" s="867"/>
      <c r="I3" s="867"/>
    </row>
    <row r="4" spans="1:11">
      <c r="C4" s="868"/>
      <c r="D4" s="868"/>
      <c r="E4" s="868"/>
      <c r="F4" s="868"/>
      <c r="G4" s="868"/>
      <c r="H4" s="868"/>
      <c r="I4" s="868"/>
    </row>
    <row r="6" spans="1:11" s="26" customFormat="1">
      <c r="B6" s="26" t="s">
        <v>1831</v>
      </c>
      <c r="C6" s="26" t="s">
        <v>1832</v>
      </c>
      <c r="D6" s="26" t="s">
        <v>1833</v>
      </c>
      <c r="E6" s="26" t="s">
        <v>1834</v>
      </c>
      <c r="F6" s="642" t="s">
        <v>1835</v>
      </c>
      <c r="G6" s="26" t="s">
        <v>1836</v>
      </c>
      <c r="H6" s="26" t="s">
        <v>1837</v>
      </c>
      <c r="I6" s="26" t="s">
        <v>1838</v>
      </c>
      <c r="J6" s="807" t="s">
        <v>1839</v>
      </c>
    </row>
    <row r="7" spans="1:11" ht="146.25" customHeight="1">
      <c r="A7" s="371" t="s">
        <v>662</v>
      </c>
      <c r="B7" s="808" t="s">
        <v>1827</v>
      </c>
      <c r="C7" s="808" t="s">
        <v>1828</v>
      </c>
      <c r="D7" s="144" t="s">
        <v>1829</v>
      </c>
      <c r="E7" s="751" t="s">
        <v>2453</v>
      </c>
      <c r="F7" s="808" t="s">
        <v>761</v>
      </c>
      <c r="G7" s="808" t="s">
        <v>1830</v>
      </c>
      <c r="H7" s="808" t="s">
        <v>762</v>
      </c>
      <c r="I7" s="808" t="s">
        <v>763</v>
      </c>
      <c r="J7" s="809" t="s">
        <v>1462</v>
      </c>
    </row>
    <row r="8" spans="1:11">
      <c r="A8" s="26">
        <v>1</v>
      </c>
      <c r="B8" s="147" t="s">
        <v>764</v>
      </c>
      <c r="C8" s="147" t="s">
        <v>1989</v>
      </c>
      <c r="D8" s="145">
        <v>303</v>
      </c>
      <c r="E8" s="149">
        <f>205921.33</f>
        <v>205921.33</v>
      </c>
      <c r="F8" s="373"/>
      <c r="G8" s="146">
        <f>+E8</f>
        <v>205921.33</v>
      </c>
      <c r="H8" s="146"/>
      <c r="I8" s="307"/>
      <c r="J8" s="374">
        <v>44196</v>
      </c>
      <c r="K8" s="256"/>
    </row>
    <row r="9" spans="1:11">
      <c r="A9" s="26">
        <v>2</v>
      </c>
      <c r="B9" s="147" t="s">
        <v>764</v>
      </c>
      <c r="C9" s="147" t="s">
        <v>2300</v>
      </c>
      <c r="D9" s="145">
        <v>303</v>
      </c>
      <c r="E9" s="149">
        <v>87032.79</v>
      </c>
      <c r="F9" s="373">
        <f>+'State Allocation Formulas'!C21</f>
        <v>0.75170000000000003</v>
      </c>
      <c r="G9" s="146">
        <f>+E9*F9</f>
        <v>65422.548242999997</v>
      </c>
      <c r="H9" s="146"/>
      <c r="I9" s="307"/>
      <c r="J9" s="374">
        <v>44166</v>
      </c>
      <c r="K9" s="256"/>
    </row>
    <row r="10" spans="1:11">
      <c r="A10" s="26">
        <v>3</v>
      </c>
      <c r="B10" s="147" t="s">
        <v>764</v>
      </c>
      <c r="C10" s="147" t="s">
        <v>1990</v>
      </c>
      <c r="D10" s="145">
        <v>303</v>
      </c>
      <c r="E10" s="149">
        <v>5648475</v>
      </c>
      <c r="F10" s="373"/>
      <c r="G10" s="146">
        <f>+E10</f>
        <v>5648475</v>
      </c>
      <c r="H10" s="146">
        <f>+G10</f>
        <v>5648475</v>
      </c>
      <c r="I10" s="307">
        <v>2</v>
      </c>
      <c r="J10" s="372">
        <v>44074</v>
      </c>
    </row>
    <row r="11" spans="1:11">
      <c r="A11" s="26">
        <v>4</v>
      </c>
      <c r="B11" s="147" t="s">
        <v>764</v>
      </c>
      <c r="C11" s="147" t="s">
        <v>1991</v>
      </c>
      <c r="D11" s="145">
        <v>303</v>
      </c>
      <c r="E11" s="149">
        <f>42365.2+8565.23</f>
        <v>50930.429999999993</v>
      </c>
      <c r="F11" s="373">
        <f>+'State Allocation Formulas'!$C$21</f>
        <v>0.75170000000000003</v>
      </c>
      <c r="G11" s="146">
        <f>+E11*F11</f>
        <v>38284.404230999993</v>
      </c>
      <c r="H11" s="146"/>
      <c r="I11" s="307"/>
      <c r="J11" s="372">
        <v>44196</v>
      </c>
    </row>
    <row r="12" spans="1:11">
      <c r="A12" s="26">
        <v>5</v>
      </c>
      <c r="B12" s="147" t="s">
        <v>764</v>
      </c>
      <c r="C12" s="147" t="s">
        <v>1992</v>
      </c>
      <c r="D12" s="145">
        <v>303</v>
      </c>
      <c r="E12" s="149">
        <v>746233</v>
      </c>
      <c r="F12" s="373"/>
      <c r="G12" s="146">
        <f>+E12</f>
        <v>746233</v>
      </c>
      <c r="H12" s="146">
        <f>+G12</f>
        <v>746233</v>
      </c>
      <c r="I12" s="307">
        <v>4</v>
      </c>
      <c r="J12" s="372">
        <v>44155</v>
      </c>
    </row>
    <row r="13" spans="1:11">
      <c r="A13" s="26">
        <v>6</v>
      </c>
      <c r="B13" s="147" t="s">
        <v>764</v>
      </c>
      <c r="C13" s="147" t="s">
        <v>1993</v>
      </c>
      <c r="D13" s="145">
        <v>303</v>
      </c>
      <c r="E13" s="149">
        <f>93793.04+253064.68</f>
        <v>346857.72</v>
      </c>
      <c r="F13" s="373">
        <f>+'State Allocation Formulas'!$C$21</f>
        <v>0.75170000000000003</v>
      </c>
      <c r="G13" s="146">
        <f>+E13*F13</f>
        <v>260732.94812399999</v>
      </c>
      <c r="H13" s="146"/>
      <c r="I13" s="307"/>
      <c r="J13" s="372">
        <v>44926</v>
      </c>
    </row>
    <row r="14" spans="1:11">
      <c r="A14" s="26">
        <v>7</v>
      </c>
      <c r="B14" s="147" t="s">
        <v>764</v>
      </c>
      <c r="C14" s="147" t="s">
        <v>1994</v>
      </c>
      <c r="D14" s="145">
        <v>303</v>
      </c>
      <c r="E14" s="149">
        <v>35994.870000000003</v>
      </c>
      <c r="F14" s="373">
        <f>+'State Allocation Formulas'!$C$21</f>
        <v>0.75170000000000003</v>
      </c>
      <c r="G14" s="146">
        <f>+E14*F14</f>
        <v>27057.343779000003</v>
      </c>
      <c r="H14" s="146"/>
      <c r="I14" s="307"/>
      <c r="J14" s="372">
        <v>43876</v>
      </c>
    </row>
    <row r="15" spans="1:11">
      <c r="A15" s="26">
        <v>8</v>
      </c>
      <c r="B15" s="147" t="s">
        <v>764</v>
      </c>
      <c r="C15" s="147" t="s">
        <v>2302</v>
      </c>
      <c r="D15" s="145">
        <v>303</v>
      </c>
      <c r="E15" s="149">
        <v>158747.54</v>
      </c>
      <c r="F15" s="373">
        <f>+'State Allocation Formulas'!C21</f>
        <v>0.75170000000000003</v>
      </c>
      <c r="G15" s="146">
        <f>+E15*F15</f>
        <v>119330.52581800001</v>
      </c>
      <c r="H15" s="146"/>
      <c r="I15" s="307"/>
      <c r="J15" s="372">
        <v>44012</v>
      </c>
    </row>
    <row r="16" spans="1:11">
      <c r="A16" s="26">
        <v>9</v>
      </c>
      <c r="B16" s="147" t="s">
        <v>764</v>
      </c>
      <c r="C16" s="147" t="s">
        <v>1995</v>
      </c>
      <c r="D16" s="145">
        <v>303</v>
      </c>
      <c r="E16" s="149">
        <v>670450.44000000006</v>
      </c>
      <c r="F16" s="373">
        <f>+'State Allocation Formulas'!$C$21</f>
        <v>0.75170000000000003</v>
      </c>
      <c r="G16" s="146">
        <f>+E16*F16</f>
        <v>503977.59574800008</v>
      </c>
      <c r="H16" s="146"/>
      <c r="I16" s="307"/>
      <c r="J16" s="372">
        <v>43496</v>
      </c>
    </row>
    <row r="17" spans="1:14">
      <c r="A17" s="26">
        <v>10</v>
      </c>
      <c r="B17" s="147" t="s">
        <v>764</v>
      </c>
      <c r="C17" s="147" t="s">
        <v>1996</v>
      </c>
      <c r="D17" s="145">
        <v>303</v>
      </c>
      <c r="E17" s="149">
        <v>21082.9</v>
      </c>
      <c r="F17" s="373"/>
      <c r="G17" s="146">
        <f>+E17</f>
        <v>21082.9</v>
      </c>
      <c r="H17" s="146"/>
      <c r="I17" s="307"/>
      <c r="J17" s="372">
        <v>44073</v>
      </c>
    </row>
    <row r="18" spans="1:14">
      <c r="A18" s="26">
        <v>11</v>
      </c>
      <c r="B18" s="147" t="s">
        <v>764</v>
      </c>
      <c r="C18" s="147" t="s">
        <v>2301</v>
      </c>
      <c r="D18" s="145">
        <v>303</v>
      </c>
      <c r="E18" s="149">
        <v>155972.76</v>
      </c>
      <c r="F18" s="373">
        <f>+'State Allocation Formulas'!C21</f>
        <v>0.75170000000000003</v>
      </c>
      <c r="G18" s="146">
        <f>+E18*F18</f>
        <v>117244.72369200001</v>
      </c>
      <c r="H18" s="146"/>
      <c r="I18" s="307"/>
      <c r="J18" s="372">
        <v>44196</v>
      </c>
    </row>
    <row r="19" spans="1:14">
      <c r="A19" s="26">
        <v>12</v>
      </c>
      <c r="B19" s="147" t="s">
        <v>764</v>
      </c>
      <c r="C19" s="147" t="s">
        <v>1997</v>
      </c>
      <c r="D19" s="145">
        <v>303</v>
      </c>
      <c r="E19" s="149">
        <v>-450.01</v>
      </c>
      <c r="F19" s="373"/>
      <c r="G19" s="146">
        <f>+E19</f>
        <v>-450.01</v>
      </c>
      <c r="H19" s="146"/>
      <c r="I19" s="307"/>
      <c r="J19" s="372">
        <v>43951</v>
      </c>
    </row>
    <row r="20" spans="1:14">
      <c r="A20" s="26">
        <v>13</v>
      </c>
      <c r="B20" s="147" t="s">
        <v>764</v>
      </c>
      <c r="C20" s="147" t="s">
        <v>1998</v>
      </c>
      <c r="D20" s="145">
        <v>303</v>
      </c>
      <c r="E20" s="149">
        <f>64704.93+4518.12</f>
        <v>69223.05</v>
      </c>
      <c r="F20" s="373">
        <f>+'State Allocation Formulas'!$C$21</f>
        <v>0.75170000000000003</v>
      </c>
      <c r="G20" s="146">
        <f>+E20*F20</f>
        <v>52034.966685000007</v>
      </c>
      <c r="H20" s="146"/>
      <c r="I20" s="307"/>
      <c r="J20" s="372">
        <v>45291</v>
      </c>
    </row>
    <row r="21" spans="1:14">
      <c r="A21" s="26">
        <v>14</v>
      </c>
      <c r="B21" s="147" t="s">
        <v>764</v>
      </c>
      <c r="C21" s="147" t="s">
        <v>1999</v>
      </c>
      <c r="D21" s="145">
        <v>303</v>
      </c>
      <c r="E21" s="149">
        <v>15422.61</v>
      </c>
      <c r="F21" s="373"/>
      <c r="G21" s="146">
        <f>+E21</f>
        <v>15422.61</v>
      </c>
      <c r="H21" s="146"/>
      <c r="I21" s="307"/>
      <c r="J21" s="372">
        <v>43951</v>
      </c>
    </row>
    <row r="22" spans="1:14">
      <c r="A22" s="26">
        <v>15</v>
      </c>
      <c r="B22" s="147" t="s">
        <v>764</v>
      </c>
      <c r="C22" s="147" t="s">
        <v>2303</v>
      </c>
      <c r="D22" s="145">
        <v>303</v>
      </c>
      <c r="E22" s="149">
        <v>63738.720000000001</v>
      </c>
      <c r="F22" s="373">
        <f>+'State Allocation Formulas'!C21</f>
        <v>0.75170000000000003</v>
      </c>
      <c r="G22" s="146">
        <f>+E22*F22</f>
        <v>47912.395824000007</v>
      </c>
      <c r="H22" s="146"/>
      <c r="I22" s="307"/>
      <c r="J22" s="372">
        <v>44104</v>
      </c>
    </row>
    <row r="23" spans="1:14">
      <c r="A23" s="26">
        <v>16</v>
      </c>
      <c r="B23" s="147" t="s">
        <v>764</v>
      </c>
      <c r="C23" s="147" t="s">
        <v>2000</v>
      </c>
      <c r="D23" s="145">
        <v>303</v>
      </c>
      <c r="E23" s="149">
        <v>882417.45</v>
      </c>
      <c r="F23" s="373"/>
      <c r="G23" s="146">
        <f>+E23</f>
        <v>882417.45</v>
      </c>
      <c r="H23" s="146">
        <f>+G23</f>
        <v>882417.45</v>
      </c>
      <c r="I23" s="307">
        <v>11</v>
      </c>
      <c r="J23" s="372">
        <v>44012</v>
      </c>
    </row>
    <row r="24" spans="1:14">
      <c r="A24" s="26">
        <v>17</v>
      </c>
      <c r="B24" s="147" t="s">
        <v>764</v>
      </c>
      <c r="C24" s="147" t="s">
        <v>2001</v>
      </c>
      <c r="D24" s="145">
        <v>303</v>
      </c>
      <c r="E24" s="149">
        <v>8476.31</v>
      </c>
      <c r="F24" s="373">
        <f>+'State Allocation Formulas'!$C$21</f>
        <v>0.75170000000000003</v>
      </c>
      <c r="G24" s="146">
        <f>+E24*F24</f>
        <v>6371.6422270000003</v>
      </c>
      <c r="H24" s="146"/>
      <c r="I24" s="307"/>
      <c r="J24" s="372">
        <v>43842</v>
      </c>
    </row>
    <row r="25" spans="1:14">
      <c r="A25" s="26">
        <v>18</v>
      </c>
      <c r="B25" s="147" t="s">
        <v>764</v>
      </c>
      <c r="C25" s="147" t="s">
        <v>2002</v>
      </c>
      <c r="D25" s="145">
        <v>303</v>
      </c>
      <c r="E25" s="149">
        <v>858122</v>
      </c>
      <c r="F25" s="373"/>
      <c r="G25" s="146">
        <f>+E25</f>
        <v>858122</v>
      </c>
      <c r="H25" s="146">
        <f>+G25</f>
        <v>858122</v>
      </c>
      <c r="I25" s="307">
        <v>21</v>
      </c>
      <c r="J25" s="372">
        <v>44165</v>
      </c>
      <c r="N25" s="265"/>
    </row>
    <row r="26" spans="1:14">
      <c r="A26" s="26">
        <v>19</v>
      </c>
      <c r="B26" s="147" t="s">
        <v>764</v>
      </c>
      <c r="C26" s="147" t="s">
        <v>2003</v>
      </c>
      <c r="D26" s="145">
        <v>303</v>
      </c>
      <c r="E26" s="149">
        <f>131375.72+5492.14</f>
        <v>136867.86000000002</v>
      </c>
      <c r="F26" s="373"/>
      <c r="G26" s="146">
        <f>+E26</f>
        <v>136867.86000000002</v>
      </c>
      <c r="H26" s="146"/>
      <c r="I26" s="307"/>
      <c r="J26" s="372">
        <v>43982</v>
      </c>
    </row>
    <row r="27" spans="1:14">
      <c r="A27" s="26">
        <v>20</v>
      </c>
      <c r="B27" s="147" t="s">
        <v>764</v>
      </c>
      <c r="C27" s="147" t="s">
        <v>2304</v>
      </c>
      <c r="D27" s="145">
        <v>303</v>
      </c>
      <c r="E27" s="149">
        <v>26509.599999999999</v>
      </c>
      <c r="F27" s="373">
        <f>+'State Allocation Formulas'!C21</f>
        <v>0.75170000000000003</v>
      </c>
      <c r="G27" s="146">
        <f>+E27*F27</f>
        <v>19927.266319999999</v>
      </c>
      <c r="H27" s="146"/>
      <c r="I27" s="307"/>
      <c r="J27" s="372">
        <v>43952</v>
      </c>
    </row>
    <row r="28" spans="1:14">
      <c r="A28" s="26">
        <v>21</v>
      </c>
      <c r="B28" s="147" t="s">
        <v>764</v>
      </c>
      <c r="C28" s="147" t="s">
        <v>2305</v>
      </c>
      <c r="D28" s="145">
        <v>303</v>
      </c>
      <c r="E28" s="149">
        <v>27529.200000000001</v>
      </c>
      <c r="F28" s="373">
        <f>+'State Allocation Formulas'!C21</f>
        <v>0.75170000000000003</v>
      </c>
      <c r="G28" s="146">
        <f>+E28*F28</f>
        <v>20693.699640000003</v>
      </c>
      <c r="H28" s="146"/>
      <c r="I28" s="307"/>
      <c r="J28" s="372">
        <v>44119</v>
      </c>
    </row>
    <row r="29" spans="1:14">
      <c r="A29" s="26">
        <v>22</v>
      </c>
      <c r="B29" s="147" t="s">
        <v>764</v>
      </c>
      <c r="C29" s="147" t="s">
        <v>2004</v>
      </c>
      <c r="D29" s="145">
        <v>303</v>
      </c>
      <c r="E29" s="149">
        <v>4731395</v>
      </c>
      <c r="F29" s="373"/>
      <c r="G29" s="146">
        <f>+E29</f>
        <v>4731395</v>
      </c>
      <c r="H29" s="146">
        <f>+G29</f>
        <v>4731395</v>
      </c>
      <c r="I29" s="307">
        <v>23</v>
      </c>
      <c r="J29" s="372">
        <v>44165</v>
      </c>
      <c r="N29" s="265"/>
    </row>
    <row r="30" spans="1:14">
      <c r="A30" s="26">
        <v>23</v>
      </c>
      <c r="B30" s="375"/>
      <c r="C30" s="376" t="s">
        <v>765</v>
      </c>
      <c r="D30" s="150"/>
      <c r="E30" s="377">
        <f>SUM(E8:E29)</f>
        <v>14946950.569999998</v>
      </c>
      <c r="F30" s="375"/>
      <c r="G30" s="378">
        <f>SUM(G8:G29)</f>
        <v>14524477.200330999</v>
      </c>
      <c r="H30" s="378">
        <f>SUM(H8:H29)</f>
        <v>12866642.449999999</v>
      </c>
      <c r="I30" s="379"/>
      <c r="J30" s="801"/>
    </row>
    <row r="31" spans="1:14">
      <c r="A31" s="26">
        <v>24</v>
      </c>
      <c r="B31" s="375" t="s">
        <v>786</v>
      </c>
      <c r="C31" s="375"/>
      <c r="D31" s="148"/>
      <c r="E31" s="149"/>
      <c r="F31" s="375"/>
      <c r="G31" s="380"/>
      <c r="H31" s="375"/>
      <c r="I31" s="379"/>
      <c r="J31" s="802"/>
    </row>
    <row r="32" spans="1:14">
      <c r="A32" s="26">
        <v>25</v>
      </c>
      <c r="B32" s="147" t="s">
        <v>766</v>
      </c>
      <c r="C32" s="375" t="s">
        <v>2437</v>
      </c>
      <c r="D32" s="148">
        <v>396.2</v>
      </c>
      <c r="E32" s="149">
        <v>481087.24</v>
      </c>
      <c r="F32" s="810">
        <f>+'State Allocation Formulas'!C21</f>
        <v>0.75170000000000003</v>
      </c>
      <c r="G32" s="380">
        <f>+E32*F32</f>
        <v>361633.27830800001</v>
      </c>
      <c r="H32" s="375"/>
      <c r="I32" s="379"/>
      <c r="J32" s="802">
        <v>44196</v>
      </c>
    </row>
    <row r="33" spans="1:10">
      <c r="A33" s="26">
        <v>26</v>
      </c>
      <c r="B33" s="147" t="s">
        <v>766</v>
      </c>
      <c r="C33" s="375" t="s">
        <v>2438</v>
      </c>
      <c r="D33" s="148">
        <v>397.2</v>
      </c>
      <c r="E33" s="149">
        <v>290586.03999999998</v>
      </c>
      <c r="F33" s="810">
        <f>+'State Allocation Formulas'!C21</f>
        <v>0.75170000000000003</v>
      </c>
      <c r="G33" s="380">
        <f>+E33*F33</f>
        <v>218433.52626799999</v>
      </c>
      <c r="H33" s="375"/>
      <c r="I33" s="379"/>
      <c r="J33" s="802">
        <v>44196</v>
      </c>
    </row>
    <row r="34" spans="1:10">
      <c r="A34" s="26">
        <v>27</v>
      </c>
      <c r="B34" s="147" t="s">
        <v>766</v>
      </c>
      <c r="C34" s="147" t="s">
        <v>2395</v>
      </c>
      <c r="D34" s="145">
        <v>376.2</v>
      </c>
      <c r="E34" s="149">
        <v>36096.400000000001</v>
      </c>
      <c r="F34" s="147"/>
      <c r="G34" s="146">
        <f t="shared" ref="G34:G50" si="0">+E34</f>
        <v>36096.400000000001</v>
      </c>
      <c r="H34" s="146"/>
      <c r="I34" s="307"/>
      <c r="J34" s="622">
        <v>43946</v>
      </c>
    </row>
    <row r="35" spans="1:10">
      <c r="A35" s="26">
        <v>28</v>
      </c>
      <c r="B35" s="147" t="s">
        <v>766</v>
      </c>
      <c r="C35" s="147" t="s">
        <v>767</v>
      </c>
      <c r="D35" s="145">
        <v>376</v>
      </c>
      <c r="E35" s="149">
        <v>55032.54</v>
      </c>
      <c r="F35" s="147"/>
      <c r="G35" s="146">
        <f t="shared" si="0"/>
        <v>55032.54</v>
      </c>
      <c r="H35" s="146"/>
      <c r="I35" s="307"/>
      <c r="J35" s="622">
        <v>44075</v>
      </c>
    </row>
    <row r="36" spans="1:10">
      <c r="A36" s="26">
        <v>29</v>
      </c>
      <c r="B36" s="147" t="s">
        <v>766</v>
      </c>
      <c r="C36" s="147" t="s">
        <v>2396</v>
      </c>
      <c r="D36" s="145">
        <v>378</v>
      </c>
      <c r="E36" s="149">
        <v>611717</v>
      </c>
      <c r="F36" s="147"/>
      <c r="G36" s="146">
        <f>+E36</f>
        <v>611717</v>
      </c>
      <c r="H36" s="146">
        <f>+G36</f>
        <v>611717</v>
      </c>
      <c r="I36" s="307">
        <v>27</v>
      </c>
      <c r="J36" s="622">
        <v>44196</v>
      </c>
    </row>
    <row r="37" spans="1:10">
      <c r="A37" s="26">
        <v>30</v>
      </c>
      <c r="B37" s="147" t="s">
        <v>766</v>
      </c>
      <c r="C37" s="147" t="s">
        <v>768</v>
      </c>
      <c r="D37" s="145">
        <v>378</v>
      </c>
      <c r="E37" s="149">
        <f>95413.54+555120</f>
        <v>650533.54</v>
      </c>
      <c r="F37" s="147"/>
      <c r="G37" s="146">
        <f t="shared" si="0"/>
        <v>650533.54</v>
      </c>
      <c r="H37" s="146"/>
      <c r="I37" s="307"/>
      <c r="J37" s="622">
        <v>44119</v>
      </c>
    </row>
    <row r="38" spans="1:10">
      <c r="A38" s="26">
        <v>31</v>
      </c>
      <c r="B38" s="147" t="s">
        <v>766</v>
      </c>
      <c r="C38" s="147" t="s">
        <v>769</v>
      </c>
      <c r="D38" s="145">
        <v>380</v>
      </c>
      <c r="E38" s="149">
        <v>62.76</v>
      </c>
      <c r="F38" s="147"/>
      <c r="G38" s="146">
        <f t="shared" si="0"/>
        <v>62.76</v>
      </c>
      <c r="H38" s="146"/>
      <c r="I38" s="307"/>
      <c r="J38" s="622">
        <v>44136</v>
      </c>
    </row>
    <row r="39" spans="1:10">
      <c r="A39" s="26">
        <v>32</v>
      </c>
      <c r="B39" s="147" t="s">
        <v>766</v>
      </c>
      <c r="C39" s="147" t="s">
        <v>770</v>
      </c>
      <c r="D39" s="148">
        <v>385</v>
      </c>
      <c r="E39" s="149">
        <v>40010.83</v>
      </c>
      <c r="F39" s="147"/>
      <c r="G39" s="559">
        <f t="shared" si="0"/>
        <v>40010.83</v>
      </c>
      <c r="H39" s="559"/>
      <c r="I39" s="307"/>
      <c r="J39" s="622">
        <v>44181</v>
      </c>
    </row>
    <row r="40" spans="1:10">
      <c r="A40" s="26">
        <v>33</v>
      </c>
      <c r="B40" s="147" t="s">
        <v>766</v>
      </c>
      <c r="C40" s="147" t="s">
        <v>771</v>
      </c>
      <c r="D40" s="145">
        <v>385</v>
      </c>
      <c r="E40" s="149">
        <v>21467.7</v>
      </c>
      <c r="F40" s="147"/>
      <c r="G40" s="146">
        <f t="shared" si="0"/>
        <v>21467.7</v>
      </c>
      <c r="H40" s="146"/>
      <c r="I40" s="307"/>
      <c r="J40" s="622">
        <v>43981</v>
      </c>
    </row>
    <row r="41" spans="1:10">
      <c r="A41" s="26">
        <v>34</v>
      </c>
      <c r="B41" s="147" t="s">
        <v>766</v>
      </c>
      <c r="C41" s="147" t="s">
        <v>2439</v>
      </c>
      <c r="D41" s="812">
        <v>381</v>
      </c>
      <c r="E41" s="813">
        <v>3919185.28</v>
      </c>
      <c r="F41" s="373">
        <f>+'State Allocation Formulas'!C21</f>
        <v>0.75170000000000003</v>
      </c>
      <c r="G41" s="146">
        <f>+E41*F41</f>
        <v>2946051.574976</v>
      </c>
      <c r="H41" s="146">
        <f>+G41</f>
        <v>2946051.574976</v>
      </c>
      <c r="I41" s="307">
        <v>28</v>
      </c>
      <c r="J41" s="622">
        <v>44196</v>
      </c>
    </row>
    <row r="42" spans="1:10">
      <c r="A42" s="26">
        <v>35</v>
      </c>
      <c r="B42" s="147" t="s">
        <v>766</v>
      </c>
      <c r="C42" s="147" t="s">
        <v>2440</v>
      </c>
      <c r="D42" s="812">
        <v>392.2</v>
      </c>
      <c r="E42" s="813">
        <v>2180374.04</v>
      </c>
      <c r="F42" s="373">
        <f>+'State Allocation Formulas'!C21</f>
        <v>0.75170000000000003</v>
      </c>
      <c r="G42" s="146">
        <f t="shared" ref="G42:G43" si="1">+E42*F42</f>
        <v>1638987.1658680001</v>
      </c>
      <c r="H42" s="146"/>
      <c r="I42" s="307"/>
      <c r="J42" s="622">
        <v>44196</v>
      </c>
    </row>
    <row r="43" spans="1:10">
      <c r="A43" s="26">
        <v>36</v>
      </c>
      <c r="B43" s="147" t="s">
        <v>766</v>
      </c>
      <c r="C43" s="147" t="s">
        <v>2441</v>
      </c>
      <c r="D43" s="812">
        <v>383</v>
      </c>
      <c r="E43" s="813">
        <v>1320143.48</v>
      </c>
      <c r="F43" s="373">
        <f>+'State Allocation Formulas'!C21</f>
        <v>0.75170000000000003</v>
      </c>
      <c r="G43" s="146">
        <f t="shared" si="1"/>
        <v>992351.85391599999</v>
      </c>
      <c r="H43" s="146"/>
      <c r="I43" s="307"/>
      <c r="J43" s="622">
        <v>44196</v>
      </c>
    </row>
    <row r="44" spans="1:10">
      <c r="A44" s="26">
        <v>37</v>
      </c>
      <c r="B44" s="147" t="s">
        <v>766</v>
      </c>
      <c r="C44" s="147" t="s">
        <v>772</v>
      </c>
      <c r="D44" s="145">
        <v>380</v>
      </c>
      <c r="E44" s="149">
        <v>31924.36</v>
      </c>
      <c r="F44" s="147"/>
      <c r="G44" s="146">
        <f t="shared" si="0"/>
        <v>31924.36</v>
      </c>
      <c r="H44" s="146"/>
      <c r="I44" s="307"/>
      <c r="J44" s="622">
        <v>44136</v>
      </c>
    </row>
    <row r="45" spans="1:10">
      <c r="A45" s="26">
        <v>38</v>
      </c>
      <c r="B45" s="147" t="s">
        <v>766</v>
      </c>
      <c r="C45" s="147" t="str">
        <f>_xlfn.CONCAT('[2]2020 Budget by State -w- FERC'!$E$4,'[2]2020 Budget by State -w- FERC'!$F$4)</f>
        <v>FP-101413GP BUILDINGS - WALLAWALLA</v>
      </c>
      <c r="D45" s="145">
        <v>375.1</v>
      </c>
      <c r="E45" s="149">
        <v>124289.24</v>
      </c>
      <c r="F45" s="147"/>
      <c r="G45" s="146">
        <f t="shared" si="0"/>
        <v>124289.24</v>
      </c>
      <c r="H45" s="146"/>
      <c r="I45" s="307"/>
      <c r="J45" s="622">
        <v>44196</v>
      </c>
    </row>
    <row r="46" spans="1:10">
      <c r="A46" s="26">
        <v>39</v>
      </c>
      <c r="B46" s="147" t="s">
        <v>766</v>
      </c>
      <c r="C46" s="147" t="str">
        <f>_xlfn.CONCAT('[2]2020 Budget by State -w- FERC'!$E$5,'[2]2020 Budget by State -w- FERC'!$F$5)</f>
        <v>FP-101416GP TOOLS - WALLAWALLA</v>
      </c>
      <c r="D46" s="145">
        <v>394.1</v>
      </c>
      <c r="E46" s="149">
        <v>4282.32</v>
      </c>
      <c r="F46" s="147"/>
      <c r="G46" s="146">
        <f t="shared" si="0"/>
        <v>4282.32</v>
      </c>
      <c r="H46" s="146"/>
      <c r="I46" s="307"/>
      <c r="J46" s="622">
        <v>44196</v>
      </c>
    </row>
    <row r="47" spans="1:10">
      <c r="A47" s="26">
        <v>40</v>
      </c>
      <c r="B47" s="147" t="s">
        <v>766</v>
      </c>
      <c r="C47" s="147" t="s">
        <v>2015</v>
      </c>
      <c r="D47" s="145">
        <v>367.1</v>
      </c>
      <c r="E47" s="149">
        <v>7616.94</v>
      </c>
      <c r="F47" s="147"/>
      <c r="G47" s="146">
        <f t="shared" si="0"/>
        <v>7616.94</v>
      </c>
      <c r="H47" s="147"/>
      <c r="I47" s="307"/>
      <c r="J47" s="622">
        <v>44196</v>
      </c>
    </row>
    <row r="48" spans="1:10">
      <c r="A48" s="26">
        <v>41</v>
      </c>
      <c r="B48" s="147" t="s">
        <v>766</v>
      </c>
      <c r="C48" s="147" t="s">
        <v>2442</v>
      </c>
      <c r="D48" s="145">
        <v>391.3</v>
      </c>
      <c r="E48" s="149">
        <v>54854.48</v>
      </c>
      <c r="F48" s="373">
        <f>+'State Allocation Formulas'!C21</f>
        <v>0.75170000000000003</v>
      </c>
      <c r="G48" s="146">
        <f>+E48*F48</f>
        <v>41234.112616000006</v>
      </c>
      <c r="H48" s="147"/>
      <c r="I48" s="307"/>
      <c r="J48" s="622">
        <v>44196</v>
      </c>
    </row>
    <row r="49" spans="1:14">
      <c r="A49" s="26">
        <v>42</v>
      </c>
      <c r="B49" s="147" t="s">
        <v>766</v>
      </c>
      <c r="C49" s="147" t="s">
        <v>1292</v>
      </c>
      <c r="D49" s="145">
        <v>376.2</v>
      </c>
      <c r="E49" s="149">
        <v>2757265.26</v>
      </c>
      <c r="F49" s="147"/>
      <c r="G49" s="146">
        <f t="shared" si="0"/>
        <v>2757265.26</v>
      </c>
      <c r="H49" s="146">
        <f>+G49</f>
        <v>2757265.26</v>
      </c>
      <c r="I49" s="307">
        <v>1</v>
      </c>
      <c r="J49" s="622">
        <v>44012</v>
      </c>
    </row>
    <row r="50" spans="1:14">
      <c r="A50" s="26">
        <v>43</v>
      </c>
      <c r="B50" s="147" t="s">
        <v>766</v>
      </c>
      <c r="C50" s="147" t="s">
        <v>773</v>
      </c>
      <c r="D50" s="145">
        <v>376.1</v>
      </c>
      <c r="E50" s="149">
        <f>37762.19+709879.16</f>
        <v>747641.35000000009</v>
      </c>
      <c r="F50" s="147"/>
      <c r="G50" s="146">
        <f t="shared" si="0"/>
        <v>747641.35000000009</v>
      </c>
      <c r="H50" s="146"/>
      <c r="I50" s="307"/>
      <c r="J50" s="622">
        <v>43891</v>
      </c>
    </row>
    <row r="51" spans="1:14">
      <c r="A51" s="26">
        <v>45</v>
      </c>
      <c r="B51" s="147" t="s">
        <v>766</v>
      </c>
      <c r="C51" s="147" t="s">
        <v>2329</v>
      </c>
      <c r="D51" s="145">
        <v>381</v>
      </c>
      <c r="E51" s="149">
        <v>363466.8</v>
      </c>
      <c r="F51" s="373">
        <f>+'State Allocation Formulas'!C21</f>
        <v>0.75170000000000003</v>
      </c>
      <c r="G51" s="146">
        <f>+E51*F51</f>
        <v>273217.99356000003</v>
      </c>
      <c r="H51" s="146"/>
      <c r="I51" s="307"/>
      <c r="J51" s="372">
        <v>44196</v>
      </c>
    </row>
    <row r="52" spans="1:14">
      <c r="A52" s="26">
        <v>46</v>
      </c>
      <c r="B52" s="147" t="s">
        <v>766</v>
      </c>
      <c r="C52" s="147" t="s">
        <v>2392</v>
      </c>
      <c r="D52" s="145">
        <v>376.2</v>
      </c>
      <c r="E52" s="149">
        <v>3360413</v>
      </c>
      <c r="F52" s="147"/>
      <c r="G52" s="146">
        <f t="shared" ref="G52:G72" si="2">+E52</f>
        <v>3360413</v>
      </c>
      <c r="H52" s="146">
        <f>+G52</f>
        <v>3360413</v>
      </c>
      <c r="I52" s="307">
        <v>3</v>
      </c>
      <c r="J52" s="622">
        <v>44165</v>
      </c>
      <c r="N52" s="265"/>
    </row>
    <row r="53" spans="1:14">
      <c r="A53" s="26">
        <v>47</v>
      </c>
      <c r="B53" s="147" t="s">
        <v>766</v>
      </c>
      <c r="C53" s="24" t="s">
        <v>2016</v>
      </c>
      <c r="D53" s="145">
        <v>367.1</v>
      </c>
      <c r="E53" s="149">
        <v>2363557.25</v>
      </c>
      <c r="F53" s="147"/>
      <c r="G53" s="146">
        <f t="shared" si="2"/>
        <v>2363557.25</v>
      </c>
      <c r="H53" s="146"/>
      <c r="I53" s="307"/>
      <c r="J53" s="622">
        <v>44895</v>
      </c>
    </row>
    <row r="54" spans="1:14">
      <c r="A54" s="26">
        <v>48</v>
      </c>
      <c r="B54" s="147" t="s">
        <v>766</v>
      </c>
      <c r="C54" s="147" t="s">
        <v>2005</v>
      </c>
      <c r="D54" s="145">
        <v>378</v>
      </c>
      <c r="E54" s="149">
        <v>20008.89</v>
      </c>
      <c r="F54" s="147"/>
      <c r="G54" s="146">
        <f t="shared" si="2"/>
        <v>20008.89</v>
      </c>
      <c r="H54" s="146"/>
      <c r="I54" s="307"/>
      <c r="J54" s="622">
        <v>43861</v>
      </c>
    </row>
    <row r="55" spans="1:14">
      <c r="A55" s="26">
        <v>49</v>
      </c>
      <c r="B55" s="147" t="s">
        <v>766</v>
      </c>
      <c r="C55" s="147" t="s">
        <v>2330</v>
      </c>
      <c r="D55" s="145">
        <v>376.2</v>
      </c>
      <c r="E55" s="149">
        <v>179168.59</v>
      </c>
      <c r="F55" s="147"/>
      <c r="G55" s="146">
        <f t="shared" si="2"/>
        <v>179168.59</v>
      </c>
      <c r="H55" s="146"/>
      <c r="I55" s="307" t="s">
        <v>802</v>
      </c>
      <c r="J55" s="622">
        <v>44196</v>
      </c>
    </row>
    <row r="56" spans="1:14">
      <c r="A56" s="26">
        <v>50</v>
      </c>
      <c r="B56" s="147" t="s">
        <v>766</v>
      </c>
      <c r="C56" s="147" t="s">
        <v>2331</v>
      </c>
      <c r="D56" s="145">
        <v>376.2</v>
      </c>
      <c r="E56" s="149">
        <v>239545.87</v>
      </c>
      <c r="F56" s="147"/>
      <c r="G56" s="146">
        <f t="shared" si="2"/>
        <v>239545.87</v>
      </c>
      <c r="H56" s="146"/>
      <c r="I56" s="307" t="s">
        <v>802</v>
      </c>
      <c r="J56" s="622">
        <v>44196</v>
      </c>
    </row>
    <row r="57" spans="1:14">
      <c r="A57" s="26">
        <v>51</v>
      </c>
      <c r="B57" s="147" t="s">
        <v>766</v>
      </c>
      <c r="C57" s="147" t="s">
        <v>2006</v>
      </c>
      <c r="D57" s="145">
        <v>376.2</v>
      </c>
      <c r="E57" s="149">
        <v>112657.85</v>
      </c>
      <c r="F57" s="147"/>
      <c r="G57" s="146">
        <f t="shared" si="2"/>
        <v>112657.85</v>
      </c>
      <c r="H57" s="146"/>
      <c r="I57" s="307"/>
      <c r="J57" s="622">
        <v>44165</v>
      </c>
    </row>
    <row r="58" spans="1:14">
      <c r="A58" s="26">
        <v>52</v>
      </c>
      <c r="B58" s="147" t="s">
        <v>766</v>
      </c>
      <c r="C58" s="147" t="s">
        <v>2332</v>
      </c>
      <c r="D58" s="145">
        <v>376.2</v>
      </c>
      <c r="E58" s="149">
        <v>1321132.3500000001</v>
      </c>
      <c r="F58" s="147"/>
      <c r="G58" s="146">
        <f t="shared" si="2"/>
        <v>1321132.3500000001</v>
      </c>
      <c r="H58" s="146"/>
      <c r="I58" s="307" t="s">
        <v>802</v>
      </c>
      <c r="J58" s="622">
        <v>44196</v>
      </c>
    </row>
    <row r="59" spans="1:14">
      <c r="A59" s="26">
        <v>53</v>
      </c>
      <c r="B59" s="147" t="s">
        <v>766</v>
      </c>
      <c r="C59" s="147" t="s">
        <v>2333</v>
      </c>
      <c r="D59" s="145">
        <v>376.2</v>
      </c>
      <c r="E59" s="149">
        <v>588710.21</v>
      </c>
      <c r="F59" s="147"/>
      <c r="G59" s="146">
        <f t="shared" si="2"/>
        <v>588710.21</v>
      </c>
      <c r="H59" s="146"/>
      <c r="I59" s="307"/>
      <c r="J59" s="622">
        <v>44166</v>
      </c>
    </row>
    <row r="60" spans="1:14">
      <c r="A60" s="26">
        <v>54</v>
      </c>
      <c r="B60" s="147" t="s">
        <v>766</v>
      </c>
      <c r="C60" s="147" t="s">
        <v>2334</v>
      </c>
      <c r="D60" s="145">
        <v>376.2</v>
      </c>
      <c r="E60" s="149">
        <v>1714110.95</v>
      </c>
      <c r="F60" s="147"/>
      <c r="G60" s="146">
        <f t="shared" si="2"/>
        <v>1714110.95</v>
      </c>
      <c r="H60" s="146"/>
      <c r="I60" s="307" t="s">
        <v>802</v>
      </c>
      <c r="J60" s="622">
        <v>44196</v>
      </c>
    </row>
    <row r="61" spans="1:14">
      <c r="A61" s="26">
        <v>55</v>
      </c>
      <c r="B61" s="147" t="s">
        <v>766</v>
      </c>
      <c r="C61" s="147" t="s">
        <v>2007</v>
      </c>
      <c r="D61" s="145">
        <v>376.2</v>
      </c>
      <c r="E61" s="149">
        <f>244987.08+245475.4</f>
        <v>490462.48</v>
      </c>
      <c r="F61" s="147"/>
      <c r="G61" s="146">
        <f t="shared" si="2"/>
        <v>490462.48</v>
      </c>
      <c r="H61" s="146"/>
      <c r="I61" s="307"/>
      <c r="J61" s="622">
        <v>44042</v>
      </c>
    </row>
    <row r="62" spans="1:14">
      <c r="A62" s="26">
        <v>56</v>
      </c>
      <c r="B62" s="147" t="s">
        <v>766</v>
      </c>
      <c r="C62" s="147" t="s">
        <v>2017</v>
      </c>
      <c r="D62" s="145">
        <v>378</v>
      </c>
      <c r="E62" s="149">
        <v>17894.23</v>
      </c>
      <c r="F62" s="373"/>
      <c r="G62" s="146">
        <f t="shared" si="2"/>
        <v>17894.23</v>
      </c>
      <c r="H62" s="146"/>
      <c r="I62" s="307"/>
      <c r="J62" s="622">
        <v>43951</v>
      </c>
    </row>
    <row r="63" spans="1:14">
      <c r="A63" s="26">
        <v>57</v>
      </c>
      <c r="B63" s="147" t="s">
        <v>766</v>
      </c>
      <c r="C63" s="147" t="s">
        <v>2335</v>
      </c>
      <c r="D63" s="145">
        <v>376.1</v>
      </c>
      <c r="E63" s="149">
        <v>517249.44</v>
      </c>
      <c r="F63" s="373"/>
      <c r="G63" s="146">
        <f t="shared" si="2"/>
        <v>517249.44</v>
      </c>
      <c r="H63" s="146"/>
      <c r="I63" s="307" t="s">
        <v>802</v>
      </c>
      <c r="J63" s="622">
        <v>44166</v>
      </c>
    </row>
    <row r="64" spans="1:14">
      <c r="A64" s="26">
        <v>58</v>
      </c>
      <c r="B64" s="147" t="s">
        <v>766</v>
      </c>
      <c r="C64" s="147" t="s">
        <v>1293</v>
      </c>
      <c r="D64" s="145">
        <v>376.2</v>
      </c>
      <c r="E64" s="149">
        <v>4257740</v>
      </c>
      <c r="F64" s="147"/>
      <c r="G64" s="146">
        <f t="shared" si="2"/>
        <v>4257740</v>
      </c>
      <c r="H64" s="146">
        <f>+G64</f>
        <v>4257740</v>
      </c>
      <c r="I64" s="307">
        <v>5</v>
      </c>
      <c r="J64" s="372">
        <v>44042</v>
      </c>
    </row>
    <row r="65" spans="1:14">
      <c r="A65" s="26">
        <v>59</v>
      </c>
      <c r="B65" s="147" t="s">
        <v>766</v>
      </c>
      <c r="C65" s="147" t="s">
        <v>2336</v>
      </c>
      <c r="D65" s="145">
        <v>376.2</v>
      </c>
      <c r="E65" s="149">
        <v>3462856.75</v>
      </c>
      <c r="F65" s="147"/>
      <c r="G65" s="146">
        <f t="shared" si="2"/>
        <v>3462856.75</v>
      </c>
      <c r="H65" s="146"/>
      <c r="I65" s="307" t="s">
        <v>802</v>
      </c>
      <c r="J65" s="372">
        <v>44165</v>
      </c>
    </row>
    <row r="66" spans="1:14">
      <c r="A66" s="26">
        <v>60</v>
      </c>
      <c r="B66" s="147" t="s">
        <v>766</v>
      </c>
      <c r="C66" s="147" t="s">
        <v>2337</v>
      </c>
      <c r="D66" s="145">
        <v>376.2</v>
      </c>
      <c r="E66" s="149">
        <v>1079817.45</v>
      </c>
      <c r="F66" s="147"/>
      <c r="G66" s="146">
        <f t="shared" si="2"/>
        <v>1079817.45</v>
      </c>
      <c r="H66" s="146"/>
      <c r="I66" s="307" t="s">
        <v>802</v>
      </c>
      <c r="J66" s="372">
        <v>44196</v>
      </c>
    </row>
    <row r="67" spans="1:14">
      <c r="A67" s="26">
        <v>61</v>
      </c>
      <c r="B67" s="147" t="s">
        <v>766</v>
      </c>
      <c r="C67" s="147" t="s">
        <v>2012</v>
      </c>
      <c r="D67" s="145">
        <v>378</v>
      </c>
      <c r="E67" s="149">
        <v>1015615.47</v>
      </c>
      <c r="F67" s="147"/>
      <c r="G67" s="146">
        <f t="shared" si="2"/>
        <v>1015615.47</v>
      </c>
      <c r="H67" s="146">
        <f>+G67</f>
        <v>1015615.47</v>
      </c>
      <c r="I67" s="307">
        <v>6</v>
      </c>
      <c r="J67" s="372">
        <v>44012</v>
      </c>
    </row>
    <row r="68" spans="1:14">
      <c r="A68" s="26">
        <v>62</v>
      </c>
      <c r="B68" s="147" t="s">
        <v>766</v>
      </c>
      <c r="C68" s="147" t="s">
        <v>2011</v>
      </c>
      <c r="D68" s="145">
        <v>378</v>
      </c>
      <c r="E68" s="149">
        <v>1308260.44</v>
      </c>
      <c r="F68" s="147"/>
      <c r="G68" s="146">
        <f t="shared" si="2"/>
        <v>1308260.44</v>
      </c>
      <c r="H68" s="146">
        <f>+G68</f>
        <v>1308260.44</v>
      </c>
      <c r="I68" s="307">
        <v>7</v>
      </c>
      <c r="J68" s="372">
        <v>44074</v>
      </c>
      <c r="N68" s="265"/>
    </row>
    <row r="69" spans="1:14">
      <c r="A69" s="26">
        <v>63</v>
      </c>
      <c r="B69" s="147" t="s">
        <v>766</v>
      </c>
      <c r="C69" s="147" t="s">
        <v>2018</v>
      </c>
      <c r="D69" s="145">
        <v>378</v>
      </c>
      <c r="E69" s="149">
        <v>1160244.8899999999</v>
      </c>
      <c r="F69" s="147"/>
      <c r="G69" s="146">
        <f t="shared" si="2"/>
        <v>1160244.8899999999</v>
      </c>
      <c r="H69" s="146">
        <f>+G69</f>
        <v>1160244.8899999999</v>
      </c>
      <c r="I69" s="307">
        <v>8</v>
      </c>
      <c r="J69" s="622">
        <v>44165</v>
      </c>
      <c r="M69" s="265"/>
    </row>
    <row r="70" spans="1:14">
      <c r="A70" s="26">
        <v>64</v>
      </c>
      <c r="B70" s="147" t="s">
        <v>766</v>
      </c>
      <c r="C70" s="147" t="s">
        <v>1294</v>
      </c>
      <c r="D70" s="145">
        <v>376.2</v>
      </c>
      <c r="E70" s="149">
        <v>9795152</v>
      </c>
      <c r="F70" s="147"/>
      <c r="G70" s="146">
        <f t="shared" si="2"/>
        <v>9795152</v>
      </c>
      <c r="H70" s="146">
        <f>+G70</f>
        <v>9795152</v>
      </c>
      <c r="I70" s="307">
        <v>9</v>
      </c>
      <c r="J70" s="372">
        <v>44074</v>
      </c>
    </row>
    <row r="71" spans="1:14">
      <c r="A71" s="26">
        <v>65</v>
      </c>
      <c r="B71" s="147" t="s">
        <v>766</v>
      </c>
      <c r="C71" s="147" t="s">
        <v>2010</v>
      </c>
      <c r="D71" s="145">
        <v>378</v>
      </c>
      <c r="E71" s="149">
        <v>77932.33</v>
      </c>
      <c r="F71" s="147"/>
      <c r="G71" s="146">
        <f t="shared" si="2"/>
        <v>77932.33</v>
      </c>
      <c r="H71" s="146"/>
      <c r="I71" s="307"/>
      <c r="J71" s="622">
        <v>43860</v>
      </c>
      <c r="M71" s="265"/>
    </row>
    <row r="72" spans="1:14">
      <c r="A72" s="26">
        <v>66</v>
      </c>
      <c r="B72" s="147" t="s">
        <v>766</v>
      </c>
      <c r="C72" s="147" t="s">
        <v>2009</v>
      </c>
      <c r="D72" s="145">
        <v>378</v>
      </c>
      <c r="E72" s="149">
        <v>77959.740000000005</v>
      </c>
      <c r="F72" s="147"/>
      <c r="G72" s="146">
        <f t="shared" si="2"/>
        <v>77959.740000000005</v>
      </c>
      <c r="H72" s="146"/>
      <c r="I72" s="307"/>
      <c r="J72" s="622">
        <v>43860</v>
      </c>
    </row>
    <row r="73" spans="1:14">
      <c r="A73" s="26">
        <v>67</v>
      </c>
      <c r="B73" s="147" t="s">
        <v>766</v>
      </c>
      <c r="C73" s="24" t="s">
        <v>2391</v>
      </c>
      <c r="D73" s="145">
        <v>367.1</v>
      </c>
      <c r="E73" s="149">
        <f>75261.08+2363375.85</f>
        <v>2438636.9300000002</v>
      </c>
      <c r="F73" s="147"/>
      <c r="G73" s="146">
        <f>+E73</f>
        <v>2438636.9300000002</v>
      </c>
      <c r="H73" s="146"/>
      <c r="I73" s="307" t="s">
        <v>802</v>
      </c>
      <c r="J73" s="622">
        <v>44165</v>
      </c>
    </row>
    <row r="74" spans="1:14">
      <c r="A74" s="26">
        <v>68</v>
      </c>
      <c r="B74" s="147" t="s">
        <v>766</v>
      </c>
      <c r="C74" s="24" t="s">
        <v>2008</v>
      </c>
      <c r="D74" s="145">
        <v>376.2</v>
      </c>
      <c r="E74" s="149">
        <v>1526471.05</v>
      </c>
      <c r="F74" s="147"/>
      <c r="G74" s="146">
        <f t="shared" ref="G74:G145" si="3">+E74</f>
        <v>1526471.05</v>
      </c>
      <c r="H74" s="146">
        <f t="shared" ref="H74" si="4">+G74</f>
        <v>1526471.05</v>
      </c>
      <c r="I74" s="307">
        <v>10</v>
      </c>
      <c r="J74" s="372">
        <v>43850</v>
      </c>
    </row>
    <row r="75" spans="1:14">
      <c r="A75" s="26">
        <v>69</v>
      </c>
      <c r="B75" s="147" t="s">
        <v>766</v>
      </c>
      <c r="C75" s="24" t="s">
        <v>2019</v>
      </c>
      <c r="D75" s="145">
        <v>376.3</v>
      </c>
      <c r="E75" s="149">
        <v>441993.69</v>
      </c>
      <c r="F75" s="147"/>
      <c r="G75" s="146">
        <f t="shared" si="3"/>
        <v>441993.69</v>
      </c>
      <c r="H75" s="146"/>
      <c r="I75" s="307" t="s">
        <v>802</v>
      </c>
      <c r="J75" s="372">
        <v>43920</v>
      </c>
    </row>
    <row r="76" spans="1:14">
      <c r="A76" s="26">
        <v>70</v>
      </c>
      <c r="B76" s="147" t="s">
        <v>766</v>
      </c>
      <c r="C76" s="24" t="s">
        <v>2020</v>
      </c>
      <c r="D76" s="145">
        <v>380.3</v>
      </c>
      <c r="E76" s="149">
        <v>100949.38</v>
      </c>
      <c r="F76" s="147"/>
      <c r="G76" s="146">
        <f t="shared" si="3"/>
        <v>100949.38</v>
      </c>
      <c r="H76" s="146"/>
      <c r="I76" s="307" t="s">
        <v>802</v>
      </c>
      <c r="J76" s="372">
        <v>43920</v>
      </c>
    </row>
    <row r="77" spans="1:14">
      <c r="A77" s="26">
        <v>71</v>
      </c>
      <c r="B77" s="147" t="s">
        <v>766</v>
      </c>
      <c r="C77" s="24" t="s">
        <v>2021</v>
      </c>
      <c r="D77" s="145">
        <v>378</v>
      </c>
      <c r="E77" s="149">
        <v>136928</v>
      </c>
      <c r="F77" s="147"/>
      <c r="G77" s="146">
        <f t="shared" si="3"/>
        <v>136928</v>
      </c>
      <c r="H77" s="146">
        <f>+G77</f>
        <v>136928</v>
      </c>
      <c r="I77" s="307">
        <v>12</v>
      </c>
      <c r="J77" s="372">
        <v>44074</v>
      </c>
    </row>
    <row r="78" spans="1:14">
      <c r="A78" s="26">
        <v>72</v>
      </c>
      <c r="B78" s="147" t="s">
        <v>766</v>
      </c>
      <c r="C78" s="24" t="s">
        <v>2022</v>
      </c>
      <c r="D78" s="145">
        <v>378</v>
      </c>
      <c r="E78" s="149">
        <v>324.69</v>
      </c>
      <c r="F78" s="147"/>
      <c r="G78" s="146">
        <f t="shared" si="3"/>
        <v>324.69</v>
      </c>
      <c r="H78" s="146"/>
      <c r="I78" s="307"/>
      <c r="J78" s="372">
        <v>44012</v>
      </c>
    </row>
    <row r="79" spans="1:14">
      <c r="A79" s="26">
        <v>73</v>
      </c>
      <c r="B79" s="147" t="s">
        <v>766</v>
      </c>
      <c r="C79" s="24" t="s">
        <v>2397</v>
      </c>
      <c r="D79" s="145">
        <v>376.3</v>
      </c>
      <c r="E79" s="149">
        <v>639913.04</v>
      </c>
      <c r="F79" s="147"/>
      <c r="G79" s="146">
        <f t="shared" si="3"/>
        <v>639913.04</v>
      </c>
      <c r="H79" s="146">
        <f>+G79</f>
        <v>639913.04</v>
      </c>
      <c r="I79" s="307">
        <v>27</v>
      </c>
      <c r="J79" s="372">
        <v>44196</v>
      </c>
    </row>
    <row r="80" spans="1:14">
      <c r="A80" s="26">
        <v>74</v>
      </c>
      <c r="B80" s="147" t="s">
        <v>766</v>
      </c>
      <c r="C80" s="24" t="s">
        <v>2398</v>
      </c>
      <c r="D80" s="145">
        <v>376</v>
      </c>
      <c r="E80" s="149">
        <v>122698.76</v>
      </c>
      <c r="F80" s="147"/>
      <c r="G80" s="146">
        <f t="shared" si="3"/>
        <v>122698.76</v>
      </c>
      <c r="H80" s="146"/>
      <c r="I80" s="307"/>
      <c r="J80" s="372">
        <v>44196</v>
      </c>
    </row>
    <row r="81" spans="1:10">
      <c r="A81" s="26">
        <v>75</v>
      </c>
      <c r="B81" s="147" t="s">
        <v>766</v>
      </c>
      <c r="C81" s="24" t="s">
        <v>2399</v>
      </c>
      <c r="D81" s="145">
        <v>380.3</v>
      </c>
      <c r="E81" s="149">
        <v>951862.52</v>
      </c>
      <c r="F81" s="147"/>
      <c r="G81" s="146">
        <f t="shared" si="3"/>
        <v>951862.52</v>
      </c>
      <c r="H81" s="146">
        <f>+G81</f>
        <v>951862.52</v>
      </c>
      <c r="I81" s="307">
        <v>27</v>
      </c>
      <c r="J81" s="372">
        <v>44196</v>
      </c>
    </row>
    <row r="82" spans="1:10">
      <c r="A82" s="26">
        <v>76</v>
      </c>
      <c r="B82" s="147" t="s">
        <v>766</v>
      </c>
      <c r="C82" s="24" t="s">
        <v>2400</v>
      </c>
      <c r="D82" s="145">
        <v>380</v>
      </c>
      <c r="E82" s="149">
        <v>72198.240000000005</v>
      </c>
      <c r="F82" s="147"/>
      <c r="G82" s="146">
        <f t="shared" si="3"/>
        <v>72198.240000000005</v>
      </c>
      <c r="H82" s="146"/>
      <c r="I82" s="307"/>
      <c r="J82" s="372">
        <v>44196</v>
      </c>
    </row>
    <row r="83" spans="1:10">
      <c r="A83" s="26">
        <v>77</v>
      </c>
      <c r="B83" s="147" t="s">
        <v>766</v>
      </c>
      <c r="C83" s="24" t="s">
        <v>2401</v>
      </c>
      <c r="D83" s="145">
        <v>376.3</v>
      </c>
      <c r="E83" s="149">
        <v>79311</v>
      </c>
      <c r="F83" s="147"/>
      <c r="G83" s="146">
        <f t="shared" si="3"/>
        <v>79311</v>
      </c>
      <c r="H83" s="146">
        <f>+G83</f>
        <v>79311</v>
      </c>
      <c r="I83" s="307">
        <v>27</v>
      </c>
      <c r="J83" s="372">
        <v>44196</v>
      </c>
    </row>
    <row r="84" spans="1:10">
      <c r="A84" s="26">
        <v>78</v>
      </c>
      <c r="B84" s="147" t="s">
        <v>766</v>
      </c>
      <c r="C84" s="24" t="s">
        <v>2402</v>
      </c>
      <c r="D84" s="145">
        <v>376</v>
      </c>
      <c r="E84" s="149">
        <v>35499.24</v>
      </c>
      <c r="F84" s="147"/>
      <c r="G84" s="146">
        <f t="shared" si="3"/>
        <v>35499.24</v>
      </c>
      <c r="H84" s="146"/>
      <c r="I84" s="307"/>
      <c r="J84" s="372">
        <v>44196</v>
      </c>
    </row>
    <row r="85" spans="1:10">
      <c r="A85" s="26">
        <v>79</v>
      </c>
      <c r="B85" s="147" t="s">
        <v>766</v>
      </c>
      <c r="C85" s="24" t="s">
        <v>2403</v>
      </c>
      <c r="D85" s="145">
        <v>380.3</v>
      </c>
      <c r="E85" s="149">
        <v>133027.99</v>
      </c>
      <c r="F85" s="147"/>
      <c r="G85" s="146">
        <f t="shared" si="3"/>
        <v>133027.99</v>
      </c>
      <c r="H85" s="146">
        <f>+G85</f>
        <v>133027.99</v>
      </c>
      <c r="I85" s="307">
        <v>27</v>
      </c>
      <c r="J85" s="372">
        <v>44196</v>
      </c>
    </row>
    <row r="86" spans="1:10">
      <c r="A86" s="26">
        <v>80</v>
      </c>
      <c r="B86" s="147" t="s">
        <v>766</v>
      </c>
      <c r="C86" s="24" t="s">
        <v>2404</v>
      </c>
      <c r="D86" s="145">
        <v>380</v>
      </c>
      <c r="E86" s="149">
        <v>75135.570000000007</v>
      </c>
      <c r="F86" s="147"/>
      <c r="G86" s="146">
        <f t="shared" si="3"/>
        <v>75135.570000000007</v>
      </c>
      <c r="H86" s="146"/>
      <c r="I86" s="307"/>
      <c r="J86" s="372">
        <v>44196</v>
      </c>
    </row>
    <row r="87" spans="1:10">
      <c r="A87" s="26">
        <v>81</v>
      </c>
      <c r="B87" s="147" t="s">
        <v>766</v>
      </c>
      <c r="C87" s="24" t="s">
        <v>2405</v>
      </c>
      <c r="D87" s="145">
        <v>376.3</v>
      </c>
      <c r="E87" s="149">
        <v>800173.4</v>
      </c>
      <c r="F87" s="147"/>
      <c r="G87" s="146">
        <f t="shared" si="3"/>
        <v>800173.4</v>
      </c>
      <c r="H87" s="146">
        <f>+G87</f>
        <v>800173.4</v>
      </c>
      <c r="I87" s="307">
        <v>27</v>
      </c>
      <c r="J87" s="372">
        <v>44196</v>
      </c>
    </row>
    <row r="88" spans="1:10">
      <c r="A88" s="26">
        <v>82</v>
      </c>
      <c r="B88" s="147" t="s">
        <v>766</v>
      </c>
      <c r="C88" s="24" t="s">
        <v>2406</v>
      </c>
      <c r="D88" s="145">
        <v>376</v>
      </c>
      <c r="E88" s="149">
        <v>270033.86</v>
      </c>
      <c r="F88" s="147"/>
      <c r="G88" s="146">
        <f t="shared" si="3"/>
        <v>270033.86</v>
      </c>
      <c r="H88" s="146"/>
      <c r="I88" s="307"/>
      <c r="J88" s="372">
        <v>44196</v>
      </c>
    </row>
    <row r="89" spans="1:10">
      <c r="A89" s="26">
        <v>83</v>
      </c>
      <c r="B89" s="147" t="s">
        <v>766</v>
      </c>
      <c r="C89" s="24" t="s">
        <v>2407</v>
      </c>
      <c r="D89" s="145">
        <v>380.3</v>
      </c>
      <c r="E89" s="149">
        <v>1330260</v>
      </c>
      <c r="F89" s="147"/>
      <c r="G89" s="146">
        <f t="shared" si="3"/>
        <v>1330260</v>
      </c>
      <c r="H89" s="146">
        <f>+G89</f>
        <v>1330260</v>
      </c>
      <c r="I89" s="307">
        <v>27</v>
      </c>
      <c r="J89" s="372">
        <v>44196</v>
      </c>
    </row>
    <row r="90" spans="1:10">
      <c r="A90" s="26">
        <v>84</v>
      </c>
      <c r="B90" s="147" t="s">
        <v>766</v>
      </c>
      <c r="C90" s="24" t="s">
        <v>2408</v>
      </c>
      <c r="D90" s="145">
        <v>380</v>
      </c>
      <c r="E90" s="149">
        <v>65462.16</v>
      </c>
      <c r="F90" s="147"/>
      <c r="G90" s="146">
        <f t="shared" si="3"/>
        <v>65462.16</v>
      </c>
      <c r="H90" s="146"/>
      <c r="I90" s="307"/>
      <c r="J90" s="372">
        <v>44196</v>
      </c>
    </row>
    <row r="91" spans="1:10">
      <c r="A91" s="26">
        <v>85</v>
      </c>
      <c r="B91" s="147" t="s">
        <v>766</v>
      </c>
      <c r="C91" s="24" t="s">
        <v>2409</v>
      </c>
      <c r="D91" s="145">
        <v>376.3</v>
      </c>
      <c r="E91" s="149">
        <v>484622.4</v>
      </c>
      <c r="F91" s="147"/>
      <c r="G91" s="146">
        <f t="shared" si="3"/>
        <v>484622.4</v>
      </c>
      <c r="H91" s="146">
        <f>+G91</f>
        <v>484622.4</v>
      </c>
      <c r="I91" s="307">
        <v>27</v>
      </c>
      <c r="J91" s="372">
        <v>44196</v>
      </c>
    </row>
    <row r="92" spans="1:10">
      <c r="A92" s="26">
        <v>86</v>
      </c>
      <c r="B92" s="147" t="s">
        <v>766</v>
      </c>
      <c r="C92" s="24" t="s">
        <v>2410</v>
      </c>
      <c r="D92" s="145">
        <v>376</v>
      </c>
      <c r="E92" s="149">
        <v>149164.20000000001</v>
      </c>
      <c r="F92" s="147"/>
      <c r="G92" s="146">
        <f t="shared" si="3"/>
        <v>149164.20000000001</v>
      </c>
      <c r="H92" s="146"/>
      <c r="I92" s="307"/>
      <c r="J92" s="372">
        <v>44196</v>
      </c>
    </row>
    <row r="93" spans="1:10">
      <c r="A93" s="26">
        <v>87</v>
      </c>
      <c r="B93" s="147" t="s">
        <v>766</v>
      </c>
      <c r="C93" s="24" t="s">
        <v>2411</v>
      </c>
      <c r="D93" s="145">
        <v>380.3</v>
      </c>
      <c r="E93" s="149">
        <v>447800.6</v>
      </c>
      <c r="F93" s="147"/>
      <c r="G93" s="146">
        <f t="shared" si="3"/>
        <v>447800.6</v>
      </c>
      <c r="H93" s="146">
        <f>+G93</f>
        <v>447800.6</v>
      </c>
      <c r="I93" s="307">
        <v>27</v>
      </c>
      <c r="J93" s="372">
        <v>44196</v>
      </c>
    </row>
    <row r="94" spans="1:10">
      <c r="A94" s="26">
        <v>88</v>
      </c>
      <c r="B94" s="147" t="s">
        <v>766</v>
      </c>
      <c r="C94" s="24" t="s">
        <v>2412</v>
      </c>
      <c r="D94" s="145">
        <v>380</v>
      </c>
      <c r="E94" s="149">
        <v>74578.679999999993</v>
      </c>
      <c r="F94" s="147"/>
      <c r="G94" s="146">
        <f t="shared" si="3"/>
        <v>74578.679999999993</v>
      </c>
      <c r="H94" s="146"/>
      <c r="I94" s="307"/>
      <c r="J94" s="372">
        <v>44196</v>
      </c>
    </row>
    <row r="95" spans="1:10">
      <c r="A95" s="26">
        <v>89</v>
      </c>
      <c r="B95" s="147" t="s">
        <v>766</v>
      </c>
      <c r="C95" s="24" t="s">
        <v>2454</v>
      </c>
      <c r="D95" s="145">
        <v>376.3</v>
      </c>
      <c r="E95" s="149">
        <f>62.26+1294410.92</f>
        <v>1294473.18</v>
      </c>
      <c r="F95" s="147"/>
      <c r="G95" s="146">
        <f t="shared" si="3"/>
        <v>1294473.18</v>
      </c>
      <c r="H95" s="146">
        <f>+E95</f>
        <v>1294473.18</v>
      </c>
      <c r="I95" s="307">
        <v>27</v>
      </c>
      <c r="J95" s="372">
        <v>44196</v>
      </c>
    </row>
    <row r="96" spans="1:10">
      <c r="A96" s="26">
        <v>90</v>
      </c>
      <c r="B96" s="147" t="s">
        <v>766</v>
      </c>
      <c r="C96" s="24" t="s">
        <v>2413</v>
      </c>
      <c r="D96" s="812">
        <v>376</v>
      </c>
      <c r="E96" s="814">
        <v>126071.52</v>
      </c>
      <c r="F96" s="147"/>
      <c r="G96" s="146">
        <f t="shared" si="3"/>
        <v>126071.52</v>
      </c>
      <c r="H96" s="146"/>
      <c r="I96" s="307"/>
      <c r="J96" s="622">
        <v>44196</v>
      </c>
    </row>
    <row r="97" spans="1:10">
      <c r="A97" s="26">
        <v>91</v>
      </c>
      <c r="B97" s="147" t="s">
        <v>766</v>
      </c>
      <c r="C97" s="24" t="s">
        <v>2414</v>
      </c>
      <c r="D97" s="812">
        <v>380.3</v>
      </c>
      <c r="E97" s="814">
        <v>1568619.36</v>
      </c>
      <c r="F97" s="147"/>
      <c r="G97" s="146">
        <f t="shared" si="3"/>
        <v>1568619.36</v>
      </c>
      <c r="H97" s="146">
        <f>+E97</f>
        <v>1568619.36</v>
      </c>
      <c r="I97" s="307">
        <v>27</v>
      </c>
      <c r="J97" s="622">
        <v>44196</v>
      </c>
    </row>
    <row r="98" spans="1:10">
      <c r="A98" s="26">
        <v>92</v>
      </c>
      <c r="B98" s="147" t="s">
        <v>766</v>
      </c>
      <c r="C98" s="24" t="s">
        <v>2415</v>
      </c>
      <c r="D98" s="812">
        <v>380</v>
      </c>
      <c r="E98" s="814">
        <v>74578.679999999993</v>
      </c>
      <c r="F98" s="147"/>
      <c r="G98" s="146">
        <f t="shared" si="3"/>
        <v>74578.679999999993</v>
      </c>
      <c r="H98" s="146"/>
      <c r="I98" s="307"/>
      <c r="J98" s="622">
        <v>44196</v>
      </c>
    </row>
    <row r="99" spans="1:10">
      <c r="A99" s="26">
        <v>93</v>
      </c>
      <c r="B99" s="147" t="s">
        <v>766</v>
      </c>
      <c r="C99" s="24" t="s">
        <v>2455</v>
      </c>
      <c r="D99" s="145">
        <v>376.3</v>
      </c>
      <c r="E99" s="149">
        <f>1976.8+1394533.32</f>
        <v>1396510.12</v>
      </c>
      <c r="F99" s="147"/>
      <c r="G99" s="146">
        <f t="shared" si="3"/>
        <v>1396510.12</v>
      </c>
      <c r="H99" s="146">
        <f>+E99</f>
        <v>1396510.12</v>
      </c>
      <c r="I99" s="307">
        <v>27</v>
      </c>
      <c r="J99" s="372">
        <v>44196</v>
      </c>
    </row>
    <row r="100" spans="1:10">
      <c r="A100" s="26">
        <v>94</v>
      </c>
      <c r="B100" s="147" t="s">
        <v>766</v>
      </c>
      <c r="C100" s="24" t="s">
        <v>2418</v>
      </c>
      <c r="D100" s="145">
        <v>376</v>
      </c>
      <c r="E100" s="149">
        <v>54857.760000000002</v>
      </c>
      <c r="F100" s="147"/>
      <c r="G100" s="146">
        <f t="shared" si="3"/>
        <v>54857.760000000002</v>
      </c>
      <c r="H100" s="146"/>
      <c r="I100" s="307"/>
      <c r="J100" s="372">
        <v>44196</v>
      </c>
    </row>
    <row r="101" spans="1:10">
      <c r="A101" s="26">
        <v>95</v>
      </c>
      <c r="B101" s="147" t="s">
        <v>766</v>
      </c>
      <c r="C101" s="24" t="s">
        <v>2419</v>
      </c>
      <c r="D101" s="145">
        <v>380.3</v>
      </c>
      <c r="E101" s="149">
        <v>2118035.96</v>
      </c>
      <c r="F101" s="147"/>
      <c r="G101" s="146">
        <f t="shared" si="3"/>
        <v>2118035.96</v>
      </c>
      <c r="H101" s="146">
        <f>+G101</f>
        <v>2118035.96</v>
      </c>
      <c r="I101" s="307">
        <v>27</v>
      </c>
      <c r="J101" s="372">
        <v>44196</v>
      </c>
    </row>
    <row r="102" spans="1:10">
      <c r="A102" s="26">
        <v>96</v>
      </c>
      <c r="B102" s="147" t="s">
        <v>766</v>
      </c>
      <c r="C102" s="24" t="s">
        <v>2420</v>
      </c>
      <c r="D102" s="145">
        <v>380</v>
      </c>
      <c r="E102" s="149">
        <v>74578.679999999993</v>
      </c>
      <c r="F102" s="147"/>
      <c r="G102" s="146">
        <f t="shared" si="3"/>
        <v>74578.679999999993</v>
      </c>
      <c r="H102" s="146"/>
      <c r="I102" s="307"/>
      <c r="J102" s="372">
        <v>44196</v>
      </c>
    </row>
    <row r="103" spans="1:10">
      <c r="A103" s="26">
        <v>97</v>
      </c>
      <c r="B103" s="147" t="s">
        <v>766</v>
      </c>
      <c r="C103" s="24" t="s">
        <v>2421</v>
      </c>
      <c r="D103" s="145">
        <v>376.3</v>
      </c>
      <c r="E103" s="149">
        <v>255366.68</v>
      </c>
      <c r="F103" s="147"/>
      <c r="G103" s="146">
        <f t="shared" si="3"/>
        <v>255366.68</v>
      </c>
      <c r="H103" s="146">
        <f>+G103</f>
        <v>255366.68</v>
      </c>
      <c r="I103" s="307">
        <v>27</v>
      </c>
      <c r="J103" s="372">
        <v>44196</v>
      </c>
    </row>
    <row r="104" spans="1:10">
      <c r="A104" s="26">
        <v>98</v>
      </c>
      <c r="B104" s="147" t="s">
        <v>766</v>
      </c>
      <c r="C104" s="24" t="s">
        <v>2422</v>
      </c>
      <c r="D104" s="145">
        <v>376</v>
      </c>
      <c r="E104" s="149">
        <v>100812.24</v>
      </c>
      <c r="F104" s="147"/>
      <c r="G104" s="146">
        <f t="shared" si="3"/>
        <v>100812.24</v>
      </c>
      <c r="H104" s="146"/>
      <c r="I104" s="307"/>
      <c r="J104" s="372">
        <v>44196</v>
      </c>
    </row>
    <row r="105" spans="1:10">
      <c r="A105" s="26">
        <v>99</v>
      </c>
      <c r="B105" s="147" t="s">
        <v>766</v>
      </c>
      <c r="C105" s="24" t="s">
        <v>2423</v>
      </c>
      <c r="D105" s="145">
        <v>380.3</v>
      </c>
      <c r="E105" s="149">
        <v>884722.06</v>
      </c>
      <c r="F105" s="147"/>
      <c r="G105" s="146">
        <f t="shared" si="3"/>
        <v>884722.06</v>
      </c>
      <c r="H105" s="146">
        <f>+G105</f>
        <v>884722.06</v>
      </c>
      <c r="I105" s="307">
        <v>27</v>
      </c>
      <c r="J105" s="372">
        <v>44196</v>
      </c>
    </row>
    <row r="106" spans="1:10">
      <c r="A106" s="26">
        <v>100</v>
      </c>
      <c r="B106" s="147" t="s">
        <v>766</v>
      </c>
      <c r="C106" s="24" t="s">
        <v>2424</v>
      </c>
      <c r="D106" s="145">
        <v>380</v>
      </c>
      <c r="E106" s="149">
        <v>74578.679999999993</v>
      </c>
      <c r="F106" s="147"/>
      <c r="G106" s="146">
        <f t="shared" si="3"/>
        <v>74578.679999999993</v>
      </c>
      <c r="H106" s="146"/>
      <c r="I106" s="307"/>
      <c r="J106" s="372">
        <v>44196</v>
      </c>
    </row>
    <row r="107" spans="1:10">
      <c r="A107" s="26">
        <v>101</v>
      </c>
      <c r="B107" s="147" t="s">
        <v>766</v>
      </c>
      <c r="C107" s="24" t="s">
        <v>2425</v>
      </c>
      <c r="D107" s="145">
        <v>376.3</v>
      </c>
      <c r="E107" s="149">
        <v>613354.97</v>
      </c>
      <c r="F107" s="147"/>
      <c r="G107" s="146">
        <f t="shared" si="3"/>
        <v>613354.97</v>
      </c>
      <c r="H107" s="146">
        <f>+G107</f>
        <v>613354.97</v>
      </c>
      <c r="I107" s="307">
        <v>27</v>
      </c>
      <c r="J107" s="372">
        <v>44196</v>
      </c>
    </row>
    <row r="108" spans="1:10">
      <c r="A108" s="26">
        <v>102</v>
      </c>
      <c r="B108" s="147" t="s">
        <v>766</v>
      </c>
      <c r="C108" s="24" t="s">
        <v>2426</v>
      </c>
      <c r="D108" s="145">
        <v>376</v>
      </c>
      <c r="E108" s="149">
        <v>97392.48</v>
      </c>
      <c r="F108" s="147"/>
      <c r="G108" s="146">
        <f t="shared" si="3"/>
        <v>97392.48</v>
      </c>
      <c r="H108" s="146"/>
      <c r="I108" s="307"/>
      <c r="J108" s="372">
        <v>44196</v>
      </c>
    </row>
    <row r="109" spans="1:10">
      <c r="A109" s="26">
        <v>103</v>
      </c>
      <c r="B109" s="147" t="s">
        <v>766</v>
      </c>
      <c r="C109" s="24" t="s">
        <v>2427</v>
      </c>
      <c r="D109" s="145">
        <v>380.3</v>
      </c>
      <c r="E109" s="149">
        <v>1801553.41</v>
      </c>
      <c r="F109" s="147"/>
      <c r="G109" s="146">
        <f t="shared" si="3"/>
        <v>1801553.41</v>
      </c>
      <c r="H109" s="146">
        <f>+G109</f>
        <v>1801553.41</v>
      </c>
      <c r="I109" s="307">
        <v>27</v>
      </c>
      <c r="J109" s="372">
        <v>44196</v>
      </c>
    </row>
    <row r="110" spans="1:10">
      <c r="A110" s="26">
        <v>104</v>
      </c>
      <c r="B110" s="147" t="s">
        <v>766</v>
      </c>
      <c r="C110" s="24" t="s">
        <v>2428</v>
      </c>
      <c r="D110" s="145">
        <v>380</v>
      </c>
      <c r="E110" s="149">
        <v>74578.679999999993</v>
      </c>
      <c r="F110" s="147"/>
      <c r="G110" s="146">
        <f t="shared" si="3"/>
        <v>74578.679999999993</v>
      </c>
      <c r="H110" s="146"/>
      <c r="I110" s="307"/>
      <c r="J110" s="372">
        <v>44196</v>
      </c>
    </row>
    <row r="111" spans="1:10">
      <c r="A111" s="26">
        <v>105</v>
      </c>
      <c r="B111" s="147" t="s">
        <v>766</v>
      </c>
      <c r="C111" s="24" t="s">
        <v>2429</v>
      </c>
      <c r="D111" s="145">
        <v>394</v>
      </c>
      <c r="E111" s="149">
        <v>88997.82</v>
      </c>
      <c r="F111" s="147"/>
      <c r="G111" s="146">
        <f t="shared" si="3"/>
        <v>88997.82</v>
      </c>
      <c r="H111" s="146"/>
      <c r="I111" s="307"/>
      <c r="J111" s="372">
        <v>44196</v>
      </c>
    </row>
    <row r="112" spans="1:10">
      <c r="A112" s="26">
        <v>106</v>
      </c>
      <c r="B112" s="147" t="s">
        <v>766</v>
      </c>
      <c r="C112" s="24" t="s">
        <v>2430</v>
      </c>
      <c r="D112" s="145">
        <v>376.3</v>
      </c>
      <c r="E112" s="149">
        <v>1417842.72</v>
      </c>
      <c r="F112" s="147"/>
      <c r="G112" s="146">
        <f t="shared" si="3"/>
        <v>1417842.72</v>
      </c>
      <c r="H112" s="146">
        <f>+G112</f>
        <v>1417842.72</v>
      </c>
      <c r="I112" s="307">
        <v>27</v>
      </c>
      <c r="J112" s="372">
        <v>44196</v>
      </c>
    </row>
    <row r="113" spans="1:10">
      <c r="A113" s="26">
        <v>107</v>
      </c>
      <c r="B113" s="147" t="s">
        <v>766</v>
      </c>
      <c r="C113" s="24" t="s">
        <v>2431</v>
      </c>
      <c r="D113" s="145">
        <v>376</v>
      </c>
      <c r="E113" s="149">
        <v>145471.79999999999</v>
      </c>
      <c r="F113" s="147"/>
      <c r="G113" s="146">
        <f t="shared" si="3"/>
        <v>145471.79999999999</v>
      </c>
      <c r="H113" s="146"/>
      <c r="I113" s="307"/>
      <c r="J113" s="372">
        <v>44196</v>
      </c>
    </row>
    <row r="114" spans="1:10">
      <c r="A114" s="26">
        <v>108</v>
      </c>
      <c r="B114" s="147" t="s">
        <v>766</v>
      </c>
      <c r="C114" s="24" t="s">
        <v>2432</v>
      </c>
      <c r="D114" s="145">
        <v>380.3</v>
      </c>
      <c r="E114" s="149">
        <v>2952964.66</v>
      </c>
      <c r="F114" s="147"/>
      <c r="G114" s="146">
        <f t="shared" si="3"/>
        <v>2952964.66</v>
      </c>
      <c r="H114" s="146">
        <f>+G114</f>
        <v>2952964.66</v>
      </c>
      <c r="I114" s="307">
        <v>27</v>
      </c>
      <c r="J114" s="372">
        <v>44196</v>
      </c>
    </row>
    <row r="115" spans="1:10">
      <c r="A115" s="26">
        <v>109</v>
      </c>
      <c r="B115" s="147" t="s">
        <v>766</v>
      </c>
      <c r="C115" s="24" t="s">
        <v>2433</v>
      </c>
      <c r="D115" s="145">
        <v>380</v>
      </c>
      <c r="E115" s="149">
        <v>72740.759999999995</v>
      </c>
      <c r="F115" s="147"/>
      <c r="G115" s="146">
        <f t="shared" si="3"/>
        <v>72740.759999999995</v>
      </c>
      <c r="H115" s="146"/>
      <c r="I115" s="307"/>
      <c r="J115" s="372">
        <v>44196</v>
      </c>
    </row>
    <row r="116" spans="1:10">
      <c r="A116" s="26">
        <v>110</v>
      </c>
      <c r="B116" s="147" t="s">
        <v>766</v>
      </c>
      <c r="C116" s="24" t="s">
        <v>2434</v>
      </c>
      <c r="D116" s="145">
        <v>376</v>
      </c>
      <c r="E116" s="149">
        <v>296950</v>
      </c>
      <c r="F116" s="147"/>
      <c r="G116" s="146">
        <f t="shared" si="3"/>
        <v>296950</v>
      </c>
      <c r="H116" s="146"/>
      <c r="I116" s="307"/>
      <c r="J116" s="372">
        <v>44196</v>
      </c>
    </row>
    <row r="117" spans="1:10">
      <c r="A117" s="26">
        <v>111</v>
      </c>
      <c r="B117" s="147" t="s">
        <v>766</v>
      </c>
      <c r="C117" s="24" t="s">
        <v>2435</v>
      </c>
      <c r="D117" s="145">
        <v>376.3</v>
      </c>
      <c r="E117" s="149">
        <v>5004463.92</v>
      </c>
      <c r="F117" s="147"/>
      <c r="G117" s="146">
        <f t="shared" si="3"/>
        <v>5004463.92</v>
      </c>
      <c r="H117" s="146"/>
      <c r="I117" s="307"/>
      <c r="J117" s="372">
        <v>44196</v>
      </c>
    </row>
    <row r="118" spans="1:10">
      <c r="A118" s="26">
        <v>112</v>
      </c>
      <c r="B118" s="147" t="s">
        <v>766</v>
      </c>
      <c r="C118" s="24" t="s">
        <v>2436</v>
      </c>
      <c r="D118" s="145">
        <v>380</v>
      </c>
      <c r="E118" s="149">
        <v>4410563.92</v>
      </c>
      <c r="F118" s="147"/>
      <c r="G118" s="146">
        <f t="shared" si="3"/>
        <v>4410563.92</v>
      </c>
      <c r="H118" s="146"/>
      <c r="I118" s="307"/>
      <c r="J118" s="372">
        <v>44196</v>
      </c>
    </row>
    <row r="119" spans="1:10">
      <c r="A119" s="26">
        <v>113</v>
      </c>
      <c r="B119" s="147" t="s">
        <v>766</v>
      </c>
      <c r="C119" s="24" t="s">
        <v>2023</v>
      </c>
      <c r="D119" s="145">
        <v>380.3</v>
      </c>
      <c r="E119" s="149">
        <v>71392.820000000007</v>
      </c>
      <c r="F119" s="147"/>
      <c r="G119" s="146">
        <f t="shared" si="3"/>
        <v>71392.820000000007</v>
      </c>
      <c r="H119" s="146"/>
      <c r="I119" s="307" t="s">
        <v>802</v>
      </c>
      <c r="J119" s="372">
        <v>43831</v>
      </c>
    </row>
    <row r="120" spans="1:10">
      <c r="A120" s="26">
        <v>114</v>
      </c>
      <c r="B120" s="147" t="s">
        <v>766</v>
      </c>
      <c r="C120" s="24" t="s">
        <v>2338</v>
      </c>
      <c r="D120" s="145">
        <v>376.3</v>
      </c>
      <c r="E120" s="149">
        <v>433146.02</v>
      </c>
      <c r="F120" s="147"/>
      <c r="G120" s="146">
        <f t="shared" si="3"/>
        <v>433146.02</v>
      </c>
      <c r="H120" s="146">
        <f>+G120</f>
        <v>433146.02</v>
      </c>
      <c r="I120" s="307">
        <v>14</v>
      </c>
      <c r="J120" s="372">
        <v>44042</v>
      </c>
    </row>
    <row r="121" spans="1:10">
      <c r="A121" s="26">
        <v>115</v>
      </c>
      <c r="B121" s="147" t="s">
        <v>766</v>
      </c>
      <c r="C121" s="24" t="s">
        <v>2339</v>
      </c>
      <c r="D121" s="145">
        <v>378</v>
      </c>
      <c r="E121" s="149">
        <v>177166.29</v>
      </c>
      <c r="F121" s="147"/>
      <c r="G121" s="146">
        <f t="shared" si="3"/>
        <v>177166.29</v>
      </c>
      <c r="H121" s="146">
        <f>+G121</f>
        <v>177166.29</v>
      </c>
      <c r="I121" s="307">
        <v>15</v>
      </c>
      <c r="J121" s="372">
        <v>44104</v>
      </c>
    </row>
    <row r="122" spans="1:10">
      <c r="A122" s="26">
        <v>116</v>
      </c>
      <c r="B122" s="147" t="s">
        <v>766</v>
      </c>
      <c r="C122" s="24" t="s">
        <v>2340</v>
      </c>
      <c r="D122" s="145">
        <v>376.3</v>
      </c>
      <c r="E122" s="149">
        <v>125671.29</v>
      </c>
      <c r="F122" s="147"/>
      <c r="G122" s="146">
        <f t="shared" si="3"/>
        <v>125671.29</v>
      </c>
      <c r="H122" s="146">
        <f t="shared" ref="H122:H130" si="5">+G122</f>
        <v>125671.29</v>
      </c>
      <c r="I122" s="307">
        <v>16</v>
      </c>
      <c r="J122" s="372">
        <v>44043</v>
      </c>
    </row>
    <row r="123" spans="1:10">
      <c r="A123" s="26">
        <v>117</v>
      </c>
      <c r="B123" s="147" t="s">
        <v>766</v>
      </c>
      <c r="C123" s="24" t="s">
        <v>2341</v>
      </c>
      <c r="D123" s="145">
        <v>376.1</v>
      </c>
      <c r="E123" s="149">
        <v>312625</v>
      </c>
      <c r="F123" s="147"/>
      <c r="G123" s="146">
        <f t="shared" si="3"/>
        <v>312625</v>
      </c>
      <c r="H123" s="146">
        <f t="shared" si="5"/>
        <v>312625</v>
      </c>
      <c r="I123" s="307">
        <v>17</v>
      </c>
      <c r="J123" s="372">
        <v>44165</v>
      </c>
    </row>
    <row r="124" spans="1:10">
      <c r="A124" s="26">
        <v>118</v>
      </c>
      <c r="B124" s="147" t="s">
        <v>766</v>
      </c>
      <c r="C124" s="24" t="s">
        <v>2342</v>
      </c>
      <c r="D124" s="145">
        <v>378</v>
      </c>
      <c r="E124" s="149">
        <v>352513.6</v>
      </c>
      <c r="F124" s="147"/>
      <c r="G124" s="146">
        <f t="shared" si="3"/>
        <v>352513.6</v>
      </c>
      <c r="H124" s="146">
        <f t="shared" si="5"/>
        <v>352513.6</v>
      </c>
      <c r="I124" s="307">
        <v>18</v>
      </c>
      <c r="J124" s="372">
        <v>44135</v>
      </c>
    </row>
    <row r="125" spans="1:10">
      <c r="A125" s="26">
        <v>119</v>
      </c>
      <c r="B125" s="147" t="s">
        <v>766</v>
      </c>
      <c r="C125" s="24" t="s">
        <v>2343</v>
      </c>
      <c r="D125" s="145">
        <v>378</v>
      </c>
      <c r="E125" s="149">
        <v>124719</v>
      </c>
      <c r="F125" s="147"/>
      <c r="G125" s="146">
        <f t="shared" si="3"/>
        <v>124719</v>
      </c>
      <c r="H125" s="146">
        <f t="shared" si="5"/>
        <v>124719</v>
      </c>
      <c r="I125" s="307">
        <v>19</v>
      </c>
      <c r="J125" s="372">
        <v>44155</v>
      </c>
    </row>
    <row r="126" spans="1:10">
      <c r="A126" s="26">
        <v>120</v>
      </c>
      <c r="B126" s="147" t="s">
        <v>766</v>
      </c>
      <c r="C126" s="24" t="s">
        <v>2344</v>
      </c>
      <c r="D126" s="145">
        <v>378</v>
      </c>
      <c r="E126" s="149">
        <v>124719</v>
      </c>
      <c r="F126" s="147"/>
      <c r="G126" s="146">
        <f t="shared" si="3"/>
        <v>124719</v>
      </c>
      <c r="H126" s="146">
        <f t="shared" si="5"/>
        <v>124719</v>
      </c>
      <c r="I126" s="307">
        <v>20</v>
      </c>
      <c r="J126" s="372">
        <v>44155</v>
      </c>
    </row>
    <row r="127" spans="1:10">
      <c r="A127" s="26">
        <v>121</v>
      </c>
      <c r="B127" s="147" t="s">
        <v>766</v>
      </c>
      <c r="C127" s="24" t="s">
        <v>2345</v>
      </c>
      <c r="D127" s="145">
        <v>378</v>
      </c>
      <c r="E127" s="149">
        <v>464483</v>
      </c>
      <c r="F127" s="147"/>
      <c r="G127" s="146">
        <f t="shared" si="3"/>
        <v>464483</v>
      </c>
      <c r="H127" s="146">
        <f t="shared" si="5"/>
        <v>464483</v>
      </c>
      <c r="I127" s="307">
        <v>22</v>
      </c>
      <c r="J127" s="372">
        <v>44165</v>
      </c>
    </row>
    <row r="128" spans="1:10">
      <c r="A128" s="26">
        <v>122</v>
      </c>
      <c r="B128" s="147" t="s">
        <v>766</v>
      </c>
      <c r="C128" s="24" t="s">
        <v>2346</v>
      </c>
      <c r="D128" s="145">
        <v>385</v>
      </c>
      <c r="E128" s="149">
        <v>58451</v>
      </c>
      <c r="F128" s="147"/>
      <c r="G128" s="146">
        <f t="shared" si="3"/>
        <v>58451</v>
      </c>
      <c r="H128" s="146"/>
      <c r="I128" s="307"/>
      <c r="J128" s="372">
        <v>44104</v>
      </c>
    </row>
    <row r="129" spans="1:10">
      <c r="A129" s="26">
        <v>123</v>
      </c>
      <c r="B129" s="147" t="s">
        <v>766</v>
      </c>
      <c r="C129" s="24" t="s">
        <v>2347</v>
      </c>
      <c r="D129" s="145">
        <v>378</v>
      </c>
      <c r="E129" s="149">
        <v>143033.60000000001</v>
      </c>
      <c r="F129" s="147"/>
      <c r="G129" s="146">
        <f t="shared" si="3"/>
        <v>143033.60000000001</v>
      </c>
      <c r="H129" s="146">
        <f t="shared" si="5"/>
        <v>143033.60000000001</v>
      </c>
      <c r="I129" s="307">
        <v>24</v>
      </c>
      <c r="J129" s="372">
        <v>44073</v>
      </c>
    </row>
    <row r="130" spans="1:10">
      <c r="A130" s="26">
        <v>124</v>
      </c>
      <c r="B130" s="147" t="s">
        <v>766</v>
      </c>
      <c r="C130" s="24" t="s">
        <v>2348</v>
      </c>
      <c r="D130" s="145">
        <v>378</v>
      </c>
      <c r="E130" s="149">
        <v>144470.20000000001</v>
      </c>
      <c r="F130" s="147"/>
      <c r="G130" s="146">
        <f t="shared" si="3"/>
        <v>144470.20000000001</v>
      </c>
      <c r="H130" s="146">
        <f t="shared" si="5"/>
        <v>144470.20000000001</v>
      </c>
      <c r="I130" s="307">
        <v>25</v>
      </c>
      <c r="J130" s="372">
        <v>44073</v>
      </c>
    </row>
    <row r="131" spans="1:10">
      <c r="A131" s="26">
        <v>125</v>
      </c>
      <c r="B131" s="147" t="s">
        <v>766</v>
      </c>
      <c r="C131" s="24" t="s">
        <v>2349</v>
      </c>
      <c r="D131" s="145">
        <v>376.2</v>
      </c>
      <c r="E131" s="149">
        <v>1725636</v>
      </c>
      <c r="F131" s="147"/>
      <c r="G131" s="146">
        <f t="shared" si="3"/>
        <v>1725636</v>
      </c>
      <c r="H131" s="146">
        <f>+G131</f>
        <v>1725636</v>
      </c>
      <c r="I131" s="307">
        <v>26</v>
      </c>
      <c r="J131" s="372">
        <v>44407</v>
      </c>
    </row>
    <row r="132" spans="1:10">
      <c r="A132" s="26">
        <v>126</v>
      </c>
      <c r="B132" s="147" t="s">
        <v>766</v>
      </c>
      <c r="C132" s="24" t="s">
        <v>2024</v>
      </c>
      <c r="D132" s="145">
        <v>376.3</v>
      </c>
      <c r="E132" s="149">
        <v>19400.099999999999</v>
      </c>
      <c r="F132" s="147"/>
      <c r="G132" s="146">
        <f t="shared" si="3"/>
        <v>19400.099999999999</v>
      </c>
      <c r="H132" s="146"/>
      <c r="I132" s="307"/>
      <c r="J132" s="372">
        <v>43889</v>
      </c>
    </row>
    <row r="133" spans="1:10">
      <c r="A133" s="26">
        <v>127</v>
      </c>
      <c r="B133" s="147" t="s">
        <v>766</v>
      </c>
      <c r="C133" s="24" t="s">
        <v>2350</v>
      </c>
      <c r="D133" s="145">
        <v>378</v>
      </c>
      <c r="E133" s="149">
        <v>5607.8</v>
      </c>
      <c r="F133" s="147"/>
      <c r="G133" s="146">
        <f t="shared" si="3"/>
        <v>5607.8</v>
      </c>
      <c r="H133" s="146"/>
      <c r="I133" s="307"/>
      <c r="J133" s="372">
        <v>44124</v>
      </c>
    </row>
    <row r="134" spans="1:10">
      <c r="A134" s="26">
        <v>128</v>
      </c>
      <c r="B134" s="147" t="s">
        <v>766</v>
      </c>
      <c r="C134" s="24" t="s">
        <v>2351</v>
      </c>
      <c r="D134" s="145">
        <v>378</v>
      </c>
      <c r="E134" s="149">
        <v>5845.1</v>
      </c>
      <c r="F134" s="147"/>
      <c r="G134" s="146">
        <f t="shared" si="3"/>
        <v>5845.1</v>
      </c>
      <c r="H134" s="146"/>
      <c r="I134" s="307"/>
      <c r="J134" s="372">
        <v>44094</v>
      </c>
    </row>
    <row r="135" spans="1:10">
      <c r="A135" s="26">
        <v>129</v>
      </c>
      <c r="B135" s="147" t="s">
        <v>766</v>
      </c>
      <c r="C135" s="24" t="s">
        <v>2352</v>
      </c>
      <c r="D135" s="145">
        <v>376.2</v>
      </c>
      <c r="E135" s="149">
        <v>1196019</v>
      </c>
      <c r="F135" s="147"/>
      <c r="G135" s="146">
        <f t="shared" si="3"/>
        <v>1196019</v>
      </c>
      <c r="H135" s="146"/>
      <c r="I135" s="307" t="s">
        <v>802</v>
      </c>
      <c r="J135" s="372">
        <v>44195</v>
      </c>
    </row>
    <row r="136" spans="1:10">
      <c r="A136" s="26">
        <v>130</v>
      </c>
      <c r="B136" s="147" t="s">
        <v>766</v>
      </c>
      <c r="C136" s="24" t="s">
        <v>2416</v>
      </c>
      <c r="D136" s="145">
        <v>376</v>
      </c>
      <c r="E136" s="149">
        <v>1178410</v>
      </c>
      <c r="F136" s="147"/>
      <c r="G136" s="146">
        <f t="shared" si="3"/>
        <v>1178410</v>
      </c>
      <c r="H136" s="146"/>
      <c r="I136" s="307"/>
      <c r="J136" s="372">
        <v>44196</v>
      </c>
    </row>
    <row r="137" spans="1:10">
      <c r="A137" s="26">
        <v>131</v>
      </c>
      <c r="B137" s="147" t="s">
        <v>766</v>
      </c>
      <c r="C137" s="24" t="s">
        <v>2417</v>
      </c>
      <c r="D137" s="145">
        <v>380</v>
      </c>
      <c r="E137" s="149">
        <v>128780</v>
      </c>
      <c r="F137" s="147"/>
      <c r="G137" s="146">
        <f t="shared" si="3"/>
        <v>128780</v>
      </c>
      <c r="H137" s="146"/>
      <c r="I137" s="307"/>
      <c r="J137" s="372">
        <v>44196</v>
      </c>
    </row>
    <row r="138" spans="1:10">
      <c r="A138" s="26">
        <v>132</v>
      </c>
      <c r="B138" s="147" t="s">
        <v>766</v>
      </c>
      <c r="C138" s="24" t="s">
        <v>2354</v>
      </c>
      <c r="D138" s="145">
        <v>376.3</v>
      </c>
      <c r="E138" s="149">
        <v>121015.44</v>
      </c>
      <c r="F138" s="147"/>
      <c r="G138" s="146">
        <f t="shared" si="3"/>
        <v>121015.44</v>
      </c>
      <c r="H138" s="146"/>
      <c r="I138" s="307"/>
      <c r="J138" s="372">
        <v>43936</v>
      </c>
    </row>
    <row r="139" spans="1:10">
      <c r="A139" s="26">
        <v>133</v>
      </c>
      <c r="B139" s="147" t="s">
        <v>766</v>
      </c>
      <c r="C139" s="24" t="s">
        <v>2353</v>
      </c>
      <c r="D139" s="145">
        <v>376.3</v>
      </c>
      <c r="E139" s="149">
        <v>169486.67</v>
      </c>
      <c r="F139" s="147"/>
      <c r="G139" s="146">
        <f t="shared" si="3"/>
        <v>169486.67</v>
      </c>
      <c r="H139" s="146"/>
      <c r="I139" s="307"/>
      <c r="J139" s="372">
        <v>43952</v>
      </c>
    </row>
    <row r="140" spans="1:10">
      <c r="A140" s="26">
        <v>134</v>
      </c>
      <c r="B140" s="147" t="s">
        <v>766</v>
      </c>
      <c r="C140" s="147" t="s">
        <v>2025</v>
      </c>
      <c r="D140" s="145">
        <v>376.3</v>
      </c>
      <c r="E140" s="149">
        <v>10487.23</v>
      </c>
      <c r="F140" s="147"/>
      <c r="G140" s="146">
        <f t="shared" si="3"/>
        <v>10487.23</v>
      </c>
      <c r="H140" s="146"/>
      <c r="I140" s="307"/>
      <c r="J140" s="622">
        <v>43981</v>
      </c>
    </row>
    <row r="141" spans="1:10">
      <c r="A141" s="26">
        <v>135</v>
      </c>
      <c r="B141" s="147" t="s">
        <v>766</v>
      </c>
      <c r="C141" s="147" t="s">
        <v>2026</v>
      </c>
      <c r="D141" s="145">
        <v>376.2</v>
      </c>
      <c r="E141" s="149">
        <v>16510.169999999998</v>
      </c>
      <c r="F141" s="147"/>
      <c r="G141" s="146">
        <f t="shared" si="3"/>
        <v>16510.169999999998</v>
      </c>
      <c r="H141" s="146"/>
      <c r="I141" s="307"/>
      <c r="J141" s="622">
        <v>44195</v>
      </c>
    </row>
    <row r="142" spans="1:10">
      <c r="A142" s="26">
        <v>136</v>
      </c>
      <c r="B142" s="147" t="s">
        <v>766</v>
      </c>
      <c r="C142" s="147" t="s">
        <v>2027</v>
      </c>
      <c r="D142" s="145">
        <v>376.3</v>
      </c>
      <c r="E142" s="149">
        <v>52336.62</v>
      </c>
      <c r="F142" s="147"/>
      <c r="G142" s="146">
        <f t="shared" si="3"/>
        <v>52336.62</v>
      </c>
      <c r="H142" s="146"/>
      <c r="I142" s="307"/>
      <c r="J142" s="622">
        <v>43981</v>
      </c>
    </row>
    <row r="143" spans="1:10">
      <c r="A143" s="26">
        <v>137</v>
      </c>
      <c r="B143" s="147" t="s">
        <v>766</v>
      </c>
      <c r="C143" s="147" t="s">
        <v>2028</v>
      </c>
      <c r="D143" s="145">
        <v>376.1</v>
      </c>
      <c r="E143" s="149">
        <v>1145.58</v>
      </c>
      <c r="F143" s="147"/>
      <c r="G143" s="146">
        <f t="shared" si="3"/>
        <v>1145.58</v>
      </c>
      <c r="H143" s="146"/>
      <c r="I143" s="307"/>
      <c r="J143" s="372">
        <v>43862</v>
      </c>
    </row>
    <row r="144" spans="1:10">
      <c r="A144" s="26">
        <v>138</v>
      </c>
      <c r="B144" s="147" t="s">
        <v>766</v>
      </c>
      <c r="C144" s="147" t="s">
        <v>2029</v>
      </c>
      <c r="D144" s="145">
        <v>376.3</v>
      </c>
      <c r="E144" s="149">
        <v>-87097.05</v>
      </c>
      <c r="F144" s="147"/>
      <c r="G144" s="146">
        <f t="shared" si="3"/>
        <v>-87097.05</v>
      </c>
      <c r="H144" s="146"/>
      <c r="I144" s="307"/>
      <c r="J144" s="622">
        <v>44155</v>
      </c>
    </row>
    <row r="145" spans="1:10">
      <c r="A145" s="26">
        <v>139</v>
      </c>
      <c r="B145" s="147" t="s">
        <v>766</v>
      </c>
      <c r="C145" s="147" t="s">
        <v>2030</v>
      </c>
      <c r="D145" s="145">
        <v>380.3</v>
      </c>
      <c r="E145" s="149">
        <v>-21795.91</v>
      </c>
      <c r="F145" s="147"/>
      <c r="G145" s="146">
        <f t="shared" si="3"/>
        <v>-21795.91</v>
      </c>
      <c r="H145" s="146"/>
      <c r="I145" s="307"/>
      <c r="J145" s="622">
        <v>44155</v>
      </c>
    </row>
    <row r="146" spans="1:10">
      <c r="A146" s="26">
        <v>140</v>
      </c>
      <c r="B146" s="375"/>
      <c r="C146" s="376"/>
      <c r="D146" s="150"/>
      <c r="E146" s="377">
        <f>SUM(E34:E145)</f>
        <v>88517757.529999986</v>
      </c>
      <c r="F146" s="375"/>
      <c r="G146" s="146">
        <f t="shared" ref="G146:G194" si="6">+E146</f>
        <v>88517757.529999986</v>
      </c>
      <c r="H146" s="378">
        <f>SUM(H34:H145)</f>
        <v>52174455.754975997</v>
      </c>
      <c r="I146" s="379"/>
      <c r="J146" s="801"/>
    </row>
    <row r="147" spans="1:10">
      <c r="A147" s="26">
        <v>141</v>
      </c>
      <c r="B147" s="147" t="s">
        <v>775</v>
      </c>
      <c r="C147" s="147" t="s">
        <v>776</v>
      </c>
      <c r="D147" s="145">
        <v>392.2</v>
      </c>
      <c r="E147" s="149">
        <v>219131.38</v>
      </c>
      <c r="F147" s="147"/>
      <c r="G147" s="146">
        <f t="shared" si="6"/>
        <v>219131.38</v>
      </c>
      <c r="H147" s="146"/>
      <c r="I147" s="307"/>
      <c r="J147" s="622">
        <v>44012</v>
      </c>
    </row>
    <row r="148" spans="1:10">
      <c r="A148" s="26">
        <v>142</v>
      </c>
      <c r="B148" s="147" t="s">
        <v>775</v>
      </c>
      <c r="C148" s="147" t="s">
        <v>2013</v>
      </c>
      <c r="D148" s="145">
        <v>394.1</v>
      </c>
      <c r="E148" s="149">
        <v>1359.54</v>
      </c>
      <c r="F148" s="147"/>
      <c r="G148" s="146">
        <f t="shared" si="6"/>
        <v>1359.54</v>
      </c>
      <c r="H148" s="146"/>
      <c r="I148" s="307"/>
      <c r="J148" s="622">
        <v>43921</v>
      </c>
    </row>
    <row r="149" spans="1:10">
      <c r="A149" s="26">
        <v>143</v>
      </c>
      <c r="B149" s="147" t="s">
        <v>775</v>
      </c>
      <c r="C149" s="147" t="s">
        <v>2014</v>
      </c>
      <c r="D149" s="145">
        <v>390.1</v>
      </c>
      <c r="E149" s="149">
        <v>36245.61</v>
      </c>
      <c r="F149" s="147"/>
      <c r="G149" s="146">
        <f t="shared" si="6"/>
        <v>36245.61</v>
      </c>
      <c r="H149" s="146"/>
      <c r="I149" s="307"/>
      <c r="J149" s="622">
        <v>43860</v>
      </c>
    </row>
    <row r="150" spans="1:10">
      <c r="A150" s="26">
        <v>144</v>
      </c>
      <c r="B150" s="147" t="s">
        <v>775</v>
      </c>
      <c r="C150" s="147" t="s">
        <v>2306</v>
      </c>
      <c r="D150" s="145">
        <v>391.3</v>
      </c>
      <c r="E150" s="149">
        <v>27223.01</v>
      </c>
      <c r="F150" s="373">
        <f>+'State Allocation Formulas'!C21</f>
        <v>0.75170000000000003</v>
      </c>
      <c r="G150" s="146">
        <f t="shared" si="6"/>
        <v>27223.01</v>
      </c>
      <c r="H150" s="146"/>
      <c r="I150" s="307"/>
      <c r="J150" s="622">
        <v>43952</v>
      </c>
    </row>
    <row r="151" spans="1:10">
      <c r="A151" s="26">
        <v>146</v>
      </c>
      <c r="B151" s="147" t="s">
        <v>775</v>
      </c>
      <c r="C151" s="147" t="s">
        <v>2443</v>
      </c>
      <c r="D151" s="145">
        <v>391.1</v>
      </c>
      <c r="E151" s="149">
        <v>176798.64</v>
      </c>
      <c r="F151" s="373">
        <f>+'State Allocation Formulas'!C21</f>
        <v>0.75170000000000003</v>
      </c>
      <c r="G151" s="146">
        <f t="shared" si="6"/>
        <v>176798.64</v>
      </c>
      <c r="H151" s="146"/>
      <c r="I151" s="307"/>
      <c r="J151" s="622">
        <v>44196</v>
      </c>
    </row>
    <row r="152" spans="1:10">
      <c r="A152" s="26">
        <v>147</v>
      </c>
      <c r="B152" s="147" t="s">
        <v>775</v>
      </c>
      <c r="C152" s="147" t="s">
        <v>2444</v>
      </c>
      <c r="D152" s="145">
        <v>391.5</v>
      </c>
      <c r="E152" s="149">
        <v>50980</v>
      </c>
      <c r="F152" s="373">
        <f>+'State Allocation Formulas'!C21</f>
        <v>0.75170000000000003</v>
      </c>
      <c r="G152" s="146">
        <f t="shared" si="6"/>
        <v>50980</v>
      </c>
      <c r="H152" s="146"/>
      <c r="I152" s="307"/>
      <c r="J152" s="622">
        <v>44196</v>
      </c>
    </row>
    <row r="153" spans="1:10">
      <c r="A153" s="26">
        <v>148</v>
      </c>
      <c r="B153" s="147" t="s">
        <v>775</v>
      </c>
      <c r="C153" s="147" t="s">
        <v>2307</v>
      </c>
      <c r="D153" s="145">
        <v>391.3</v>
      </c>
      <c r="E153" s="149">
        <v>17333.2</v>
      </c>
      <c r="F153" s="373">
        <f>+'State Allocation Formulas'!C21</f>
        <v>0.75170000000000003</v>
      </c>
      <c r="G153" s="146">
        <f t="shared" si="6"/>
        <v>17333.2</v>
      </c>
      <c r="H153" s="146"/>
      <c r="I153" s="307"/>
      <c r="J153" s="622">
        <v>43952</v>
      </c>
    </row>
    <row r="154" spans="1:10">
      <c r="A154" s="26">
        <v>149</v>
      </c>
      <c r="B154" s="147" t="s">
        <v>775</v>
      </c>
      <c r="C154" s="147" t="s">
        <v>2283</v>
      </c>
      <c r="D154" s="145">
        <v>390.1</v>
      </c>
      <c r="E154" s="149">
        <v>316076</v>
      </c>
      <c r="F154" s="147"/>
      <c r="G154" s="146">
        <f t="shared" si="6"/>
        <v>316076</v>
      </c>
      <c r="H154" s="146"/>
      <c r="I154" s="307"/>
      <c r="J154" s="622">
        <v>44013</v>
      </c>
    </row>
    <row r="155" spans="1:10">
      <c r="A155" s="26">
        <v>150</v>
      </c>
      <c r="B155" s="147" t="s">
        <v>775</v>
      </c>
      <c r="C155" s="147" t="s">
        <v>1295</v>
      </c>
      <c r="D155" s="145">
        <v>390.1</v>
      </c>
      <c r="E155" s="149">
        <v>15243.69</v>
      </c>
      <c r="F155" s="147"/>
      <c r="G155" s="146">
        <f t="shared" si="6"/>
        <v>15243.69</v>
      </c>
      <c r="H155" s="146"/>
      <c r="I155" s="307"/>
      <c r="J155" s="622">
        <v>44155</v>
      </c>
    </row>
    <row r="156" spans="1:10">
      <c r="A156" s="26">
        <v>151</v>
      </c>
      <c r="B156" s="147" t="s">
        <v>775</v>
      </c>
      <c r="C156" s="147" t="s">
        <v>2284</v>
      </c>
      <c r="D156" s="145">
        <v>390</v>
      </c>
      <c r="E156" s="149">
        <v>20392</v>
      </c>
      <c r="F156" s="147"/>
      <c r="G156" s="146">
        <f t="shared" si="6"/>
        <v>20392</v>
      </c>
      <c r="H156" s="146"/>
      <c r="I156" s="307"/>
      <c r="J156" s="622">
        <v>43987</v>
      </c>
    </row>
    <row r="157" spans="1:10">
      <c r="A157" s="26">
        <v>152</v>
      </c>
      <c r="B157" s="147" t="s">
        <v>775</v>
      </c>
      <c r="C157" s="147" t="s">
        <v>2445</v>
      </c>
      <c r="D157" s="145">
        <v>397</v>
      </c>
      <c r="E157" s="149">
        <v>509800</v>
      </c>
      <c r="F157" s="811">
        <f>+'State Allocation Formulas'!C21</f>
        <v>0.75170000000000003</v>
      </c>
      <c r="G157" s="146">
        <f t="shared" si="6"/>
        <v>509800</v>
      </c>
      <c r="H157" s="146"/>
      <c r="I157" s="307"/>
      <c r="J157" s="622">
        <v>44196</v>
      </c>
    </row>
    <row r="158" spans="1:10">
      <c r="A158" s="26">
        <v>153</v>
      </c>
      <c r="B158" s="147" t="s">
        <v>775</v>
      </c>
      <c r="C158" s="147" t="s">
        <v>2446</v>
      </c>
      <c r="D158" s="145">
        <v>397</v>
      </c>
      <c r="E158" s="149">
        <v>1223.52</v>
      </c>
      <c r="F158" s="811">
        <f>+'State Allocation Formulas'!C21</f>
        <v>0.75170000000000003</v>
      </c>
      <c r="G158" s="146">
        <f t="shared" si="6"/>
        <v>1223.52</v>
      </c>
      <c r="H158" s="146"/>
      <c r="I158" s="307"/>
      <c r="J158" s="622">
        <v>44196</v>
      </c>
    </row>
    <row r="159" spans="1:10">
      <c r="A159" s="26">
        <v>154</v>
      </c>
      <c r="B159" s="147" t="s">
        <v>775</v>
      </c>
      <c r="C159" s="147" t="s">
        <v>2308</v>
      </c>
      <c r="D159" s="145">
        <v>394.1</v>
      </c>
      <c r="E159" s="149">
        <v>14274.4</v>
      </c>
      <c r="F159" s="147"/>
      <c r="G159" s="146">
        <f t="shared" si="6"/>
        <v>14274.4</v>
      </c>
      <c r="H159" s="146"/>
      <c r="I159" s="307"/>
      <c r="J159" s="622">
        <v>43862</v>
      </c>
    </row>
    <row r="160" spans="1:10">
      <c r="A160" s="26">
        <v>155</v>
      </c>
      <c r="B160" s="147" t="s">
        <v>775</v>
      </c>
      <c r="C160" s="147" t="s">
        <v>2309</v>
      </c>
      <c r="D160" s="145">
        <v>394.1</v>
      </c>
      <c r="E160" s="149">
        <v>6627.4</v>
      </c>
      <c r="F160" s="147"/>
      <c r="G160" s="146">
        <f t="shared" si="6"/>
        <v>6627.4</v>
      </c>
      <c r="H160" s="146"/>
      <c r="I160" s="307"/>
      <c r="J160" s="622">
        <v>43862</v>
      </c>
    </row>
    <row r="161" spans="1:10">
      <c r="A161" s="26">
        <v>156</v>
      </c>
      <c r="B161" s="147" t="s">
        <v>775</v>
      </c>
      <c r="C161" s="147" t="s">
        <v>2285</v>
      </c>
      <c r="D161" s="145">
        <v>390.1</v>
      </c>
      <c r="E161" s="149">
        <v>1064539.08</v>
      </c>
      <c r="F161" s="147"/>
      <c r="G161" s="146">
        <f t="shared" si="6"/>
        <v>1064539.08</v>
      </c>
      <c r="H161" s="146">
        <f>+G161</f>
        <v>1064539.08</v>
      </c>
      <c r="I161" s="307">
        <v>13</v>
      </c>
      <c r="J161" s="622">
        <v>44134</v>
      </c>
    </row>
    <row r="162" spans="1:10">
      <c r="A162" s="26">
        <v>157</v>
      </c>
      <c r="B162" s="147" t="s">
        <v>775</v>
      </c>
      <c r="C162" s="147" t="s">
        <v>2310</v>
      </c>
      <c r="D162" s="145">
        <v>397</v>
      </c>
      <c r="E162" s="149">
        <v>158321.16</v>
      </c>
      <c r="F162" s="373">
        <f>+'State Allocation Formulas'!C21</f>
        <v>0.75170000000000003</v>
      </c>
      <c r="G162" s="146">
        <f t="shared" si="6"/>
        <v>158321.16</v>
      </c>
      <c r="H162" s="146"/>
      <c r="I162" s="307"/>
      <c r="J162" s="622">
        <v>44150</v>
      </c>
    </row>
    <row r="163" spans="1:10">
      <c r="A163" s="26">
        <v>158</v>
      </c>
      <c r="B163" s="147" t="s">
        <v>775</v>
      </c>
      <c r="C163" s="147" t="s">
        <v>2286</v>
      </c>
      <c r="D163" s="145">
        <v>390.1</v>
      </c>
      <c r="E163" s="149">
        <v>620912.69999999995</v>
      </c>
      <c r="F163" s="147"/>
      <c r="G163" s="146">
        <f t="shared" si="6"/>
        <v>620912.69999999995</v>
      </c>
      <c r="H163" s="146"/>
      <c r="I163" s="307"/>
      <c r="J163" s="622">
        <v>44136</v>
      </c>
    </row>
    <row r="164" spans="1:10">
      <c r="A164" s="26">
        <v>159</v>
      </c>
      <c r="B164" s="147" t="s">
        <v>775</v>
      </c>
      <c r="C164" s="147" t="s">
        <v>2287</v>
      </c>
      <c r="D164" s="145">
        <v>390.1</v>
      </c>
      <c r="E164" s="149">
        <v>76470</v>
      </c>
      <c r="F164" s="147"/>
      <c r="G164" s="146">
        <f t="shared" si="6"/>
        <v>76470</v>
      </c>
      <c r="H164" s="146"/>
      <c r="I164" s="307"/>
      <c r="J164" s="622">
        <v>44043</v>
      </c>
    </row>
    <row r="165" spans="1:10">
      <c r="A165" s="26">
        <v>160</v>
      </c>
      <c r="B165" s="147" t="s">
        <v>775</v>
      </c>
      <c r="C165" s="147" t="s">
        <v>2311</v>
      </c>
      <c r="D165" s="145">
        <v>394.1</v>
      </c>
      <c r="E165" s="149">
        <v>33646.800000000003</v>
      </c>
      <c r="F165" s="147"/>
      <c r="G165" s="146">
        <f t="shared" si="6"/>
        <v>33646.800000000003</v>
      </c>
      <c r="H165" s="146"/>
      <c r="I165" s="307"/>
      <c r="J165" s="622">
        <v>43951</v>
      </c>
    </row>
    <row r="166" spans="1:10">
      <c r="A166" s="26">
        <v>161</v>
      </c>
      <c r="B166" s="147" t="s">
        <v>775</v>
      </c>
      <c r="C166" s="147" t="s">
        <v>2312</v>
      </c>
      <c r="D166" s="145">
        <v>394.1</v>
      </c>
      <c r="E166" s="149">
        <v>23450.799999999999</v>
      </c>
      <c r="F166" s="147"/>
      <c r="G166" s="146">
        <f t="shared" si="6"/>
        <v>23450.799999999999</v>
      </c>
      <c r="H166" s="146"/>
      <c r="I166" s="307"/>
      <c r="J166" s="622">
        <v>43951</v>
      </c>
    </row>
    <row r="167" spans="1:10">
      <c r="A167" s="26">
        <v>162</v>
      </c>
      <c r="B167" s="147" t="s">
        <v>775</v>
      </c>
      <c r="C167" s="147" t="s">
        <v>2313</v>
      </c>
      <c r="D167" s="145">
        <v>394.1</v>
      </c>
      <c r="E167" s="149">
        <v>23450.799999999999</v>
      </c>
      <c r="F167" s="147"/>
      <c r="G167" s="146">
        <f t="shared" si="6"/>
        <v>23450.799999999999</v>
      </c>
      <c r="H167" s="146"/>
      <c r="I167" s="307"/>
      <c r="J167" s="622">
        <v>43988</v>
      </c>
    </row>
    <row r="168" spans="1:10">
      <c r="A168" s="26">
        <v>163</v>
      </c>
      <c r="B168" s="147" t="s">
        <v>775</v>
      </c>
      <c r="C168" s="147" t="s">
        <v>2314</v>
      </c>
      <c r="D168" s="145">
        <v>394.1</v>
      </c>
      <c r="E168" s="149">
        <v>23450.799999999999</v>
      </c>
      <c r="F168" s="147"/>
      <c r="G168" s="146">
        <f t="shared" si="6"/>
        <v>23450.799999999999</v>
      </c>
      <c r="H168" s="146"/>
      <c r="I168" s="307"/>
      <c r="J168" s="622">
        <v>44135</v>
      </c>
    </row>
    <row r="169" spans="1:10">
      <c r="A169" s="26">
        <v>164</v>
      </c>
      <c r="B169" s="147" t="s">
        <v>775</v>
      </c>
      <c r="C169" s="147" t="s">
        <v>2315</v>
      </c>
      <c r="D169" s="145">
        <v>394.1</v>
      </c>
      <c r="E169" s="149">
        <v>8156.8</v>
      </c>
      <c r="F169" s="147"/>
      <c r="G169" s="146">
        <f t="shared" si="6"/>
        <v>8156.8</v>
      </c>
      <c r="H169" s="146"/>
      <c r="I169" s="307"/>
      <c r="J169" s="622">
        <v>43982</v>
      </c>
    </row>
    <row r="170" spans="1:10">
      <c r="A170" s="26">
        <v>165</v>
      </c>
      <c r="B170" s="147" t="s">
        <v>775</v>
      </c>
      <c r="C170" s="147" t="s">
        <v>2316</v>
      </c>
      <c r="D170" s="145">
        <v>394.1</v>
      </c>
      <c r="E170" s="149">
        <v>25490</v>
      </c>
      <c r="F170" s="147"/>
      <c r="G170" s="146">
        <f t="shared" si="6"/>
        <v>25490</v>
      </c>
      <c r="H170" s="146"/>
      <c r="I170" s="307"/>
      <c r="J170" s="622">
        <v>43951</v>
      </c>
    </row>
    <row r="171" spans="1:10">
      <c r="A171" s="26">
        <v>166</v>
      </c>
      <c r="B171" s="147" t="s">
        <v>775</v>
      </c>
      <c r="C171" s="147" t="s">
        <v>2317</v>
      </c>
      <c r="D171" s="145">
        <v>394.1</v>
      </c>
      <c r="E171" s="149">
        <v>20392</v>
      </c>
      <c r="F171" s="147"/>
      <c r="G171" s="146">
        <f t="shared" si="6"/>
        <v>20392</v>
      </c>
      <c r="H171" s="146"/>
      <c r="I171" s="307"/>
      <c r="J171" s="622">
        <v>44135</v>
      </c>
    </row>
    <row r="172" spans="1:10">
      <c r="A172" s="26">
        <v>167</v>
      </c>
      <c r="B172" s="147" t="s">
        <v>775</v>
      </c>
      <c r="C172" s="147" t="s">
        <v>2318</v>
      </c>
      <c r="D172" s="145">
        <v>394.1</v>
      </c>
      <c r="E172" s="149">
        <v>7137.2</v>
      </c>
      <c r="F172" s="147"/>
      <c r="G172" s="146">
        <f t="shared" si="6"/>
        <v>7137.2</v>
      </c>
      <c r="H172" s="146"/>
      <c r="I172" s="307"/>
      <c r="J172" s="622">
        <v>43925</v>
      </c>
    </row>
    <row r="173" spans="1:10">
      <c r="A173" s="26">
        <v>168</v>
      </c>
      <c r="B173" s="147" t="s">
        <v>775</v>
      </c>
      <c r="C173" s="147" t="s">
        <v>2319</v>
      </c>
      <c r="D173" s="145">
        <v>394</v>
      </c>
      <c r="E173" s="149">
        <v>76238.350000000006</v>
      </c>
      <c r="F173" s="373">
        <f>+'State Allocation Formulas'!C21</f>
        <v>0.75170000000000003</v>
      </c>
      <c r="G173" s="146">
        <f t="shared" si="6"/>
        <v>76238.350000000006</v>
      </c>
      <c r="H173" s="146"/>
      <c r="I173" s="307"/>
      <c r="J173" s="622">
        <v>44012</v>
      </c>
    </row>
    <row r="174" spans="1:10">
      <c r="A174" s="26">
        <v>169</v>
      </c>
      <c r="B174" s="147" t="s">
        <v>775</v>
      </c>
      <c r="C174" s="147" t="s">
        <v>2288</v>
      </c>
      <c r="D174" s="145">
        <v>390.1</v>
      </c>
      <c r="E174" s="149">
        <v>195305.21</v>
      </c>
      <c r="F174" s="147"/>
      <c r="G174" s="146">
        <f t="shared" si="6"/>
        <v>195305.21</v>
      </c>
      <c r="H174" s="146"/>
      <c r="I174" s="307"/>
      <c r="J174" s="622">
        <v>44104</v>
      </c>
    </row>
    <row r="175" spans="1:10">
      <c r="A175" s="26">
        <v>170</v>
      </c>
      <c r="B175" s="147" t="s">
        <v>775</v>
      </c>
      <c r="C175" s="147" t="s">
        <v>2320</v>
      </c>
      <c r="D175" s="145">
        <v>394</v>
      </c>
      <c r="E175" s="149">
        <v>11422.98</v>
      </c>
      <c r="F175" s="373">
        <f>+'State Allocation Formulas'!C21</f>
        <v>0.75170000000000003</v>
      </c>
      <c r="G175" s="146">
        <f t="shared" si="6"/>
        <v>11422.98</v>
      </c>
      <c r="H175" s="146"/>
      <c r="I175" s="307"/>
      <c r="J175" s="622">
        <v>43920</v>
      </c>
    </row>
    <row r="176" spans="1:10">
      <c r="A176" s="26">
        <v>171</v>
      </c>
      <c r="B176" s="147" t="s">
        <v>775</v>
      </c>
      <c r="C176" s="147" t="s">
        <v>2321</v>
      </c>
      <c r="D176" s="145">
        <v>394</v>
      </c>
      <c r="E176" s="149">
        <v>13240.14</v>
      </c>
      <c r="F176" s="373">
        <f>+'State Allocation Formulas'!C21</f>
        <v>0.75170000000000003</v>
      </c>
      <c r="G176" s="146">
        <f t="shared" si="6"/>
        <v>13240.14</v>
      </c>
      <c r="H176" s="146"/>
      <c r="I176" s="307"/>
      <c r="J176" s="622">
        <v>44012</v>
      </c>
    </row>
    <row r="177" spans="1:10">
      <c r="A177" s="26">
        <v>172</v>
      </c>
      <c r="B177" s="147" t="s">
        <v>775</v>
      </c>
      <c r="C177" s="147" t="s">
        <v>2289</v>
      </c>
      <c r="D177" s="145">
        <v>390</v>
      </c>
      <c r="E177" s="149">
        <v>67673.91</v>
      </c>
      <c r="F177" s="373">
        <f>+'State Allocation Formulas'!C21</f>
        <v>0.75170000000000003</v>
      </c>
      <c r="G177" s="146">
        <f t="shared" si="6"/>
        <v>67673.91</v>
      </c>
      <c r="H177" s="146"/>
      <c r="I177" s="307"/>
      <c r="J177" s="622">
        <v>43900</v>
      </c>
    </row>
    <row r="178" spans="1:10">
      <c r="A178" s="26">
        <v>173</v>
      </c>
      <c r="B178" s="147" t="s">
        <v>775</v>
      </c>
      <c r="C178" s="147" t="s">
        <v>2322</v>
      </c>
      <c r="D178" s="145">
        <v>394</v>
      </c>
      <c r="E178" s="149">
        <v>5955.01</v>
      </c>
      <c r="F178" s="373">
        <f>+'State Allocation Formulas'!C21</f>
        <v>0.75170000000000003</v>
      </c>
      <c r="G178" s="146">
        <f t="shared" si="6"/>
        <v>5955.01</v>
      </c>
      <c r="H178" s="146"/>
      <c r="I178" s="307"/>
      <c r="J178" s="622">
        <v>43891</v>
      </c>
    </row>
    <row r="179" spans="1:10">
      <c r="A179" s="26">
        <v>174</v>
      </c>
      <c r="B179" s="147" t="s">
        <v>775</v>
      </c>
      <c r="C179" s="147" t="s">
        <v>2290</v>
      </c>
      <c r="D179" s="145">
        <v>390.1</v>
      </c>
      <c r="E179" s="149">
        <v>23392</v>
      </c>
      <c r="F179" s="147"/>
      <c r="G179" s="146">
        <f t="shared" si="6"/>
        <v>23392</v>
      </c>
      <c r="H179" s="146"/>
      <c r="I179" s="307"/>
      <c r="J179" s="622">
        <v>43920</v>
      </c>
    </row>
    <row r="180" spans="1:10">
      <c r="A180" s="26">
        <v>175</v>
      </c>
      <c r="B180" s="147" t="s">
        <v>775</v>
      </c>
      <c r="C180" s="147" t="s">
        <v>2291</v>
      </c>
      <c r="D180" s="145">
        <v>390.1</v>
      </c>
      <c r="E180" s="149">
        <v>46705.599999999999</v>
      </c>
      <c r="F180" s="147"/>
      <c r="G180" s="146">
        <f t="shared" si="6"/>
        <v>46705.599999999999</v>
      </c>
      <c r="H180" s="146"/>
      <c r="I180" s="307"/>
      <c r="J180" s="622">
        <v>44094</v>
      </c>
    </row>
    <row r="181" spans="1:10">
      <c r="A181" s="26">
        <v>176</v>
      </c>
      <c r="B181" s="147" t="s">
        <v>775</v>
      </c>
      <c r="C181" s="147" t="s">
        <v>2292</v>
      </c>
      <c r="D181" s="145">
        <v>390.1</v>
      </c>
      <c r="E181" s="149">
        <v>18294</v>
      </c>
      <c r="F181" s="147"/>
      <c r="G181" s="146">
        <f t="shared" si="6"/>
        <v>18294</v>
      </c>
      <c r="H181" s="146"/>
      <c r="I181" s="307"/>
      <c r="J181" s="622">
        <v>44185</v>
      </c>
    </row>
    <row r="182" spans="1:10">
      <c r="A182" s="26">
        <v>177</v>
      </c>
      <c r="B182" s="147" t="s">
        <v>775</v>
      </c>
      <c r="C182" s="147" t="s">
        <v>2293</v>
      </c>
      <c r="D182" s="145">
        <v>390.1</v>
      </c>
      <c r="E182" s="149">
        <v>13196</v>
      </c>
      <c r="F182" s="147"/>
      <c r="G182" s="146">
        <f t="shared" si="6"/>
        <v>13196</v>
      </c>
      <c r="H182" s="146"/>
      <c r="I182" s="307"/>
      <c r="J182" s="622">
        <v>44014</v>
      </c>
    </row>
    <row r="183" spans="1:10">
      <c r="A183" s="26">
        <v>178</v>
      </c>
      <c r="B183" s="147" t="s">
        <v>775</v>
      </c>
      <c r="C183" s="147" t="s">
        <v>2294</v>
      </c>
      <c r="D183" s="145">
        <v>390.1</v>
      </c>
      <c r="E183" s="149">
        <v>5607.8</v>
      </c>
      <c r="F183" s="147"/>
      <c r="G183" s="146">
        <f t="shared" si="6"/>
        <v>5607.8</v>
      </c>
      <c r="H183" s="146"/>
      <c r="I183" s="307"/>
      <c r="J183" s="622">
        <v>44124</v>
      </c>
    </row>
    <row r="184" spans="1:10">
      <c r="A184" s="26">
        <v>179</v>
      </c>
      <c r="B184" s="147" t="s">
        <v>775</v>
      </c>
      <c r="C184" s="147" t="s">
        <v>2295</v>
      </c>
      <c r="D184" s="145">
        <v>390.1</v>
      </c>
      <c r="E184" s="149">
        <v>3958.8</v>
      </c>
      <c r="F184" s="147"/>
      <c r="G184" s="146">
        <f t="shared" si="6"/>
        <v>3958.8</v>
      </c>
      <c r="H184" s="146"/>
      <c r="I184" s="307"/>
      <c r="J184" s="622">
        <v>44141</v>
      </c>
    </row>
    <row r="185" spans="1:10">
      <c r="A185" s="26">
        <v>180</v>
      </c>
      <c r="B185" s="147" t="s">
        <v>775</v>
      </c>
      <c r="C185" s="147" t="s">
        <v>2323</v>
      </c>
      <c r="D185" s="145">
        <v>394.1</v>
      </c>
      <c r="E185" s="149">
        <v>4282.32</v>
      </c>
      <c r="F185" s="373"/>
      <c r="G185" s="146">
        <f t="shared" si="6"/>
        <v>4282.32</v>
      </c>
      <c r="H185" s="146"/>
      <c r="I185" s="307"/>
      <c r="J185" s="622">
        <v>43956</v>
      </c>
    </row>
    <row r="186" spans="1:10">
      <c r="A186" s="26">
        <v>181</v>
      </c>
      <c r="B186" s="147" t="s">
        <v>775</v>
      </c>
      <c r="C186" s="147" t="s">
        <v>2324</v>
      </c>
      <c r="D186" s="145">
        <v>394.1</v>
      </c>
      <c r="E186" s="149">
        <v>3059.82</v>
      </c>
      <c r="F186" s="147"/>
      <c r="G186" s="146">
        <f t="shared" si="6"/>
        <v>3059.82</v>
      </c>
      <c r="H186" s="146"/>
      <c r="I186" s="307"/>
      <c r="J186" s="622">
        <v>43956</v>
      </c>
    </row>
    <row r="187" spans="1:10">
      <c r="A187" s="26">
        <v>182</v>
      </c>
      <c r="B187" s="147" t="s">
        <v>775</v>
      </c>
      <c r="C187" s="147" t="s">
        <v>2325</v>
      </c>
      <c r="D187" s="145">
        <v>391.5</v>
      </c>
      <c r="E187" s="149">
        <v>2447.04</v>
      </c>
      <c r="F187" s="147"/>
      <c r="G187" s="146">
        <f t="shared" si="6"/>
        <v>2447.04</v>
      </c>
      <c r="H187" s="146"/>
      <c r="I187" s="307"/>
      <c r="J187" s="622">
        <v>43931</v>
      </c>
    </row>
    <row r="188" spans="1:10">
      <c r="A188" s="26">
        <v>183</v>
      </c>
      <c r="B188" s="147" t="s">
        <v>775</v>
      </c>
      <c r="C188" s="147" t="s">
        <v>2296</v>
      </c>
      <c r="D188" s="145">
        <v>390.1</v>
      </c>
      <c r="E188" s="149">
        <v>2039.2</v>
      </c>
      <c r="F188" s="147"/>
      <c r="G188" s="146">
        <f t="shared" si="6"/>
        <v>2039.2</v>
      </c>
      <c r="H188" s="146"/>
      <c r="I188" s="307"/>
      <c r="J188" s="622">
        <v>44155</v>
      </c>
    </row>
    <row r="189" spans="1:10">
      <c r="A189" s="26">
        <v>184</v>
      </c>
      <c r="B189" s="147" t="s">
        <v>775</v>
      </c>
      <c r="C189" s="147" t="s">
        <v>2326</v>
      </c>
      <c r="D189" s="145">
        <v>398</v>
      </c>
      <c r="E189" s="149">
        <v>2039.2</v>
      </c>
      <c r="F189" s="147"/>
      <c r="G189" s="146">
        <f t="shared" si="6"/>
        <v>2039.2</v>
      </c>
      <c r="H189" s="146"/>
      <c r="I189" s="307"/>
      <c r="J189" s="622">
        <v>43997</v>
      </c>
    </row>
    <row r="190" spans="1:10">
      <c r="A190" s="26">
        <v>185</v>
      </c>
      <c r="B190" s="147" t="s">
        <v>775</v>
      </c>
      <c r="C190" s="147" t="s">
        <v>2327</v>
      </c>
      <c r="D190" s="145">
        <v>394.1</v>
      </c>
      <c r="E190" s="149">
        <v>15905.76</v>
      </c>
      <c r="F190" s="147"/>
      <c r="G190" s="146">
        <f t="shared" si="6"/>
        <v>15905.76</v>
      </c>
      <c r="H190" s="146"/>
      <c r="I190" s="307"/>
      <c r="J190" s="622">
        <v>44140</v>
      </c>
    </row>
    <row r="191" spans="1:10">
      <c r="A191" s="26">
        <v>186</v>
      </c>
      <c r="B191" s="147" t="s">
        <v>775</v>
      </c>
      <c r="C191" s="147" t="s">
        <v>2297</v>
      </c>
      <c r="D191" s="145">
        <v>390.1</v>
      </c>
      <c r="E191" s="149">
        <f>62904.33+37467.85</f>
        <v>100372.18</v>
      </c>
      <c r="F191" s="373"/>
      <c r="G191" s="146">
        <f t="shared" si="6"/>
        <v>100372.18</v>
      </c>
      <c r="H191" s="146"/>
      <c r="I191" s="307"/>
      <c r="J191" s="622">
        <v>43879</v>
      </c>
    </row>
    <row r="192" spans="1:10">
      <c r="A192" s="26">
        <v>187</v>
      </c>
      <c r="B192" s="147" t="s">
        <v>775</v>
      </c>
      <c r="C192" s="147" t="s">
        <v>2328</v>
      </c>
      <c r="D192" s="145">
        <v>394.1</v>
      </c>
      <c r="E192" s="149">
        <v>2039.2</v>
      </c>
      <c r="F192" s="373"/>
      <c r="G192" s="146">
        <f t="shared" si="6"/>
        <v>2039.2</v>
      </c>
      <c r="H192" s="146"/>
      <c r="I192" s="307"/>
      <c r="J192" s="622">
        <v>43966</v>
      </c>
    </row>
    <row r="193" spans="1:14">
      <c r="A193" s="26">
        <v>188</v>
      </c>
      <c r="B193" s="147" t="s">
        <v>775</v>
      </c>
      <c r="C193" s="147" t="s">
        <v>2298</v>
      </c>
      <c r="D193" s="145">
        <v>394.1</v>
      </c>
      <c r="E193" s="149">
        <v>5534.02</v>
      </c>
      <c r="F193" s="373">
        <f>+'State Allocation Formulas'!C21</f>
        <v>0.75170000000000003</v>
      </c>
      <c r="G193" s="146">
        <f t="shared" si="6"/>
        <v>5534.02</v>
      </c>
      <c r="H193" s="146"/>
      <c r="I193" s="307"/>
      <c r="J193" s="622">
        <v>43845</v>
      </c>
    </row>
    <row r="194" spans="1:14">
      <c r="A194" s="26">
        <v>189</v>
      </c>
      <c r="B194" s="147" t="s">
        <v>775</v>
      </c>
      <c r="C194" s="147" t="s">
        <v>2299</v>
      </c>
      <c r="D194" s="145">
        <v>394.1</v>
      </c>
      <c r="E194" s="149">
        <v>6159.1</v>
      </c>
      <c r="F194" s="147"/>
      <c r="G194" s="146">
        <f t="shared" si="6"/>
        <v>6159.1</v>
      </c>
      <c r="H194" s="146"/>
      <c r="I194" s="307"/>
      <c r="J194" s="622">
        <v>43890</v>
      </c>
    </row>
    <row r="195" spans="1:14">
      <c r="A195" s="26">
        <v>190</v>
      </c>
      <c r="B195" s="375"/>
      <c r="C195" s="376" t="s">
        <v>774</v>
      </c>
      <c r="D195" s="150"/>
      <c r="E195" s="377">
        <f>SUM(E147:E194)</f>
        <v>4122994.1699999995</v>
      </c>
      <c r="F195" s="375"/>
      <c r="G195" s="378">
        <f>SUM(G147:G194)</f>
        <v>4122994.1699999995</v>
      </c>
      <c r="H195" s="378">
        <f>SUM(H147:H194)</f>
        <v>1064539.08</v>
      </c>
      <c r="I195" s="379"/>
      <c r="J195" s="801"/>
    </row>
    <row r="196" spans="1:14">
      <c r="B196" s="375"/>
      <c r="C196" s="375"/>
      <c r="D196" s="148"/>
      <c r="E196" s="149"/>
      <c r="F196" s="375"/>
      <c r="G196" s="382"/>
      <c r="H196" s="382"/>
      <c r="I196" s="379"/>
      <c r="J196" s="801"/>
    </row>
    <row r="197" spans="1:14">
      <c r="B197" s="375"/>
      <c r="C197" s="376"/>
      <c r="D197" s="148"/>
      <c r="E197" s="149"/>
      <c r="F197" s="375"/>
      <c r="G197" s="382"/>
      <c r="H197" s="382"/>
      <c r="I197" s="379"/>
      <c r="J197" s="801"/>
    </row>
    <row r="198" spans="1:14">
      <c r="B198" s="375"/>
      <c r="C198" s="375"/>
      <c r="D198" s="148"/>
      <c r="E198" s="149"/>
      <c r="F198" s="375"/>
      <c r="G198" s="382"/>
      <c r="H198" s="382"/>
      <c r="I198" s="375"/>
      <c r="J198" s="801"/>
    </row>
    <row r="199" spans="1:14" ht="16.2" thickBot="1">
      <c r="A199" s="26">
        <v>191</v>
      </c>
      <c r="B199" s="375"/>
      <c r="C199" s="376" t="s">
        <v>58</v>
      </c>
      <c r="D199" s="150"/>
      <c r="E199" s="377">
        <f>E30+E146+E195</f>
        <v>107587702.26999998</v>
      </c>
      <c r="F199" s="375"/>
      <c r="G199" s="383">
        <f>G30+G146+G195</f>
        <v>107165228.90033099</v>
      </c>
      <c r="H199" s="384">
        <f>H30+H146+H195</f>
        <v>66105637.284975991</v>
      </c>
      <c r="I199" s="375"/>
      <c r="J199" s="803"/>
    </row>
    <row r="200" spans="1:14" ht="16.2" thickTop="1">
      <c r="B200" s="375"/>
      <c r="C200" s="375"/>
      <c r="D200" s="148"/>
      <c r="E200" s="149"/>
      <c r="F200" s="375"/>
      <c r="G200" s="382"/>
      <c r="H200" s="375"/>
      <c r="I200" s="375"/>
      <c r="J200" s="802"/>
    </row>
    <row r="201" spans="1:14">
      <c r="B201" s="375"/>
      <c r="C201" s="376"/>
      <c r="D201" s="148"/>
      <c r="E201" s="149"/>
      <c r="F201" s="375"/>
      <c r="G201" s="382"/>
      <c r="H201" s="375"/>
      <c r="I201" s="375"/>
      <c r="J201" s="804"/>
    </row>
    <row r="202" spans="1:14">
      <c r="B202" s="147"/>
      <c r="C202" s="147"/>
      <c r="D202" s="145"/>
      <c r="E202" s="145"/>
      <c r="F202" s="147"/>
      <c r="G202" s="147"/>
      <c r="H202" s="146"/>
      <c r="I202" s="147"/>
      <c r="J202" s="805"/>
    </row>
    <row r="203" spans="1:14">
      <c r="A203" s="26">
        <v>192</v>
      </c>
      <c r="B203" s="147" t="s">
        <v>777</v>
      </c>
      <c r="C203" s="147"/>
      <c r="D203" s="145"/>
      <c r="E203" s="145"/>
      <c r="F203" s="147"/>
      <c r="G203" s="381"/>
      <c r="H203" s="147"/>
      <c r="I203" s="147"/>
      <c r="J203" s="805"/>
    </row>
    <row r="204" spans="1:14">
      <c r="A204" s="26">
        <v>193</v>
      </c>
      <c r="B204" s="385"/>
      <c r="C204" s="147"/>
      <c r="D204" s="145"/>
      <c r="E204" s="145"/>
      <c r="F204" s="147"/>
      <c r="G204" s="307" t="s">
        <v>780</v>
      </c>
      <c r="H204" s="952" t="s">
        <v>2499</v>
      </c>
      <c r="I204" s="307" t="s">
        <v>1095</v>
      </c>
      <c r="J204" s="806" t="s">
        <v>778</v>
      </c>
    </row>
    <row r="205" spans="1:14">
      <c r="A205" s="26">
        <v>194</v>
      </c>
      <c r="B205" s="307" t="s">
        <v>802</v>
      </c>
      <c r="C205" s="147" t="s">
        <v>746</v>
      </c>
      <c r="D205" s="145">
        <f>SUMIF(I8:I194,B205,G8:G194)</f>
        <v>12762873.219999999</v>
      </c>
      <c r="F205" s="147"/>
      <c r="G205" s="307" t="s">
        <v>781</v>
      </c>
      <c r="H205" s="307" t="s">
        <v>380</v>
      </c>
      <c r="I205" s="951" t="s">
        <v>2500</v>
      </c>
      <c r="J205" s="806" t="s">
        <v>779</v>
      </c>
      <c r="N205" s="24" t="s">
        <v>83</v>
      </c>
    </row>
    <row r="206" spans="1:14">
      <c r="A206" s="26">
        <v>195</v>
      </c>
      <c r="B206" s="307"/>
      <c r="C206" s="385"/>
      <c r="D206" s="145"/>
      <c r="E206" s="145"/>
      <c r="F206" s="147"/>
      <c r="G206" s="147">
        <v>303</v>
      </c>
      <c r="H206" s="146">
        <f>+H30</f>
        <v>12866642.449999999</v>
      </c>
      <c r="I206" s="811">
        <v>0.12809999999999999</v>
      </c>
      <c r="J206" s="815">
        <f>+H206*I206</f>
        <v>1648216.8978449998</v>
      </c>
      <c r="N206" s="24">
        <v>10</v>
      </c>
    </row>
    <row r="207" spans="1:14">
      <c r="A207" s="26">
        <v>196</v>
      </c>
      <c r="B207" s="385"/>
      <c r="F207" s="147"/>
      <c r="G207" s="948">
        <v>367.1</v>
      </c>
      <c r="H207" s="146">
        <f t="shared" ref="H207:H221" si="7">+SUMIF($D$34:$D$194,G207,$H$34:$H$194)</f>
        <v>0</v>
      </c>
      <c r="I207" s="946">
        <f>+'EOP Depreciation Expense Adj'!E17</f>
        <v>1.4999999999999999E-2</v>
      </c>
      <c r="J207" s="815">
        <f t="shared" ref="J207:J221" si="8">+H207*I207</f>
        <v>0</v>
      </c>
      <c r="L207" s="850"/>
    </row>
    <row r="208" spans="1:14">
      <c r="A208" s="26">
        <v>197</v>
      </c>
      <c r="B208" s="385"/>
      <c r="C208" s="385"/>
      <c r="D208" s="145"/>
      <c r="E208" s="145"/>
      <c r="F208" s="147"/>
      <c r="G208" s="948">
        <v>374.2</v>
      </c>
      <c r="H208" s="146">
        <f t="shared" si="7"/>
        <v>0</v>
      </c>
      <c r="I208" s="946">
        <f>+'EOP Depreciation Expense Adj'!E20</f>
        <v>1.6399999999999998E-2</v>
      </c>
      <c r="J208" s="815">
        <f t="shared" si="8"/>
        <v>0</v>
      </c>
      <c r="L208" s="850"/>
    </row>
    <row r="209" spans="1:12">
      <c r="A209" s="26">
        <v>198</v>
      </c>
      <c r="B209" s="385"/>
      <c r="C209" s="147"/>
      <c r="D209" s="145"/>
      <c r="E209" s="145"/>
      <c r="F209" s="147"/>
      <c r="G209" s="948">
        <v>376.1</v>
      </c>
      <c r="H209" s="146">
        <f t="shared" si="7"/>
        <v>312625</v>
      </c>
      <c r="I209" s="946">
        <f>+'EOP Depreciation Expense Adj'!E24</f>
        <v>3.56E-2</v>
      </c>
      <c r="J209" s="950">
        <f t="shared" si="8"/>
        <v>11129.45</v>
      </c>
      <c r="L209" s="850"/>
    </row>
    <row r="210" spans="1:12">
      <c r="A210" s="26">
        <v>199</v>
      </c>
      <c r="B210" s="385"/>
      <c r="C210" s="147"/>
      <c r="D210" s="145"/>
      <c r="E210" s="145"/>
      <c r="F210" s="147"/>
      <c r="G210" s="948">
        <v>376.2</v>
      </c>
      <c r="H210" s="146">
        <f t="shared" si="7"/>
        <v>23422677.309999999</v>
      </c>
      <c r="I210" s="946">
        <f>+'EOP Depreciation Expense Adj'!E22</f>
        <v>1.52E-2</v>
      </c>
      <c r="J210" s="950">
        <f t="shared" si="8"/>
        <v>356024.69511199999</v>
      </c>
      <c r="L210" s="850"/>
    </row>
    <row r="211" spans="1:12">
      <c r="A211" s="26">
        <v>200</v>
      </c>
      <c r="B211" s="385"/>
      <c r="C211" s="147"/>
      <c r="D211" s="145"/>
      <c r="E211" s="145"/>
      <c r="F211" s="147"/>
      <c r="G211" s="948">
        <v>376.3</v>
      </c>
      <c r="H211" s="146">
        <f t="shared" si="7"/>
        <v>7540384.8199999994</v>
      </c>
      <c r="I211" s="946">
        <f>+'EOP Depreciation Expense Adj'!E23</f>
        <v>2.81E-2</v>
      </c>
      <c r="J211" s="950">
        <f t="shared" si="8"/>
        <v>211884.81344199998</v>
      </c>
      <c r="L211" s="850"/>
    </row>
    <row r="212" spans="1:12">
      <c r="A212" s="26">
        <v>201</v>
      </c>
      <c r="B212" s="385"/>
      <c r="C212" s="147"/>
      <c r="D212" s="145"/>
      <c r="E212" s="145"/>
      <c r="F212" s="147"/>
      <c r="G212" s="948">
        <v>378</v>
      </c>
      <c r="H212" s="146">
        <f t="shared" si="7"/>
        <v>5763870.4899999993</v>
      </c>
      <c r="I212" s="946">
        <f>+'EOP Depreciation Expense Adj'!E26</f>
        <v>1.9699999999999999E-2</v>
      </c>
      <c r="J212" s="950">
        <f t="shared" si="8"/>
        <v>113548.24865299997</v>
      </c>
      <c r="L212" s="850"/>
    </row>
    <row r="213" spans="1:12">
      <c r="A213" s="26">
        <v>202</v>
      </c>
      <c r="B213" s="385"/>
      <c r="C213" s="147"/>
      <c r="D213" s="145"/>
      <c r="E213" s="145"/>
      <c r="F213" s="147"/>
      <c r="G213" s="948">
        <v>380.1</v>
      </c>
      <c r="H213" s="146">
        <f t="shared" si="7"/>
        <v>0</v>
      </c>
      <c r="I213" s="946">
        <f>+'EOP Depreciation Expense Adj'!E28</f>
        <v>3.4700000000000002E-2</v>
      </c>
      <c r="J213" s="815">
        <f t="shared" si="8"/>
        <v>0</v>
      </c>
      <c r="L213" s="850"/>
    </row>
    <row r="214" spans="1:12">
      <c r="A214" s="26">
        <v>203</v>
      </c>
      <c r="B214" s="147"/>
      <c r="C214" s="147"/>
      <c r="D214" s="145"/>
      <c r="E214" s="145"/>
      <c r="F214" s="147"/>
      <c r="G214" s="949">
        <v>380.3</v>
      </c>
      <c r="H214" s="146">
        <f t="shared" si="7"/>
        <v>12188846.560000001</v>
      </c>
      <c r="I214" s="947">
        <f>+'EOP Depreciation Expense Adj'!E27</f>
        <v>3.3599999999999998E-2</v>
      </c>
      <c r="J214" s="950">
        <f t="shared" si="8"/>
        <v>409545.24441599997</v>
      </c>
      <c r="L214" s="850"/>
    </row>
    <row r="215" spans="1:12">
      <c r="A215" s="26">
        <v>204</v>
      </c>
      <c r="B215" s="147"/>
      <c r="C215" s="147"/>
      <c r="D215" s="145"/>
      <c r="E215" s="145"/>
      <c r="F215" s="147"/>
      <c r="G215" s="948">
        <v>381</v>
      </c>
      <c r="H215" s="146">
        <f t="shared" si="7"/>
        <v>2946051.574976</v>
      </c>
      <c r="I215" s="946">
        <f>+'EOP Depreciation Expense Adj'!E30</f>
        <v>2.6099999999999998E-2</v>
      </c>
      <c r="J215" s="950">
        <f t="shared" si="8"/>
        <v>76891.946106873598</v>
      </c>
      <c r="L215" s="850"/>
    </row>
    <row r="216" spans="1:12">
      <c r="A216" s="26">
        <v>205</v>
      </c>
      <c r="B216" s="147"/>
      <c r="C216" s="147"/>
      <c r="D216" s="145"/>
      <c r="E216" s="145"/>
      <c r="F216" s="147"/>
      <c r="G216" s="948">
        <v>383</v>
      </c>
      <c r="H216" s="146">
        <f t="shared" si="7"/>
        <v>0</v>
      </c>
      <c r="I216" s="946">
        <f>+'EOP Depreciation Expense Adj'!E32</f>
        <v>2.1600000000000001E-2</v>
      </c>
      <c r="J216" s="815">
        <f t="shared" si="8"/>
        <v>0</v>
      </c>
      <c r="L216" s="850"/>
    </row>
    <row r="217" spans="1:12">
      <c r="A217" s="26">
        <v>206</v>
      </c>
      <c r="B217" s="147"/>
      <c r="C217" s="147"/>
      <c r="D217" s="145"/>
      <c r="E217" s="145"/>
      <c r="F217" s="147"/>
      <c r="G217" s="948">
        <v>385</v>
      </c>
      <c r="H217" s="146">
        <f t="shared" si="7"/>
        <v>0</v>
      </c>
      <c r="I217" s="946">
        <f>+'EOP Depreciation Expense Adj'!E33</f>
        <v>1.7000000000000001E-2</v>
      </c>
      <c r="J217" s="815">
        <f t="shared" si="8"/>
        <v>0</v>
      </c>
      <c r="L217" s="850"/>
    </row>
    <row r="218" spans="1:12">
      <c r="A218" s="26">
        <v>207</v>
      </c>
      <c r="B218" s="147"/>
      <c r="C218" s="147"/>
      <c r="D218" s="145"/>
      <c r="E218" s="145"/>
      <c r="F218" s="147"/>
      <c r="G218" s="948">
        <v>390.1</v>
      </c>
      <c r="H218" s="146">
        <f t="shared" si="7"/>
        <v>1064539.08</v>
      </c>
      <c r="I218" s="946">
        <f>+'EOP Depreciation Expense Adj'!E36</f>
        <v>1.44E-2</v>
      </c>
      <c r="J218" s="950">
        <f t="shared" si="8"/>
        <v>15329.362752000001</v>
      </c>
      <c r="L218" s="850"/>
    </row>
    <row r="219" spans="1:12">
      <c r="A219" s="26">
        <v>208</v>
      </c>
      <c r="B219" s="147"/>
      <c r="C219" s="147"/>
      <c r="D219" s="145"/>
      <c r="E219" s="145"/>
      <c r="F219" s="147"/>
      <c r="G219" s="948">
        <v>394.1</v>
      </c>
      <c r="H219" s="146">
        <f t="shared" si="7"/>
        <v>0</v>
      </c>
      <c r="I219" s="946">
        <f>+'EOP Depreciation Expense Adj'!E44</f>
        <v>0.1066</v>
      </c>
      <c r="J219" s="815">
        <f t="shared" si="8"/>
        <v>0</v>
      </c>
      <c r="L219" s="850"/>
    </row>
    <row r="220" spans="1:12">
      <c r="A220" s="26">
        <v>209</v>
      </c>
      <c r="B220" s="147"/>
      <c r="C220" s="147"/>
      <c r="D220" s="145"/>
      <c r="E220" s="145"/>
      <c r="F220" s="147"/>
      <c r="G220" s="948">
        <v>396.2</v>
      </c>
      <c r="H220" s="146">
        <f t="shared" si="7"/>
        <v>0</v>
      </c>
      <c r="I220" s="946">
        <f>+'EOP Depreciation Expense Adj'!E47</f>
        <v>9.6300000000000011E-2</v>
      </c>
      <c r="J220" s="815">
        <f t="shared" si="8"/>
        <v>0</v>
      </c>
      <c r="L220" s="850"/>
    </row>
    <row r="221" spans="1:12">
      <c r="A221" s="26">
        <v>210</v>
      </c>
      <c r="B221" s="147"/>
      <c r="C221" s="147"/>
      <c r="D221" s="145"/>
      <c r="E221" s="145"/>
      <c r="F221" s="147"/>
      <c r="G221" s="948">
        <v>397.2</v>
      </c>
      <c r="H221" s="146">
        <f t="shared" si="7"/>
        <v>0</v>
      </c>
      <c r="I221" s="946">
        <f>+'EOP Depreciation Expense Adj'!E51</f>
        <v>5.5300000000000002E-2</v>
      </c>
      <c r="J221" s="815">
        <f t="shared" si="8"/>
        <v>0</v>
      </c>
      <c r="L221" s="850"/>
    </row>
    <row r="222" spans="1:12">
      <c r="A222" s="26">
        <v>211</v>
      </c>
      <c r="B222" s="147"/>
      <c r="C222" s="147"/>
      <c r="D222" s="145"/>
      <c r="E222" s="145"/>
      <c r="F222" s="147" t="s">
        <v>660</v>
      </c>
      <c r="G222" s="147"/>
      <c r="H222" s="146">
        <f>SUM(H206:H221)</f>
        <v>66105637.284975998</v>
      </c>
      <c r="I222" s="147"/>
      <c r="J222" s="950">
        <f>SUM(J206:J221)</f>
        <v>2842570.6583268726</v>
      </c>
      <c r="K222" s="949">
        <f>+J222/H222</f>
        <v>4.3000427423046883E-2</v>
      </c>
    </row>
    <row r="223" spans="1:12">
      <c r="A223" s="26">
        <v>212</v>
      </c>
      <c r="B223" s="147"/>
      <c r="C223" s="147"/>
      <c r="D223" s="145"/>
      <c r="E223" s="145"/>
      <c r="F223" s="147"/>
      <c r="G223" s="147"/>
      <c r="H223" s="147"/>
      <c r="I223" s="147"/>
      <c r="J223" s="805"/>
    </row>
    <row r="224" spans="1:12">
      <c r="A224" s="26">
        <v>213</v>
      </c>
      <c r="B224" s="147"/>
      <c r="C224" s="147"/>
      <c r="D224" s="145"/>
      <c r="E224" s="145"/>
      <c r="F224" s="147"/>
      <c r="G224" s="147"/>
      <c r="H224" s="146">
        <f>+H199-H222</f>
        <v>0</v>
      </c>
      <c r="I224" s="147"/>
      <c r="J224" s="805"/>
    </row>
  </sheetData>
  <autoFilter ref="A7:K195" xr:uid="{C511B5CD-DFEA-4E3B-94E5-BC8C4837758E}"/>
  <sortState xmlns:xlrd2="http://schemas.microsoft.com/office/spreadsheetml/2017/richdata2" ref="B34:J145">
    <sortCondition ref="C34:C145"/>
  </sortState>
  <mergeCells count="4">
    <mergeCell ref="C1:I1"/>
    <mergeCell ref="C2:I2"/>
    <mergeCell ref="C3:I3"/>
    <mergeCell ref="C4:I4"/>
  </mergeCells>
  <pageMargins left="0.7" right="0.7" top="0.75" bottom="0.75" header="0.3" footer="0.3"/>
  <pageSetup scale="43" fitToHeight="0" orientation="portrait" useFirstPageNumber="1" r:id="rId1"/>
  <headerFooter scaleWithDoc="0" alignWithMargins="0">
    <oddHeader>&amp;RDocket No. UG-20___
Exhibit _____ (MCP-6)
Page &amp;P of 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5"/>
  <sheetViews>
    <sheetView topLeftCell="A22" zoomScaleNormal="100" zoomScaleSheetLayoutView="90" workbookViewId="0">
      <selection activeCell="C15" sqref="C15"/>
    </sheetView>
  </sheetViews>
  <sheetFormatPr defaultColWidth="9.109375" defaultRowHeight="15.6"/>
  <cols>
    <col min="1" max="1" width="5.88671875" style="6" bestFit="1" customWidth="1"/>
    <col min="2" max="2" width="17.33203125" style="6" bestFit="1" customWidth="1"/>
    <col min="3" max="3" width="99" style="4" customWidth="1"/>
    <col min="4" max="16384" width="9.109375" style="4"/>
  </cols>
  <sheetData>
    <row r="1" spans="1:5">
      <c r="A1" s="869" t="s">
        <v>783</v>
      </c>
      <c r="B1" s="869"/>
      <c r="C1" s="869"/>
      <c r="D1" s="3"/>
      <c r="E1" s="3"/>
    </row>
    <row r="2" spans="1:5">
      <c r="A2" s="869" t="s">
        <v>790</v>
      </c>
      <c r="B2" s="869"/>
      <c r="C2" s="869"/>
      <c r="D2" s="3"/>
      <c r="E2" s="3"/>
    </row>
    <row r="3" spans="1:5">
      <c r="A3" s="869" t="s">
        <v>1985</v>
      </c>
      <c r="B3" s="869"/>
      <c r="C3" s="869"/>
      <c r="D3" s="3"/>
      <c r="E3" s="3"/>
    </row>
    <row r="4" spans="1:5">
      <c r="A4" s="12"/>
      <c r="B4" s="12"/>
      <c r="C4" s="5"/>
      <c r="D4" s="5"/>
      <c r="E4" s="5"/>
    </row>
    <row r="5" spans="1:5">
      <c r="A5" s="13"/>
      <c r="B5" s="13"/>
      <c r="C5" s="14"/>
    </row>
    <row r="6" spans="1:5">
      <c r="A6" s="10" t="s">
        <v>782</v>
      </c>
      <c r="B6" s="10" t="s">
        <v>1824</v>
      </c>
      <c r="C6" s="10" t="s">
        <v>2456</v>
      </c>
    </row>
    <row r="8" spans="1:5" s="24" customFormat="1" ht="46.8">
      <c r="A8" s="792">
        <v>1</v>
      </c>
      <c r="B8" s="792">
        <v>300233</v>
      </c>
      <c r="C8" s="816" t="s">
        <v>2470</v>
      </c>
    </row>
    <row r="9" spans="1:5" s="24" customFormat="1">
      <c r="A9" s="792"/>
      <c r="B9" s="792"/>
    </row>
    <row r="10" spans="1:5" s="24" customFormat="1" ht="62.4">
      <c r="A10" s="792">
        <v>2</v>
      </c>
      <c r="B10" s="792">
        <v>302596</v>
      </c>
      <c r="C10" s="816" t="s">
        <v>2466</v>
      </c>
    </row>
    <row r="11" spans="1:5" s="24" customFormat="1">
      <c r="A11" s="792"/>
      <c r="B11" s="792"/>
      <c r="C11" s="9"/>
    </row>
    <row r="12" spans="1:5" s="24" customFormat="1">
      <c r="A12" s="792">
        <v>3</v>
      </c>
      <c r="B12" s="792">
        <v>306988</v>
      </c>
      <c r="C12" s="24" t="s">
        <v>2465</v>
      </c>
    </row>
    <row r="13" spans="1:5" s="24" customFormat="1">
      <c r="A13" s="792"/>
      <c r="B13" s="792"/>
    </row>
    <row r="14" spans="1:5" s="24" customFormat="1" ht="62.4">
      <c r="A14" s="792">
        <v>4</v>
      </c>
      <c r="B14" s="792">
        <v>306998</v>
      </c>
      <c r="C14" s="797" t="s">
        <v>2458</v>
      </c>
    </row>
    <row r="15" spans="1:5" s="24" customFormat="1">
      <c r="A15" s="792"/>
      <c r="B15" s="792"/>
      <c r="C15" s="797"/>
    </row>
    <row r="16" spans="1:5" s="24" customFormat="1" ht="46.8">
      <c r="A16" s="792">
        <v>5</v>
      </c>
      <c r="B16" s="792">
        <v>316429</v>
      </c>
      <c r="C16" s="816" t="s">
        <v>2472</v>
      </c>
    </row>
    <row r="17" spans="1:3" s="24" customFormat="1">
      <c r="A17" s="792"/>
      <c r="B17" s="792"/>
      <c r="C17" s="425"/>
    </row>
    <row r="18" spans="1:3" s="24" customFormat="1">
      <c r="A18" s="792">
        <v>6</v>
      </c>
      <c r="B18" s="792">
        <v>316586</v>
      </c>
      <c r="C18" s="9" t="s">
        <v>2471</v>
      </c>
    </row>
    <row r="19" spans="1:3" s="24" customFormat="1">
      <c r="A19" s="792"/>
      <c r="B19" s="792"/>
      <c r="C19" s="9"/>
    </row>
    <row r="20" spans="1:3" s="24" customFormat="1">
      <c r="A20" s="792">
        <v>7</v>
      </c>
      <c r="B20" s="792">
        <v>316587</v>
      </c>
      <c r="C20" s="816" t="s">
        <v>2467</v>
      </c>
    </row>
    <row r="21" spans="1:3" s="24" customFormat="1">
      <c r="A21" s="792"/>
      <c r="B21" s="792"/>
      <c r="C21" s="425"/>
    </row>
    <row r="22" spans="1:3" s="24" customFormat="1">
      <c r="A22" s="792">
        <v>8</v>
      </c>
      <c r="B22" s="792">
        <v>316589</v>
      </c>
      <c r="C22" s="457" t="s">
        <v>2465</v>
      </c>
    </row>
    <row r="23" spans="1:3" s="24" customFormat="1">
      <c r="A23" s="792"/>
      <c r="B23" s="792"/>
      <c r="C23" s="457"/>
    </row>
    <row r="24" spans="1:3" s="24" customFormat="1">
      <c r="A24" s="792">
        <v>9</v>
      </c>
      <c r="B24" s="792">
        <v>316670</v>
      </c>
      <c r="C24" s="816" t="s">
        <v>2467</v>
      </c>
    </row>
    <row r="25" spans="1:3" s="24" customFormat="1">
      <c r="A25" s="792"/>
      <c r="B25" s="792"/>
    </row>
    <row r="26" spans="1:3" s="24" customFormat="1" ht="46.8">
      <c r="A26" s="792">
        <v>10</v>
      </c>
      <c r="B26" s="792">
        <v>317060</v>
      </c>
      <c r="C26" s="816" t="s">
        <v>2464</v>
      </c>
    </row>
    <row r="27" spans="1:3">
      <c r="A27" s="11"/>
      <c r="B27" s="792"/>
      <c r="C27" s="425"/>
    </row>
    <row r="28" spans="1:3" s="24" customFormat="1">
      <c r="A28" s="792">
        <v>11</v>
      </c>
      <c r="B28" s="792">
        <v>317322</v>
      </c>
      <c r="C28" s="816" t="s">
        <v>2471</v>
      </c>
    </row>
    <row r="29" spans="1:3" s="24" customFormat="1">
      <c r="A29" s="792"/>
      <c r="B29" s="792"/>
    </row>
    <row r="30" spans="1:3" s="24" customFormat="1">
      <c r="A30" s="792">
        <v>12</v>
      </c>
      <c r="B30" s="792">
        <v>317535</v>
      </c>
      <c r="C30" s="816" t="s">
        <v>2467</v>
      </c>
    </row>
    <row r="31" spans="1:3" s="24" customFormat="1">
      <c r="A31" s="792"/>
      <c r="B31" s="792"/>
      <c r="C31" s="425"/>
    </row>
    <row r="32" spans="1:3" s="24" customFormat="1" ht="46.8">
      <c r="A32" s="792">
        <v>13</v>
      </c>
      <c r="B32" s="792">
        <v>318352</v>
      </c>
      <c r="C32" s="9" t="s">
        <v>2460</v>
      </c>
    </row>
    <row r="33" spans="1:3" s="24" customFormat="1">
      <c r="A33" s="792"/>
      <c r="B33" s="792"/>
      <c r="C33" s="9"/>
    </row>
    <row r="34" spans="1:3" s="24" customFormat="1" ht="62.4">
      <c r="A34" s="792">
        <v>14</v>
      </c>
      <c r="B34" s="792">
        <v>318482</v>
      </c>
      <c r="C34" s="816" t="s">
        <v>2463</v>
      </c>
    </row>
    <row r="35" spans="1:3" s="24" customFormat="1">
      <c r="A35" s="792"/>
      <c r="B35" s="792"/>
      <c r="C35" s="425"/>
    </row>
    <row r="36" spans="1:3" s="24" customFormat="1" ht="31.2">
      <c r="A36" s="792">
        <v>15</v>
      </c>
      <c r="B36" s="792">
        <v>318566</v>
      </c>
      <c r="C36" s="816" t="s">
        <v>2461</v>
      </c>
    </row>
    <row r="37" spans="1:3" s="24" customFormat="1">
      <c r="A37" s="792"/>
      <c r="B37" s="792"/>
    </row>
    <row r="38" spans="1:3" s="24" customFormat="1" ht="46.8">
      <c r="A38" s="792">
        <v>16</v>
      </c>
      <c r="B38" s="792">
        <v>318588</v>
      </c>
      <c r="C38" s="816" t="s">
        <v>2473</v>
      </c>
    </row>
    <row r="39" spans="1:3" s="24" customFormat="1">
      <c r="A39" s="792"/>
      <c r="B39" s="792"/>
      <c r="C39" s="425"/>
    </row>
    <row r="40" spans="1:3" s="24" customFormat="1" ht="46.8">
      <c r="A40" s="792">
        <v>17</v>
      </c>
      <c r="B40" s="792">
        <v>318690</v>
      </c>
      <c r="C40" s="816" t="s">
        <v>2459</v>
      </c>
    </row>
    <row r="41" spans="1:3" s="24" customFormat="1">
      <c r="A41" s="792"/>
      <c r="B41" s="792"/>
      <c r="C41" s="425"/>
    </row>
    <row r="42" spans="1:3" s="24" customFormat="1" ht="62.4">
      <c r="A42" s="792">
        <v>18</v>
      </c>
      <c r="B42" s="792">
        <v>318742</v>
      </c>
      <c r="C42" s="816" t="s">
        <v>2462</v>
      </c>
    </row>
    <row r="43" spans="1:3" s="24" customFormat="1">
      <c r="A43" s="792"/>
      <c r="B43" s="792"/>
      <c r="C43" s="425"/>
    </row>
    <row r="44" spans="1:3" s="24" customFormat="1">
      <c r="A44" s="792">
        <v>19</v>
      </c>
      <c r="B44" s="792">
        <v>318746</v>
      </c>
      <c r="C44" s="24" t="s">
        <v>2465</v>
      </c>
    </row>
    <row r="45" spans="1:3" s="24" customFormat="1">
      <c r="A45" s="792"/>
      <c r="B45" s="792"/>
    </row>
    <row r="46" spans="1:3" s="24" customFormat="1">
      <c r="A46" s="792">
        <v>20</v>
      </c>
      <c r="B46" s="792">
        <v>318747</v>
      </c>
      <c r="C46" s="24" t="s">
        <v>2465</v>
      </c>
    </row>
    <row r="47" spans="1:3" s="24" customFormat="1">
      <c r="A47" s="792"/>
      <c r="B47" s="792"/>
    </row>
    <row r="48" spans="1:3" s="24" customFormat="1">
      <c r="A48" s="792">
        <v>21</v>
      </c>
      <c r="B48" s="792">
        <v>318808</v>
      </c>
      <c r="C48" s="816" t="s">
        <v>2469</v>
      </c>
    </row>
    <row r="49" spans="1:3" s="24" customFormat="1">
      <c r="A49" s="792"/>
      <c r="B49" s="792"/>
      <c r="C49" s="8"/>
    </row>
    <row r="50" spans="1:3" s="24" customFormat="1">
      <c r="A50" s="792">
        <v>22</v>
      </c>
      <c r="B50" s="792">
        <v>318829</v>
      </c>
      <c r="C50" s="816" t="s">
        <v>2469</v>
      </c>
    </row>
    <row r="51" spans="1:3">
      <c r="A51" s="11"/>
      <c r="B51" s="11"/>
      <c r="C51" s="8"/>
    </row>
    <row r="52" spans="1:3" s="24" customFormat="1" ht="46.8">
      <c r="A52" s="792">
        <v>23</v>
      </c>
      <c r="B52" s="792">
        <v>318987</v>
      </c>
      <c r="C52" s="816" t="s">
        <v>2468</v>
      </c>
    </row>
    <row r="53" spans="1:3">
      <c r="A53" s="11"/>
      <c r="B53" s="26"/>
      <c r="C53" s="425"/>
    </row>
    <row r="54" spans="1:3" s="24" customFormat="1" ht="31.2">
      <c r="A54" s="792">
        <v>24</v>
      </c>
      <c r="B54" s="792">
        <v>319056</v>
      </c>
      <c r="C54" s="816" t="s">
        <v>2475</v>
      </c>
    </row>
    <row r="55" spans="1:3" s="24" customFormat="1">
      <c r="A55" s="792"/>
      <c r="B55" s="792"/>
      <c r="C55" s="425"/>
    </row>
    <row r="56" spans="1:3" s="24" customFormat="1" ht="31.2">
      <c r="A56" s="792">
        <v>25</v>
      </c>
      <c r="B56" s="792">
        <v>319063</v>
      </c>
      <c r="C56" s="816" t="s">
        <v>2474</v>
      </c>
    </row>
    <row r="57" spans="1:3">
      <c r="A57" s="11"/>
      <c r="B57" s="792"/>
      <c r="C57" s="9"/>
    </row>
    <row r="58" spans="1:3" s="24" customFormat="1" ht="62.4">
      <c r="A58" s="792">
        <v>26</v>
      </c>
      <c r="B58" s="792">
        <v>319072</v>
      </c>
      <c r="C58" s="9" t="s">
        <v>2457</v>
      </c>
    </row>
    <row r="59" spans="1:3" s="24" customFormat="1">
      <c r="A59" s="792"/>
      <c r="B59" s="792"/>
      <c r="C59" s="9"/>
    </row>
    <row r="60" spans="1:3" s="24" customFormat="1" ht="46.8">
      <c r="A60" s="792">
        <v>27</v>
      </c>
      <c r="B60" s="795" t="s">
        <v>2447</v>
      </c>
      <c r="C60" s="816" t="s">
        <v>2450</v>
      </c>
    </row>
    <row r="61" spans="1:3" s="24" customFormat="1">
      <c r="A61" s="792"/>
    </row>
    <row r="62" spans="1:3" s="24" customFormat="1" ht="46.8">
      <c r="A62" s="792">
        <v>28</v>
      </c>
      <c r="B62" s="11" t="s">
        <v>2448</v>
      </c>
      <c r="C62" s="816" t="s">
        <v>2449</v>
      </c>
    </row>
    <row r="63" spans="1:3" s="24" customFormat="1">
      <c r="A63" s="792"/>
    </row>
    <row r="64" spans="1:3" s="24" customFormat="1">
      <c r="A64" s="792"/>
    </row>
    <row r="65" spans="1:3" s="24" customFormat="1">
      <c r="A65" s="792"/>
      <c r="B65" s="792"/>
      <c r="C65" s="9"/>
    </row>
    <row r="66" spans="1:3" s="24" customFormat="1">
      <c r="A66" s="792"/>
      <c r="B66" s="792"/>
      <c r="C66" s="425"/>
    </row>
    <row r="67" spans="1:3" s="24" customFormat="1">
      <c r="A67" s="792"/>
      <c r="B67" s="792"/>
      <c r="C67" s="425"/>
    </row>
    <row r="68" spans="1:3" s="24" customFormat="1">
      <c r="A68" s="792"/>
      <c r="B68" s="792"/>
      <c r="C68" s="425"/>
    </row>
    <row r="69" spans="1:3" s="24" customFormat="1">
      <c r="A69" s="792"/>
      <c r="B69" s="792"/>
      <c r="C69" s="425"/>
    </row>
    <row r="70" spans="1:3" s="24" customFormat="1">
      <c r="A70" s="792"/>
      <c r="B70" s="11"/>
      <c r="C70" s="7"/>
    </row>
    <row r="71" spans="1:3" s="24" customFormat="1">
      <c r="A71" s="792"/>
      <c r="B71" s="792"/>
      <c r="C71" s="796"/>
    </row>
    <row r="72" spans="1:3" s="24" customFormat="1">
      <c r="A72" s="792"/>
      <c r="B72" s="792"/>
      <c r="C72" s="457"/>
    </row>
    <row r="73" spans="1:3" s="24" customFormat="1">
      <c r="A73" s="792"/>
      <c r="B73" s="792"/>
      <c r="C73" s="425"/>
    </row>
    <row r="74" spans="1:3" s="24" customFormat="1">
      <c r="A74" s="792"/>
      <c r="B74" s="792"/>
      <c r="C74" s="425"/>
    </row>
    <row r="75" spans="1:3" s="24" customFormat="1">
      <c r="A75" s="792"/>
      <c r="B75" s="792"/>
      <c r="C75" s="425"/>
    </row>
    <row r="76" spans="1:3" s="24" customFormat="1">
      <c r="A76" s="792"/>
      <c r="B76" s="792"/>
      <c r="C76" s="425"/>
    </row>
    <row r="77" spans="1:3" s="24" customFormat="1">
      <c r="A77" s="792"/>
      <c r="B77" s="11"/>
      <c r="C77" s="8"/>
    </row>
    <row r="78" spans="1:3" s="24" customFormat="1">
      <c r="A78" s="792"/>
      <c r="B78" s="11"/>
      <c r="C78" s="8"/>
    </row>
    <row r="79" spans="1:3" s="24" customFormat="1">
      <c r="A79" s="792"/>
      <c r="B79" s="792"/>
      <c r="C79" s="425"/>
    </row>
    <row r="80" spans="1:3" s="24" customFormat="1">
      <c r="A80" s="792"/>
      <c r="B80" s="792"/>
      <c r="C80" s="425"/>
    </row>
    <row r="81" spans="1:3" s="24" customFormat="1">
      <c r="A81" s="792"/>
      <c r="B81" s="792"/>
      <c r="C81" s="425"/>
    </row>
    <row r="82" spans="1:3" s="24" customFormat="1">
      <c r="A82" s="792"/>
      <c r="B82" s="792"/>
      <c r="C82" s="425"/>
    </row>
    <row r="83" spans="1:3" s="24" customFormat="1">
      <c r="A83" s="792"/>
      <c r="B83" s="792"/>
      <c r="C83" s="425"/>
    </row>
    <row r="84" spans="1:3" s="24" customFormat="1">
      <c r="A84" s="792"/>
      <c r="B84" s="792"/>
      <c r="C84" s="425"/>
    </row>
    <row r="85" spans="1:3" s="24" customFormat="1">
      <c r="A85" s="792"/>
      <c r="B85" s="792"/>
      <c r="C85" s="425"/>
    </row>
    <row r="86" spans="1:3">
      <c r="A86" s="11"/>
      <c r="B86" s="792"/>
      <c r="C86" s="425"/>
    </row>
    <row r="87" spans="1:3">
      <c r="A87" s="11"/>
      <c r="B87" s="792"/>
      <c r="C87" s="425"/>
    </row>
    <row r="88" spans="1:3">
      <c r="A88" s="11"/>
      <c r="B88" s="792"/>
      <c r="C88" s="425"/>
    </row>
    <row r="89" spans="1:3">
      <c r="A89" s="11"/>
      <c r="B89" s="792"/>
      <c r="C89" s="795"/>
    </row>
    <row r="90" spans="1:3">
      <c r="A90" s="11"/>
      <c r="B90" s="26"/>
      <c r="C90" s="425"/>
    </row>
    <row r="91" spans="1:3">
      <c r="A91" s="11"/>
      <c r="B91" s="26"/>
      <c r="C91" s="425"/>
    </row>
    <row r="92" spans="1:3">
      <c r="A92" s="11"/>
      <c r="B92" s="792"/>
      <c r="C92" s="425"/>
    </row>
    <row r="93" spans="1:3">
      <c r="A93" s="11"/>
      <c r="B93" s="11"/>
      <c r="C93" s="8"/>
    </row>
    <row r="94" spans="1:3">
      <c r="A94" s="11"/>
      <c r="B94" s="11"/>
      <c r="C94" s="8"/>
    </row>
    <row r="95" spans="1:3">
      <c r="A95" s="11"/>
      <c r="B95" s="11"/>
      <c r="C95" s="8"/>
    </row>
    <row r="96" spans="1:3">
      <c r="A96" s="11"/>
      <c r="B96" s="11"/>
    </row>
    <row r="97" spans="1:3">
      <c r="A97" s="11"/>
      <c r="B97" s="11"/>
    </row>
    <row r="98" spans="1:3">
      <c r="A98" s="11"/>
      <c r="B98" s="11"/>
    </row>
    <row r="99" spans="1:3">
      <c r="A99" s="11"/>
    </row>
    <row r="100" spans="1:3">
      <c r="A100" s="11"/>
    </row>
    <row r="101" spans="1:3">
      <c r="A101" s="11"/>
    </row>
    <row r="102" spans="1:3">
      <c r="A102" s="11"/>
      <c r="C102" s="413"/>
    </row>
    <row r="103" spans="1:3">
      <c r="A103" s="11"/>
    </row>
    <row r="104" spans="1:3">
      <c r="A104" s="11"/>
      <c r="C104" s="24"/>
    </row>
    <row r="105" spans="1:3">
      <c r="A105" s="11"/>
    </row>
  </sheetData>
  <sortState xmlns:xlrd2="http://schemas.microsoft.com/office/spreadsheetml/2017/richdata2" ref="B8:C64">
    <sortCondition ref="B8:B64"/>
  </sortState>
  <mergeCells count="3">
    <mergeCell ref="A1:C1"/>
    <mergeCell ref="A2:C2"/>
    <mergeCell ref="A3:C3"/>
  </mergeCells>
  <printOptions horizontalCentered="1"/>
  <pageMargins left="0.7" right="0.7" top="1" bottom="1" header="0.3" footer="0.3"/>
  <pageSetup scale="70" firstPageNumber="4" fitToHeight="0" orientation="portrait" useFirstPageNumber="1" r:id="rId1"/>
  <headerFooter scaleWithDoc="0" alignWithMargins="0">
    <oddHeader>&amp;RDocket No. UG-20___
Exhibit _____ (MCP-6)
Page &amp;P of 5</oddHeader>
  </headerFooter>
  <rowBreaks count="2" manualBreakCount="2">
    <brk id="37" max="2" man="1"/>
    <brk id="64"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AL70" sqref="AL70"/>
    </sheetView>
  </sheetViews>
  <sheetFormatPr defaultColWidth="9.109375" defaultRowHeight="15.6"/>
  <cols>
    <col min="1" max="16384" width="9.109375" style="4"/>
  </cols>
  <sheetData>
    <row r="2" spans="1:9">
      <c r="A2" s="866" t="s">
        <v>60</v>
      </c>
      <c r="B2" s="866"/>
      <c r="C2" s="866"/>
      <c r="D2" s="866"/>
      <c r="E2" s="866"/>
      <c r="F2" s="866"/>
      <c r="G2" s="866"/>
      <c r="H2" s="866"/>
      <c r="I2" s="866"/>
    </row>
    <row r="3" spans="1:9">
      <c r="A3" s="866" t="s">
        <v>1863</v>
      </c>
      <c r="B3" s="866"/>
      <c r="C3" s="866"/>
      <c r="D3" s="866"/>
      <c r="E3" s="866"/>
      <c r="F3" s="866"/>
      <c r="G3" s="866"/>
      <c r="H3" s="866"/>
      <c r="I3" s="866"/>
    </row>
    <row r="4" spans="1:9">
      <c r="A4" s="866" t="s">
        <v>1396</v>
      </c>
      <c r="B4" s="866"/>
      <c r="C4" s="866"/>
      <c r="D4" s="866"/>
      <c r="E4" s="866"/>
      <c r="F4" s="866"/>
      <c r="G4" s="866"/>
      <c r="H4" s="866"/>
      <c r="I4" s="866"/>
    </row>
    <row r="5" spans="1:9">
      <c r="A5" s="866"/>
      <c r="B5" s="866"/>
      <c r="C5" s="866"/>
      <c r="D5" s="866"/>
      <c r="E5" s="866"/>
      <c r="F5" s="866"/>
      <c r="G5" s="866"/>
      <c r="H5" s="866"/>
      <c r="I5" s="866"/>
    </row>
    <row r="6" spans="1:9">
      <c r="A6" s="866"/>
      <c r="B6" s="866"/>
      <c r="C6" s="866"/>
      <c r="D6" s="866"/>
      <c r="E6" s="866"/>
      <c r="F6" s="866"/>
      <c r="G6" s="866"/>
      <c r="H6" s="866"/>
      <c r="I6" s="866"/>
    </row>
    <row r="11" spans="1:9">
      <c r="G11" s="14"/>
    </row>
    <row r="14" spans="1:9">
      <c r="A14" s="870" t="s">
        <v>795</v>
      </c>
      <c r="B14" s="870"/>
      <c r="C14" s="870"/>
      <c r="D14" s="870"/>
      <c r="E14" s="870"/>
      <c r="F14" s="870"/>
      <c r="G14" s="870"/>
      <c r="H14" s="870"/>
      <c r="I14" s="870"/>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1"/>
  <sheetViews>
    <sheetView view="pageBreakPreview" zoomScaleNormal="100" zoomScaleSheetLayoutView="100" workbookViewId="0">
      <selection activeCell="O20" sqref="O20"/>
    </sheetView>
  </sheetViews>
  <sheetFormatPr defaultColWidth="9.109375" defaultRowHeight="15.6"/>
  <cols>
    <col min="1" max="1" width="13" style="4" bestFit="1" customWidth="1"/>
    <col min="2" max="2" width="43.109375" style="4" bestFit="1" customWidth="1"/>
    <col min="3" max="3" width="3.44140625" style="4" customWidth="1"/>
    <col min="4" max="4" width="14.5546875" style="4" bestFit="1" customWidth="1"/>
    <col min="5" max="5" width="4" style="4" customWidth="1"/>
    <col min="6" max="6" width="9.5546875" style="238" bestFit="1" customWidth="1"/>
    <col min="7" max="7" width="9.109375" style="4"/>
    <col min="8" max="8" width="8.109375" style="4" bestFit="1" customWidth="1"/>
    <col min="9" max="16384" width="9.109375" style="4"/>
  </cols>
  <sheetData>
    <row r="1" spans="1:10">
      <c r="A1" s="29"/>
      <c r="B1" s="29"/>
      <c r="C1" s="29"/>
      <c r="D1" s="29"/>
      <c r="E1" s="29"/>
    </row>
    <row r="2" spans="1:10">
      <c r="A2" s="866" t="s">
        <v>60</v>
      </c>
      <c r="B2" s="866"/>
      <c r="C2" s="866"/>
      <c r="D2" s="866"/>
      <c r="E2" s="866"/>
      <c r="F2" s="866"/>
      <c r="G2" s="3"/>
      <c r="H2" s="3"/>
    </row>
    <row r="3" spans="1:10">
      <c r="A3" s="866" t="s">
        <v>1863</v>
      </c>
      <c r="B3" s="866"/>
      <c r="C3" s="866"/>
      <c r="D3" s="866"/>
      <c r="E3" s="866"/>
      <c r="F3" s="866"/>
      <c r="G3" s="3"/>
      <c r="H3" s="3"/>
    </row>
    <row r="4" spans="1:10">
      <c r="A4" s="866" t="s">
        <v>1287</v>
      </c>
      <c r="B4" s="866"/>
      <c r="C4" s="866"/>
      <c r="D4" s="866"/>
      <c r="E4" s="866"/>
      <c r="F4" s="866"/>
      <c r="G4" s="3"/>
      <c r="H4" s="3"/>
    </row>
    <row r="5" spans="1:10">
      <c r="A5" s="866" t="s">
        <v>791</v>
      </c>
      <c r="B5" s="866"/>
      <c r="C5" s="866"/>
      <c r="D5" s="866"/>
      <c r="E5" s="866"/>
      <c r="F5" s="866"/>
      <c r="G5" s="3"/>
      <c r="H5" s="3"/>
    </row>
    <row r="6" spans="1:10">
      <c r="A6" s="866" t="s">
        <v>1862</v>
      </c>
      <c r="B6" s="866"/>
      <c r="C6" s="866"/>
      <c r="D6" s="866"/>
      <c r="E6" s="866"/>
      <c r="F6" s="866"/>
      <c r="G6" s="3"/>
      <c r="H6" s="3"/>
    </row>
    <row r="7" spans="1:10">
      <c r="B7" s="27"/>
      <c r="C7" s="27"/>
      <c r="D7" s="27"/>
      <c r="E7" s="27"/>
      <c r="F7" s="30"/>
      <c r="G7" s="3"/>
      <c r="H7" s="3"/>
    </row>
    <row r="8" spans="1:10">
      <c r="B8" s="6" t="s">
        <v>800</v>
      </c>
      <c r="C8" s="6"/>
      <c r="D8" s="6" t="s">
        <v>801</v>
      </c>
      <c r="E8" s="6"/>
      <c r="F8" s="238" t="s">
        <v>802</v>
      </c>
    </row>
    <row r="9" spans="1:10">
      <c r="B9" s="28"/>
      <c r="C9" s="28"/>
      <c r="D9" s="28"/>
      <c r="E9" s="28"/>
      <c r="F9" s="261"/>
    </row>
    <row r="10" spans="1:10">
      <c r="A10" s="25" t="s">
        <v>799</v>
      </c>
      <c r="B10" s="22" t="s">
        <v>1054</v>
      </c>
      <c r="D10" s="22" t="s">
        <v>793</v>
      </c>
      <c r="E10" s="22"/>
      <c r="F10" s="262" t="s">
        <v>792</v>
      </c>
      <c r="G10" s="22"/>
    </row>
    <row r="11" spans="1:10">
      <c r="A11" s="25"/>
      <c r="B11" s="6" t="s">
        <v>1106</v>
      </c>
      <c r="D11" s="22"/>
      <c r="E11" s="22"/>
      <c r="F11" s="262"/>
      <c r="G11" s="22"/>
    </row>
    <row r="12" spans="1:10">
      <c r="A12" s="6">
        <v>1</v>
      </c>
      <c r="B12" s="4" t="s">
        <v>791</v>
      </c>
      <c r="D12" s="4" t="s">
        <v>1287</v>
      </c>
      <c r="F12" s="238">
        <v>1</v>
      </c>
    </row>
    <row r="13" spans="1:10">
      <c r="A13" s="6">
        <f>A12+1</f>
        <v>2</v>
      </c>
      <c r="B13" s="4" t="s">
        <v>756</v>
      </c>
      <c r="D13" s="4" t="s">
        <v>1289</v>
      </c>
      <c r="F13" s="263" t="s">
        <v>2385</v>
      </c>
    </row>
    <row r="14" spans="1:10" s="24" customFormat="1">
      <c r="A14" s="26">
        <f t="shared" ref="A14:A30" si="0">A13+1</f>
        <v>3</v>
      </c>
      <c r="B14" s="24" t="s">
        <v>41</v>
      </c>
      <c r="D14" s="24" t="s">
        <v>1296</v>
      </c>
      <c r="F14" s="238">
        <v>9</v>
      </c>
    </row>
    <row r="15" spans="1:10">
      <c r="A15" s="6">
        <f t="shared" si="0"/>
        <v>4</v>
      </c>
      <c r="B15" s="4" t="s">
        <v>1035</v>
      </c>
      <c r="D15" s="4" t="s">
        <v>1347</v>
      </c>
      <c r="F15" s="793" t="s">
        <v>2390</v>
      </c>
      <c r="G15" s="793"/>
      <c r="H15" s="706"/>
    </row>
    <row r="16" spans="1:10">
      <c r="A16" s="6">
        <f t="shared" si="0"/>
        <v>5</v>
      </c>
      <c r="B16" s="4" t="s">
        <v>1053</v>
      </c>
      <c r="C16" s="23"/>
      <c r="D16" s="4" t="s">
        <v>1335</v>
      </c>
      <c r="E16" s="23"/>
      <c r="F16" s="238" t="s">
        <v>2386</v>
      </c>
      <c r="G16" s="794"/>
      <c r="H16" s="23"/>
      <c r="I16" s="23"/>
      <c r="J16" s="23"/>
    </row>
    <row r="17" spans="1:8">
      <c r="A17" s="6">
        <f t="shared" si="0"/>
        <v>6</v>
      </c>
      <c r="B17" s="23" t="s">
        <v>722</v>
      </c>
      <c r="D17" s="4" t="s">
        <v>1387</v>
      </c>
      <c r="F17" s="238">
        <v>30</v>
      </c>
    </row>
    <row r="18" spans="1:8">
      <c r="A18" s="6">
        <f t="shared" si="0"/>
        <v>7</v>
      </c>
      <c r="B18" s="23" t="s">
        <v>1094</v>
      </c>
      <c r="D18" s="4" t="s">
        <v>1388</v>
      </c>
      <c r="F18" s="238">
        <v>31</v>
      </c>
    </row>
    <row r="19" spans="1:8">
      <c r="A19" s="6"/>
      <c r="B19" s="6" t="s">
        <v>796</v>
      </c>
    </row>
    <row r="20" spans="1:8">
      <c r="A20" s="6">
        <v>8</v>
      </c>
      <c r="B20" s="4" t="s">
        <v>1848</v>
      </c>
      <c r="D20" s="4" t="s">
        <v>1290</v>
      </c>
      <c r="F20" s="238">
        <v>33</v>
      </c>
      <c r="H20" s="706"/>
    </row>
    <row r="21" spans="1:8">
      <c r="A21" s="6">
        <f t="shared" si="0"/>
        <v>9</v>
      </c>
      <c r="B21" s="4" t="s">
        <v>797</v>
      </c>
      <c r="D21" s="4" t="s">
        <v>1284</v>
      </c>
      <c r="F21" s="238" t="s">
        <v>2389</v>
      </c>
    </row>
    <row r="22" spans="1:8">
      <c r="A22" s="6">
        <f t="shared" si="0"/>
        <v>10</v>
      </c>
      <c r="B22" s="4" t="s">
        <v>1854</v>
      </c>
      <c r="D22" s="4" t="s">
        <v>1285</v>
      </c>
      <c r="F22" s="238">
        <v>36</v>
      </c>
    </row>
    <row r="23" spans="1:8">
      <c r="A23" s="6">
        <f t="shared" si="0"/>
        <v>11</v>
      </c>
      <c r="B23" s="4" t="s">
        <v>1849</v>
      </c>
      <c r="D23" s="4" t="s">
        <v>1286</v>
      </c>
      <c r="F23" s="238">
        <v>37</v>
      </c>
    </row>
    <row r="24" spans="1:8">
      <c r="A24" s="6">
        <f t="shared" si="0"/>
        <v>12</v>
      </c>
      <c r="B24" s="4" t="s">
        <v>1857</v>
      </c>
      <c r="D24" s="4" t="s">
        <v>1389</v>
      </c>
      <c r="F24" s="238">
        <v>38</v>
      </c>
    </row>
    <row r="25" spans="1:8">
      <c r="A25" s="6">
        <f t="shared" si="0"/>
        <v>13</v>
      </c>
      <c r="B25" s="4" t="s">
        <v>1855</v>
      </c>
      <c r="D25" s="4" t="s">
        <v>1302</v>
      </c>
      <c r="F25" s="238" t="s">
        <v>2387</v>
      </c>
    </row>
    <row r="26" spans="1:8">
      <c r="A26" s="6">
        <f t="shared" si="0"/>
        <v>14</v>
      </c>
      <c r="B26" s="4" t="s">
        <v>1385</v>
      </c>
      <c r="D26" s="4" t="s">
        <v>1303</v>
      </c>
      <c r="F26" s="238">
        <v>42</v>
      </c>
    </row>
    <row r="27" spans="1:8">
      <c r="A27" s="6">
        <f t="shared" si="0"/>
        <v>15</v>
      </c>
      <c r="B27" s="4" t="s">
        <v>84</v>
      </c>
      <c r="D27" s="4" t="s">
        <v>1304</v>
      </c>
      <c r="F27" s="238">
        <v>43</v>
      </c>
    </row>
    <row r="28" spans="1:8">
      <c r="A28" s="6">
        <f t="shared" si="0"/>
        <v>16</v>
      </c>
      <c r="B28" s="4" t="s">
        <v>723</v>
      </c>
      <c r="D28" s="4" t="s">
        <v>1308</v>
      </c>
      <c r="F28" s="238">
        <v>44</v>
      </c>
    </row>
    <row r="29" spans="1:8">
      <c r="A29" s="6">
        <f t="shared" si="0"/>
        <v>17</v>
      </c>
      <c r="B29" s="4" t="s">
        <v>739</v>
      </c>
      <c r="D29" s="4" t="s">
        <v>1390</v>
      </c>
      <c r="F29" s="238">
        <v>45</v>
      </c>
    </row>
    <row r="30" spans="1:8">
      <c r="A30" s="6">
        <f t="shared" si="0"/>
        <v>18</v>
      </c>
      <c r="B30" s="4" t="s">
        <v>1856</v>
      </c>
      <c r="D30" s="4" t="s">
        <v>1309</v>
      </c>
      <c r="F30" s="238" t="s">
        <v>2388</v>
      </c>
    </row>
    <row r="31" spans="1:8">
      <c r="A31" s="6"/>
    </row>
    <row r="32" spans="1:8">
      <c r="A32" s="6"/>
    </row>
    <row r="33" spans="1:4">
      <c r="A33" s="6"/>
    </row>
    <row r="34" spans="1:4">
      <c r="A34" s="6"/>
      <c r="D34" s="706"/>
    </row>
    <row r="35" spans="1:4">
      <c r="D35" s="706"/>
    </row>
    <row r="41" spans="1:4">
      <c r="B41" s="4" t="s">
        <v>798</v>
      </c>
    </row>
  </sheetData>
  <mergeCells count="5">
    <mergeCell ref="A2:F2"/>
    <mergeCell ref="A3:F3"/>
    <mergeCell ref="A4:F4"/>
    <mergeCell ref="A5:F5"/>
    <mergeCell ref="A6:F6"/>
  </mergeCells>
  <phoneticPr fontId="142" type="noConversion"/>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9"/>
  </sheetPr>
  <dimension ref="A1:V188"/>
  <sheetViews>
    <sheetView view="pageBreakPreview" zoomScale="60" zoomScaleNormal="100" workbookViewId="0">
      <pane xSplit="2" ySplit="5" topLeftCell="N118" activePane="bottomRight" state="frozen"/>
      <selection activeCell="G24" sqref="F24:G24"/>
      <selection pane="topRight" activeCell="G24" sqref="F24:G24"/>
      <selection pane="bottomLeft" activeCell="G24" sqref="F24:G24"/>
      <selection pane="bottomRight" activeCell="U153" sqref="U153"/>
    </sheetView>
  </sheetViews>
  <sheetFormatPr defaultColWidth="9.109375" defaultRowHeight="15.6"/>
  <cols>
    <col min="1" max="1" width="9.33203125" style="409" bestFit="1" customWidth="1"/>
    <col min="2" max="2" width="10.44140625" style="24" bestFit="1" customWidth="1"/>
    <col min="3" max="3" width="44.33203125" style="24" customWidth="1"/>
    <col min="4" max="4" width="2.6640625" style="24" customWidth="1"/>
    <col min="5" max="5" width="20.5546875" style="24" bestFit="1" customWidth="1"/>
    <col min="6" max="6" width="25.44140625" style="24" bestFit="1" customWidth="1"/>
    <col min="7" max="7" width="26.33203125" style="24" bestFit="1" customWidth="1"/>
    <col min="8" max="8" width="14.109375" style="24" customWidth="1"/>
    <col min="9" max="9" width="18.6640625" style="394" bestFit="1" customWidth="1"/>
    <col min="10" max="10" width="16.44140625" style="394" bestFit="1" customWidth="1"/>
    <col min="11" max="11" width="22.33203125" style="265" customWidth="1"/>
    <col min="12" max="12" width="17.6640625" style="394" bestFit="1" customWidth="1"/>
    <col min="13" max="14" width="18.44140625" style="394" bestFit="1" customWidth="1"/>
    <col min="15" max="15" width="17.33203125" style="394" bestFit="1" customWidth="1"/>
    <col min="16" max="17" width="18.44140625" style="394" bestFit="1" customWidth="1"/>
    <col min="18" max="18" width="16.88671875" style="564" bestFit="1" customWidth="1"/>
    <col min="19" max="20" width="2.109375" style="24" customWidth="1"/>
    <col min="21" max="21" width="19.109375" style="24" bestFit="1" customWidth="1"/>
    <col min="22" max="22" width="24.109375" style="24" bestFit="1" customWidth="1"/>
    <col min="23" max="16384" width="9.109375" style="24"/>
  </cols>
  <sheetData>
    <row r="1" spans="1:22">
      <c r="C1" s="866" t="s">
        <v>60</v>
      </c>
      <c r="D1" s="866"/>
      <c r="E1" s="866"/>
      <c r="F1" s="866"/>
      <c r="G1" s="866"/>
      <c r="K1" s="866" t="s">
        <v>60</v>
      </c>
      <c r="L1" s="866"/>
      <c r="M1" s="866"/>
      <c r="N1" s="866"/>
      <c r="O1" s="866"/>
      <c r="P1" s="866"/>
      <c r="Q1" s="866"/>
      <c r="S1" s="866"/>
      <c r="T1" s="866"/>
    </row>
    <row r="2" spans="1:22">
      <c r="C2" s="866" t="s">
        <v>1863</v>
      </c>
      <c r="D2" s="866"/>
      <c r="E2" s="866"/>
      <c r="F2" s="866"/>
      <c r="G2" s="866"/>
      <c r="K2" s="866" t="s">
        <v>1863</v>
      </c>
      <c r="L2" s="866"/>
      <c r="M2" s="866"/>
      <c r="N2" s="866"/>
      <c r="O2" s="866"/>
      <c r="P2" s="866"/>
      <c r="Q2" s="866"/>
      <c r="S2" s="866"/>
      <c r="T2" s="866"/>
    </row>
    <row r="3" spans="1:22">
      <c r="C3" s="866" t="s">
        <v>1289</v>
      </c>
      <c r="D3" s="866"/>
      <c r="E3" s="866"/>
      <c r="F3" s="866"/>
      <c r="G3" s="866"/>
      <c r="K3" s="866" t="s">
        <v>1289</v>
      </c>
      <c r="L3" s="866"/>
      <c r="M3" s="866"/>
      <c r="N3" s="866"/>
      <c r="O3" s="866"/>
      <c r="P3" s="866"/>
      <c r="Q3" s="866"/>
      <c r="S3" s="866"/>
      <c r="T3" s="866"/>
    </row>
    <row r="4" spans="1:22">
      <c r="C4" s="866" t="s">
        <v>1096</v>
      </c>
      <c r="D4" s="866"/>
      <c r="E4" s="866"/>
      <c r="F4" s="866"/>
      <c r="G4" s="866"/>
      <c r="K4" s="866" t="s">
        <v>756</v>
      </c>
      <c r="L4" s="866"/>
      <c r="M4" s="866"/>
      <c r="N4" s="866"/>
      <c r="O4" s="866"/>
      <c r="P4" s="866"/>
      <c r="Q4" s="866"/>
      <c r="S4" s="866"/>
      <c r="T4" s="866"/>
    </row>
    <row r="5" spans="1:22">
      <c r="C5" s="866" t="s">
        <v>1862</v>
      </c>
      <c r="D5" s="866"/>
      <c r="E5" s="866"/>
      <c r="F5" s="866"/>
      <c r="G5" s="866"/>
      <c r="K5" s="866" t="s">
        <v>1862</v>
      </c>
      <c r="L5" s="866"/>
      <c r="M5" s="866"/>
      <c r="N5" s="866"/>
      <c r="O5" s="866"/>
      <c r="P5" s="866"/>
      <c r="Q5" s="866"/>
      <c r="S5" s="866"/>
      <c r="T5" s="866"/>
    </row>
    <row r="7" spans="1:22" s="409" customFormat="1">
      <c r="A7" s="409" t="s">
        <v>1019</v>
      </c>
      <c r="B7" s="409" t="s">
        <v>803</v>
      </c>
      <c r="C7" s="409" t="s">
        <v>801</v>
      </c>
      <c r="E7" s="409" t="s">
        <v>802</v>
      </c>
      <c r="F7" s="409" t="s">
        <v>805</v>
      </c>
      <c r="G7" s="409" t="s">
        <v>806</v>
      </c>
      <c r="H7" s="409" t="s">
        <v>807</v>
      </c>
      <c r="I7" s="667" t="s">
        <v>808</v>
      </c>
      <c r="J7" s="667" t="s">
        <v>809</v>
      </c>
      <c r="K7" s="668" t="s">
        <v>810</v>
      </c>
      <c r="L7" s="667" t="s">
        <v>811</v>
      </c>
      <c r="M7" s="667" t="s">
        <v>812</v>
      </c>
      <c r="N7" s="667" t="s">
        <v>813</v>
      </c>
      <c r="O7" s="667" t="s">
        <v>814</v>
      </c>
      <c r="P7" s="667" t="s">
        <v>815</v>
      </c>
      <c r="Q7" s="667" t="s">
        <v>816</v>
      </c>
      <c r="R7" s="667" t="s">
        <v>1851</v>
      </c>
      <c r="S7" s="669"/>
      <c r="T7" s="669"/>
      <c r="U7" s="667" t="s">
        <v>1021</v>
      </c>
      <c r="V7" s="667" t="s">
        <v>1022</v>
      </c>
    </row>
    <row r="8" spans="1:22" ht="31.2">
      <c r="A8" s="409">
        <v>1</v>
      </c>
      <c r="B8" s="565" t="s">
        <v>756</v>
      </c>
      <c r="C8" s="566"/>
      <c r="D8" s="239"/>
      <c r="E8" s="567"/>
      <c r="F8" s="568" t="s">
        <v>115</v>
      </c>
      <c r="G8" s="568" t="s">
        <v>116</v>
      </c>
      <c r="H8" s="568" t="s">
        <v>117</v>
      </c>
    </row>
    <row r="9" spans="1:22">
      <c r="A9" s="409">
        <v>2</v>
      </c>
      <c r="B9" s="569" t="s">
        <v>1864</v>
      </c>
      <c r="C9" s="367"/>
      <c r="D9" s="239"/>
      <c r="E9" s="782" t="s">
        <v>118</v>
      </c>
      <c r="F9" s="783">
        <f>+'State Allocation Formulas'!C21</f>
        <v>0.75170000000000003</v>
      </c>
      <c r="G9" s="784">
        <f>+'State Allocation Formulas'!C16</f>
        <v>0.74299999999999999</v>
      </c>
      <c r="H9" s="784">
        <f>+'State Allocation Formulas'!T21</f>
        <v>0.75539999999999996</v>
      </c>
    </row>
    <row r="10" spans="1:22">
      <c r="A10" s="409">
        <v>3</v>
      </c>
      <c r="B10" s="569"/>
      <c r="C10" s="367"/>
      <c r="D10" s="239"/>
      <c r="E10" s="782" t="s">
        <v>119</v>
      </c>
      <c r="F10" s="783">
        <f>+'State Allocation Formulas'!D21</f>
        <v>0.24829999999999999</v>
      </c>
      <c r="G10" s="784">
        <f>+'State Allocation Formulas'!D16</f>
        <v>0.25700000000000001</v>
      </c>
      <c r="H10" s="784">
        <f>+'State Allocation Formulas'!T22</f>
        <v>0.24460000000000004</v>
      </c>
      <c r="I10" s="151" t="s">
        <v>1844</v>
      </c>
      <c r="J10" s="151" t="s">
        <v>61</v>
      </c>
      <c r="K10" s="650" t="s">
        <v>720</v>
      </c>
      <c r="L10" s="651" t="s">
        <v>720</v>
      </c>
      <c r="M10" s="368" t="s">
        <v>1395</v>
      </c>
      <c r="N10" s="480" t="s">
        <v>1109</v>
      </c>
      <c r="O10" s="151" t="s">
        <v>63</v>
      </c>
      <c r="P10" s="151" t="s">
        <v>681</v>
      </c>
      <c r="Q10" s="151" t="s">
        <v>721</v>
      </c>
      <c r="R10" s="152" t="s">
        <v>736</v>
      </c>
      <c r="S10" s="97"/>
      <c r="U10" s="153" t="s">
        <v>58</v>
      </c>
      <c r="V10" s="153" t="s">
        <v>681</v>
      </c>
    </row>
    <row r="11" spans="1:22">
      <c r="A11" s="717">
        <v>4</v>
      </c>
      <c r="B11" s="875" t="s">
        <v>120</v>
      </c>
      <c r="C11" s="876"/>
      <c r="D11" s="239"/>
      <c r="E11" s="879" t="s">
        <v>121</v>
      </c>
      <c r="F11" s="880"/>
      <c r="G11" s="880"/>
      <c r="I11" s="155" t="s">
        <v>746</v>
      </c>
      <c r="J11" s="155" t="s">
        <v>57</v>
      </c>
      <c r="K11" s="652" t="s">
        <v>80</v>
      </c>
      <c r="L11" s="155" t="s">
        <v>1392</v>
      </c>
      <c r="M11" s="101" t="s">
        <v>108</v>
      </c>
      <c r="N11" s="100" t="s">
        <v>1110</v>
      </c>
      <c r="O11" s="155" t="s">
        <v>64</v>
      </c>
      <c r="P11" s="155" t="s">
        <v>685</v>
      </c>
      <c r="Q11" s="155" t="s">
        <v>65</v>
      </c>
      <c r="R11" s="156" t="s">
        <v>737</v>
      </c>
      <c r="S11" s="101"/>
      <c r="U11" s="153" t="s">
        <v>1</v>
      </c>
      <c r="V11" s="153" t="s">
        <v>682</v>
      </c>
    </row>
    <row r="12" spans="1:22">
      <c r="A12" s="409">
        <v>5</v>
      </c>
      <c r="B12" s="877"/>
      <c r="C12" s="878"/>
      <c r="D12" s="761"/>
      <c r="E12" s="881" t="s">
        <v>122</v>
      </c>
      <c r="F12" s="882"/>
      <c r="G12" s="883"/>
      <c r="I12" s="648" t="s">
        <v>62</v>
      </c>
      <c r="J12" s="648" t="s">
        <v>62</v>
      </c>
      <c r="K12" s="653"/>
      <c r="L12" s="648" t="s">
        <v>62</v>
      </c>
      <c r="M12" s="654"/>
      <c r="N12" s="655"/>
      <c r="O12" s="648" t="s">
        <v>62</v>
      </c>
      <c r="P12" s="648" t="s">
        <v>62</v>
      </c>
      <c r="Q12" s="648"/>
      <c r="R12" s="649" t="s">
        <v>738</v>
      </c>
      <c r="S12" s="101"/>
      <c r="V12" s="26" t="s">
        <v>683</v>
      </c>
    </row>
    <row r="13" spans="1:22">
      <c r="A13" s="409">
        <v>6</v>
      </c>
      <c r="B13" s="871" t="s">
        <v>123</v>
      </c>
      <c r="C13" s="872"/>
      <c r="D13" s="570"/>
      <c r="E13" s="571" t="s">
        <v>124</v>
      </c>
      <c r="F13" s="570" t="s">
        <v>125</v>
      </c>
      <c r="G13" s="572" t="s">
        <v>126</v>
      </c>
      <c r="I13" s="573" t="s">
        <v>676</v>
      </c>
      <c r="J13" s="573" t="s">
        <v>677</v>
      </c>
      <c r="K13" s="656" t="s">
        <v>719</v>
      </c>
      <c r="L13" s="573" t="s">
        <v>745</v>
      </c>
      <c r="M13" s="573" t="s">
        <v>1393</v>
      </c>
      <c r="N13" s="573" t="s">
        <v>1394</v>
      </c>
      <c r="O13" s="573" t="s">
        <v>678</v>
      </c>
      <c r="P13" s="573" t="s">
        <v>679</v>
      </c>
      <c r="Q13" s="573" t="s">
        <v>747</v>
      </c>
      <c r="R13" s="574" t="s">
        <v>680</v>
      </c>
      <c r="S13" s="575"/>
      <c r="T13" s="575"/>
    </row>
    <row r="14" spans="1:22">
      <c r="A14" s="717">
        <v>7</v>
      </c>
      <c r="B14" s="163" t="s">
        <v>127</v>
      </c>
      <c r="C14" s="160"/>
      <c r="D14" s="367"/>
      <c r="E14" s="569"/>
      <c r="F14" s="367"/>
      <c r="G14" s="82"/>
    </row>
    <row r="15" spans="1:22">
      <c r="A15" s="409">
        <v>8</v>
      </c>
      <c r="B15" s="161" t="s">
        <v>128</v>
      </c>
      <c r="C15" s="162" t="s">
        <v>129</v>
      </c>
      <c r="D15" s="576"/>
      <c r="E15" s="577">
        <v>120476426.38</v>
      </c>
      <c r="F15" s="578">
        <v>0</v>
      </c>
      <c r="G15" s="579">
        <f>SUM(E15:F15)</f>
        <v>120476426.38</v>
      </c>
      <c r="I15" s="394">
        <f>+'Annualize CRM Adjustment'!D11</f>
        <v>-2904184.2</v>
      </c>
      <c r="K15" s="265">
        <f>+'Restate Revenues Adjustment'!H27</f>
        <v>14922775.820000002</v>
      </c>
      <c r="L15" s="394">
        <f>+'EOP Revenue Adjustment'!F11</f>
        <v>923294.61</v>
      </c>
      <c r="Q15" s="394">
        <f>+'Pro Forma Plant Additions'!E27</f>
        <v>1281027.22</v>
      </c>
      <c r="U15" s="399">
        <f>SUM(I15:T15)</f>
        <v>14222913.450000001</v>
      </c>
      <c r="V15" s="399">
        <f>+G15+U15</f>
        <v>134699339.82999998</v>
      </c>
    </row>
    <row r="16" spans="1:22">
      <c r="A16" s="409">
        <v>9</v>
      </c>
      <c r="B16" s="161" t="s">
        <v>130</v>
      </c>
      <c r="C16" s="162" t="s">
        <v>131</v>
      </c>
      <c r="D16" s="576"/>
      <c r="E16" s="577">
        <v>101005173.58</v>
      </c>
      <c r="F16" s="578">
        <v>0</v>
      </c>
      <c r="G16" s="579">
        <f>SUM(E16:F16)</f>
        <v>101005173.58</v>
      </c>
      <c r="U16" s="399">
        <f>SUM(I16:T16)</f>
        <v>0</v>
      </c>
      <c r="V16" s="399">
        <f>+G16+U16</f>
        <v>101005173.58</v>
      </c>
    </row>
    <row r="17" spans="1:22">
      <c r="A17" s="717">
        <v>10</v>
      </c>
      <c r="B17" s="163" t="s">
        <v>132</v>
      </c>
      <c r="C17" s="160"/>
      <c r="D17" s="580"/>
      <c r="E17" s="785">
        <f t="shared" ref="E17:R17" si="0">SUM(E15:E16)</f>
        <v>221481599.95999998</v>
      </c>
      <c r="F17" s="581">
        <f t="shared" si="0"/>
        <v>0</v>
      </c>
      <c r="G17" s="582">
        <f t="shared" si="0"/>
        <v>221481599.95999998</v>
      </c>
      <c r="I17" s="582">
        <f t="shared" si="0"/>
        <v>-2904184.2</v>
      </c>
      <c r="J17" s="582">
        <f t="shared" si="0"/>
        <v>0</v>
      </c>
      <c r="K17" s="266">
        <f>SUM(K15:K16)</f>
        <v>14922775.820000002</v>
      </c>
      <c r="L17" s="582">
        <f t="shared" si="0"/>
        <v>923294.61</v>
      </c>
      <c r="M17" s="582">
        <f t="shared" ref="M17:N17" si="1">SUM(M15:M16)</f>
        <v>0</v>
      </c>
      <c r="N17" s="582">
        <f t="shared" si="1"/>
        <v>0</v>
      </c>
      <c r="O17" s="582">
        <f t="shared" si="0"/>
        <v>0</v>
      </c>
      <c r="P17" s="582">
        <f t="shared" si="0"/>
        <v>0</v>
      </c>
      <c r="Q17" s="582">
        <f t="shared" si="0"/>
        <v>1281027.22</v>
      </c>
      <c r="R17" s="583">
        <f t="shared" si="0"/>
        <v>0</v>
      </c>
      <c r="S17" s="582">
        <f t="shared" ref="S17:U17" si="2">SUM(S15:S16)</f>
        <v>0</v>
      </c>
      <c r="T17" s="582">
        <f t="shared" si="2"/>
        <v>0</v>
      </c>
      <c r="U17" s="582">
        <f t="shared" si="2"/>
        <v>14222913.450000001</v>
      </c>
      <c r="V17" s="582">
        <f>SUM(V15:V16)</f>
        <v>235704513.40999997</v>
      </c>
    </row>
    <row r="18" spans="1:22">
      <c r="A18" s="409">
        <v>11</v>
      </c>
      <c r="B18" s="584"/>
      <c r="C18" s="160"/>
      <c r="D18" s="576"/>
      <c r="E18" s="577"/>
      <c r="F18" s="576"/>
      <c r="G18" s="579"/>
    </row>
    <row r="19" spans="1:22">
      <c r="A19" s="717">
        <v>12</v>
      </c>
      <c r="B19" s="163" t="s">
        <v>133</v>
      </c>
      <c r="C19" s="160"/>
      <c r="D19" s="576"/>
      <c r="E19" s="577"/>
      <c r="F19" s="576"/>
      <c r="G19" s="579"/>
    </row>
    <row r="20" spans="1:22">
      <c r="A20" s="409">
        <v>13</v>
      </c>
      <c r="B20" s="161" t="s">
        <v>134</v>
      </c>
      <c r="C20" s="162" t="s">
        <v>135</v>
      </c>
      <c r="D20" s="576"/>
      <c r="E20" s="577">
        <v>527669.76000000001</v>
      </c>
      <c r="F20" s="576">
        <v>0</v>
      </c>
      <c r="G20" s="579">
        <f t="shared" ref="G20:G26" si="3">SUM(E20:F20)</f>
        <v>527669.76000000001</v>
      </c>
      <c r="U20" s="399">
        <f t="shared" ref="U20:U25" si="4">SUM(I20:T20)</f>
        <v>0</v>
      </c>
      <c r="V20" s="664">
        <f t="shared" ref="V20:V25" si="5">+G20+U20</f>
        <v>527669.76000000001</v>
      </c>
    </row>
    <row r="21" spans="1:22">
      <c r="A21" s="717">
        <v>14</v>
      </c>
      <c r="B21" s="585" t="s">
        <v>136</v>
      </c>
      <c r="C21" s="162" t="s">
        <v>137</v>
      </c>
      <c r="D21" s="576"/>
      <c r="E21" s="577">
        <v>24094627.940000001</v>
      </c>
      <c r="F21" s="578">
        <v>0</v>
      </c>
      <c r="G21" s="579">
        <f t="shared" si="3"/>
        <v>24094627.940000001</v>
      </c>
      <c r="Q21" s="394">
        <f>+'Pro Forma Plant Additions'!E14</f>
        <v>0</v>
      </c>
      <c r="U21" s="399">
        <f t="shared" si="4"/>
        <v>0</v>
      </c>
      <c r="V21" s="399">
        <f t="shared" si="5"/>
        <v>24094627.940000001</v>
      </c>
    </row>
    <row r="22" spans="1:22">
      <c r="A22" s="409">
        <v>15</v>
      </c>
      <c r="B22" s="585" t="s">
        <v>138</v>
      </c>
      <c r="C22" s="162" t="s">
        <v>139</v>
      </c>
      <c r="D22" s="576"/>
      <c r="E22" s="586">
        <v>0</v>
      </c>
      <c r="F22" s="576">
        <v>0</v>
      </c>
      <c r="G22" s="579">
        <f t="shared" si="3"/>
        <v>0</v>
      </c>
      <c r="U22" s="399">
        <f t="shared" si="4"/>
        <v>0</v>
      </c>
      <c r="V22" s="399">
        <f t="shared" si="5"/>
        <v>0</v>
      </c>
    </row>
    <row r="23" spans="1:22">
      <c r="A23" s="717">
        <v>16</v>
      </c>
      <c r="B23" s="585" t="s">
        <v>140</v>
      </c>
      <c r="C23" s="162" t="s">
        <v>141</v>
      </c>
      <c r="D23" s="576"/>
      <c r="E23" s="586">
        <v>0</v>
      </c>
      <c r="F23" s="576">
        <v>127945.33</v>
      </c>
      <c r="G23" s="579">
        <f t="shared" si="3"/>
        <v>127945.33</v>
      </c>
      <c r="U23" s="399">
        <f t="shared" si="4"/>
        <v>0</v>
      </c>
      <c r="V23" s="399">
        <f t="shared" si="5"/>
        <v>127945.33</v>
      </c>
    </row>
    <row r="24" spans="1:22">
      <c r="A24" s="409">
        <v>17</v>
      </c>
      <c r="B24" s="585" t="s">
        <v>142</v>
      </c>
      <c r="C24" s="162" t="s">
        <v>143</v>
      </c>
      <c r="D24" s="576"/>
      <c r="E24" s="577">
        <v>91288.83</v>
      </c>
      <c r="F24" s="576">
        <v>168.61</v>
      </c>
      <c r="G24" s="579">
        <f t="shared" si="3"/>
        <v>91457.44</v>
      </c>
      <c r="U24" s="399">
        <f t="shared" si="4"/>
        <v>0</v>
      </c>
      <c r="V24" s="399">
        <f t="shared" si="5"/>
        <v>91457.44</v>
      </c>
    </row>
    <row r="25" spans="1:22">
      <c r="A25" s="717">
        <v>18</v>
      </c>
      <c r="B25" s="161" t="s">
        <v>144</v>
      </c>
      <c r="C25" s="162" t="s">
        <v>145</v>
      </c>
      <c r="D25" s="578"/>
      <c r="E25" s="586">
        <v>0</v>
      </c>
      <c r="F25" s="578">
        <v>0</v>
      </c>
      <c r="G25" s="587">
        <f t="shared" si="3"/>
        <v>0</v>
      </c>
      <c r="U25" s="399">
        <f t="shared" si="4"/>
        <v>0</v>
      </c>
      <c r="V25" s="399">
        <f t="shared" si="5"/>
        <v>0</v>
      </c>
    </row>
    <row r="26" spans="1:22">
      <c r="A26" s="409">
        <v>19</v>
      </c>
      <c r="B26" s="588">
        <v>4962</v>
      </c>
      <c r="C26" s="162" t="s">
        <v>1291</v>
      </c>
      <c r="D26" s="578"/>
      <c r="E26" s="786">
        <v>1001689</v>
      </c>
      <c r="F26" s="578">
        <v>0</v>
      </c>
      <c r="G26" s="587">
        <f t="shared" si="3"/>
        <v>1001689</v>
      </c>
      <c r="U26" s="399"/>
      <c r="V26" s="399"/>
    </row>
    <row r="27" spans="1:22">
      <c r="A27" s="717">
        <v>20</v>
      </c>
      <c r="B27" s="163" t="s">
        <v>146</v>
      </c>
      <c r="C27" s="160"/>
      <c r="D27" s="580"/>
      <c r="E27" s="785">
        <f>SUM(E20:E26)</f>
        <v>25715275.530000001</v>
      </c>
      <c r="F27" s="580">
        <f>SUM(F20:F26)</f>
        <v>128113.94</v>
      </c>
      <c r="G27" s="580">
        <f>SUM(G20:G26)</f>
        <v>25843389.470000003</v>
      </c>
      <c r="I27" s="582">
        <f t="shared" ref="I27:Q27" si="6">SUM(I20:I25)</f>
        <v>0</v>
      </c>
      <c r="J27" s="582">
        <f t="shared" si="6"/>
        <v>0</v>
      </c>
      <c r="K27" s="266">
        <f>SUM(K20:K25)</f>
        <v>0</v>
      </c>
      <c r="L27" s="582">
        <f>SUM(L20:L25)</f>
        <v>0</v>
      </c>
      <c r="M27" s="582">
        <f t="shared" ref="M27:N27" si="7">SUM(M20:M25)</f>
        <v>0</v>
      </c>
      <c r="N27" s="582">
        <f t="shared" si="7"/>
        <v>0</v>
      </c>
      <c r="O27" s="582">
        <f t="shared" si="6"/>
        <v>0</v>
      </c>
      <c r="P27" s="582">
        <f t="shared" si="6"/>
        <v>0</v>
      </c>
      <c r="Q27" s="582">
        <f t="shared" si="6"/>
        <v>0</v>
      </c>
      <c r="R27" s="583">
        <f>SUM(R20:R25)</f>
        <v>0</v>
      </c>
      <c r="S27" s="582">
        <f t="shared" ref="S27:V27" si="8">SUM(S20:S25)</f>
        <v>0</v>
      </c>
      <c r="T27" s="582">
        <f t="shared" si="8"/>
        <v>0</v>
      </c>
      <c r="U27" s="582">
        <f t="shared" si="8"/>
        <v>0</v>
      </c>
      <c r="V27" s="582">
        <f t="shared" si="8"/>
        <v>24841700.470000003</v>
      </c>
    </row>
    <row r="28" spans="1:22" ht="16.2" thickBot="1">
      <c r="A28" s="409">
        <v>21</v>
      </c>
      <c r="B28" s="163" t="s">
        <v>147</v>
      </c>
      <c r="C28" s="160"/>
      <c r="D28" s="589"/>
      <c r="E28" s="787">
        <f t="shared" ref="E28:G28" si="9">E17+E27</f>
        <v>247196875.48999998</v>
      </c>
      <c r="F28" s="589">
        <f t="shared" si="9"/>
        <v>128113.94</v>
      </c>
      <c r="G28" s="590">
        <f t="shared" si="9"/>
        <v>247324989.42999998</v>
      </c>
      <c r="I28" s="590">
        <f t="shared" ref="I28:Q28" si="10">I17+I27</f>
        <v>-2904184.2</v>
      </c>
      <c r="J28" s="590">
        <f t="shared" si="10"/>
        <v>0</v>
      </c>
      <c r="K28" s="657">
        <f>K17+K27</f>
        <v>14922775.820000002</v>
      </c>
      <c r="L28" s="590">
        <f>L17+L27</f>
        <v>923294.61</v>
      </c>
      <c r="M28" s="590">
        <f t="shared" ref="M28:N28" si="11">M17+M27</f>
        <v>0</v>
      </c>
      <c r="N28" s="590">
        <f t="shared" si="11"/>
        <v>0</v>
      </c>
      <c r="O28" s="590">
        <f t="shared" si="10"/>
        <v>0</v>
      </c>
      <c r="P28" s="590">
        <f t="shared" si="10"/>
        <v>0</v>
      </c>
      <c r="Q28" s="590">
        <f t="shared" si="10"/>
        <v>1281027.22</v>
      </c>
      <c r="R28" s="591">
        <f>R17+R27</f>
        <v>0</v>
      </c>
      <c r="S28" s="590">
        <f t="shared" ref="S28:V28" si="12">S17+S27</f>
        <v>0</v>
      </c>
      <c r="T28" s="590">
        <f t="shared" si="12"/>
        <v>0</v>
      </c>
      <c r="U28" s="590">
        <f t="shared" si="12"/>
        <v>14222913.450000001</v>
      </c>
      <c r="V28" s="590">
        <f t="shared" si="12"/>
        <v>260546213.87999997</v>
      </c>
    </row>
    <row r="29" spans="1:22" ht="16.2" thickTop="1">
      <c r="A29" s="717">
        <v>22</v>
      </c>
      <c r="B29" s="159" t="s">
        <v>56</v>
      </c>
      <c r="C29" s="160" t="s">
        <v>56</v>
      </c>
      <c r="D29" s="576"/>
      <c r="E29" s="577"/>
      <c r="F29" s="576"/>
      <c r="G29" s="579"/>
    </row>
    <row r="30" spans="1:22">
      <c r="A30" s="409">
        <v>23</v>
      </c>
      <c r="B30" s="163" t="s">
        <v>148</v>
      </c>
      <c r="C30" s="160"/>
      <c r="D30" s="576"/>
      <c r="E30" s="577"/>
      <c r="F30" s="576"/>
      <c r="G30" s="579"/>
    </row>
    <row r="31" spans="1:22">
      <c r="A31" s="717">
        <v>24</v>
      </c>
      <c r="B31" s="161" t="s">
        <v>149</v>
      </c>
      <c r="C31" s="162" t="s">
        <v>150</v>
      </c>
      <c r="D31" s="576"/>
      <c r="E31" s="577">
        <v>183154598.38</v>
      </c>
      <c r="F31" s="578">
        <v>0</v>
      </c>
      <c r="G31" s="579">
        <f t="shared" ref="G31:G36" si="13">SUM(E31:F31)</f>
        <v>183154598.38</v>
      </c>
      <c r="U31" s="399">
        <f t="shared" ref="U31:U36" si="14">SUM(I31:T31)</f>
        <v>0</v>
      </c>
      <c r="V31" s="399">
        <f t="shared" ref="V31:V36" si="15">+G31+U31</f>
        <v>183154598.38</v>
      </c>
    </row>
    <row r="32" spans="1:22">
      <c r="A32" s="409">
        <v>25</v>
      </c>
      <c r="B32" s="161" t="s">
        <v>151</v>
      </c>
      <c r="C32" s="162" t="s">
        <v>152</v>
      </c>
      <c r="D32" s="578"/>
      <c r="E32" s="586">
        <v>0</v>
      </c>
      <c r="F32" s="578">
        <v>0</v>
      </c>
      <c r="G32" s="587">
        <f t="shared" si="13"/>
        <v>0</v>
      </c>
      <c r="U32" s="399">
        <f t="shared" si="14"/>
        <v>0</v>
      </c>
      <c r="V32" s="399">
        <f t="shared" si="15"/>
        <v>0</v>
      </c>
    </row>
    <row r="33" spans="1:22">
      <c r="A33" s="717">
        <v>26</v>
      </c>
      <c r="B33" s="161" t="s">
        <v>153</v>
      </c>
      <c r="C33" s="162" t="s">
        <v>154</v>
      </c>
      <c r="D33" s="576"/>
      <c r="E33" s="577">
        <v>-56334340.969999999</v>
      </c>
      <c r="F33" s="578">
        <v>0</v>
      </c>
      <c r="G33" s="579">
        <f t="shared" si="13"/>
        <v>-56334340.969999999</v>
      </c>
      <c r="U33" s="399">
        <f t="shared" si="14"/>
        <v>0</v>
      </c>
      <c r="V33" s="399">
        <f t="shared" si="15"/>
        <v>-56334340.969999999</v>
      </c>
    </row>
    <row r="34" spans="1:22">
      <c r="A34" s="409">
        <v>27</v>
      </c>
      <c r="B34" s="161" t="s">
        <v>155</v>
      </c>
      <c r="C34" s="162" t="s">
        <v>156</v>
      </c>
      <c r="D34" s="576"/>
      <c r="E34" s="577">
        <v>6419366.4000000004</v>
      </c>
      <c r="F34" s="578">
        <v>0</v>
      </c>
      <c r="G34" s="579">
        <f t="shared" si="13"/>
        <v>6419366.4000000004</v>
      </c>
      <c r="U34" s="399">
        <f t="shared" si="14"/>
        <v>0</v>
      </c>
      <c r="V34" s="399">
        <f t="shared" si="15"/>
        <v>6419366.4000000004</v>
      </c>
    </row>
    <row r="35" spans="1:22">
      <c r="A35" s="717">
        <v>28</v>
      </c>
      <c r="B35" s="161" t="s">
        <v>157</v>
      </c>
      <c r="C35" s="162" t="s">
        <v>158</v>
      </c>
      <c r="D35" s="576"/>
      <c r="E35" s="577">
        <v>-8003476.1100000003</v>
      </c>
      <c r="F35" s="578">
        <v>0</v>
      </c>
      <c r="G35" s="579">
        <f t="shared" si="13"/>
        <v>-8003476.1100000003</v>
      </c>
      <c r="U35" s="399">
        <f t="shared" si="14"/>
        <v>0</v>
      </c>
      <c r="V35" s="399">
        <f t="shared" si="15"/>
        <v>-8003476.1100000003</v>
      </c>
    </row>
    <row r="36" spans="1:22">
      <c r="A36" s="409">
        <v>29</v>
      </c>
      <c r="B36" s="161" t="s">
        <v>159</v>
      </c>
      <c r="C36" s="162" t="s">
        <v>160</v>
      </c>
      <c r="D36" s="576"/>
      <c r="E36" s="577">
        <v>-70308.52</v>
      </c>
      <c r="F36" s="578">
        <v>0</v>
      </c>
      <c r="G36" s="579">
        <f t="shared" si="13"/>
        <v>-70308.52</v>
      </c>
      <c r="U36" s="399">
        <f t="shared" si="14"/>
        <v>0</v>
      </c>
      <c r="V36" s="399">
        <f t="shared" si="15"/>
        <v>-70308.52</v>
      </c>
    </row>
    <row r="37" spans="1:22">
      <c r="A37" s="717">
        <v>30</v>
      </c>
      <c r="B37" s="163" t="s">
        <v>161</v>
      </c>
      <c r="C37" s="160"/>
      <c r="D37" s="580"/>
      <c r="E37" s="785">
        <f t="shared" ref="E37:R37" si="16">SUM(E31:E36)</f>
        <v>125165839.18000001</v>
      </c>
      <c r="F37" s="581">
        <f t="shared" si="16"/>
        <v>0</v>
      </c>
      <c r="G37" s="582">
        <f t="shared" si="16"/>
        <v>125165839.18000001</v>
      </c>
      <c r="I37" s="582">
        <f t="shared" si="16"/>
        <v>0</v>
      </c>
      <c r="J37" s="582">
        <f t="shared" si="16"/>
        <v>0</v>
      </c>
      <c r="K37" s="266">
        <f>SUM(K31:K36)</f>
        <v>0</v>
      </c>
      <c r="L37" s="582">
        <f t="shared" si="16"/>
        <v>0</v>
      </c>
      <c r="M37" s="582">
        <f t="shared" ref="M37:N37" si="17">SUM(M31:M36)</f>
        <v>0</v>
      </c>
      <c r="N37" s="582">
        <f t="shared" si="17"/>
        <v>0</v>
      </c>
      <c r="O37" s="582">
        <f t="shared" si="16"/>
        <v>0</v>
      </c>
      <c r="P37" s="582">
        <f t="shared" si="16"/>
        <v>0</v>
      </c>
      <c r="Q37" s="582">
        <f t="shared" si="16"/>
        <v>0</v>
      </c>
      <c r="R37" s="583">
        <f t="shared" si="16"/>
        <v>0</v>
      </c>
      <c r="S37" s="582">
        <f t="shared" ref="S37:V37" si="18">SUM(S31:S36)</f>
        <v>0</v>
      </c>
      <c r="T37" s="582">
        <f t="shared" si="18"/>
        <v>0</v>
      </c>
      <c r="U37" s="582">
        <f t="shared" si="18"/>
        <v>0</v>
      </c>
      <c r="V37" s="582">
        <f t="shared" si="18"/>
        <v>125165839.18000001</v>
      </c>
    </row>
    <row r="38" spans="1:22">
      <c r="A38" s="409">
        <v>31</v>
      </c>
      <c r="B38" s="159"/>
      <c r="C38" s="160"/>
      <c r="D38" s="576"/>
      <c r="E38" s="577"/>
      <c r="F38" s="576"/>
      <c r="G38" s="579"/>
    </row>
    <row r="39" spans="1:22">
      <c r="A39" s="717">
        <v>32</v>
      </c>
      <c r="B39" s="163" t="s">
        <v>162</v>
      </c>
      <c r="C39" s="160"/>
      <c r="D39" s="576"/>
      <c r="E39" s="577"/>
      <c r="F39" s="576"/>
      <c r="G39" s="579"/>
    </row>
    <row r="40" spans="1:22">
      <c r="A40" s="409">
        <v>33</v>
      </c>
      <c r="B40" s="161" t="s">
        <v>163</v>
      </c>
      <c r="C40" s="162" t="s">
        <v>164</v>
      </c>
      <c r="D40" s="578"/>
      <c r="E40" s="586">
        <v>0</v>
      </c>
      <c r="F40" s="578">
        <v>0</v>
      </c>
      <c r="G40" s="587">
        <v>0</v>
      </c>
      <c r="U40" s="399">
        <f t="shared" ref="U40:U50" si="19">SUM(I40:T40)</f>
        <v>0</v>
      </c>
      <c r="V40" s="399">
        <f t="shared" ref="V40:V50" si="20">+G40+U40</f>
        <v>0</v>
      </c>
    </row>
    <row r="41" spans="1:22">
      <c r="A41" s="717">
        <v>34</v>
      </c>
      <c r="B41" s="161" t="s">
        <v>165</v>
      </c>
      <c r="C41" s="162" t="s">
        <v>166</v>
      </c>
      <c r="D41" s="578"/>
      <c r="E41" s="586">
        <v>0</v>
      </c>
      <c r="F41" s="578">
        <v>0</v>
      </c>
      <c r="G41" s="587">
        <v>0</v>
      </c>
      <c r="U41" s="399">
        <f t="shared" si="19"/>
        <v>0</v>
      </c>
      <c r="V41" s="399">
        <f t="shared" si="20"/>
        <v>0</v>
      </c>
    </row>
    <row r="42" spans="1:22">
      <c r="A42" s="409">
        <v>35</v>
      </c>
      <c r="B42" s="161" t="s">
        <v>167</v>
      </c>
      <c r="C42" s="162" t="s">
        <v>168</v>
      </c>
      <c r="D42" s="578"/>
      <c r="E42" s="586">
        <v>0</v>
      </c>
      <c r="F42" s="578">
        <v>0</v>
      </c>
      <c r="G42" s="587">
        <v>0</v>
      </c>
      <c r="U42" s="399">
        <f t="shared" si="19"/>
        <v>0</v>
      </c>
      <c r="V42" s="399">
        <f t="shared" si="20"/>
        <v>0</v>
      </c>
    </row>
    <row r="43" spans="1:22">
      <c r="A43" s="717">
        <v>36</v>
      </c>
      <c r="B43" s="161" t="s">
        <v>169</v>
      </c>
      <c r="C43" s="162" t="s">
        <v>170</v>
      </c>
      <c r="D43" s="578"/>
      <c r="E43" s="586">
        <v>0</v>
      </c>
      <c r="F43" s="578">
        <v>0</v>
      </c>
      <c r="G43" s="587">
        <v>0</v>
      </c>
      <c r="U43" s="399">
        <f t="shared" si="19"/>
        <v>0</v>
      </c>
      <c r="V43" s="399">
        <f t="shared" si="20"/>
        <v>0</v>
      </c>
    </row>
    <row r="44" spans="1:22">
      <c r="A44" s="409">
        <v>37</v>
      </c>
      <c r="B44" s="161" t="s">
        <v>171</v>
      </c>
      <c r="C44" s="162" t="s">
        <v>172</v>
      </c>
      <c r="D44" s="578"/>
      <c r="E44" s="586">
        <v>0</v>
      </c>
      <c r="F44" s="578">
        <v>0</v>
      </c>
      <c r="G44" s="587">
        <v>0</v>
      </c>
      <c r="U44" s="399">
        <f t="shared" si="19"/>
        <v>0</v>
      </c>
      <c r="V44" s="399">
        <f t="shared" si="20"/>
        <v>0</v>
      </c>
    </row>
    <row r="45" spans="1:22">
      <c r="A45" s="717">
        <v>38</v>
      </c>
      <c r="B45" s="161" t="s">
        <v>173</v>
      </c>
      <c r="C45" s="162" t="s">
        <v>174</v>
      </c>
      <c r="D45" s="578"/>
      <c r="E45" s="586">
        <v>0</v>
      </c>
      <c r="F45" s="578">
        <v>0</v>
      </c>
      <c r="G45" s="587">
        <v>0</v>
      </c>
      <c r="U45" s="399">
        <f t="shared" si="19"/>
        <v>0</v>
      </c>
      <c r="V45" s="399">
        <f t="shared" si="20"/>
        <v>0</v>
      </c>
    </row>
    <row r="46" spans="1:22">
      <c r="A46" s="409">
        <v>39</v>
      </c>
      <c r="B46" s="161" t="s">
        <v>175</v>
      </c>
      <c r="C46" s="162" t="s">
        <v>176</v>
      </c>
      <c r="D46" s="578"/>
      <c r="E46" s="592">
        <v>0</v>
      </c>
      <c r="F46" s="578">
        <v>0</v>
      </c>
      <c r="G46" s="587">
        <v>0</v>
      </c>
      <c r="U46" s="399">
        <f t="shared" si="19"/>
        <v>0</v>
      </c>
      <c r="V46" s="399">
        <f t="shared" si="20"/>
        <v>0</v>
      </c>
    </row>
    <row r="47" spans="1:22">
      <c r="A47" s="717">
        <v>40</v>
      </c>
      <c r="B47" s="161" t="s">
        <v>177</v>
      </c>
      <c r="C47" s="162" t="s">
        <v>178</v>
      </c>
      <c r="D47" s="578"/>
      <c r="E47" s="586">
        <v>0</v>
      </c>
      <c r="F47" s="578">
        <v>0</v>
      </c>
      <c r="G47" s="587">
        <v>0</v>
      </c>
      <c r="U47" s="399">
        <f t="shared" si="19"/>
        <v>0</v>
      </c>
      <c r="V47" s="399">
        <f t="shared" si="20"/>
        <v>0</v>
      </c>
    </row>
    <row r="48" spans="1:22">
      <c r="A48" s="409">
        <v>41</v>
      </c>
      <c r="B48" s="161" t="s">
        <v>179</v>
      </c>
      <c r="C48" s="162" t="s">
        <v>180</v>
      </c>
      <c r="D48" s="578"/>
      <c r="E48" s="586">
        <v>0</v>
      </c>
      <c r="F48" s="578">
        <v>0</v>
      </c>
      <c r="G48" s="587">
        <v>0</v>
      </c>
      <c r="U48" s="399">
        <f t="shared" si="19"/>
        <v>0</v>
      </c>
      <c r="V48" s="399">
        <f t="shared" si="20"/>
        <v>0</v>
      </c>
    </row>
    <row r="49" spans="1:22">
      <c r="A49" s="717">
        <v>42</v>
      </c>
      <c r="B49" s="161" t="s">
        <v>181</v>
      </c>
      <c r="C49" s="162" t="s">
        <v>182</v>
      </c>
      <c r="D49" s="578"/>
      <c r="E49" s="586">
        <v>0</v>
      </c>
      <c r="F49" s="578">
        <v>0</v>
      </c>
      <c r="G49" s="587">
        <v>0</v>
      </c>
      <c r="U49" s="399">
        <f t="shared" si="19"/>
        <v>0</v>
      </c>
      <c r="V49" s="399">
        <f t="shared" si="20"/>
        <v>0</v>
      </c>
    </row>
    <row r="50" spans="1:22">
      <c r="A50" s="409">
        <v>43</v>
      </c>
      <c r="B50" s="161" t="s">
        <v>183</v>
      </c>
      <c r="C50" s="162" t="s">
        <v>184</v>
      </c>
      <c r="D50" s="578"/>
      <c r="E50" s="586">
        <v>0</v>
      </c>
      <c r="F50" s="578">
        <v>0</v>
      </c>
      <c r="G50" s="587">
        <v>0</v>
      </c>
      <c r="U50" s="399">
        <f t="shared" si="19"/>
        <v>0</v>
      </c>
      <c r="V50" s="399">
        <f t="shared" si="20"/>
        <v>0</v>
      </c>
    </row>
    <row r="51" spans="1:22">
      <c r="A51" s="717">
        <v>44</v>
      </c>
      <c r="B51" s="163" t="s">
        <v>185</v>
      </c>
      <c r="C51" s="593"/>
      <c r="D51" s="581"/>
      <c r="E51" s="594">
        <f t="shared" ref="E51:G51" si="21">SUM(E40:E50)</f>
        <v>0</v>
      </c>
      <c r="F51" s="581">
        <f t="shared" si="21"/>
        <v>0</v>
      </c>
      <c r="G51" s="266">
        <f t="shared" si="21"/>
        <v>0</v>
      </c>
      <c r="I51" s="582">
        <f t="shared" ref="I51:R51" si="22">SUM(I40:I50)</f>
        <v>0</v>
      </c>
      <c r="J51" s="582">
        <f t="shared" si="22"/>
        <v>0</v>
      </c>
      <c r="K51" s="266">
        <f>SUM(K40:K50)</f>
        <v>0</v>
      </c>
      <c r="L51" s="582">
        <f t="shared" si="22"/>
        <v>0</v>
      </c>
      <c r="M51" s="582">
        <f t="shared" ref="M51:N51" si="23">SUM(M40:M50)</f>
        <v>0</v>
      </c>
      <c r="N51" s="582">
        <f t="shared" si="23"/>
        <v>0</v>
      </c>
      <c r="O51" s="582">
        <f t="shared" si="22"/>
        <v>0</v>
      </c>
      <c r="P51" s="582">
        <f t="shared" si="22"/>
        <v>0</v>
      </c>
      <c r="Q51" s="582">
        <f t="shared" si="22"/>
        <v>0</v>
      </c>
      <c r="R51" s="583">
        <f t="shared" si="22"/>
        <v>0</v>
      </c>
      <c r="S51" s="266"/>
      <c r="T51" s="266"/>
      <c r="U51" s="266">
        <f t="shared" ref="U51:V51" si="24">SUM(U40:U50)</f>
        <v>0</v>
      </c>
      <c r="V51" s="266">
        <f t="shared" si="24"/>
        <v>0</v>
      </c>
    </row>
    <row r="52" spans="1:22">
      <c r="A52" s="409">
        <v>45</v>
      </c>
      <c r="B52" s="159"/>
      <c r="C52" s="160"/>
      <c r="D52" s="576"/>
      <c r="E52" s="577"/>
      <c r="F52" s="576"/>
      <c r="G52" s="579"/>
      <c r="I52" s="579"/>
      <c r="J52" s="579"/>
      <c r="K52" s="587"/>
      <c r="L52" s="579"/>
      <c r="M52" s="579"/>
      <c r="N52" s="579"/>
      <c r="O52" s="579"/>
      <c r="P52" s="579"/>
      <c r="Q52" s="579"/>
      <c r="R52" s="595"/>
      <c r="S52" s="579"/>
      <c r="T52" s="579"/>
      <c r="U52" s="579"/>
      <c r="V52" s="579"/>
    </row>
    <row r="53" spans="1:22">
      <c r="A53" s="717">
        <v>46</v>
      </c>
      <c r="B53" s="161" t="s">
        <v>186</v>
      </c>
      <c r="C53" s="162" t="s">
        <v>33</v>
      </c>
      <c r="D53" s="396"/>
      <c r="E53" s="788">
        <v>20632282.93</v>
      </c>
      <c r="F53" s="789">
        <v>0</v>
      </c>
      <c r="G53" s="596">
        <f>SUM(E53:F53)</f>
        <v>20632282.93</v>
      </c>
      <c r="I53" s="658">
        <f>+I28*(+'Exh MCP-4 - Conversion Factor'!C9+'Exh MCP-4 - Conversion Factor'!C10)</f>
        <v>-117677.54378400001</v>
      </c>
      <c r="J53" s="658">
        <f>+J28*(+'Exh MCP-4 - Conversion Factor'!B9+'Exh MCP-4 - Conversion Factor'!B10)</f>
        <v>0</v>
      </c>
      <c r="K53" s="658">
        <f>+K28*(+'Exh MCP-4 - Conversion Factor'!C9+'Exh MCP-4 - Conversion Factor'!C10)</f>
        <v>604670.87622640014</v>
      </c>
      <c r="L53" s="658">
        <f>+L28*(+'Exh MCP-4 - Conversion Factor'!$C$9+'Exh MCP-4 - Conversion Factor'!$C$10)</f>
        <v>37411.897597199997</v>
      </c>
      <c r="M53" s="658">
        <f>+M28*(+'Exh MCP-4 - Conversion Factor'!$C$9+'Exh MCP-4 - Conversion Factor'!$C$10)</f>
        <v>0</v>
      </c>
      <c r="N53" s="658">
        <f>+N28*(+'Exh MCP-4 - Conversion Factor'!$C$9+'Exh MCP-4 - Conversion Factor'!$C$10)</f>
        <v>0</v>
      </c>
      <c r="O53" s="658">
        <f>+O28*(+'Exh MCP-4 - Conversion Factor'!$C$9+'Exh MCP-4 - Conversion Factor'!$C$10)</f>
        <v>0</v>
      </c>
      <c r="P53" s="658">
        <f>+P28*(+'Exh MCP-4 - Conversion Factor'!$C$9+'Exh MCP-4 - Conversion Factor'!$C$10)</f>
        <v>0</v>
      </c>
      <c r="Q53" s="658">
        <f>+Q28*(+'Exh MCP-4 - Conversion Factor'!$C$9+'Exh MCP-4 - Conversion Factor'!$C$10)</f>
        <v>51907.2229544</v>
      </c>
      <c r="R53" s="597">
        <v>0</v>
      </c>
      <c r="S53" s="596"/>
      <c r="T53" s="596"/>
      <c r="U53" s="662">
        <f>SUM(I53:T53)</f>
        <v>576312.45299400017</v>
      </c>
      <c r="V53" s="663">
        <f>+G53+U53</f>
        <v>21208595.382994</v>
      </c>
    </row>
    <row r="54" spans="1:22" ht="16.2" thickBot="1">
      <c r="A54" s="409">
        <v>47</v>
      </c>
      <c r="B54" s="163" t="s">
        <v>187</v>
      </c>
      <c r="C54" s="160"/>
      <c r="D54" s="589"/>
      <c r="E54" s="787">
        <f t="shared" ref="E54:G54" si="25">E28-E37-E53</f>
        <v>101398753.37999997</v>
      </c>
      <c r="F54" s="790">
        <f t="shared" si="25"/>
        <v>128113.94</v>
      </c>
      <c r="G54" s="590">
        <f t="shared" si="25"/>
        <v>101526867.31999996</v>
      </c>
      <c r="I54" s="590">
        <f t="shared" ref="I54:R54" si="26">I28-I37-I53</f>
        <v>-2786506.6562160002</v>
      </c>
      <c r="J54" s="590">
        <f t="shared" si="26"/>
        <v>0</v>
      </c>
      <c r="K54" s="657">
        <f>K28-K37-K53</f>
        <v>14318104.943773601</v>
      </c>
      <c r="L54" s="590">
        <f>L28-L37-L53</f>
        <v>885882.71240279998</v>
      </c>
      <c r="M54" s="590">
        <f t="shared" ref="M54:N54" si="27">M28-M37-M53</f>
        <v>0</v>
      </c>
      <c r="N54" s="590">
        <f t="shared" si="27"/>
        <v>0</v>
      </c>
      <c r="O54" s="590">
        <f t="shared" si="26"/>
        <v>0</v>
      </c>
      <c r="P54" s="590">
        <f t="shared" si="26"/>
        <v>0</v>
      </c>
      <c r="Q54" s="590">
        <f>Q28-Q37-Q53</f>
        <v>1229119.9970455999</v>
      </c>
      <c r="R54" s="591">
        <f t="shared" si="26"/>
        <v>0</v>
      </c>
      <c r="S54" s="590">
        <f t="shared" ref="S54:V54" si="28">S28-S37-S53</f>
        <v>0</v>
      </c>
      <c r="T54" s="590">
        <f t="shared" si="28"/>
        <v>0</v>
      </c>
      <c r="U54" s="590">
        <f t="shared" si="28"/>
        <v>13646600.997006001</v>
      </c>
      <c r="V54" s="590">
        <f t="shared" si="28"/>
        <v>114171779.31700596</v>
      </c>
    </row>
    <row r="55" spans="1:22" ht="16.2" thickTop="1">
      <c r="A55" s="717">
        <v>48</v>
      </c>
      <c r="B55" s="159"/>
      <c r="C55" s="160"/>
      <c r="D55" s="576"/>
      <c r="E55" s="577"/>
      <c r="F55" s="576"/>
      <c r="G55" s="579"/>
    </row>
    <row r="56" spans="1:22">
      <c r="A56" s="409">
        <v>49</v>
      </c>
      <c r="B56" s="163" t="s">
        <v>188</v>
      </c>
      <c r="C56" s="160"/>
      <c r="D56" s="576"/>
      <c r="E56" s="577"/>
      <c r="F56" s="576"/>
      <c r="G56" s="579"/>
    </row>
    <row r="57" spans="1:22">
      <c r="A57" s="717">
        <v>50</v>
      </c>
      <c r="B57" s="598">
        <v>813</v>
      </c>
      <c r="C57" s="162" t="s">
        <v>189</v>
      </c>
      <c r="D57" s="576"/>
      <c r="E57" s="586">
        <v>3448.67</v>
      </c>
      <c r="F57" s="578">
        <v>316579.44</v>
      </c>
      <c r="G57" s="579">
        <f>SUM(E57:F57)</f>
        <v>320028.11</v>
      </c>
      <c r="M57" s="386"/>
      <c r="P57" s="386">
        <f>+'Restate &amp; Pro Forma Wage Adjust'!Q20+'Restate &amp; Pro Forma Wage Adjust'!Q21</f>
        <v>13282.7868</v>
      </c>
      <c r="U57" s="399">
        <f>SUM(I57:T57)</f>
        <v>13282.7868</v>
      </c>
      <c r="V57" s="399">
        <f>+G57+U57</f>
        <v>333310.89679999999</v>
      </c>
    </row>
    <row r="58" spans="1:22">
      <c r="A58" s="409">
        <v>51</v>
      </c>
      <c r="B58" s="598"/>
      <c r="C58" s="162"/>
      <c r="D58" s="576"/>
      <c r="E58" s="586"/>
      <c r="F58" s="578"/>
      <c r="G58" s="579"/>
    </row>
    <row r="59" spans="1:22">
      <c r="A59" s="717">
        <v>52</v>
      </c>
      <c r="B59" s="163" t="s">
        <v>190</v>
      </c>
      <c r="C59" s="160"/>
      <c r="D59" s="576"/>
      <c r="E59" s="577"/>
      <c r="F59" s="576"/>
      <c r="G59" s="579"/>
    </row>
    <row r="60" spans="1:22">
      <c r="A60" s="409">
        <v>53</v>
      </c>
      <c r="B60" s="163" t="s">
        <v>191</v>
      </c>
      <c r="C60" s="160"/>
      <c r="D60" s="576"/>
      <c r="E60" s="577"/>
      <c r="F60" s="576"/>
      <c r="G60" s="579"/>
    </row>
    <row r="61" spans="1:22">
      <c r="A61" s="717">
        <v>54</v>
      </c>
      <c r="B61" s="161" t="s">
        <v>192</v>
      </c>
      <c r="C61" s="162" t="s">
        <v>193</v>
      </c>
      <c r="D61" s="576"/>
      <c r="E61" s="586">
        <v>1157305.51</v>
      </c>
      <c r="F61" s="578">
        <v>907290.82</v>
      </c>
      <c r="G61" s="579">
        <f t="shared" ref="G61:G71" si="29">SUM(E61:F61)</f>
        <v>2064596.33</v>
      </c>
      <c r="M61" s="386">
        <f>+'Restate &amp; Pro Forma Wage Adjust'!P44</f>
        <v>0</v>
      </c>
      <c r="P61" s="386">
        <f>+'Restate &amp; Pro Forma Wage Adjust'!Q22+'Restate &amp; Pro Forma Wage Adjust'!Q44</f>
        <v>137242.623903</v>
      </c>
      <c r="R61" s="564">
        <f>'MAOP UG-160787 Deferral'!D15</f>
        <v>925749.91111111105</v>
      </c>
      <c r="U61" s="399">
        <f t="shared" ref="U61:U71" si="30">SUM(I61:T61)</f>
        <v>1062992.5350141111</v>
      </c>
      <c r="V61" s="399">
        <f t="shared" ref="V61:V71" si="31">+G61+U61</f>
        <v>3127588.8650141112</v>
      </c>
    </row>
    <row r="62" spans="1:22">
      <c r="A62" s="409">
        <v>55</v>
      </c>
      <c r="B62" s="161" t="s">
        <v>194</v>
      </c>
      <c r="C62" s="162" t="s">
        <v>195</v>
      </c>
      <c r="D62" s="576"/>
      <c r="E62" s="586">
        <v>65379.199999999997</v>
      </c>
      <c r="F62" s="578">
        <v>238694.68</v>
      </c>
      <c r="G62" s="579">
        <f t="shared" si="29"/>
        <v>304073.88</v>
      </c>
      <c r="M62" s="386">
        <f>+'Restate &amp; Pro Forma Wage Adjust'!P23+'Restate &amp; Pro Forma Wage Adjust'!P45</f>
        <v>581.33039999999994</v>
      </c>
      <c r="P62" s="386">
        <f>+'Restate &amp; Pro Forma Wage Adjust'!Q23+'Restate &amp; Pro Forma Wage Adjust'!Q45</f>
        <v>19846.826265360003</v>
      </c>
      <c r="U62" s="399">
        <f t="shared" si="30"/>
        <v>20428.156665360002</v>
      </c>
      <c r="V62" s="399">
        <f t="shared" si="31"/>
        <v>324502.03666535998</v>
      </c>
    </row>
    <row r="63" spans="1:22">
      <c r="A63" s="717">
        <v>56</v>
      </c>
      <c r="B63" s="585" t="s">
        <v>196</v>
      </c>
      <c r="C63" s="162" t="s">
        <v>197</v>
      </c>
      <c r="D63" s="578"/>
      <c r="E63" s="586">
        <v>37041.43</v>
      </c>
      <c r="F63" s="578">
        <v>0</v>
      </c>
      <c r="G63" s="579">
        <f t="shared" si="29"/>
        <v>37041.43</v>
      </c>
      <c r="M63" s="386">
        <f>+'Restate &amp; Pro Forma Wage Adjust'!P46</f>
        <v>143.70779999999999</v>
      </c>
      <c r="P63" s="386">
        <f>+'Restate &amp; Pro Forma Wage Adjust'!Q46</f>
        <v>1336.6428100200001</v>
      </c>
      <c r="U63" s="399">
        <f t="shared" si="30"/>
        <v>1480.35061002</v>
      </c>
      <c r="V63" s="399">
        <f t="shared" si="31"/>
        <v>38521.780610020003</v>
      </c>
    </row>
    <row r="64" spans="1:22">
      <c r="A64" s="409">
        <v>57</v>
      </c>
      <c r="B64" s="585" t="s">
        <v>198</v>
      </c>
      <c r="C64" s="162" t="s">
        <v>199</v>
      </c>
      <c r="D64" s="576"/>
      <c r="E64" s="586">
        <v>3541583.32</v>
      </c>
      <c r="F64" s="578">
        <v>539375.5</v>
      </c>
      <c r="G64" s="579">
        <f t="shared" si="29"/>
        <v>4080958.82</v>
      </c>
      <c r="M64" s="386">
        <f>+'Restate &amp; Pro Forma Wage Adjust'!P47</f>
        <v>15578.269799999998</v>
      </c>
      <c r="P64" s="386">
        <f>+'Restate &amp; Pro Forma Wage Adjust'!Q24+'Restate &amp; Pro Forma Wage Adjust'!Q47</f>
        <v>158213.70496782</v>
      </c>
      <c r="S64" s="386"/>
      <c r="U64" s="399">
        <f t="shared" si="30"/>
        <v>173791.97476782001</v>
      </c>
      <c r="V64" s="399">
        <f t="shared" si="31"/>
        <v>4254750.7947678203</v>
      </c>
    </row>
    <row r="65" spans="1:22">
      <c r="A65" s="717">
        <v>58</v>
      </c>
      <c r="B65" s="161" t="s">
        <v>200</v>
      </c>
      <c r="C65" s="162" t="s">
        <v>201</v>
      </c>
      <c r="D65" s="576"/>
      <c r="E65" s="586">
        <v>315954.13</v>
      </c>
      <c r="F65" s="578">
        <v>88265.32</v>
      </c>
      <c r="G65" s="579">
        <f t="shared" si="29"/>
        <v>404219.45</v>
      </c>
      <c r="M65" s="386">
        <f>+'Restate &amp; Pro Forma Wage Adjust'!P48</f>
        <v>1505.0943</v>
      </c>
      <c r="P65" s="386">
        <f>+'Restate &amp; Pro Forma Wage Adjust'!Q48+'Restate &amp; Pro Forma Wage Adjust'!Q25</f>
        <v>10243.18816887</v>
      </c>
      <c r="U65" s="399">
        <f t="shared" si="30"/>
        <v>11748.28246887</v>
      </c>
      <c r="V65" s="399">
        <f t="shared" si="31"/>
        <v>415967.73246887</v>
      </c>
    </row>
    <row r="66" spans="1:22">
      <c r="A66" s="409">
        <v>59</v>
      </c>
      <c r="B66" s="161" t="s">
        <v>202</v>
      </c>
      <c r="C66" s="162" t="s">
        <v>203</v>
      </c>
      <c r="D66" s="576"/>
      <c r="E66" s="586">
        <v>123534.78</v>
      </c>
      <c r="F66" s="578">
        <v>3380.28</v>
      </c>
      <c r="G66" s="579">
        <f t="shared" si="29"/>
        <v>126915.06</v>
      </c>
      <c r="M66" s="386">
        <f>+'Restate &amp; Pro Forma Wage Adjust'!P49</f>
        <v>704.02289999999994</v>
      </c>
      <c r="P66" s="386">
        <f>+'Restate &amp; Pro Forma Wage Adjust'!Q49</f>
        <v>5358.0162806099988</v>
      </c>
      <c r="U66" s="399">
        <f t="shared" si="30"/>
        <v>6062.0391806099988</v>
      </c>
      <c r="V66" s="399">
        <f t="shared" si="31"/>
        <v>132977.09918061001</v>
      </c>
    </row>
    <row r="67" spans="1:22">
      <c r="A67" s="717">
        <v>60</v>
      </c>
      <c r="B67" s="161" t="s">
        <v>204</v>
      </c>
      <c r="C67" s="162" t="s">
        <v>205</v>
      </c>
      <c r="D67" s="576"/>
      <c r="E67" s="586">
        <v>1097839.44</v>
      </c>
      <c r="F67" s="578">
        <v>0</v>
      </c>
      <c r="G67" s="579">
        <f t="shared" si="29"/>
        <v>1097839.44</v>
      </c>
      <c r="M67" s="386">
        <f>+'Restate &amp; Pro Forma Wage Adjust'!P50</f>
        <v>6893.2955999999995</v>
      </c>
      <c r="P67" s="386">
        <f>+'Restate &amp; Pro Forma Wage Adjust'!Q50</f>
        <v>56161.155146039993</v>
      </c>
      <c r="U67" s="399">
        <f t="shared" si="30"/>
        <v>63054.450746039991</v>
      </c>
      <c r="V67" s="399">
        <f t="shared" si="31"/>
        <v>1160893.89074604</v>
      </c>
    </row>
    <row r="68" spans="1:22">
      <c r="A68" s="409">
        <v>61</v>
      </c>
      <c r="B68" s="161" t="s">
        <v>206</v>
      </c>
      <c r="C68" s="162" t="s">
        <v>207</v>
      </c>
      <c r="D68" s="576"/>
      <c r="E68" s="586">
        <v>674150</v>
      </c>
      <c r="F68" s="578">
        <v>0</v>
      </c>
      <c r="G68" s="579">
        <f t="shared" si="29"/>
        <v>674150</v>
      </c>
      <c r="M68" s="386">
        <f>+'Restate &amp; Pro Forma Wage Adjust'!P51</f>
        <v>5388.3848999999991</v>
      </c>
      <c r="P68" s="386">
        <f>+'Restate &amp; Pro Forma Wage Adjust'!Q51</f>
        <v>37804.206346409992</v>
      </c>
      <c r="U68" s="399">
        <f t="shared" si="30"/>
        <v>43192.591246409989</v>
      </c>
      <c r="V68" s="399">
        <f t="shared" si="31"/>
        <v>717342.59124641004</v>
      </c>
    </row>
    <row r="69" spans="1:22">
      <c r="A69" s="717">
        <v>62</v>
      </c>
      <c r="B69" s="161" t="s">
        <v>208</v>
      </c>
      <c r="C69" s="162" t="s">
        <v>209</v>
      </c>
      <c r="D69" s="576"/>
      <c r="E69" s="586">
        <v>3966282.22</v>
      </c>
      <c r="F69" s="578">
        <v>830916.13</v>
      </c>
      <c r="G69" s="579">
        <f t="shared" si="29"/>
        <v>4797198.3500000006</v>
      </c>
      <c r="M69" s="386">
        <f>+'Restate &amp; Pro Forma Wage Adjust'!P52</f>
        <v>21196.826700000001</v>
      </c>
      <c r="P69" s="386">
        <f>+'Restate &amp; Pro Forma Wage Adjust'!Q26+'Restate &amp; Pro Forma Wage Adjust'!Q52</f>
        <v>189634.71931203001</v>
      </c>
      <c r="U69" s="399">
        <f t="shared" si="30"/>
        <v>210831.54601203001</v>
      </c>
      <c r="V69" s="399">
        <f t="shared" si="31"/>
        <v>5008029.8960120305</v>
      </c>
    </row>
    <row r="70" spans="1:22">
      <c r="A70" s="409">
        <v>63</v>
      </c>
      <c r="B70" s="161" t="s">
        <v>210</v>
      </c>
      <c r="C70" s="162" t="s">
        <v>211</v>
      </c>
      <c r="D70" s="576"/>
      <c r="E70" s="586">
        <v>101842.75</v>
      </c>
      <c r="F70" s="578">
        <v>3782.4</v>
      </c>
      <c r="G70" s="579">
        <f t="shared" si="29"/>
        <v>105625.15</v>
      </c>
      <c r="U70" s="399">
        <f t="shared" si="30"/>
        <v>0</v>
      </c>
      <c r="V70" s="399">
        <f t="shared" si="31"/>
        <v>105625.15</v>
      </c>
    </row>
    <row r="71" spans="1:22">
      <c r="A71" s="717">
        <v>64</v>
      </c>
      <c r="B71" s="161" t="s">
        <v>212</v>
      </c>
      <c r="C71" s="162" t="s">
        <v>213</v>
      </c>
      <c r="D71" s="578"/>
      <c r="E71" s="586">
        <v>0</v>
      </c>
      <c r="F71" s="578">
        <v>0</v>
      </c>
      <c r="G71" s="579">
        <f t="shared" si="29"/>
        <v>0</v>
      </c>
      <c r="U71" s="399">
        <f t="shared" si="30"/>
        <v>0</v>
      </c>
      <c r="V71" s="399">
        <f t="shared" si="31"/>
        <v>0</v>
      </c>
    </row>
    <row r="72" spans="1:22">
      <c r="A72" s="409">
        <v>65</v>
      </c>
      <c r="B72" s="159"/>
      <c r="C72" s="599" t="s">
        <v>214</v>
      </c>
      <c r="D72" s="580"/>
      <c r="E72" s="785">
        <f t="shared" ref="E72:R72" si="32">SUM(E61:E71)</f>
        <v>11080912.780000001</v>
      </c>
      <c r="F72" s="580">
        <f t="shared" si="32"/>
        <v>2611705.13</v>
      </c>
      <c r="G72" s="582">
        <f t="shared" si="32"/>
        <v>13692617.910000002</v>
      </c>
      <c r="I72" s="582">
        <f t="shared" si="32"/>
        <v>0</v>
      </c>
      <c r="J72" s="582">
        <f t="shared" si="32"/>
        <v>0</v>
      </c>
      <c r="K72" s="266">
        <f>SUM(K61:K71)</f>
        <v>0</v>
      </c>
      <c r="L72" s="582">
        <f t="shared" si="32"/>
        <v>0</v>
      </c>
      <c r="M72" s="582">
        <f t="shared" ref="M72:N72" si="33">SUM(M61:M71)</f>
        <v>51990.932399999991</v>
      </c>
      <c r="N72" s="582">
        <f t="shared" si="33"/>
        <v>0</v>
      </c>
      <c r="O72" s="582">
        <f t="shared" si="32"/>
        <v>0</v>
      </c>
      <c r="P72" s="582">
        <f t="shared" si="32"/>
        <v>615841.08320015995</v>
      </c>
      <c r="Q72" s="582">
        <f>SUM(Q61:Q71)</f>
        <v>0</v>
      </c>
      <c r="R72" s="583">
        <f t="shared" si="32"/>
        <v>925749.91111111105</v>
      </c>
      <c r="S72" s="582">
        <f t="shared" ref="S72:V72" si="34">SUM(S61:S71)</f>
        <v>0</v>
      </c>
      <c r="T72" s="582">
        <f t="shared" si="34"/>
        <v>0</v>
      </c>
      <c r="U72" s="582">
        <f t="shared" si="34"/>
        <v>1593581.9267112715</v>
      </c>
      <c r="V72" s="582">
        <f t="shared" si="34"/>
        <v>15286199.836711271</v>
      </c>
    </row>
    <row r="73" spans="1:22">
      <c r="A73" s="717">
        <v>66</v>
      </c>
      <c r="B73" s="159"/>
      <c r="C73" s="160"/>
      <c r="D73" s="576"/>
      <c r="E73" s="577"/>
      <c r="F73" s="576"/>
      <c r="G73" s="579"/>
    </row>
    <row r="74" spans="1:22">
      <c r="A74" s="409">
        <v>67</v>
      </c>
      <c r="B74" s="163" t="s">
        <v>215</v>
      </c>
      <c r="C74" s="160"/>
      <c r="D74" s="576"/>
      <c r="E74" s="577"/>
      <c r="F74" s="576"/>
      <c r="G74" s="579"/>
    </row>
    <row r="75" spans="1:22">
      <c r="A75" s="717">
        <v>68</v>
      </c>
      <c r="B75" s="161" t="s">
        <v>216</v>
      </c>
      <c r="C75" s="162" t="s">
        <v>217</v>
      </c>
      <c r="D75" s="578"/>
      <c r="E75" s="586">
        <v>892055.92999999993</v>
      </c>
      <c r="F75" s="578">
        <v>208638.59</v>
      </c>
      <c r="G75" s="587">
        <f t="shared" ref="G75:G83" si="35">SUM(E75:F75)</f>
        <v>1100694.52</v>
      </c>
      <c r="M75" s="386"/>
      <c r="P75" s="386">
        <f>+'Restate &amp; Pro Forma Wage Adjust'!Q27</f>
        <v>73399.343615999998</v>
      </c>
      <c r="U75" s="399">
        <f t="shared" ref="U75:U83" si="36">SUM(I75:T75)</f>
        <v>73399.343615999998</v>
      </c>
      <c r="V75" s="399">
        <f t="shared" ref="V75:V83" si="37">+G75+U75</f>
        <v>1174093.8636159999</v>
      </c>
    </row>
    <row r="76" spans="1:22">
      <c r="A76" s="409">
        <v>69</v>
      </c>
      <c r="B76" s="161" t="s">
        <v>218</v>
      </c>
      <c r="C76" s="162" t="s">
        <v>219</v>
      </c>
      <c r="D76" s="576"/>
      <c r="E76" s="586">
        <v>1106.0299999999988</v>
      </c>
      <c r="F76" s="578">
        <v>0</v>
      </c>
      <c r="G76" s="579">
        <f t="shared" si="35"/>
        <v>1106.0299999999988</v>
      </c>
      <c r="M76" s="386"/>
      <c r="U76" s="399">
        <f t="shared" si="36"/>
        <v>0</v>
      </c>
      <c r="V76" s="399">
        <f t="shared" si="37"/>
        <v>1106.0299999999988</v>
      </c>
    </row>
    <row r="77" spans="1:22">
      <c r="A77" s="717">
        <v>70</v>
      </c>
      <c r="B77" s="161" t="s">
        <v>220</v>
      </c>
      <c r="C77" s="162" t="s">
        <v>221</v>
      </c>
      <c r="D77" s="576"/>
      <c r="E77" s="586">
        <v>1610202.8900000001</v>
      </c>
      <c r="F77" s="578">
        <v>67297.100000000006</v>
      </c>
      <c r="G77" s="579">
        <f t="shared" si="35"/>
        <v>1677499.9900000002</v>
      </c>
      <c r="M77" s="386">
        <f>+'Restate &amp; Pro Forma Wage Adjust'!P53</f>
        <v>3799.8284999999996</v>
      </c>
      <c r="P77" s="386">
        <f>+'Restate &amp; Pro Forma Wage Adjust'!Q28+'Restate &amp; Pro Forma Wage Adjust'!Q53+'Restate &amp; Pro Forma Wage Adjust'!Q29</f>
        <v>32872.896334649995</v>
      </c>
      <c r="U77" s="399">
        <f t="shared" si="36"/>
        <v>36672.724834649998</v>
      </c>
      <c r="V77" s="399">
        <f t="shared" si="37"/>
        <v>1714172.7148346503</v>
      </c>
    </row>
    <row r="78" spans="1:22">
      <c r="A78" s="409">
        <v>71</v>
      </c>
      <c r="B78" s="585" t="s">
        <v>222</v>
      </c>
      <c r="C78" s="162" t="s">
        <v>197</v>
      </c>
      <c r="D78" s="578"/>
      <c r="E78" s="586">
        <v>73744.02</v>
      </c>
      <c r="F78" s="578">
        <v>0</v>
      </c>
      <c r="G78" s="587">
        <f t="shared" si="35"/>
        <v>73744.02</v>
      </c>
      <c r="M78" s="386">
        <f>+'Restate &amp; Pro Forma Wage Adjust'!P54</f>
        <v>409.60559999999998</v>
      </c>
      <c r="P78" s="386">
        <f>+'Restate &amp; Pro Forma Wage Adjust'!Q54</f>
        <v>3485.0320730399999</v>
      </c>
      <c r="U78" s="399">
        <f t="shared" si="36"/>
        <v>3894.6376730399998</v>
      </c>
      <c r="V78" s="399">
        <f t="shared" si="37"/>
        <v>77638.657673039997</v>
      </c>
    </row>
    <row r="79" spans="1:22">
      <c r="A79" s="717">
        <v>72</v>
      </c>
      <c r="B79" s="161" t="s">
        <v>223</v>
      </c>
      <c r="C79" s="162" t="s">
        <v>224</v>
      </c>
      <c r="D79" s="576"/>
      <c r="E79" s="586">
        <v>391998.68</v>
      </c>
      <c r="F79" s="576">
        <v>1029.1999999999971</v>
      </c>
      <c r="G79" s="579">
        <f t="shared" si="35"/>
        <v>393027.88</v>
      </c>
      <c r="M79" s="386">
        <f>+'Restate &amp; Pro Forma Wage Adjust'!P55</f>
        <v>2142.0381000000002</v>
      </c>
      <c r="P79" s="386">
        <f>+'Restate &amp; Pro Forma Wage Adjust'!Q30+'Restate &amp; Pro Forma Wage Adjust'!Q55</f>
        <v>14605.23846429</v>
      </c>
      <c r="U79" s="399">
        <f t="shared" si="36"/>
        <v>16747.276564290001</v>
      </c>
      <c r="V79" s="399">
        <f t="shared" si="37"/>
        <v>409775.15656429</v>
      </c>
    </row>
    <row r="80" spans="1:22">
      <c r="A80" s="409">
        <v>73</v>
      </c>
      <c r="B80" s="161" t="s">
        <v>225</v>
      </c>
      <c r="C80" s="162" t="s">
        <v>226</v>
      </c>
      <c r="D80" s="576"/>
      <c r="E80" s="586">
        <v>41236.550000000003</v>
      </c>
      <c r="F80" s="576">
        <v>5965.46</v>
      </c>
      <c r="G80" s="579">
        <f t="shared" si="35"/>
        <v>47202.01</v>
      </c>
      <c r="M80" s="386">
        <f>+'Restate &amp; Pro Forma Wage Adjust'!P56</f>
        <v>90.617699999999999</v>
      </c>
      <c r="P80" s="386">
        <f>+'Restate &amp; Pro Forma Wage Adjust'!Q56</f>
        <v>1567.03602993</v>
      </c>
      <c r="U80" s="399">
        <f t="shared" si="36"/>
        <v>1657.6537299300001</v>
      </c>
      <c r="V80" s="399">
        <f t="shared" si="37"/>
        <v>48859.663729930006</v>
      </c>
    </row>
    <row r="81" spans="1:22">
      <c r="A81" s="717">
        <v>74</v>
      </c>
      <c r="B81" s="161" t="s">
        <v>227</v>
      </c>
      <c r="C81" s="162" t="s">
        <v>107</v>
      </c>
      <c r="D81" s="576"/>
      <c r="E81" s="586">
        <v>1334268.1200000001</v>
      </c>
      <c r="F81" s="576">
        <v>194.89</v>
      </c>
      <c r="G81" s="579">
        <f t="shared" si="35"/>
        <v>1334463.01</v>
      </c>
      <c r="M81" s="386">
        <f>+'Restate &amp; Pro Forma Wage Adjust'!P31+'Restate &amp; Pro Forma Wage Adjust'!P57</f>
        <v>6120.2408999999998</v>
      </c>
      <c r="P81" s="386">
        <f>+'Restate &amp; Pro Forma Wage Adjust'!Q31+'Restate &amp; Pro Forma Wage Adjust'!Q57</f>
        <v>52857.50269881</v>
      </c>
      <c r="U81" s="399">
        <f t="shared" si="36"/>
        <v>58977.743598809997</v>
      </c>
      <c r="V81" s="399">
        <f t="shared" si="37"/>
        <v>1393440.7535988099</v>
      </c>
    </row>
    <row r="82" spans="1:22">
      <c r="A82" s="409">
        <v>75</v>
      </c>
      <c r="B82" s="161" t="s">
        <v>228</v>
      </c>
      <c r="C82" s="162" t="s">
        <v>229</v>
      </c>
      <c r="D82" s="576"/>
      <c r="E82" s="586">
        <v>648444.97</v>
      </c>
      <c r="F82" s="576">
        <v>343720.76</v>
      </c>
      <c r="G82" s="579">
        <f t="shared" si="35"/>
        <v>992165.73</v>
      </c>
      <c r="M82" s="386">
        <f>+'Restate &amp; Pro Forma Wage Adjust'!P58</f>
        <v>5123.9760000000006</v>
      </c>
      <c r="P82" s="386">
        <f>+'Restate &amp; Pro Forma Wage Adjust'!Q58</f>
        <v>42324.262877399997</v>
      </c>
      <c r="U82" s="399">
        <f t="shared" si="36"/>
        <v>47448.238877399999</v>
      </c>
      <c r="V82" s="399">
        <f t="shared" si="37"/>
        <v>1039613.9688774</v>
      </c>
    </row>
    <row r="83" spans="1:22">
      <c r="A83" s="717">
        <v>76</v>
      </c>
      <c r="B83" s="161" t="s">
        <v>230</v>
      </c>
      <c r="C83" s="162" t="s">
        <v>231</v>
      </c>
      <c r="D83" s="576"/>
      <c r="E83" s="586">
        <v>1036148.03</v>
      </c>
      <c r="F83" s="576">
        <v>65610.59</v>
      </c>
      <c r="G83" s="579">
        <f t="shared" si="35"/>
        <v>1101758.6200000001</v>
      </c>
      <c r="M83" s="386">
        <f>+'Restate &amp; Pro Forma Wage Adjust'!P59</f>
        <v>7487.6003999999994</v>
      </c>
      <c r="P83" s="386">
        <f>+'Restate &amp; Pro Forma Wage Adjust'!Q32+'Restate &amp; Pro Forma Wage Adjust'!Q59</f>
        <v>54218.193225359995</v>
      </c>
      <c r="U83" s="399">
        <f t="shared" si="36"/>
        <v>61705.793625359991</v>
      </c>
      <c r="V83" s="753">
        <f t="shared" si="37"/>
        <v>1163464.41362536</v>
      </c>
    </row>
    <row r="84" spans="1:22">
      <c r="A84" s="409">
        <v>77</v>
      </c>
      <c r="B84" s="159"/>
      <c r="C84" s="599" t="s">
        <v>232</v>
      </c>
      <c r="D84" s="580"/>
      <c r="E84" s="785">
        <f t="shared" ref="E84:G84" si="38">SUM(E75:E83)</f>
        <v>6029205.2200000007</v>
      </c>
      <c r="F84" s="580">
        <f t="shared" si="38"/>
        <v>692456.59</v>
      </c>
      <c r="G84" s="582">
        <f t="shared" si="38"/>
        <v>6721661.8099999996</v>
      </c>
      <c r="I84" s="582">
        <f t="shared" ref="I84:P84" si="39">SUM(I75:I83)</f>
        <v>0</v>
      </c>
      <c r="J84" s="582">
        <f t="shared" si="39"/>
        <v>0</v>
      </c>
      <c r="K84" s="266">
        <f>SUM(K75:K83)</f>
        <v>0</v>
      </c>
      <c r="L84" s="582">
        <f>SUM(L75:L83)</f>
        <v>0</v>
      </c>
      <c r="M84" s="582">
        <f t="shared" ref="M84:N84" si="40">SUM(M75:M83)</f>
        <v>25173.907199999998</v>
      </c>
      <c r="N84" s="582">
        <f t="shared" si="40"/>
        <v>0</v>
      </c>
      <c r="O84" s="582">
        <f t="shared" si="39"/>
        <v>0</v>
      </c>
      <c r="P84" s="582">
        <f t="shared" si="39"/>
        <v>275329.50531947997</v>
      </c>
      <c r="Q84" s="582">
        <f>SUM(Q75:Q83)</f>
        <v>0</v>
      </c>
      <c r="R84" s="583">
        <f>SUM(R75:R83)</f>
        <v>0</v>
      </c>
      <c r="S84" s="582">
        <f t="shared" ref="S84:V84" si="41">SUM(S75:S83)</f>
        <v>0</v>
      </c>
      <c r="T84" s="582">
        <f t="shared" si="41"/>
        <v>0</v>
      </c>
      <c r="U84" s="582">
        <f t="shared" si="41"/>
        <v>300503.41251947999</v>
      </c>
      <c r="V84" s="582">
        <f t="shared" si="41"/>
        <v>7022165.2225194797</v>
      </c>
    </row>
    <row r="85" spans="1:22">
      <c r="A85" s="717">
        <v>78</v>
      </c>
      <c r="B85" s="163" t="s">
        <v>233</v>
      </c>
      <c r="C85" s="160"/>
      <c r="D85" s="396"/>
      <c r="E85" s="788">
        <f t="shared" ref="E85:G85" si="42">E72+E84</f>
        <v>17110118</v>
      </c>
      <c r="F85" s="396">
        <f t="shared" si="42"/>
        <v>3304161.7199999997</v>
      </c>
      <c r="G85" s="596">
        <f t="shared" si="42"/>
        <v>20414279.720000003</v>
      </c>
      <c r="I85" s="596">
        <f t="shared" ref="I85:O85" si="43">I72+I84</f>
        <v>0</v>
      </c>
      <c r="J85" s="596">
        <f t="shared" si="43"/>
        <v>0</v>
      </c>
      <c r="K85" s="658">
        <f>K72+K84</f>
        <v>0</v>
      </c>
      <c r="L85" s="596">
        <f>L72+L84</f>
        <v>0</v>
      </c>
      <c r="M85" s="596">
        <f t="shared" ref="M85:N85" si="44">M72+M84</f>
        <v>77164.839599999992</v>
      </c>
      <c r="N85" s="596">
        <f t="shared" si="44"/>
        <v>0</v>
      </c>
      <c r="O85" s="596">
        <f t="shared" si="43"/>
        <v>0</v>
      </c>
      <c r="P85" s="596">
        <f>P72+P84+P57</f>
        <v>904453.37531963992</v>
      </c>
      <c r="Q85" s="596">
        <f>Q72+Q84</f>
        <v>0</v>
      </c>
      <c r="R85" s="597">
        <f>R72+R84</f>
        <v>925749.91111111105</v>
      </c>
      <c r="S85" s="596">
        <f t="shared" ref="S85:V85" si="45">S72+S84</f>
        <v>0</v>
      </c>
      <c r="T85" s="596">
        <f t="shared" si="45"/>
        <v>0</v>
      </c>
      <c r="U85" s="596">
        <f t="shared" si="45"/>
        <v>1894085.3392307516</v>
      </c>
      <c r="V85" s="596">
        <f t="shared" si="45"/>
        <v>22308365.059230752</v>
      </c>
    </row>
    <row r="86" spans="1:22">
      <c r="A86" s="409">
        <v>79</v>
      </c>
      <c r="B86" s="159"/>
      <c r="C86" s="160"/>
      <c r="D86" s="576"/>
      <c r="E86" s="577"/>
      <c r="F86" s="576"/>
      <c r="G86" s="579"/>
    </row>
    <row r="87" spans="1:22">
      <c r="A87" s="717">
        <v>80</v>
      </c>
      <c r="B87" s="163" t="s">
        <v>234</v>
      </c>
      <c r="C87" s="160"/>
      <c r="D87" s="576"/>
      <c r="E87" s="577"/>
      <c r="F87" s="576"/>
      <c r="G87" s="579"/>
    </row>
    <row r="88" spans="1:22">
      <c r="A88" s="409">
        <v>81</v>
      </c>
      <c r="B88" s="161" t="s">
        <v>235</v>
      </c>
      <c r="C88" s="162" t="s">
        <v>236</v>
      </c>
      <c r="D88" s="576"/>
      <c r="E88" s="586">
        <v>996</v>
      </c>
      <c r="F88" s="576">
        <v>108519.03999999999</v>
      </c>
      <c r="G88" s="579">
        <f>SUM(E88:F88)</f>
        <v>109515.04</v>
      </c>
      <c r="P88" s="386">
        <f>+'Restate &amp; Pro Forma Wage Adjust'!Q33</f>
        <v>7666.5093120000001</v>
      </c>
      <c r="U88" s="399">
        <f>SUM(I88:T88)</f>
        <v>7666.5093120000001</v>
      </c>
      <c r="V88" s="399">
        <f>+G88+U88</f>
        <v>117181.54931199999</v>
      </c>
    </row>
    <row r="89" spans="1:22">
      <c r="A89" s="717">
        <v>82</v>
      </c>
      <c r="B89" s="161" t="s">
        <v>237</v>
      </c>
      <c r="C89" s="162" t="s">
        <v>238</v>
      </c>
      <c r="D89" s="576"/>
      <c r="E89" s="586">
        <v>413011.73</v>
      </c>
      <c r="F89" s="576">
        <v>157749.41</v>
      </c>
      <c r="G89" s="579">
        <f>SUM(E89:F89)</f>
        <v>570761.14</v>
      </c>
      <c r="M89" s="386">
        <f>+'Restate &amp; Pro Forma Wage Adjust'!P60</f>
        <v>2671.8998999999999</v>
      </c>
      <c r="P89" s="386">
        <f>+'Restate &amp; Pro Forma Wage Adjust'!Q34+'Restate &amp; Pro Forma Wage Adjust'!Q60</f>
        <v>28707.336992909994</v>
      </c>
      <c r="U89" s="399">
        <f>SUM(I89:T89)</f>
        <v>31379.236892909994</v>
      </c>
      <c r="V89" s="399">
        <f>+G89+U89</f>
        <v>602140.37689290999</v>
      </c>
    </row>
    <row r="90" spans="1:22">
      <c r="A90" s="409">
        <v>83</v>
      </c>
      <c r="B90" s="161" t="s">
        <v>239</v>
      </c>
      <c r="C90" s="162" t="s">
        <v>240</v>
      </c>
      <c r="D90" s="576"/>
      <c r="E90" s="586">
        <v>424249</v>
      </c>
      <c r="F90" s="576">
        <v>3656426.6</v>
      </c>
      <c r="G90" s="579">
        <f>SUM(E90:F90)</f>
        <v>4080675.6</v>
      </c>
      <c r="M90" s="386">
        <f>+'Restate &amp; Pro Forma Wage Adjust'!P61</f>
        <v>687.55470000000003</v>
      </c>
      <c r="P90" s="386">
        <f>+'Restate &amp; Pro Forma Wage Adjust'!Q35+'Restate &amp; Pro Forma Wage Adjust'!Q61</f>
        <v>194837.21737623002</v>
      </c>
      <c r="U90" s="399">
        <f>SUM(I90:T90)</f>
        <v>195524.77207623003</v>
      </c>
      <c r="V90" s="399">
        <f>+G90+U90</f>
        <v>4276200.3720762301</v>
      </c>
    </row>
    <row r="91" spans="1:22">
      <c r="A91" s="717">
        <v>84</v>
      </c>
      <c r="B91" s="161" t="s">
        <v>241</v>
      </c>
      <c r="C91" s="162" t="s">
        <v>23</v>
      </c>
      <c r="D91" s="576"/>
      <c r="E91" s="586">
        <v>964263.95</v>
      </c>
      <c r="F91" s="576">
        <v>29953.66</v>
      </c>
      <c r="G91" s="579">
        <f>SUM(E91:F91)</f>
        <v>994217.61</v>
      </c>
      <c r="I91" s="265">
        <f>+I28*'Exh MCP-4 - Conversion Factor'!C8</f>
        <v>-11674.481745569734</v>
      </c>
      <c r="J91" s="265"/>
      <c r="K91" s="265">
        <f>+K28*'Exh MCP-4 - Conversion Factor'!C8</f>
        <v>59987.818232679398</v>
      </c>
      <c r="L91" s="265">
        <f>+L28*'Exh MCP-4 - Conversion Factor'!$C$8</f>
        <v>3711.5366409017465</v>
      </c>
      <c r="M91" s="265"/>
      <c r="N91" s="265"/>
      <c r="O91" s="265"/>
      <c r="P91" s="265"/>
      <c r="Q91" s="265">
        <f>+Q28*'Exh MCP-4 - Conversion Factor'!$C$8</f>
        <v>5149.5800078617403</v>
      </c>
      <c r="U91" s="399">
        <f>SUM(I91:T91)</f>
        <v>57174.453135873147</v>
      </c>
      <c r="V91" s="399">
        <f>+G91+U91</f>
        <v>1051392.0631358731</v>
      </c>
    </row>
    <row r="92" spans="1:22">
      <c r="A92" s="409">
        <v>85</v>
      </c>
      <c r="B92" s="161" t="s">
        <v>242</v>
      </c>
      <c r="C92" s="162" t="s">
        <v>243</v>
      </c>
      <c r="D92" s="576"/>
      <c r="E92" s="586">
        <v>0</v>
      </c>
      <c r="F92" s="576">
        <v>99081.279999999999</v>
      </c>
      <c r="G92" s="579">
        <f>SUM(E92:F92)</f>
        <v>99081.279999999999</v>
      </c>
      <c r="U92" s="399">
        <f>SUM(I92:T92)</f>
        <v>0</v>
      </c>
      <c r="V92" s="399">
        <f>+G92+U92</f>
        <v>99081.279999999999</v>
      </c>
    </row>
    <row r="93" spans="1:22">
      <c r="A93" s="717">
        <v>86</v>
      </c>
      <c r="B93" s="163" t="s">
        <v>244</v>
      </c>
      <c r="C93" s="160"/>
      <c r="D93" s="580"/>
      <c r="E93" s="785">
        <f t="shared" ref="E93:R93" si="46">SUM(E88:E92)</f>
        <v>1802520.68</v>
      </c>
      <c r="F93" s="580">
        <f t="shared" si="46"/>
        <v>4051729.99</v>
      </c>
      <c r="G93" s="582">
        <f t="shared" si="46"/>
        <v>5854250.6700000009</v>
      </c>
      <c r="I93" s="582">
        <f t="shared" si="46"/>
        <v>-11674.481745569734</v>
      </c>
      <c r="J93" s="582">
        <f t="shared" si="46"/>
        <v>0</v>
      </c>
      <c r="K93" s="266">
        <f>SUM(K88:K92)</f>
        <v>59987.818232679398</v>
      </c>
      <c r="L93" s="582">
        <f t="shared" si="46"/>
        <v>3711.5366409017465</v>
      </c>
      <c r="M93" s="582">
        <f t="shared" ref="M93:N93" si="47">SUM(M88:M92)</f>
        <v>3359.4546</v>
      </c>
      <c r="N93" s="582">
        <f t="shared" si="47"/>
        <v>0</v>
      </c>
      <c r="O93" s="582">
        <f t="shared" si="46"/>
        <v>0</v>
      </c>
      <c r="P93" s="754">
        <f>SUM(P88:P92)</f>
        <v>231211.06368114002</v>
      </c>
      <c r="Q93" s="582">
        <f>SUM(Q88:Q92)</f>
        <v>5149.5800078617403</v>
      </c>
      <c r="R93" s="583">
        <f t="shared" si="46"/>
        <v>0</v>
      </c>
      <c r="S93" s="582">
        <f t="shared" ref="S93:V93" si="48">SUM(S88:S92)</f>
        <v>0</v>
      </c>
      <c r="T93" s="582">
        <f t="shared" si="48"/>
        <v>0</v>
      </c>
      <c r="U93" s="582">
        <f t="shared" si="48"/>
        <v>291744.97141701315</v>
      </c>
      <c r="V93" s="582">
        <f t="shared" si="48"/>
        <v>6145995.6414170144</v>
      </c>
    </row>
    <row r="94" spans="1:22">
      <c r="A94" s="409">
        <v>87</v>
      </c>
      <c r="B94" s="159"/>
      <c r="C94" s="160"/>
      <c r="D94" s="576"/>
      <c r="E94" s="577"/>
      <c r="F94" s="576"/>
      <c r="G94" s="579"/>
    </row>
    <row r="95" spans="1:22">
      <c r="A95" s="717">
        <v>88</v>
      </c>
      <c r="B95" s="163" t="s">
        <v>245</v>
      </c>
      <c r="C95" s="160"/>
      <c r="D95" s="576"/>
      <c r="E95" s="577"/>
      <c r="F95" s="576"/>
      <c r="G95" s="579"/>
    </row>
    <row r="96" spans="1:22">
      <c r="A96" s="409">
        <v>89</v>
      </c>
      <c r="B96" s="161" t="s">
        <v>246</v>
      </c>
      <c r="C96" s="162" t="s">
        <v>236</v>
      </c>
      <c r="D96" s="576"/>
      <c r="E96" s="586">
        <v>0</v>
      </c>
      <c r="F96" s="576" t="s">
        <v>724</v>
      </c>
      <c r="G96" s="579">
        <f>SUM(E96:F96)</f>
        <v>0</v>
      </c>
      <c r="U96" s="399">
        <f>SUM(I96:T96)</f>
        <v>0</v>
      </c>
      <c r="V96" s="399">
        <f>+G96+U96</f>
        <v>0</v>
      </c>
    </row>
    <row r="97" spans="1:22">
      <c r="A97" s="717">
        <v>90</v>
      </c>
      <c r="B97" s="161" t="s">
        <v>247</v>
      </c>
      <c r="C97" s="162" t="s">
        <v>248</v>
      </c>
      <c r="D97" s="576"/>
      <c r="E97" s="586">
        <v>6755862.1899999995</v>
      </c>
      <c r="F97" s="576">
        <v>157320.38</v>
      </c>
      <c r="G97" s="579">
        <f>SUM(E97:F97)</f>
        <v>6913182.5699999994</v>
      </c>
      <c r="L97" s="659"/>
      <c r="M97" s="659"/>
      <c r="N97" s="659"/>
      <c r="P97" s="386">
        <f>+'Restate &amp; Pro Forma Wage Adjust'!Q36</f>
        <v>37686.579744000002</v>
      </c>
      <c r="U97" s="399">
        <f>SUM(I97:T97)</f>
        <v>37686.579744000002</v>
      </c>
      <c r="V97" s="399">
        <f>+G97+U97</f>
        <v>6950869.1497439994</v>
      </c>
    </row>
    <row r="98" spans="1:22">
      <c r="A98" s="409">
        <v>91</v>
      </c>
      <c r="B98" s="161" t="s">
        <v>249</v>
      </c>
      <c r="C98" s="162" t="s">
        <v>250</v>
      </c>
      <c r="D98" s="576"/>
      <c r="E98" s="586">
        <v>28538.39</v>
      </c>
      <c r="F98" s="576">
        <v>99786.85</v>
      </c>
      <c r="G98" s="579">
        <f>SUM(E98:F98)</f>
        <v>128325.24</v>
      </c>
      <c r="U98" s="399">
        <f t="shared" ref="U98:U99" si="49">SUM(I98:T98)</f>
        <v>0</v>
      </c>
      <c r="V98" s="399">
        <f>+G98+U98</f>
        <v>128325.24</v>
      </c>
    </row>
    <row r="99" spans="1:22">
      <c r="A99" s="717">
        <v>92</v>
      </c>
      <c r="B99" s="600" t="s">
        <v>251</v>
      </c>
      <c r="C99" s="162" t="s">
        <v>252</v>
      </c>
      <c r="D99" s="578"/>
      <c r="E99" s="586">
        <v>0</v>
      </c>
      <c r="F99" s="576">
        <v>269961.65000000002</v>
      </c>
      <c r="G99" s="587">
        <f>SUM(E99:F99)</f>
        <v>269961.65000000002</v>
      </c>
      <c r="P99" s="386">
        <f>+'Restate &amp; Pro Forma Wage Adjust'!Q37</f>
        <v>19410.898655999998</v>
      </c>
      <c r="U99" s="399">
        <f t="shared" si="49"/>
        <v>19410.898655999998</v>
      </c>
      <c r="V99" s="399">
        <f>+G99+U99</f>
        <v>289372.548656</v>
      </c>
    </row>
    <row r="100" spans="1:22">
      <c r="A100" s="409">
        <v>93</v>
      </c>
      <c r="B100" s="584" t="s">
        <v>253</v>
      </c>
      <c r="C100" s="160"/>
      <c r="D100" s="580"/>
      <c r="E100" s="785">
        <f t="shared" ref="E100:R100" si="50">SUM(E96:E99)</f>
        <v>6784400.5799999991</v>
      </c>
      <c r="F100" s="580">
        <f t="shared" si="50"/>
        <v>527068.88</v>
      </c>
      <c r="G100" s="582">
        <f t="shared" si="50"/>
        <v>7311469.46</v>
      </c>
      <c r="I100" s="582">
        <f t="shared" si="50"/>
        <v>0</v>
      </c>
      <c r="J100" s="582">
        <f t="shared" si="50"/>
        <v>0</v>
      </c>
      <c r="K100" s="266">
        <f>SUM(K96:K99)</f>
        <v>0</v>
      </c>
      <c r="L100" s="582">
        <f t="shared" si="50"/>
        <v>0</v>
      </c>
      <c r="M100" s="582">
        <f t="shared" ref="M100:N100" si="51">SUM(M96:M99)</f>
        <v>0</v>
      </c>
      <c r="N100" s="582">
        <f t="shared" si="51"/>
        <v>0</v>
      </c>
      <c r="O100" s="582">
        <f t="shared" si="50"/>
        <v>0</v>
      </c>
      <c r="P100" s="582">
        <f>SUM(P96:P99)</f>
        <v>57097.4784</v>
      </c>
      <c r="Q100" s="582">
        <f>SUM(Q96:Q99)</f>
        <v>0</v>
      </c>
      <c r="R100" s="583">
        <f t="shared" si="50"/>
        <v>0</v>
      </c>
      <c r="S100" s="582">
        <f t="shared" ref="S100:V100" si="52">SUM(S96:S99)</f>
        <v>0</v>
      </c>
      <c r="T100" s="582">
        <f t="shared" si="52"/>
        <v>0</v>
      </c>
      <c r="U100" s="582">
        <f t="shared" si="52"/>
        <v>57097.4784</v>
      </c>
      <c r="V100" s="582">
        <f t="shared" si="52"/>
        <v>7368566.9383999994</v>
      </c>
    </row>
    <row r="101" spans="1:22">
      <c r="A101" s="717">
        <v>94</v>
      </c>
      <c r="B101" s="159"/>
      <c r="C101" s="160"/>
      <c r="D101" s="576"/>
      <c r="E101" s="577"/>
      <c r="F101" s="576"/>
      <c r="G101" s="579"/>
    </row>
    <row r="102" spans="1:22">
      <c r="A102" s="409">
        <v>95</v>
      </c>
      <c r="B102" s="163" t="s">
        <v>254</v>
      </c>
      <c r="C102" s="160"/>
      <c r="D102" s="576"/>
      <c r="E102" s="577"/>
      <c r="F102" s="576"/>
      <c r="G102" s="579"/>
    </row>
    <row r="103" spans="1:22">
      <c r="A103" s="717">
        <v>96</v>
      </c>
      <c r="B103" s="161" t="s">
        <v>255</v>
      </c>
      <c r="C103" s="162" t="s">
        <v>236</v>
      </c>
      <c r="D103" s="578"/>
      <c r="E103" s="586">
        <v>0</v>
      </c>
      <c r="F103" s="578">
        <v>0</v>
      </c>
      <c r="G103" s="587">
        <f>SUM(E103:F103)</f>
        <v>0</v>
      </c>
      <c r="U103" s="399">
        <f>SUM(I103:T103)</f>
        <v>0</v>
      </c>
      <c r="V103" s="399">
        <f>+G103+U103</f>
        <v>0</v>
      </c>
    </row>
    <row r="104" spans="1:22">
      <c r="A104" s="409">
        <v>97</v>
      </c>
      <c r="B104" s="161" t="s">
        <v>256</v>
      </c>
      <c r="C104" s="162" t="s">
        <v>257</v>
      </c>
      <c r="D104" s="578"/>
      <c r="E104" s="586">
        <v>0</v>
      </c>
      <c r="F104" s="578">
        <v>3181.46</v>
      </c>
      <c r="G104" s="587">
        <f>SUM(E104:F104)</f>
        <v>3181.46</v>
      </c>
      <c r="P104" s="386">
        <f>+'Restate &amp; Pro Forma Wage Adjust'!Q38</f>
        <v>218.0352</v>
      </c>
      <c r="U104" s="399">
        <f>SUM(I104:T104)</f>
        <v>218.0352</v>
      </c>
      <c r="V104" s="399">
        <f>+G104+U104</f>
        <v>3399.4951999999998</v>
      </c>
    </row>
    <row r="105" spans="1:22">
      <c r="A105" s="717">
        <v>98</v>
      </c>
      <c r="B105" s="161" t="s">
        <v>258</v>
      </c>
      <c r="C105" s="162" t="s">
        <v>57</v>
      </c>
      <c r="D105" s="578"/>
      <c r="E105" s="586">
        <v>1795</v>
      </c>
      <c r="F105" s="578">
        <v>432.23</v>
      </c>
      <c r="G105" s="587">
        <f>SUM(E105:F105)</f>
        <v>2227.23</v>
      </c>
      <c r="J105" s="394">
        <f>-'Advertising Adj'!F23</f>
        <v>-1977.2275</v>
      </c>
      <c r="U105" s="399">
        <f>SUM(I105:T105)</f>
        <v>-1977.2275</v>
      </c>
      <c r="V105" s="399">
        <f>+G105+U105</f>
        <v>250.00250000000005</v>
      </c>
    </row>
    <row r="106" spans="1:22">
      <c r="A106" s="409">
        <v>99</v>
      </c>
      <c r="B106" s="161" t="s">
        <v>259</v>
      </c>
      <c r="C106" s="162" t="s">
        <v>260</v>
      </c>
      <c r="D106" s="578"/>
      <c r="E106" s="586">
        <v>0</v>
      </c>
      <c r="F106" s="578">
        <v>0</v>
      </c>
      <c r="G106" s="587">
        <f>SUM(E106:F106)</f>
        <v>0</v>
      </c>
      <c r="U106" s="399">
        <f>SUM(I106:T106)</f>
        <v>0</v>
      </c>
      <c r="V106" s="399">
        <f>+G106+U106</f>
        <v>0</v>
      </c>
    </row>
    <row r="107" spans="1:22">
      <c r="A107" s="717">
        <v>100</v>
      </c>
      <c r="B107" s="163" t="s">
        <v>261</v>
      </c>
      <c r="C107" s="160"/>
      <c r="D107" s="581"/>
      <c r="E107" s="594">
        <f t="shared" ref="E107:R107" si="53">SUM(E103:E106)</f>
        <v>1795</v>
      </c>
      <c r="F107" s="581">
        <f t="shared" si="53"/>
        <v>3613.69</v>
      </c>
      <c r="G107" s="266">
        <f t="shared" si="53"/>
        <v>5408.6900000000005</v>
      </c>
      <c r="I107" s="582">
        <f t="shared" si="53"/>
        <v>0</v>
      </c>
      <c r="J107" s="582">
        <f t="shared" si="53"/>
        <v>-1977.2275</v>
      </c>
      <c r="K107" s="266">
        <f>SUM(K103:K106)</f>
        <v>0</v>
      </c>
      <c r="L107" s="582">
        <f t="shared" si="53"/>
        <v>0</v>
      </c>
      <c r="M107" s="582">
        <f t="shared" ref="M107:N107" si="54">SUM(M103:M106)</f>
        <v>0</v>
      </c>
      <c r="N107" s="582">
        <f t="shared" si="54"/>
        <v>0</v>
      </c>
      <c r="O107" s="582">
        <f t="shared" si="53"/>
        <v>0</v>
      </c>
      <c r="P107" s="582">
        <f t="shared" si="53"/>
        <v>218.0352</v>
      </c>
      <c r="Q107" s="582">
        <f>SUM(Q103:Q106)</f>
        <v>0</v>
      </c>
      <c r="R107" s="583">
        <f t="shared" si="53"/>
        <v>0</v>
      </c>
      <c r="S107" s="266"/>
      <c r="T107" s="266"/>
      <c r="U107" s="266">
        <f>SUM(U103:U106)</f>
        <v>-1759.1922999999999</v>
      </c>
      <c r="V107" s="266">
        <f t="shared" ref="V107" si="55">SUM(V103:V106)</f>
        <v>3649.4976999999999</v>
      </c>
    </row>
    <row r="108" spans="1:22">
      <c r="A108" s="409">
        <v>101</v>
      </c>
      <c r="B108" s="159"/>
      <c r="C108" s="160"/>
      <c r="D108" s="576"/>
      <c r="E108" s="577"/>
      <c r="F108" s="576"/>
      <c r="G108" s="579"/>
    </row>
    <row r="109" spans="1:22">
      <c r="A109" s="717">
        <v>102</v>
      </c>
      <c r="B109" s="163" t="s">
        <v>262</v>
      </c>
      <c r="C109" s="160"/>
      <c r="D109" s="576"/>
      <c r="E109" s="577"/>
      <c r="F109" s="576"/>
      <c r="G109" s="579"/>
    </row>
    <row r="110" spans="1:22">
      <c r="A110" s="409">
        <v>103</v>
      </c>
      <c r="B110" s="161" t="s">
        <v>263</v>
      </c>
      <c r="C110" s="162" t="s">
        <v>264</v>
      </c>
      <c r="D110" s="576"/>
      <c r="E110" s="577">
        <v>0</v>
      </c>
      <c r="F110" s="576">
        <v>6618215.96</v>
      </c>
      <c r="G110" s="579">
        <f t="shared" ref="G110:G120" si="56">SUM(E110:F110)</f>
        <v>6618215.96</v>
      </c>
      <c r="M110" s="386">
        <f>+'Restate &amp; Pro Forma Wage Adjust'!P62</f>
        <v>0</v>
      </c>
      <c r="P110" s="386">
        <f>+'Restate &amp; Pro Forma Wage Adjust'!Q39+'Restate &amp; Pro Forma Wage Adjust'!Q62+'Restate &amp; Pro Forma Wage Adjust'!Q111</f>
        <v>703729.25344980019</v>
      </c>
      <c r="U110" s="399">
        <f t="shared" ref="U110:U120" si="57">SUM(I110:T110)</f>
        <v>703729.25344980019</v>
      </c>
      <c r="V110" s="399">
        <f t="shared" ref="V110:V120" si="58">+G110+U110</f>
        <v>7321945.2134498004</v>
      </c>
    </row>
    <row r="111" spans="1:22">
      <c r="A111" s="717">
        <v>104</v>
      </c>
      <c r="B111" s="161" t="s">
        <v>265</v>
      </c>
      <c r="C111" s="162" t="s">
        <v>266</v>
      </c>
      <c r="D111" s="576"/>
      <c r="E111" s="577">
        <v>11772.37</v>
      </c>
      <c r="F111" s="576">
        <v>3386224.98</v>
      </c>
      <c r="G111" s="579">
        <f t="shared" si="56"/>
        <v>3397997.35</v>
      </c>
      <c r="M111" s="386"/>
      <c r="P111" s="386">
        <f>+'Restate &amp; Pro Forma Wage Adjust'!Q40+'Restate &amp; Pro Forma Wage Adjust'!Q63</f>
        <v>52.334805000000003</v>
      </c>
      <c r="U111" s="399">
        <f t="shared" si="57"/>
        <v>52.334805000000003</v>
      </c>
      <c r="V111" s="399">
        <f t="shared" si="58"/>
        <v>3398049.6848050002</v>
      </c>
    </row>
    <row r="112" spans="1:22">
      <c r="A112" s="409">
        <v>105</v>
      </c>
      <c r="B112" s="161" t="s">
        <v>267</v>
      </c>
      <c r="C112" s="162" t="s">
        <v>268</v>
      </c>
      <c r="D112" s="576"/>
      <c r="E112" s="577">
        <v>40984.11000000003</v>
      </c>
      <c r="F112" s="576">
        <v>554640.89</v>
      </c>
      <c r="G112" s="579">
        <f t="shared" si="56"/>
        <v>595625</v>
      </c>
      <c r="U112" s="399">
        <f t="shared" si="57"/>
        <v>0</v>
      </c>
      <c r="V112" s="399">
        <f t="shared" si="58"/>
        <v>595625</v>
      </c>
    </row>
    <row r="113" spans="1:22">
      <c r="A113" s="717">
        <v>106</v>
      </c>
      <c r="B113" s="161" t="s">
        <v>269</v>
      </c>
      <c r="C113" s="162" t="s">
        <v>270</v>
      </c>
      <c r="D113" s="576"/>
      <c r="E113" s="586">
        <v>0</v>
      </c>
      <c r="F113" s="576">
        <v>82965.17</v>
      </c>
      <c r="G113" s="579">
        <f t="shared" si="56"/>
        <v>82965.17</v>
      </c>
      <c r="U113" s="399">
        <f t="shared" si="57"/>
        <v>0</v>
      </c>
      <c r="V113" s="399">
        <f t="shared" si="58"/>
        <v>82965.17</v>
      </c>
    </row>
    <row r="114" spans="1:22">
      <c r="A114" s="409">
        <v>107</v>
      </c>
      <c r="B114" s="161" t="s">
        <v>271</v>
      </c>
      <c r="C114" s="162" t="s">
        <v>272</v>
      </c>
      <c r="D114" s="576"/>
      <c r="E114" s="577">
        <v>548561.33000000007</v>
      </c>
      <c r="F114" s="576">
        <v>778178.95</v>
      </c>
      <c r="G114" s="579">
        <f t="shared" si="56"/>
        <v>1326740.28</v>
      </c>
      <c r="U114" s="399">
        <f t="shared" si="57"/>
        <v>0</v>
      </c>
      <c r="V114" s="399">
        <f t="shared" si="58"/>
        <v>1326740.28</v>
      </c>
    </row>
    <row r="115" spans="1:22">
      <c r="A115" s="717">
        <v>108</v>
      </c>
      <c r="B115" s="161" t="s">
        <v>273</v>
      </c>
      <c r="C115" s="162" t="s">
        <v>274</v>
      </c>
      <c r="D115" s="576"/>
      <c r="E115" s="577">
        <v>2943437.84</v>
      </c>
      <c r="F115" s="576">
        <v>2254570.4900000002</v>
      </c>
      <c r="G115" s="579">
        <f t="shared" si="56"/>
        <v>5198008.33</v>
      </c>
      <c r="M115" s="386">
        <f>+'Restate &amp; Pro Forma Wage Adjust'!P64</f>
        <v>0</v>
      </c>
      <c r="N115" s="394">
        <f>+'Executive Incentives'!B30</f>
        <v>-1230735.4200000002</v>
      </c>
      <c r="P115" s="386">
        <f>+'Restate &amp; Pro Forma Wage Adjust'!Q41+'Restate &amp; Pro Forma Wage Adjust'!Q64</f>
        <v>1745.797599</v>
      </c>
      <c r="U115" s="399">
        <f t="shared" si="57"/>
        <v>-1228989.6224010002</v>
      </c>
      <c r="V115" s="399">
        <f t="shared" si="58"/>
        <v>3969018.7075990001</v>
      </c>
    </row>
    <row r="116" spans="1:22">
      <c r="A116" s="409">
        <v>109</v>
      </c>
      <c r="B116" s="161" t="s">
        <v>275</v>
      </c>
      <c r="C116" s="162" t="s">
        <v>276</v>
      </c>
      <c r="D116" s="578"/>
      <c r="E116" s="586">
        <v>113736.19</v>
      </c>
      <c r="F116" s="576">
        <v>0</v>
      </c>
      <c r="G116" s="587">
        <f t="shared" si="56"/>
        <v>113736.19</v>
      </c>
      <c r="U116" s="399">
        <f t="shared" si="57"/>
        <v>0</v>
      </c>
      <c r="V116" s="399">
        <f t="shared" si="58"/>
        <v>113736.19</v>
      </c>
    </row>
    <row r="117" spans="1:22">
      <c r="A117" s="717">
        <v>110</v>
      </c>
      <c r="B117" s="161" t="s">
        <v>277</v>
      </c>
      <c r="C117" s="162" t="s">
        <v>278</v>
      </c>
      <c r="D117" s="578"/>
      <c r="E117" s="577">
        <v>2440</v>
      </c>
      <c r="F117" s="576">
        <v>23295.65</v>
      </c>
      <c r="G117" s="587">
        <f t="shared" si="56"/>
        <v>25735.65</v>
      </c>
      <c r="J117" s="394">
        <f>-'Advertising Adj'!F160</f>
        <v>-25714.466148000007</v>
      </c>
      <c r="U117" s="399">
        <f t="shared" si="57"/>
        <v>-25714.466148000007</v>
      </c>
      <c r="V117" s="399">
        <f t="shared" si="58"/>
        <v>21.183851999994658</v>
      </c>
    </row>
    <row r="118" spans="1:22">
      <c r="A118" s="409">
        <v>111</v>
      </c>
      <c r="B118" s="161" t="s">
        <v>279</v>
      </c>
      <c r="C118" s="162" t="s">
        <v>280</v>
      </c>
      <c r="D118" s="576"/>
      <c r="E118" s="586">
        <v>206733.56999999998</v>
      </c>
      <c r="F118" s="576">
        <v>575154.72</v>
      </c>
      <c r="G118" s="579">
        <f t="shared" si="56"/>
        <v>781888.28999999992</v>
      </c>
      <c r="U118" s="399">
        <f t="shared" si="57"/>
        <v>0</v>
      </c>
      <c r="V118" s="399">
        <f t="shared" si="58"/>
        <v>781888.28999999992</v>
      </c>
    </row>
    <row r="119" spans="1:22">
      <c r="A119" s="717">
        <v>112</v>
      </c>
      <c r="B119" s="161" t="s">
        <v>281</v>
      </c>
      <c r="C119" s="162" t="s">
        <v>211</v>
      </c>
      <c r="D119" s="576"/>
      <c r="E119" s="577">
        <v>0</v>
      </c>
      <c r="F119" s="576">
        <v>1072996.2</v>
      </c>
      <c r="G119" s="579">
        <f t="shared" si="56"/>
        <v>1072996.2</v>
      </c>
      <c r="U119" s="399">
        <f t="shared" si="57"/>
        <v>0</v>
      </c>
      <c r="V119" s="399">
        <f t="shared" si="58"/>
        <v>1072996.2</v>
      </c>
    </row>
    <row r="120" spans="1:22">
      <c r="A120" s="409">
        <v>113</v>
      </c>
      <c r="B120" s="161" t="s">
        <v>282</v>
      </c>
      <c r="C120" s="162" t="s">
        <v>283</v>
      </c>
      <c r="D120" s="396"/>
      <c r="E120" s="788">
        <v>42192.83</v>
      </c>
      <c r="F120" s="396">
        <v>4794.2</v>
      </c>
      <c r="G120" s="596">
        <f t="shared" si="56"/>
        <v>46987.03</v>
      </c>
      <c r="M120" s="386">
        <f>+'Restate &amp; Pro Forma Wage Adjust'!P65</f>
        <v>39.050400000000003</v>
      </c>
      <c r="P120" s="386">
        <f>+'Restate &amp; Pro Forma Wage Adjust'!Q65</f>
        <v>158.07267336000001</v>
      </c>
      <c r="U120" s="399">
        <f t="shared" si="57"/>
        <v>197.12307336000001</v>
      </c>
      <c r="V120" s="399">
        <f t="shared" si="58"/>
        <v>47184.153073360001</v>
      </c>
    </row>
    <row r="121" spans="1:22">
      <c r="A121" s="717">
        <v>114</v>
      </c>
      <c r="B121" s="159"/>
      <c r="C121" s="160"/>
      <c r="D121" s="576"/>
      <c r="E121" s="577">
        <f t="shared" ref="E121:P121" si="59">SUM(E110:E120)</f>
        <v>3909858.2399999998</v>
      </c>
      <c r="F121" s="576">
        <f t="shared" si="59"/>
        <v>15351037.209999999</v>
      </c>
      <c r="G121" s="579">
        <f t="shared" si="59"/>
        <v>19260895.449999999</v>
      </c>
      <c r="I121" s="579">
        <f t="shared" si="59"/>
        <v>0</v>
      </c>
      <c r="J121" s="579">
        <f t="shared" si="59"/>
        <v>-25714.466148000007</v>
      </c>
      <c r="K121" s="587">
        <f>SUM(K110:K120)</f>
        <v>0</v>
      </c>
      <c r="L121" s="579">
        <f t="shared" si="59"/>
        <v>0</v>
      </c>
      <c r="M121" s="660">
        <f>SUM(M110:M120)</f>
        <v>39.050400000000003</v>
      </c>
      <c r="N121" s="579">
        <f t="shared" ref="N121" si="60">SUM(N110:N120)</f>
        <v>-1230735.4200000002</v>
      </c>
      <c r="O121" s="579">
        <f t="shared" si="59"/>
        <v>0</v>
      </c>
      <c r="P121" s="579">
        <f t="shared" si="59"/>
        <v>705685.45852716023</v>
      </c>
      <c r="Q121" s="579">
        <f>SUM(Q110:Q120)</f>
        <v>0</v>
      </c>
      <c r="R121" s="595"/>
      <c r="S121" s="579">
        <f t="shared" ref="S121:V121" si="61">SUM(S110:S120)</f>
        <v>0</v>
      </c>
      <c r="T121" s="579">
        <f t="shared" si="61"/>
        <v>0</v>
      </c>
      <c r="U121" s="579">
        <f t="shared" si="61"/>
        <v>-550725.37722084008</v>
      </c>
      <c r="V121" s="579">
        <f t="shared" si="61"/>
        <v>18710170.072779156</v>
      </c>
    </row>
    <row r="122" spans="1:22">
      <c r="A122" s="409">
        <v>115</v>
      </c>
      <c r="B122" s="161" t="s">
        <v>284</v>
      </c>
      <c r="C122" s="162" t="s">
        <v>285</v>
      </c>
      <c r="D122" s="576"/>
      <c r="E122" s="577">
        <v>-91985.2</v>
      </c>
      <c r="F122" s="576">
        <v>-218797.07</v>
      </c>
      <c r="G122" s="579">
        <f>SUM(E122:F122)</f>
        <v>-310782.27</v>
      </c>
      <c r="U122" s="399">
        <f>SUM(I122:T122)</f>
        <v>0</v>
      </c>
      <c r="V122" s="399">
        <f>+G122+U122</f>
        <v>-310782.27</v>
      </c>
    </row>
    <row r="123" spans="1:22">
      <c r="A123" s="717">
        <v>116</v>
      </c>
      <c r="B123" s="163" t="s">
        <v>286</v>
      </c>
      <c r="C123" s="160"/>
      <c r="D123" s="580"/>
      <c r="E123" s="785">
        <f t="shared" ref="E123:P123" si="62">E121+E122</f>
        <v>3817873.0399999996</v>
      </c>
      <c r="F123" s="580">
        <f t="shared" si="62"/>
        <v>15132240.139999999</v>
      </c>
      <c r="G123" s="582">
        <f t="shared" si="62"/>
        <v>18950113.18</v>
      </c>
      <c r="I123" s="582">
        <f t="shared" si="62"/>
        <v>0</v>
      </c>
      <c r="J123" s="582">
        <f t="shared" si="62"/>
        <v>-25714.466148000007</v>
      </c>
      <c r="K123" s="266">
        <f>K121+K122</f>
        <v>0</v>
      </c>
      <c r="L123" s="582">
        <f t="shared" si="62"/>
        <v>0</v>
      </c>
      <c r="M123" s="582">
        <f t="shared" ref="M123:N123" si="63">M121+M122</f>
        <v>39.050400000000003</v>
      </c>
      <c r="N123" s="582">
        <f t="shared" si="63"/>
        <v>-1230735.4200000002</v>
      </c>
      <c r="O123" s="582">
        <f t="shared" si="62"/>
        <v>0</v>
      </c>
      <c r="P123" s="582">
        <f t="shared" si="62"/>
        <v>705685.45852716023</v>
      </c>
      <c r="Q123" s="582">
        <f>Q121+Q122</f>
        <v>0</v>
      </c>
      <c r="R123" s="583"/>
      <c r="S123" s="582">
        <f t="shared" ref="S123:V123" si="64">S121+S122</f>
        <v>0</v>
      </c>
      <c r="T123" s="582">
        <f t="shared" si="64"/>
        <v>0</v>
      </c>
      <c r="U123" s="582">
        <f t="shared" si="64"/>
        <v>-550725.37722084008</v>
      </c>
      <c r="V123" s="582">
        <f t="shared" si="64"/>
        <v>18399387.802779157</v>
      </c>
    </row>
    <row r="124" spans="1:22">
      <c r="A124" s="409">
        <v>117</v>
      </c>
      <c r="B124" s="159"/>
      <c r="C124" s="160"/>
      <c r="D124" s="576"/>
      <c r="E124" s="577"/>
      <c r="F124" s="576"/>
      <c r="G124" s="579"/>
    </row>
    <row r="125" spans="1:22" ht="16.2" thickBot="1">
      <c r="A125" s="717">
        <v>118</v>
      </c>
      <c r="B125" s="873" t="s">
        <v>287</v>
      </c>
      <c r="C125" s="874"/>
      <c r="D125" s="589">
        <f t="shared" ref="D125:V125" si="65">D85+D93+D100+D107+D123+D57</f>
        <v>0</v>
      </c>
      <c r="E125" s="787">
        <f>E85+E93+E100+E107+E123+E57</f>
        <v>29520155.969999999</v>
      </c>
      <c r="F125" s="589">
        <f t="shared" si="65"/>
        <v>23335393.859999999</v>
      </c>
      <c r="G125" s="590">
        <f t="shared" si="65"/>
        <v>52855549.829999998</v>
      </c>
      <c r="I125" s="590">
        <f>I85+I93+I100+I107+I123+I57</f>
        <v>-11674.481745569734</v>
      </c>
      <c r="J125" s="590">
        <f t="shared" si="65"/>
        <v>-27691.693648000008</v>
      </c>
      <c r="K125" s="590">
        <f t="shared" si="65"/>
        <v>59987.818232679398</v>
      </c>
      <c r="L125" s="590">
        <f t="shared" si="65"/>
        <v>3711.5366409017465</v>
      </c>
      <c r="M125" s="590">
        <f t="shared" si="65"/>
        <v>80563.344599999982</v>
      </c>
      <c r="N125" s="590">
        <f t="shared" si="65"/>
        <v>-1230735.4200000002</v>
      </c>
      <c r="O125" s="590">
        <f t="shared" si="65"/>
        <v>0</v>
      </c>
      <c r="P125" s="590">
        <f t="shared" si="65"/>
        <v>1911948.1979279402</v>
      </c>
      <c r="Q125" s="590">
        <f t="shared" si="65"/>
        <v>5149.5800078617403</v>
      </c>
      <c r="R125" s="590">
        <f t="shared" si="65"/>
        <v>925749.91111111105</v>
      </c>
      <c r="S125" s="590">
        <f t="shared" si="65"/>
        <v>0</v>
      </c>
      <c r="T125" s="590">
        <f t="shared" si="65"/>
        <v>0</v>
      </c>
      <c r="U125" s="590">
        <f t="shared" si="65"/>
        <v>1703726.0063269241</v>
      </c>
      <c r="V125" s="590">
        <f t="shared" si="65"/>
        <v>54559275.836326912</v>
      </c>
    </row>
    <row r="126" spans="1:22" ht="16.2" thickTop="1">
      <c r="A126" s="409">
        <v>119</v>
      </c>
      <c r="B126" s="159"/>
      <c r="C126" s="160"/>
      <c r="D126" s="576"/>
      <c r="E126" s="577"/>
      <c r="F126" s="576"/>
      <c r="G126" s="579"/>
    </row>
    <row r="127" spans="1:22">
      <c r="A127" s="717">
        <v>120</v>
      </c>
      <c r="B127" s="163" t="s">
        <v>288</v>
      </c>
      <c r="C127" s="160"/>
      <c r="D127" s="576"/>
      <c r="E127" s="577"/>
      <c r="F127" s="576"/>
      <c r="G127" s="579"/>
    </row>
    <row r="128" spans="1:22">
      <c r="A128" s="409">
        <v>121</v>
      </c>
      <c r="B128" s="161" t="s">
        <v>289</v>
      </c>
      <c r="C128" s="162" t="s">
        <v>290</v>
      </c>
      <c r="D128" s="576"/>
      <c r="E128" s="577">
        <v>0</v>
      </c>
      <c r="F128" s="576">
        <v>24915117.609999999</v>
      </c>
      <c r="G128" s="579">
        <f t="shared" ref="G128:G134" si="66">SUM(E128:F128)</f>
        <v>24915117.609999999</v>
      </c>
      <c r="L128" s="953">
        <f>+'EOP Depreciation Expense Adj'!E58</f>
        <v>1910511.9494739994</v>
      </c>
      <c r="Q128" s="953">
        <f>+'Pro Forma Plant Additions'!E18</f>
        <v>2842570.6583268726</v>
      </c>
      <c r="U128" s="957">
        <f t="shared" ref="U128:U134" si="67">SUM(I128:T128)</f>
        <v>4753082.6078008721</v>
      </c>
      <c r="V128" s="957">
        <f t="shared" ref="V128:V134" si="68">+G128+U128</f>
        <v>29668200.217800871</v>
      </c>
    </row>
    <row r="129" spans="1:22">
      <c r="A129" s="717">
        <v>122</v>
      </c>
      <c r="B129" s="159"/>
      <c r="C129" s="162" t="s">
        <v>291</v>
      </c>
      <c r="D129" s="578"/>
      <c r="E129" s="577">
        <v>0</v>
      </c>
      <c r="F129" s="576">
        <v>0</v>
      </c>
      <c r="G129" s="587">
        <f t="shared" si="66"/>
        <v>0</v>
      </c>
      <c r="U129" s="399">
        <f t="shared" si="67"/>
        <v>0</v>
      </c>
      <c r="V129" s="399">
        <f t="shared" si="68"/>
        <v>0</v>
      </c>
    </row>
    <row r="130" spans="1:22">
      <c r="A130" s="409">
        <v>123</v>
      </c>
      <c r="B130" s="159"/>
      <c r="C130" s="162" t="s">
        <v>292</v>
      </c>
      <c r="D130" s="578"/>
      <c r="E130" s="577">
        <v>0</v>
      </c>
      <c r="F130" s="576">
        <v>0</v>
      </c>
      <c r="G130" s="587">
        <f t="shared" si="66"/>
        <v>0</v>
      </c>
      <c r="U130" s="399">
        <f t="shared" si="67"/>
        <v>0</v>
      </c>
      <c r="V130" s="399">
        <f t="shared" si="68"/>
        <v>0</v>
      </c>
    </row>
    <row r="131" spans="1:22">
      <c r="A131" s="717">
        <v>124</v>
      </c>
      <c r="B131" s="159"/>
      <c r="C131" s="162" t="s">
        <v>293</v>
      </c>
      <c r="D131" s="576"/>
      <c r="E131" s="586">
        <v>0</v>
      </c>
      <c r="F131" s="576">
        <v>0</v>
      </c>
      <c r="G131" s="579">
        <f t="shared" si="66"/>
        <v>0</v>
      </c>
      <c r="U131" s="399">
        <f t="shared" si="67"/>
        <v>0</v>
      </c>
      <c r="V131" s="399">
        <f t="shared" si="68"/>
        <v>0</v>
      </c>
    </row>
    <row r="132" spans="1:22">
      <c r="A132" s="409">
        <v>125</v>
      </c>
      <c r="B132" s="159"/>
      <c r="C132" s="162" t="s">
        <v>294</v>
      </c>
      <c r="D132" s="578"/>
      <c r="E132" s="577">
        <v>0</v>
      </c>
      <c r="F132" s="576">
        <v>0</v>
      </c>
      <c r="G132" s="587">
        <f t="shared" si="66"/>
        <v>0</v>
      </c>
      <c r="U132" s="399">
        <f t="shared" si="67"/>
        <v>0</v>
      </c>
      <c r="V132" s="399">
        <f t="shared" si="68"/>
        <v>0</v>
      </c>
    </row>
    <row r="133" spans="1:22">
      <c r="A133" s="717">
        <v>126</v>
      </c>
      <c r="B133" s="159"/>
      <c r="C133" s="162" t="s">
        <v>295</v>
      </c>
      <c r="D133" s="578"/>
      <c r="E133" s="577">
        <v>0</v>
      </c>
      <c r="F133" s="576">
        <v>0</v>
      </c>
      <c r="G133" s="587">
        <f t="shared" si="66"/>
        <v>0</v>
      </c>
      <c r="U133" s="399">
        <f t="shared" si="67"/>
        <v>0</v>
      </c>
      <c r="V133" s="399">
        <f t="shared" si="68"/>
        <v>0</v>
      </c>
    </row>
    <row r="134" spans="1:22">
      <c r="A134" s="409">
        <v>127</v>
      </c>
      <c r="B134" s="161" t="s">
        <v>296</v>
      </c>
      <c r="C134" s="162" t="s">
        <v>297</v>
      </c>
      <c r="D134" s="578"/>
      <c r="E134" s="577">
        <v>0</v>
      </c>
      <c r="F134" s="576">
        <v>0</v>
      </c>
      <c r="G134" s="587">
        <f t="shared" si="66"/>
        <v>0</v>
      </c>
      <c r="U134" s="399">
        <f t="shared" si="67"/>
        <v>0</v>
      </c>
      <c r="V134" s="399">
        <f t="shared" si="68"/>
        <v>0</v>
      </c>
    </row>
    <row r="135" spans="1:22">
      <c r="A135" s="717">
        <v>128</v>
      </c>
      <c r="B135" s="163" t="s">
        <v>298</v>
      </c>
      <c r="C135" s="160"/>
      <c r="D135" s="580"/>
      <c r="E135" s="785">
        <f t="shared" ref="E135:R135" si="69">SUM(E128:E134)</f>
        <v>0</v>
      </c>
      <c r="F135" s="580">
        <f t="shared" si="69"/>
        <v>24915117.609999999</v>
      </c>
      <c r="G135" s="582">
        <f t="shared" si="69"/>
        <v>24915117.609999999</v>
      </c>
      <c r="I135" s="582">
        <f>SUM(I128:I134)</f>
        <v>0</v>
      </c>
      <c r="J135" s="582">
        <f t="shared" si="69"/>
        <v>0</v>
      </c>
      <c r="K135" s="266">
        <f>SUM(K128:K134)</f>
        <v>0</v>
      </c>
      <c r="L135" s="954">
        <f t="shared" si="69"/>
        <v>1910511.9494739994</v>
      </c>
      <c r="M135" s="582">
        <f t="shared" ref="M135:N135" si="70">SUM(M128:M134)</f>
        <v>0</v>
      </c>
      <c r="N135" s="582">
        <f t="shared" si="70"/>
        <v>0</v>
      </c>
      <c r="O135" s="582">
        <f t="shared" si="69"/>
        <v>0</v>
      </c>
      <c r="P135" s="582">
        <f t="shared" si="69"/>
        <v>0</v>
      </c>
      <c r="Q135" s="954">
        <f t="shared" si="69"/>
        <v>2842570.6583268726</v>
      </c>
      <c r="R135" s="583">
        <f t="shared" si="69"/>
        <v>0</v>
      </c>
      <c r="S135" s="582">
        <f t="shared" ref="S135:V135" si="71">SUM(S128:S134)</f>
        <v>0</v>
      </c>
      <c r="T135" s="582">
        <f t="shared" si="71"/>
        <v>0</v>
      </c>
      <c r="U135" s="954">
        <f t="shared" si="71"/>
        <v>4753082.6078008721</v>
      </c>
      <c r="V135" s="954">
        <f t="shared" si="71"/>
        <v>29668200.217800871</v>
      </c>
    </row>
    <row r="136" spans="1:22">
      <c r="A136" s="409">
        <v>129</v>
      </c>
      <c r="B136" s="159"/>
      <c r="C136" s="160"/>
      <c r="D136" s="576"/>
      <c r="E136" s="577"/>
      <c r="F136" s="576"/>
      <c r="G136" s="579"/>
    </row>
    <row r="137" spans="1:22">
      <c r="A137" s="717">
        <v>130</v>
      </c>
      <c r="B137" s="585" t="s">
        <v>299</v>
      </c>
      <c r="C137" s="160" t="s">
        <v>37</v>
      </c>
      <c r="D137" s="578"/>
      <c r="E137" s="586">
        <v>0</v>
      </c>
      <c r="F137" s="578">
        <v>0</v>
      </c>
      <c r="G137" s="587">
        <f>SUM(E137:F137)</f>
        <v>0</v>
      </c>
    </row>
    <row r="138" spans="1:22">
      <c r="A138" s="409">
        <v>131</v>
      </c>
      <c r="B138" s="159"/>
      <c r="C138" s="160"/>
      <c r="D138" s="576"/>
      <c r="E138" s="577"/>
      <c r="F138" s="576"/>
      <c r="G138" s="579"/>
      <c r="U138" s="399"/>
      <c r="V138" s="399"/>
    </row>
    <row r="139" spans="1:22">
      <c r="A139" s="717">
        <v>132</v>
      </c>
      <c r="B139" s="163" t="s">
        <v>300</v>
      </c>
      <c r="C139" s="160"/>
      <c r="D139" s="576"/>
      <c r="E139" s="577"/>
      <c r="F139" s="576"/>
      <c r="G139" s="579"/>
    </row>
    <row r="140" spans="1:22">
      <c r="A140" s="409">
        <v>133</v>
      </c>
      <c r="B140" s="161" t="s">
        <v>301</v>
      </c>
      <c r="C140" s="162" t="s">
        <v>302</v>
      </c>
      <c r="D140" s="396"/>
      <c r="E140" s="788">
        <v>3202159.25</v>
      </c>
      <c r="F140" s="396">
        <v>973855.27</v>
      </c>
      <c r="G140" s="596">
        <f>SUM(E140:F140)</f>
        <v>4176014.52</v>
      </c>
      <c r="M140" s="386">
        <f>+'Restate &amp; Pro Forma Wage Adjust'!P17</f>
        <v>6163.0958619000021</v>
      </c>
      <c r="P140" s="394">
        <f>+'Restate &amp; Pro Forma Wage Adjust'!Q17</f>
        <v>108841.00287307221</v>
      </c>
      <c r="Q140" s="394">
        <f>+'Pro Forma Plant Additions'!E12</f>
        <v>765625.05402376899</v>
      </c>
      <c r="U140" s="399">
        <f>SUM(I140:T140)</f>
        <v>880629.15275874117</v>
      </c>
      <c r="V140" s="399">
        <f>+G140+U140</f>
        <v>5056643.6727587413</v>
      </c>
    </row>
    <row r="141" spans="1:22">
      <c r="A141" s="717">
        <v>134</v>
      </c>
      <c r="B141" s="159"/>
      <c r="C141" s="160"/>
      <c r="D141" s="576"/>
      <c r="E141" s="577"/>
      <c r="F141" s="576"/>
      <c r="G141" s="579"/>
    </row>
    <row r="142" spans="1:22">
      <c r="A142" s="409">
        <v>135</v>
      </c>
      <c r="B142" s="163" t="s">
        <v>303</v>
      </c>
      <c r="C142" s="160"/>
      <c r="D142" s="576"/>
      <c r="E142" s="577"/>
      <c r="F142" s="576"/>
      <c r="G142" s="579"/>
    </row>
    <row r="143" spans="1:22">
      <c r="A143" s="717">
        <v>136</v>
      </c>
      <c r="B143" s="161" t="s">
        <v>304</v>
      </c>
      <c r="C143" s="162" t="s">
        <v>305</v>
      </c>
      <c r="D143" s="578"/>
      <c r="E143" s="586">
        <v>-10887316.07</v>
      </c>
      <c r="F143" s="578">
        <v>0</v>
      </c>
      <c r="G143" s="587">
        <f>+E143</f>
        <v>-10887316.07</v>
      </c>
      <c r="I143" s="394">
        <f>(+I54-SUM(I125,I135,I140))*'Exh MCP-4 - Conversion Factor'!$C$33</f>
        <v>-582714.75663879036</v>
      </c>
      <c r="J143" s="394">
        <f>(+J54-SUM(J125,J135,J140))*'Exh MCP-4 - Conversion Factor'!$C$33</f>
        <v>5815.255666080001</v>
      </c>
      <c r="K143" s="394">
        <f>(+K54-SUM(K125,K135,K140))*'Exh MCP-4 - Conversion Factor'!$C$33</f>
        <v>2994204.5963635934</v>
      </c>
      <c r="L143" s="953">
        <f>(+L54-SUM(L125,L135,L140))*'Exh MCP-4 - Conversion Factor'!$C$33</f>
        <v>-215951.56247954126</v>
      </c>
      <c r="M143" s="394">
        <f>(+M54-SUM(M125,M135,M140))*'Exh MCP-4 - Conversion Factor'!$C$33</f>
        <v>-18212.552496998997</v>
      </c>
      <c r="N143" s="394">
        <f>(+N54-SUM(N125,N135,N140))*'Exh MCP-4 - Conversion Factor'!$C$33</f>
        <v>258454.43820000003</v>
      </c>
      <c r="O143" s="953">
        <f>+'Interest Coord. Adj.'!H16</f>
        <v>92149.274644906196</v>
      </c>
      <c r="P143" s="394">
        <f>(+P54-SUM(P125,P135,P140))*'Exh MCP-4 - Conversion Factor'!$C$33</f>
        <v>-424365.73216821259</v>
      </c>
      <c r="Q143" s="953">
        <f>(+Q54-SUM(Q125,Q135,Q140))*'Exh MCP-4 - Conversion Factor'!$C$33</f>
        <v>-500687.31201570976</v>
      </c>
      <c r="R143" s="394">
        <f>(+R54-SUM(R125,R135,R140))*'Exh MCP-4 - Conversion Factor'!$C$33</f>
        <v>-194407.4813333333</v>
      </c>
      <c r="S143" s="601"/>
      <c r="U143" s="957">
        <f>SUM(I143:T143)</f>
        <v>1414284.1677419939</v>
      </c>
      <c r="V143" s="957">
        <f t="shared" ref="V143:V148" si="72">+G143+U143</f>
        <v>-9473031.9022580069</v>
      </c>
    </row>
    <row r="144" spans="1:22">
      <c r="A144" s="409">
        <v>137</v>
      </c>
      <c r="B144" s="161" t="s">
        <v>304</v>
      </c>
      <c r="C144" s="162" t="s">
        <v>306</v>
      </c>
      <c r="D144" s="578"/>
      <c r="E144" s="586">
        <v>0</v>
      </c>
      <c r="F144" s="578">
        <v>0</v>
      </c>
      <c r="G144" s="587">
        <f t="shared" ref="G144:G148" si="73">SUM(E144:F144)</f>
        <v>0</v>
      </c>
      <c r="U144" s="399">
        <f t="shared" ref="U144:U148" si="74">SUM(I144:T144)</f>
        <v>0</v>
      </c>
      <c r="V144" s="399">
        <f t="shared" si="72"/>
        <v>0</v>
      </c>
    </row>
    <row r="145" spans="1:22">
      <c r="A145" s="717">
        <v>138</v>
      </c>
      <c r="B145" s="161" t="s">
        <v>307</v>
      </c>
      <c r="C145" s="162" t="s">
        <v>308</v>
      </c>
      <c r="D145" s="578"/>
      <c r="E145" s="586">
        <v>32227813.57</v>
      </c>
      <c r="F145" s="578">
        <v>0</v>
      </c>
      <c r="G145" s="587">
        <f t="shared" si="73"/>
        <v>32227813.57</v>
      </c>
      <c r="U145" s="399">
        <f t="shared" si="74"/>
        <v>0</v>
      </c>
      <c r="V145" s="399">
        <f t="shared" si="72"/>
        <v>32227813.57</v>
      </c>
    </row>
    <row r="146" spans="1:22">
      <c r="A146" s="409">
        <v>139</v>
      </c>
      <c r="B146" s="161" t="s">
        <v>307</v>
      </c>
      <c r="C146" s="162" t="s">
        <v>309</v>
      </c>
      <c r="D146" s="578"/>
      <c r="E146" s="586">
        <v>0</v>
      </c>
      <c r="F146" s="578">
        <v>0</v>
      </c>
      <c r="G146" s="587">
        <f t="shared" si="73"/>
        <v>0</v>
      </c>
      <c r="U146" s="399">
        <f t="shared" si="74"/>
        <v>0</v>
      </c>
      <c r="V146" s="399">
        <f t="shared" si="72"/>
        <v>0</v>
      </c>
    </row>
    <row r="147" spans="1:22">
      <c r="A147" s="717">
        <v>140</v>
      </c>
      <c r="B147" s="161" t="s">
        <v>310</v>
      </c>
      <c r="C147" s="162" t="s">
        <v>311</v>
      </c>
      <c r="D147" s="578"/>
      <c r="E147" s="586">
        <v>-22532955.920000002</v>
      </c>
      <c r="F147" s="578">
        <v>0</v>
      </c>
      <c r="G147" s="587">
        <f t="shared" si="73"/>
        <v>-22532955.920000002</v>
      </c>
      <c r="U147" s="399">
        <f t="shared" si="74"/>
        <v>0</v>
      </c>
      <c r="V147" s="399">
        <f t="shared" si="72"/>
        <v>-22532955.920000002</v>
      </c>
    </row>
    <row r="148" spans="1:22">
      <c r="A148" s="409">
        <v>141</v>
      </c>
      <c r="B148" s="161" t="s">
        <v>312</v>
      </c>
      <c r="C148" s="162" t="s">
        <v>313</v>
      </c>
      <c r="D148" s="576"/>
      <c r="E148" s="586">
        <v>0</v>
      </c>
      <c r="F148" s="578">
        <v>-31741.09</v>
      </c>
      <c r="G148" s="587">
        <f t="shared" si="73"/>
        <v>-31741.09</v>
      </c>
      <c r="U148" s="399">
        <f t="shared" si="74"/>
        <v>0</v>
      </c>
      <c r="V148" s="399">
        <f t="shared" si="72"/>
        <v>-31741.09</v>
      </c>
    </row>
    <row r="149" spans="1:22">
      <c r="A149" s="717">
        <v>142</v>
      </c>
      <c r="B149" s="163" t="s">
        <v>314</v>
      </c>
      <c r="C149" s="160"/>
      <c r="D149" s="580"/>
      <c r="E149" s="785">
        <f t="shared" ref="E149:G149" si="75">SUM(E143:E148)</f>
        <v>-1192458.4200000018</v>
      </c>
      <c r="F149" s="580">
        <f t="shared" si="75"/>
        <v>-31741.09</v>
      </c>
      <c r="G149" s="582">
        <f t="shared" si="75"/>
        <v>-1224199.5100000019</v>
      </c>
      <c r="I149" s="582">
        <f t="shared" ref="I149:R149" si="76">SUM(I143:I148)</f>
        <v>-582714.75663879036</v>
      </c>
      <c r="J149" s="582">
        <f t="shared" si="76"/>
        <v>5815.255666080001</v>
      </c>
      <c r="K149" s="582">
        <f t="shared" si="76"/>
        <v>2994204.5963635934</v>
      </c>
      <c r="L149" s="954">
        <f t="shared" si="76"/>
        <v>-215951.56247954126</v>
      </c>
      <c r="M149" s="582">
        <f t="shared" si="76"/>
        <v>-18212.552496998997</v>
      </c>
      <c r="N149" s="582">
        <f t="shared" si="76"/>
        <v>258454.43820000003</v>
      </c>
      <c r="O149" s="954">
        <f t="shared" si="76"/>
        <v>92149.274644906196</v>
      </c>
      <c r="P149" s="582">
        <f t="shared" si="76"/>
        <v>-424365.73216821259</v>
      </c>
      <c r="Q149" s="954">
        <f t="shared" si="76"/>
        <v>-500687.31201570976</v>
      </c>
      <c r="R149" s="582">
        <f t="shared" si="76"/>
        <v>-194407.4813333333</v>
      </c>
      <c r="S149" s="582">
        <f t="shared" ref="S149:U149" si="77">SUM(S143:S148)</f>
        <v>0</v>
      </c>
      <c r="T149" s="582">
        <f t="shared" si="77"/>
        <v>0</v>
      </c>
      <c r="U149" s="954">
        <f t="shared" si="77"/>
        <v>1414284.1677419939</v>
      </c>
      <c r="V149" s="954">
        <f>SUM(V143:V148)</f>
        <v>190084.65774198979</v>
      </c>
    </row>
    <row r="150" spans="1:22">
      <c r="A150" s="409">
        <v>143</v>
      </c>
      <c r="B150" s="163" t="s">
        <v>315</v>
      </c>
      <c r="C150" s="160"/>
      <c r="D150" s="576"/>
      <c r="E150" s="579">
        <f>E125+E135+E137+E140+E149</f>
        <v>31529856.799999997</v>
      </c>
      <c r="F150" s="579">
        <f>F125+F135+F137+F140+F149</f>
        <v>49192625.649999999</v>
      </c>
      <c r="G150" s="579">
        <f>G125+G135+G137+G140+G149</f>
        <v>80722482.449999988</v>
      </c>
      <c r="I150" s="579">
        <f t="shared" ref="I150:R150" si="78">I125+I135+I137+I140+I149</f>
        <v>-594389.2383843601</v>
      </c>
      <c r="J150" s="579">
        <f t="shared" si="78"/>
        <v>-21876.437981920008</v>
      </c>
      <c r="K150" s="579">
        <f t="shared" si="78"/>
        <v>3054192.4145962726</v>
      </c>
      <c r="L150" s="955">
        <f t="shared" si="78"/>
        <v>1698271.9236353601</v>
      </c>
      <c r="M150" s="579">
        <f t="shared" si="78"/>
        <v>68513.88796490099</v>
      </c>
      <c r="N150" s="579">
        <f t="shared" si="78"/>
        <v>-972280.98180000018</v>
      </c>
      <c r="O150" s="955">
        <f t="shared" si="78"/>
        <v>92149.274644906196</v>
      </c>
      <c r="P150" s="579">
        <f t="shared" si="78"/>
        <v>1596423.4686327998</v>
      </c>
      <c r="Q150" s="955">
        <f>Q125+Q135+Q137+Q140+Q149</f>
        <v>3112657.9803427937</v>
      </c>
      <c r="R150" s="579">
        <f t="shared" si="78"/>
        <v>731342.42977777775</v>
      </c>
      <c r="S150" s="579"/>
      <c r="T150" s="579"/>
      <c r="U150" s="955">
        <f t="shared" ref="U150:V150" si="79">U85+U93+U100+U107+U123+U135+U137+U140+U149+U57+U53</f>
        <v>9328034.3876225315</v>
      </c>
      <c r="V150" s="955">
        <f t="shared" si="79"/>
        <v>110682799.76762252</v>
      </c>
    </row>
    <row r="151" spans="1:22" ht="16.2" thickBot="1">
      <c r="A151" s="717">
        <v>144</v>
      </c>
      <c r="B151" s="163" t="s">
        <v>316</v>
      </c>
      <c r="C151" s="160"/>
      <c r="D151" s="602">
        <f t="shared" ref="D151" si="80">D54-D150</f>
        <v>0</v>
      </c>
      <c r="E151" s="661">
        <f>+E54-E150</f>
        <v>69868896.579999968</v>
      </c>
      <c r="F151" s="661">
        <f>+F54-F150</f>
        <v>-49064511.710000001</v>
      </c>
      <c r="G151" s="661">
        <f>+G54-G150</f>
        <v>20804384.869999975</v>
      </c>
      <c r="I151" s="661">
        <f t="shared" ref="I151:R151" si="81">+I54-I150</f>
        <v>-2192117.4178316402</v>
      </c>
      <c r="J151" s="661">
        <f t="shared" si="81"/>
        <v>21876.437981920008</v>
      </c>
      <c r="K151" s="661">
        <f t="shared" si="81"/>
        <v>11263912.529177329</v>
      </c>
      <c r="L151" s="956">
        <f t="shared" si="81"/>
        <v>-812389.2112325601</v>
      </c>
      <c r="M151" s="661">
        <f t="shared" si="81"/>
        <v>-68513.88796490099</v>
      </c>
      <c r="N151" s="661">
        <f t="shared" si="81"/>
        <v>972280.98180000018</v>
      </c>
      <c r="O151" s="956">
        <f t="shared" si="81"/>
        <v>-92149.274644906196</v>
      </c>
      <c r="P151" s="661">
        <f t="shared" si="81"/>
        <v>-1596423.4686327998</v>
      </c>
      <c r="Q151" s="956">
        <f t="shared" si="81"/>
        <v>-1883537.9832971939</v>
      </c>
      <c r="R151" s="661">
        <f t="shared" si="81"/>
        <v>-731342.42977777775</v>
      </c>
      <c r="S151" s="603">
        <f t="shared" ref="S151:T151" si="82">S54-S150</f>
        <v>0</v>
      </c>
      <c r="T151" s="603">
        <f t="shared" si="82"/>
        <v>0</v>
      </c>
      <c r="U151" s="958">
        <f>U28-U150</f>
        <v>4894879.0623774696</v>
      </c>
      <c r="V151" s="958">
        <f>V54-V150</f>
        <v>3488979.5493834466</v>
      </c>
    </row>
    <row r="152" spans="1:22" ht="16.2" thickTop="1">
      <c r="A152" s="409">
        <v>145</v>
      </c>
      <c r="B152" s="159"/>
      <c r="C152" s="160"/>
      <c r="D152" s="576"/>
      <c r="E152" s="577"/>
      <c r="F152" s="576"/>
      <c r="G152" s="579"/>
      <c r="V152" s="604"/>
    </row>
    <row r="153" spans="1:22">
      <c r="A153" s="717">
        <v>146</v>
      </c>
      <c r="B153" s="163" t="s">
        <v>317</v>
      </c>
      <c r="C153" s="160"/>
      <c r="D153" s="576"/>
      <c r="E153" s="577"/>
      <c r="F153" s="576"/>
      <c r="G153" s="579"/>
    </row>
    <row r="154" spans="1:22">
      <c r="A154" s="409">
        <v>147</v>
      </c>
      <c r="B154" s="161" t="s">
        <v>85</v>
      </c>
      <c r="C154" s="162" t="s">
        <v>318</v>
      </c>
      <c r="D154" s="576"/>
      <c r="E154" s="586">
        <v>0</v>
      </c>
      <c r="F154" s="576">
        <v>10728252.16</v>
      </c>
      <c r="G154" s="579">
        <f t="shared" ref="G154:G159" si="83">SUM(E154:F154)</f>
        <v>10728252.16</v>
      </c>
    </row>
    <row r="155" spans="1:22">
      <c r="A155" s="717">
        <v>148</v>
      </c>
      <c r="B155" s="161" t="s">
        <v>86</v>
      </c>
      <c r="C155" s="162" t="s">
        <v>87</v>
      </c>
      <c r="D155" s="576"/>
      <c r="E155" s="586">
        <v>0</v>
      </c>
      <c r="F155" s="576">
        <v>163903.29</v>
      </c>
      <c r="G155" s="579">
        <f t="shared" si="83"/>
        <v>163903.29</v>
      </c>
    </row>
    <row r="156" spans="1:22">
      <c r="A156" s="409">
        <v>149</v>
      </c>
      <c r="B156" s="161" t="s">
        <v>88</v>
      </c>
      <c r="C156" s="162" t="s">
        <v>89</v>
      </c>
      <c r="D156" s="576"/>
      <c r="E156" s="586">
        <v>0</v>
      </c>
      <c r="F156" s="576">
        <v>30949.200000000001</v>
      </c>
      <c r="G156" s="579">
        <f t="shared" si="83"/>
        <v>30949.200000000001</v>
      </c>
    </row>
    <row r="157" spans="1:22">
      <c r="A157" s="717">
        <v>150</v>
      </c>
      <c r="B157" s="161" t="s">
        <v>319</v>
      </c>
      <c r="C157" s="162" t="s">
        <v>320</v>
      </c>
      <c r="D157" s="576"/>
      <c r="E157" s="577">
        <v>16599.79</v>
      </c>
      <c r="F157" s="578">
        <v>27556.980000000003</v>
      </c>
      <c r="G157" s="579">
        <f t="shared" si="83"/>
        <v>44156.770000000004</v>
      </c>
    </row>
    <row r="158" spans="1:22">
      <c r="A158" s="409">
        <v>151</v>
      </c>
      <c r="B158" s="161" t="s">
        <v>321</v>
      </c>
      <c r="C158" s="162" t="s">
        <v>322</v>
      </c>
      <c r="D158" s="576"/>
      <c r="E158" s="586">
        <v>0</v>
      </c>
      <c r="F158" s="576">
        <v>916125.99</v>
      </c>
      <c r="G158" s="579">
        <f t="shared" si="83"/>
        <v>916125.99</v>
      </c>
    </row>
    <row r="159" spans="1:22">
      <c r="A159" s="717">
        <v>152</v>
      </c>
      <c r="B159" s="161" t="s">
        <v>323</v>
      </c>
      <c r="C159" s="162" t="s">
        <v>324</v>
      </c>
      <c r="D159" s="576"/>
      <c r="E159" s="577">
        <v>-556211.24</v>
      </c>
      <c r="F159" s="578">
        <v>-50804.21</v>
      </c>
      <c r="G159" s="579">
        <f t="shared" si="83"/>
        <v>-607015.44999999995</v>
      </c>
    </row>
    <row r="160" spans="1:22">
      <c r="A160" s="409">
        <v>153</v>
      </c>
      <c r="B160" s="163" t="s">
        <v>325</v>
      </c>
      <c r="C160" s="160"/>
      <c r="D160" s="580"/>
      <c r="E160" s="785">
        <f t="shared" ref="E160:G160" si="84">SUM(E154:E159)</f>
        <v>-539611.44999999995</v>
      </c>
      <c r="F160" s="580">
        <f t="shared" si="84"/>
        <v>11815983.409999998</v>
      </c>
      <c r="G160" s="582">
        <f t="shared" si="84"/>
        <v>11276371.959999999</v>
      </c>
    </row>
    <row r="161" spans="1:7">
      <c r="A161" s="717">
        <v>154</v>
      </c>
      <c r="B161" s="159"/>
      <c r="C161" s="160"/>
      <c r="D161" s="576"/>
      <c r="E161" s="577"/>
      <c r="F161" s="576"/>
      <c r="G161" s="579"/>
    </row>
    <row r="162" spans="1:7">
      <c r="A162" s="409">
        <v>155</v>
      </c>
      <c r="B162" s="163" t="s">
        <v>326</v>
      </c>
      <c r="C162" s="160"/>
      <c r="D162" s="576"/>
      <c r="E162" s="577"/>
      <c r="F162" s="576"/>
      <c r="G162" s="579"/>
    </row>
    <row r="163" spans="1:7">
      <c r="A163" s="717">
        <v>156</v>
      </c>
      <c r="B163" s="161" t="s">
        <v>327</v>
      </c>
      <c r="C163" s="162" t="s">
        <v>328</v>
      </c>
      <c r="D163" s="578"/>
      <c r="E163" s="586">
        <v>0</v>
      </c>
      <c r="F163" s="578">
        <v>0</v>
      </c>
      <c r="G163" s="587">
        <f t="shared" ref="G163:G172" si="85">SUM(E163:F163)</f>
        <v>0</v>
      </c>
    </row>
    <row r="164" spans="1:7">
      <c r="A164" s="409">
        <v>157</v>
      </c>
      <c r="B164" s="161" t="s">
        <v>329</v>
      </c>
      <c r="C164" s="162" t="s">
        <v>330</v>
      </c>
      <c r="D164" s="578"/>
      <c r="E164" s="586">
        <v>0</v>
      </c>
      <c r="F164" s="578">
        <v>0</v>
      </c>
      <c r="G164" s="587">
        <f t="shared" si="85"/>
        <v>0</v>
      </c>
    </row>
    <row r="165" spans="1:7">
      <c r="A165" s="717">
        <v>158</v>
      </c>
      <c r="B165" s="161" t="s">
        <v>331</v>
      </c>
      <c r="C165" s="162" t="s">
        <v>332</v>
      </c>
      <c r="D165" s="576"/>
      <c r="E165" s="586">
        <v>0</v>
      </c>
      <c r="F165" s="578">
        <v>6144.23</v>
      </c>
      <c r="G165" s="579">
        <f t="shared" si="85"/>
        <v>6144.23</v>
      </c>
    </row>
    <row r="166" spans="1:7">
      <c r="A166" s="409">
        <v>159</v>
      </c>
      <c r="B166" s="161" t="s">
        <v>333</v>
      </c>
      <c r="C166" s="162" t="s">
        <v>334</v>
      </c>
      <c r="D166" s="578"/>
      <c r="E166" s="586">
        <v>0</v>
      </c>
      <c r="F166" s="578">
        <v>0</v>
      </c>
      <c r="G166" s="587">
        <f t="shared" si="85"/>
        <v>0</v>
      </c>
    </row>
    <row r="167" spans="1:7">
      <c r="A167" s="717">
        <v>160</v>
      </c>
      <c r="B167" s="161" t="s">
        <v>335</v>
      </c>
      <c r="C167" s="162" t="s">
        <v>336</v>
      </c>
      <c r="D167" s="578"/>
      <c r="E167" s="586">
        <v>0</v>
      </c>
      <c r="F167" s="578">
        <v>0</v>
      </c>
      <c r="G167" s="587">
        <f t="shared" si="85"/>
        <v>0</v>
      </c>
    </row>
    <row r="168" spans="1:7">
      <c r="A168" s="409">
        <v>161</v>
      </c>
      <c r="B168" s="161" t="s">
        <v>337</v>
      </c>
      <c r="C168" s="162" t="s">
        <v>338</v>
      </c>
      <c r="D168" s="576"/>
      <c r="E168" s="586">
        <v>4632392.6399999997</v>
      </c>
      <c r="F168" s="578">
        <v>38052.92</v>
      </c>
      <c r="G168" s="579">
        <f t="shared" si="85"/>
        <v>4670445.5599999996</v>
      </c>
    </row>
    <row r="169" spans="1:7">
      <c r="A169" s="717">
        <v>162</v>
      </c>
      <c r="B169" s="161" t="s">
        <v>339</v>
      </c>
      <c r="C169" s="162" t="s">
        <v>340</v>
      </c>
      <c r="D169" s="578"/>
      <c r="E169" s="586">
        <v>-88.059999999997672</v>
      </c>
      <c r="F169" s="578">
        <v>0</v>
      </c>
      <c r="G169" s="587">
        <f t="shared" si="85"/>
        <v>-88.059999999997672</v>
      </c>
    </row>
    <row r="170" spans="1:7">
      <c r="A170" s="409">
        <v>163</v>
      </c>
      <c r="B170" s="605">
        <v>408.2</v>
      </c>
      <c r="C170" s="162" t="s">
        <v>341</v>
      </c>
      <c r="D170" s="578"/>
      <c r="E170" s="586">
        <v>-1072.1199999999999</v>
      </c>
      <c r="F170" s="578">
        <v>0</v>
      </c>
      <c r="G170" s="587">
        <f t="shared" si="85"/>
        <v>-1072.1199999999999</v>
      </c>
    </row>
    <row r="171" spans="1:7">
      <c r="A171" s="717">
        <v>164</v>
      </c>
      <c r="B171" s="161" t="s">
        <v>342</v>
      </c>
      <c r="C171" s="162" t="s">
        <v>343</v>
      </c>
      <c r="D171" s="576"/>
      <c r="E171" s="586">
        <v>0</v>
      </c>
      <c r="F171" s="578">
        <v>3558.630000000001</v>
      </c>
      <c r="G171" s="579">
        <f t="shared" si="85"/>
        <v>3558.630000000001</v>
      </c>
    </row>
    <row r="172" spans="1:7">
      <c r="A172" s="409">
        <v>165</v>
      </c>
      <c r="B172" s="161" t="s">
        <v>344</v>
      </c>
      <c r="C172" s="162" t="s">
        <v>544</v>
      </c>
      <c r="D172" s="576"/>
      <c r="E172" s="586">
        <v>0</v>
      </c>
      <c r="F172" s="578">
        <v>934.33</v>
      </c>
      <c r="G172" s="579">
        <f t="shared" si="85"/>
        <v>934.33</v>
      </c>
    </row>
    <row r="173" spans="1:7">
      <c r="A173" s="717">
        <v>166</v>
      </c>
      <c r="B173" s="163" t="s">
        <v>345</v>
      </c>
      <c r="C173" s="160"/>
      <c r="D173" s="580"/>
      <c r="E173" s="785">
        <f t="shared" ref="E173:G173" si="86">SUM(E163:E172)</f>
        <v>4631232.46</v>
      </c>
      <c r="F173" s="580">
        <f t="shared" si="86"/>
        <v>48690.11</v>
      </c>
      <c r="G173" s="582">
        <f t="shared" si="86"/>
        <v>4679922.57</v>
      </c>
    </row>
    <row r="174" spans="1:7">
      <c r="A174" s="409">
        <v>167</v>
      </c>
      <c r="B174" s="159"/>
      <c r="C174" s="160"/>
      <c r="D174" s="576"/>
      <c r="E174" s="577"/>
      <c r="F174" s="576"/>
      <c r="G174" s="579"/>
    </row>
    <row r="175" spans="1:7">
      <c r="A175" s="717">
        <v>168</v>
      </c>
      <c r="B175" s="163" t="s">
        <v>346</v>
      </c>
      <c r="C175" s="160"/>
      <c r="D175" s="576"/>
      <c r="E175" s="577"/>
      <c r="F175" s="576"/>
      <c r="G175" s="579"/>
    </row>
    <row r="176" spans="1:7">
      <c r="A176" s="409">
        <v>169</v>
      </c>
      <c r="B176" s="161" t="s">
        <v>347</v>
      </c>
      <c r="C176" s="162" t="s">
        <v>348</v>
      </c>
      <c r="D176" s="576"/>
      <c r="E176" s="577">
        <v>616283.49</v>
      </c>
      <c r="F176" s="576">
        <v>0</v>
      </c>
      <c r="G176" s="579">
        <f t="shared" ref="G176:G185" si="87">SUM(E176:F176)</f>
        <v>616283.49</v>
      </c>
    </row>
    <row r="177" spans="1:7">
      <c r="A177" s="717">
        <v>170</v>
      </c>
      <c r="B177" s="161" t="s">
        <v>347</v>
      </c>
      <c r="C177" s="162" t="s">
        <v>349</v>
      </c>
      <c r="D177" s="578"/>
      <c r="E177" s="586">
        <v>0</v>
      </c>
      <c r="F177" s="576">
        <v>0</v>
      </c>
      <c r="G177" s="587">
        <f t="shared" si="87"/>
        <v>0</v>
      </c>
    </row>
    <row r="178" spans="1:7">
      <c r="A178" s="409">
        <v>171</v>
      </c>
      <c r="B178" s="161" t="s">
        <v>350</v>
      </c>
      <c r="C178" s="162" t="s">
        <v>351</v>
      </c>
      <c r="D178" s="578"/>
      <c r="E178" s="586">
        <v>528076.93999999994</v>
      </c>
      <c r="F178" s="576">
        <v>0</v>
      </c>
      <c r="G178" s="587">
        <f t="shared" si="87"/>
        <v>528076.93999999994</v>
      </c>
    </row>
    <row r="179" spans="1:7">
      <c r="A179" s="717">
        <v>172</v>
      </c>
      <c r="B179" s="161" t="s">
        <v>352</v>
      </c>
      <c r="C179" s="162" t="s">
        <v>353</v>
      </c>
      <c r="D179" s="578"/>
      <c r="E179" s="586">
        <v>-41623.26</v>
      </c>
      <c r="F179" s="576">
        <v>0</v>
      </c>
      <c r="G179" s="587">
        <f t="shared" si="87"/>
        <v>-41623.26</v>
      </c>
    </row>
    <row r="180" spans="1:7">
      <c r="A180" s="409">
        <v>173</v>
      </c>
      <c r="B180" s="161" t="s">
        <v>354</v>
      </c>
      <c r="C180" s="162" t="s">
        <v>355</v>
      </c>
      <c r="D180" s="578"/>
      <c r="E180" s="586">
        <v>0</v>
      </c>
      <c r="F180" s="576">
        <v>0</v>
      </c>
      <c r="G180" s="587">
        <f t="shared" si="87"/>
        <v>0</v>
      </c>
    </row>
    <row r="181" spans="1:7">
      <c r="A181" s="717">
        <v>174</v>
      </c>
      <c r="B181" s="161" t="s">
        <v>356</v>
      </c>
      <c r="C181" s="162" t="s">
        <v>357</v>
      </c>
      <c r="D181" s="576"/>
      <c r="E181" s="577">
        <v>20051.07</v>
      </c>
      <c r="F181" s="576">
        <v>159831.21</v>
      </c>
      <c r="G181" s="579">
        <f t="shared" si="87"/>
        <v>179882.28</v>
      </c>
    </row>
    <row r="182" spans="1:7">
      <c r="A182" s="409">
        <v>175</v>
      </c>
      <c r="B182" s="161" t="s">
        <v>358</v>
      </c>
      <c r="C182" s="162" t="s">
        <v>359</v>
      </c>
      <c r="D182" s="578"/>
      <c r="E182" s="586">
        <v>0</v>
      </c>
      <c r="F182" s="576">
        <v>-588785.82999999996</v>
      </c>
      <c r="G182" s="587">
        <f t="shared" si="87"/>
        <v>-588785.82999999996</v>
      </c>
    </row>
    <row r="183" spans="1:7">
      <c r="A183" s="717">
        <v>176</v>
      </c>
      <c r="B183" s="161" t="s">
        <v>360</v>
      </c>
      <c r="C183" s="162" t="s">
        <v>361</v>
      </c>
      <c r="D183" s="578"/>
      <c r="E183" s="586">
        <v>0</v>
      </c>
      <c r="F183" s="576">
        <v>71.14</v>
      </c>
      <c r="G183" s="587">
        <f t="shared" si="87"/>
        <v>71.14</v>
      </c>
    </row>
    <row r="184" spans="1:7">
      <c r="A184" s="409">
        <v>177</v>
      </c>
      <c r="B184" s="161" t="s">
        <v>362</v>
      </c>
      <c r="C184" s="162" t="s">
        <v>363</v>
      </c>
      <c r="D184" s="576"/>
      <c r="E184" s="577">
        <v>0</v>
      </c>
      <c r="F184" s="576">
        <v>230210.98</v>
      </c>
      <c r="G184" s="579">
        <f t="shared" si="87"/>
        <v>230210.98</v>
      </c>
    </row>
    <row r="185" spans="1:7">
      <c r="A185" s="717">
        <v>178</v>
      </c>
      <c r="B185" s="161" t="s">
        <v>364</v>
      </c>
      <c r="C185" s="162" t="s">
        <v>365</v>
      </c>
      <c r="D185" s="578"/>
      <c r="E185" s="586">
        <v>1555.7800000000279</v>
      </c>
      <c r="F185" s="576">
        <v>0</v>
      </c>
      <c r="G185" s="587">
        <f t="shared" si="87"/>
        <v>1555.7800000000279</v>
      </c>
    </row>
    <row r="186" spans="1:7">
      <c r="A186" s="409">
        <v>179</v>
      </c>
      <c r="B186" s="163" t="s">
        <v>366</v>
      </c>
      <c r="C186" s="160"/>
      <c r="D186" s="580"/>
      <c r="E186" s="785">
        <f t="shared" ref="E186:G186" si="88">SUM(E176:E185)</f>
        <v>1124344.02</v>
      </c>
      <c r="F186" s="580">
        <f t="shared" si="88"/>
        <v>-198672.49999999997</v>
      </c>
      <c r="G186" s="582">
        <f t="shared" si="88"/>
        <v>925671.52</v>
      </c>
    </row>
    <row r="187" spans="1:7" ht="16.2" thickBot="1">
      <c r="A187" s="717">
        <v>180</v>
      </c>
      <c r="B187" s="606" t="s">
        <v>367</v>
      </c>
      <c r="C187" s="607"/>
      <c r="D187" s="602">
        <f>D151-D160-D173-D186</f>
        <v>0</v>
      </c>
      <c r="E187" s="791">
        <f>E151-E160+E173-E186</f>
        <v>73915396.469999969</v>
      </c>
      <c r="F187" s="602">
        <f t="shared" ref="F187:G187" si="89">F151-F160+F173-F186</f>
        <v>-60633132.509999998</v>
      </c>
      <c r="G187" s="603">
        <f t="shared" si="89"/>
        <v>13282263.959999977</v>
      </c>
    </row>
    <row r="188" spans="1:7" ht="16.2" thickTop="1"/>
  </sheetData>
  <mergeCells count="20">
    <mergeCell ref="B13:C13"/>
    <mergeCell ref="B125:C125"/>
    <mergeCell ref="B11:C12"/>
    <mergeCell ref="E11:G11"/>
    <mergeCell ref="E12:G12"/>
    <mergeCell ref="C1:G1"/>
    <mergeCell ref="C2:G2"/>
    <mergeCell ref="C3:G3"/>
    <mergeCell ref="C4:G4"/>
    <mergeCell ref="C5:G5"/>
    <mergeCell ref="K1:Q1"/>
    <mergeCell ref="K2:Q2"/>
    <mergeCell ref="K3:Q3"/>
    <mergeCell ref="K4:Q4"/>
    <mergeCell ref="K5:Q5"/>
    <mergeCell ref="S1:T1"/>
    <mergeCell ref="S2:T2"/>
    <mergeCell ref="S3:T3"/>
    <mergeCell ref="S4:T4"/>
    <mergeCell ref="S5:T5"/>
  </mergeCells>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view="pageBreakPreview" zoomScale="60" zoomScaleNormal="100" workbookViewId="0">
      <selection activeCell="D13" sqref="D13"/>
    </sheetView>
  </sheetViews>
  <sheetFormatPr defaultColWidth="9.109375" defaultRowHeight="15.6"/>
  <cols>
    <col min="1" max="1" width="8.44140625" style="4" bestFit="1" customWidth="1"/>
    <col min="2" max="2" width="37.5546875" style="4" bestFit="1" customWidth="1"/>
    <col min="3" max="3" width="3.88671875" style="4" customWidth="1"/>
    <col min="4" max="4" width="22" style="4" bestFit="1" customWidth="1"/>
    <col min="5" max="6" width="9.109375" style="4"/>
    <col min="7" max="7" width="15.44140625" style="4" customWidth="1"/>
    <col min="8" max="8" width="22" style="4" bestFit="1" customWidth="1"/>
    <col min="9" max="16384" width="9.109375" style="4"/>
  </cols>
  <sheetData>
    <row r="1" spans="1:9">
      <c r="A1" s="866" t="s">
        <v>60</v>
      </c>
      <c r="B1" s="866"/>
      <c r="C1" s="866"/>
      <c r="D1" s="866"/>
      <c r="E1" s="866"/>
      <c r="F1" s="866"/>
      <c r="G1" s="866"/>
      <c r="H1" s="866"/>
      <c r="I1" s="866"/>
    </row>
    <row r="2" spans="1:9">
      <c r="A2" s="866" t="s">
        <v>1863</v>
      </c>
      <c r="B2" s="866"/>
      <c r="C2" s="866"/>
      <c r="D2" s="866"/>
      <c r="E2" s="866"/>
      <c r="F2" s="866"/>
      <c r="G2" s="866"/>
      <c r="H2" s="866"/>
      <c r="I2" s="866"/>
    </row>
    <row r="3" spans="1:9">
      <c r="A3" s="866" t="s">
        <v>1296</v>
      </c>
      <c r="B3" s="866"/>
      <c r="C3" s="866"/>
      <c r="D3" s="866"/>
      <c r="E3" s="866"/>
      <c r="F3" s="866"/>
      <c r="G3" s="866"/>
      <c r="H3" s="866"/>
      <c r="I3" s="866"/>
    </row>
    <row r="4" spans="1:9">
      <c r="A4" s="866" t="s">
        <v>41</v>
      </c>
      <c r="B4" s="866"/>
      <c r="C4" s="866"/>
      <c r="D4" s="866"/>
      <c r="E4" s="866"/>
      <c r="F4" s="866"/>
      <c r="G4" s="866"/>
      <c r="H4" s="866"/>
      <c r="I4" s="866"/>
    </row>
    <row r="5" spans="1:9">
      <c r="A5" s="866" t="s">
        <v>1862</v>
      </c>
      <c r="B5" s="866"/>
      <c r="C5" s="866"/>
      <c r="D5" s="866"/>
      <c r="E5" s="866"/>
      <c r="F5" s="866"/>
      <c r="G5" s="866"/>
      <c r="H5" s="866"/>
      <c r="I5" s="866"/>
    </row>
    <row r="9" spans="1:9">
      <c r="A9" s="10" t="s">
        <v>799</v>
      </c>
      <c r="B9" s="6" t="s">
        <v>803</v>
      </c>
      <c r="C9" s="6"/>
      <c r="D9" s="6" t="s">
        <v>801</v>
      </c>
      <c r="H9" s="6" t="s">
        <v>802</v>
      </c>
    </row>
    <row r="10" spans="1:9">
      <c r="A10" s="6">
        <v>1</v>
      </c>
      <c r="D10" s="6" t="s">
        <v>369</v>
      </c>
      <c r="H10" s="6" t="s">
        <v>1825</v>
      </c>
    </row>
    <row r="11" spans="1:9">
      <c r="A11" s="6">
        <v>2</v>
      </c>
      <c r="D11" s="6" t="s">
        <v>370</v>
      </c>
      <c r="H11" s="6" t="s">
        <v>370</v>
      </c>
    </row>
    <row r="12" spans="1:9">
      <c r="A12" s="6">
        <v>3</v>
      </c>
      <c r="D12" s="26" t="s">
        <v>1865</v>
      </c>
      <c r="E12" s="24"/>
      <c r="F12" s="24"/>
      <c r="G12" s="24"/>
      <c r="H12" s="26" t="s">
        <v>1865</v>
      </c>
    </row>
    <row r="13" spans="1:9">
      <c r="A13" s="6">
        <v>4</v>
      </c>
      <c r="B13" s="4" t="s">
        <v>957</v>
      </c>
      <c r="D13" s="394">
        <f>+'Plant in Serv &amp; Accum Depr'!AF165</f>
        <v>835867891.49633491</v>
      </c>
      <c r="E13" s="24" t="s">
        <v>1006</v>
      </c>
      <c r="F13" s="24"/>
      <c r="G13" s="24"/>
      <c r="H13" s="394">
        <f>+'Plant in Serv &amp; Accum Depr'!AD165</f>
        <v>866945220.73952997</v>
      </c>
    </row>
    <row r="14" spans="1:9">
      <c r="A14" s="6">
        <v>5</v>
      </c>
      <c r="B14" s="4" t="s">
        <v>958</v>
      </c>
      <c r="D14" s="429">
        <f>-'Plant in Serv &amp; Accum Depr'!AF171</f>
        <v>-389781047.94520426</v>
      </c>
      <c r="E14" s="24" t="s">
        <v>1006</v>
      </c>
      <c r="F14" s="24"/>
      <c r="G14" s="24"/>
      <c r="H14" s="429">
        <f>-'Plant in Serv &amp; Accum Depr'!AD171</f>
        <v>-397219164.69433802</v>
      </c>
    </row>
    <row r="15" spans="1:9">
      <c r="A15" s="6">
        <v>6</v>
      </c>
      <c r="B15" s="4" t="s">
        <v>368</v>
      </c>
      <c r="D15" s="164">
        <f>+D13+D14</f>
        <v>446086843.55113065</v>
      </c>
      <c r="E15" s="24"/>
      <c r="F15" s="24"/>
      <c r="G15" s="24"/>
      <c r="H15" s="164">
        <f>+H13+H14</f>
        <v>469726056.04519194</v>
      </c>
    </row>
    <row r="16" spans="1:9">
      <c r="A16" s="6">
        <v>7</v>
      </c>
      <c r="B16" s="4" t="s">
        <v>959</v>
      </c>
      <c r="D16" s="164">
        <f>+'Adv for Const. &amp; Def Tax'!AX23</f>
        <v>-3800412.8362500002</v>
      </c>
      <c r="E16" s="24" t="s">
        <v>1007</v>
      </c>
      <c r="F16" s="24"/>
      <c r="G16" s="24"/>
      <c r="H16" s="164">
        <f>+'Adv for Const. &amp; Def Tax'!AU23</f>
        <v>-3755550.64</v>
      </c>
    </row>
    <row r="17" spans="1:8">
      <c r="A17" s="6">
        <v>8</v>
      </c>
      <c r="B17" s="4" t="s">
        <v>960</v>
      </c>
      <c r="D17" s="164">
        <f>+'Adv for Const. &amp; Def Tax'!AX43</f>
        <v>-75625049.641666636</v>
      </c>
      <c r="E17" s="24" t="s">
        <v>1007</v>
      </c>
      <c r="F17" s="24"/>
      <c r="G17" s="24"/>
      <c r="H17" s="164">
        <f>+'Adv for Const. &amp; Def Tax'!AU43</f>
        <v>-77673011.209999993</v>
      </c>
    </row>
    <row r="18" spans="1:8">
      <c r="A18" s="6">
        <v>9</v>
      </c>
      <c r="B18" s="4" t="s">
        <v>961</v>
      </c>
      <c r="D18" s="644">
        <f>+' Working Capital (AMA)'!Y708</f>
        <v>7565010.5869378978</v>
      </c>
      <c r="E18" s="24" t="s">
        <v>1008</v>
      </c>
      <c r="F18" s="24"/>
      <c r="G18" s="24"/>
      <c r="H18" s="644">
        <f>+D18</f>
        <v>7565010.5869378978</v>
      </c>
    </row>
    <row r="19" spans="1:8">
      <c r="A19" s="6">
        <v>10</v>
      </c>
      <c r="B19" s="4" t="s">
        <v>962</v>
      </c>
      <c r="D19" s="645">
        <f>+D15+D16+D17+D18</f>
        <v>374226391.6601519</v>
      </c>
      <c r="E19" s="24"/>
      <c r="F19" s="24"/>
      <c r="G19" s="24"/>
      <c r="H19" s="645">
        <f>+H15+H16+H17+H18</f>
        <v>395862504.78212988</v>
      </c>
    </row>
    <row r="20" spans="1:8">
      <c r="D20" s="24"/>
      <c r="E20" s="24"/>
      <c r="F20" s="24"/>
      <c r="G20" s="24"/>
      <c r="H20" s="24"/>
    </row>
  </sheetData>
  <mergeCells count="5">
    <mergeCell ref="A1:I1"/>
    <mergeCell ref="A2:I2"/>
    <mergeCell ref="A3:I3"/>
    <mergeCell ref="A4:I4"/>
    <mergeCell ref="A5:I5"/>
  </mergeCells>
  <printOptions horizontalCentered="1"/>
  <pageMargins left="0.7" right="0.7" top="0.75" bottom="0.75" header="0.3" footer="0.3"/>
  <pageSetup scale="83"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71"/>
  <sheetViews>
    <sheetView view="pageBreakPreview" topLeftCell="T131" zoomScale="73" zoomScaleNormal="30" zoomScaleSheetLayoutView="73" workbookViewId="0">
      <selection activeCell="AF165" sqref="AF165"/>
    </sheetView>
  </sheetViews>
  <sheetFormatPr defaultColWidth="9.109375" defaultRowHeight="15.6"/>
  <cols>
    <col min="1" max="1" width="9.33203125" style="409" bestFit="1" customWidth="1"/>
    <col min="2" max="2" width="17.6640625" style="24" customWidth="1"/>
    <col min="3" max="3" width="44" style="24" bestFit="1" customWidth="1"/>
    <col min="4" max="4" width="19.33203125" style="24" customWidth="1"/>
    <col min="5" max="5" width="20.33203125" style="24" bestFit="1" customWidth="1"/>
    <col min="6" max="6" width="20.109375" style="24" bestFit="1" customWidth="1"/>
    <col min="7" max="7" width="20.5546875" style="24" bestFit="1" customWidth="1"/>
    <col min="8" max="8" width="18.6640625" style="24" bestFit="1" customWidth="1"/>
    <col min="9" max="9" width="20.5546875" style="24" bestFit="1" customWidth="1"/>
    <col min="10" max="10" width="18.88671875" style="24" bestFit="1" customWidth="1"/>
    <col min="11" max="11" width="20.5546875" style="24" bestFit="1" customWidth="1"/>
    <col min="12" max="13" width="19.5546875" style="24" bestFit="1" customWidth="1"/>
    <col min="14" max="14" width="18.88671875" style="24" bestFit="1" customWidth="1"/>
    <col min="15" max="15" width="19.5546875" style="24" bestFit="1" customWidth="1"/>
    <col min="16" max="16" width="19.88671875" style="24" bestFit="1" customWidth="1"/>
    <col min="17" max="17" width="19.5546875" style="24" bestFit="1" customWidth="1"/>
    <col min="18" max="18" width="18.6640625" style="24" bestFit="1" customWidth="1"/>
    <col min="19" max="19" width="19.5546875" style="24" bestFit="1" customWidth="1"/>
    <col min="20" max="20" width="18.109375" style="24" bestFit="1" customWidth="1"/>
    <col min="21" max="21" width="19.5546875" style="24" bestFit="1" customWidth="1"/>
    <col min="22" max="22" width="19.109375" style="24" bestFit="1" customWidth="1"/>
    <col min="23" max="23" width="19.5546875" style="24" bestFit="1" customWidth="1"/>
    <col min="24" max="24" width="20.44140625" style="24" bestFit="1" customWidth="1"/>
    <col min="25" max="25" width="20.33203125" style="24" bestFit="1" customWidth="1"/>
    <col min="26" max="26" width="19.33203125" style="24" bestFit="1" customWidth="1"/>
    <col min="27" max="27" width="20.33203125" style="24" bestFit="1" customWidth="1"/>
    <col min="28" max="28" width="19.5546875" style="24" bestFit="1" customWidth="1"/>
    <col min="29" max="29" width="20.33203125" style="24" bestFit="1" customWidth="1"/>
    <col min="30" max="30" width="19.109375" style="24" bestFit="1" customWidth="1"/>
    <col min="31" max="31" width="25.5546875" style="24" customWidth="1"/>
    <col min="32" max="32" width="34.5546875" style="24" bestFit="1" customWidth="1"/>
    <col min="33" max="16384" width="9.109375" style="24"/>
  </cols>
  <sheetData>
    <row r="1" spans="1:35">
      <c r="A1" s="866" t="s">
        <v>60</v>
      </c>
      <c r="B1" s="866"/>
      <c r="C1" s="866"/>
      <c r="D1" s="866"/>
      <c r="E1" s="866"/>
      <c r="F1" s="866"/>
      <c r="G1" s="866"/>
      <c r="H1" s="866"/>
      <c r="I1" s="866"/>
      <c r="J1" s="866"/>
      <c r="K1" s="866"/>
      <c r="L1" s="866"/>
      <c r="M1" s="866" t="s">
        <v>60</v>
      </c>
      <c r="N1" s="866"/>
      <c r="O1" s="866"/>
      <c r="P1" s="866"/>
      <c r="Q1" s="866"/>
      <c r="R1" s="866"/>
      <c r="S1" s="866"/>
      <c r="T1" s="866"/>
      <c r="U1" s="866"/>
      <c r="V1" s="866"/>
      <c r="W1" s="866"/>
      <c r="X1" s="866"/>
      <c r="Y1" s="866" t="s">
        <v>60</v>
      </c>
      <c r="Z1" s="866"/>
      <c r="AA1" s="866"/>
      <c r="AB1" s="866"/>
      <c r="AC1" s="866"/>
      <c r="AD1" s="866"/>
      <c r="AE1" s="866"/>
      <c r="AF1" s="866"/>
      <c r="AG1" s="3"/>
      <c r="AH1" s="3"/>
      <c r="AI1" s="3"/>
    </row>
    <row r="2" spans="1:35">
      <c r="A2" s="866" t="s">
        <v>1863</v>
      </c>
      <c r="B2" s="866"/>
      <c r="C2" s="866"/>
      <c r="D2" s="866"/>
      <c r="E2" s="866"/>
      <c r="F2" s="866"/>
      <c r="G2" s="866"/>
      <c r="H2" s="866"/>
      <c r="I2" s="866"/>
      <c r="J2" s="866"/>
      <c r="K2" s="866"/>
      <c r="L2" s="866"/>
      <c r="M2" s="866" t="str">
        <f>+A2</f>
        <v>UG 20_____</v>
      </c>
      <c r="N2" s="866"/>
      <c r="O2" s="866"/>
      <c r="P2" s="866"/>
      <c r="Q2" s="866"/>
      <c r="R2" s="866"/>
      <c r="S2" s="866"/>
      <c r="T2" s="866"/>
      <c r="U2" s="866"/>
      <c r="V2" s="866"/>
      <c r="W2" s="866"/>
      <c r="X2" s="866"/>
      <c r="Y2" s="866" t="str">
        <f>+M2</f>
        <v>UG 20_____</v>
      </c>
      <c r="Z2" s="866"/>
      <c r="AA2" s="866"/>
      <c r="AB2" s="866"/>
      <c r="AC2" s="866"/>
      <c r="AD2" s="866"/>
      <c r="AE2" s="866"/>
      <c r="AF2" s="866"/>
      <c r="AG2" s="3"/>
      <c r="AH2" s="3"/>
      <c r="AI2" s="3"/>
    </row>
    <row r="3" spans="1:35">
      <c r="A3" s="866" t="s">
        <v>1347</v>
      </c>
      <c r="B3" s="866"/>
      <c r="C3" s="866"/>
      <c r="D3" s="866"/>
      <c r="E3" s="866"/>
      <c r="F3" s="866"/>
      <c r="G3" s="866"/>
      <c r="H3" s="866"/>
      <c r="I3" s="866"/>
      <c r="J3" s="866"/>
      <c r="K3" s="866"/>
      <c r="L3" s="866"/>
      <c r="M3" s="866" t="str">
        <f>+A3</f>
        <v>MCP WP-1.3</v>
      </c>
      <c r="N3" s="866"/>
      <c r="O3" s="866"/>
      <c r="P3" s="866"/>
      <c r="Q3" s="866"/>
      <c r="R3" s="866"/>
      <c r="S3" s="866"/>
      <c r="T3" s="866"/>
      <c r="U3" s="866"/>
      <c r="V3" s="866"/>
      <c r="W3" s="866"/>
      <c r="X3" s="866"/>
      <c r="Y3" s="866" t="str">
        <f>+M3</f>
        <v>MCP WP-1.3</v>
      </c>
      <c r="Z3" s="866"/>
      <c r="AA3" s="866"/>
      <c r="AB3" s="866"/>
      <c r="AC3" s="866"/>
      <c r="AD3" s="866"/>
      <c r="AE3" s="866"/>
      <c r="AF3" s="866"/>
      <c r="AG3" s="3"/>
      <c r="AH3" s="3"/>
      <c r="AI3" s="3"/>
    </row>
    <row r="4" spans="1:35">
      <c r="A4" s="866" t="s">
        <v>1035</v>
      </c>
      <c r="B4" s="866"/>
      <c r="C4" s="866"/>
      <c r="D4" s="866"/>
      <c r="E4" s="866"/>
      <c r="F4" s="866"/>
      <c r="G4" s="866"/>
      <c r="H4" s="866"/>
      <c r="I4" s="866"/>
      <c r="J4" s="866"/>
      <c r="K4" s="866"/>
      <c r="L4" s="866"/>
      <c r="M4" s="866" t="s">
        <v>1035</v>
      </c>
      <c r="N4" s="866"/>
      <c r="O4" s="866"/>
      <c r="P4" s="866"/>
      <c r="Q4" s="866"/>
      <c r="R4" s="866"/>
      <c r="S4" s="866"/>
      <c r="T4" s="866"/>
      <c r="U4" s="866"/>
      <c r="V4" s="866"/>
      <c r="W4" s="866"/>
      <c r="X4" s="866"/>
      <c r="Y4" s="866" t="s">
        <v>1035</v>
      </c>
      <c r="Z4" s="866"/>
      <c r="AA4" s="866"/>
      <c r="AB4" s="866"/>
      <c r="AC4" s="866"/>
      <c r="AD4" s="866"/>
      <c r="AE4" s="866"/>
      <c r="AF4" s="866"/>
      <c r="AG4" s="3"/>
      <c r="AH4" s="3"/>
      <c r="AI4" s="3"/>
    </row>
    <row r="5" spans="1:35">
      <c r="A5" s="866" t="s">
        <v>1862</v>
      </c>
      <c r="B5" s="866"/>
      <c r="C5" s="866"/>
      <c r="D5" s="866"/>
      <c r="E5" s="866"/>
      <c r="F5" s="866"/>
      <c r="G5" s="866"/>
      <c r="H5" s="866"/>
      <c r="I5" s="866"/>
      <c r="J5" s="866"/>
      <c r="K5" s="866"/>
      <c r="L5" s="866"/>
      <c r="M5" s="866" t="str">
        <f>+A5</f>
        <v>Twelve Months Ended December 31, 2019</v>
      </c>
      <c r="N5" s="866"/>
      <c r="O5" s="866"/>
      <c r="P5" s="866"/>
      <c r="Q5" s="866"/>
      <c r="R5" s="866"/>
      <c r="S5" s="866"/>
      <c r="T5" s="866"/>
      <c r="U5" s="866"/>
      <c r="V5" s="866"/>
      <c r="W5" s="866"/>
      <c r="X5" s="866"/>
      <c r="Y5" s="866" t="str">
        <f>+M5</f>
        <v>Twelve Months Ended December 31, 2019</v>
      </c>
      <c r="Z5" s="866"/>
      <c r="AA5" s="866"/>
      <c r="AB5" s="866"/>
      <c r="AC5" s="866"/>
      <c r="AD5" s="866"/>
      <c r="AE5" s="866"/>
      <c r="AF5" s="866"/>
      <c r="AG5" s="3"/>
      <c r="AH5" s="3"/>
      <c r="AI5" s="3"/>
    </row>
    <row r="7" spans="1:35" s="409" customFormat="1">
      <c r="B7" s="409" t="s">
        <v>803</v>
      </c>
      <c r="C7" s="409" t="s">
        <v>801</v>
      </c>
      <c r="D7" s="409" t="s">
        <v>802</v>
      </c>
      <c r="E7" s="409" t="s">
        <v>805</v>
      </c>
      <c r="F7" s="409" t="s">
        <v>806</v>
      </c>
      <c r="G7" s="409" t="s">
        <v>807</v>
      </c>
      <c r="H7" s="409" t="s">
        <v>808</v>
      </c>
      <c r="I7" s="409" t="s">
        <v>809</v>
      </c>
      <c r="J7" s="409" t="s">
        <v>810</v>
      </c>
      <c r="K7" s="409" t="s">
        <v>811</v>
      </c>
      <c r="L7" s="409" t="s">
        <v>812</v>
      </c>
      <c r="M7" s="409" t="s">
        <v>813</v>
      </c>
      <c r="N7" s="409" t="s">
        <v>814</v>
      </c>
      <c r="O7" s="409" t="s">
        <v>815</v>
      </c>
      <c r="P7" s="409" t="s">
        <v>816</v>
      </c>
      <c r="Q7" s="409" t="s">
        <v>1020</v>
      </c>
      <c r="R7" s="409" t="s">
        <v>1021</v>
      </c>
      <c r="S7" s="409" t="s">
        <v>1022</v>
      </c>
      <c r="T7" s="409" t="s">
        <v>1023</v>
      </c>
      <c r="U7" s="409" t="s">
        <v>1024</v>
      </c>
      <c r="V7" s="409" t="s">
        <v>1025</v>
      </c>
      <c r="W7" s="409" t="s">
        <v>1026</v>
      </c>
      <c r="X7" s="409" t="s">
        <v>1027</v>
      </c>
      <c r="Y7" s="409" t="s">
        <v>1028</v>
      </c>
      <c r="Z7" s="409" t="s">
        <v>1029</v>
      </c>
      <c r="AA7" s="409" t="s">
        <v>1030</v>
      </c>
      <c r="AB7" s="409" t="s">
        <v>753</v>
      </c>
      <c r="AC7" s="409" t="s">
        <v>1031</v>
      </c>
      <c r="AD7" s="409" t="s">
        <v>1032</v>
      </c>
      <c r="AE7" s="409" t="s">
        <v>1033</v>
      </c>
      <c r="AF7" s="409" t="s">
        <v>1034</v>
      </c>
    </row>
    <row r="8" spans="1:35">
      <c r="A8" s="409" t="s">
        <v>662</v>
      </c>
      <c r="B8" s="410" t="s">
        <v>823</v>
      </c>
      <c r="C8" s="410" t="s">
        <v>824</v>
      </c>
      <c r="D8" s="410" t="s">
        <v>77</v>
      </c>
      <c r="E8" s="410" t="s">
        <v>1370</v>
      </c>
      <c r="F8" s="410" t="s">
        <v>1371</v>
      </c>
      <c r="G8" s="410" t="s">
        <v>2253</v>
      </c>
      <c r="H8" s="410" t="s">
        <v>2254</v>
      </c>
      <c r="I8" s="410" t="s">
        <v>2255</v>
      </c>
      <c r="J8" s="410" t="s">
        <v>2256</v>
      </c>
      <c r="K8" s="410" t="s">
        <v>2257</v>
      </c>
      <c r="L8" s="410" t="s">
        <v>2258</v>
      </c>
      <c r="M8" s="410" t="s">
        <v>2259</v>
      </c>
      <c r="N8" s="410" t="s">
        <v>2260</v>
      </c>
      <c r="O8" s="410" t="s">
        <v>2261</v>
      </c>
      <c r="P8" s="410" t="s">
        <v>2262</v>
      </c>
      <c r="Q8" s="410" t="s">
        <v>2263</v>
      </c>
      <c r="R8" s="410" t="s">
        <v>2264</v>
      </c>
      <c r="S8" s="410" t="s">
        <v>2265</v>
      </c>
      <c r="T8" s="410" t="s">
        <v>2266</v>
      </c>
      <c r="U8" s="410" t="s">
        <v>2267</v>
      </c>
      <c r="V8" s="410" t="s">
        <v>2268</v>
      </c>
      <c r="W8" s="410" t="s">
        <v>2269</v>
      </c>
      <c r="X8" s="410" t="s">
        <v>2270</v>
      </c>
      <c r="Y8" s="410" t="s">
        <v>2271</v>
      </c>
      <c r="Z8" s="410" t="s">
        <v>2272</v>
      </c>
      <c r="AA8" s="410" t="s">
        <v>2273</v>
      </c>
      <c r="AB8" s="410" t="s">
        <v>2274</v>
      </c>
      <c r="AC8" s="410" t="s">
        <v>2275</v>
      </c>
      <c r="AD8" s="410" t="s">
        <v>2276</v>
      </c>
      <c r="AE8" s="410" t="s">
        <v>825</v>
      </c>
      <c r="AF8" s="410" t="s">
        <v>826</v>
      </c>
    </row>
    <row r="9" spans="1:35">
      <c r="A9" s="409">
        <v>1</v>
      </c>
      <c r="B9" s="411" t="s">
        <v>83</v>
      </c>
      <c r="C9" s="411" t="s">
        <v>734</v>
      </c>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row>
    <row r="10" spans="1:35">
      <c r="A10" s="409">
        <v>2</v>
      </c>
      <c r="C10" s="413" t="s">
        <v>827</v>
      </c>
      <c r="D10" s="414" t="s">
        <v>829</v>
      </c>
      <c r="E10" s="415">
        <v>73666.720000000001</v>
      </c>
      <c r="F10" s="415">
        <v>73666.820000000007</v>
      </c>
      <c r="G10" s="415">
        <v>73666.720000000001</v>
      </c>
      <c r="H10" s="415">
        <v>73666.820000000007</v>
      </c>
      <c r="I10" s="415">
        <v>73666.720000000001</v>
      </c>
      <c r="J10" s="415">
        <v>73666.820000000007</v>
      </c>
      <c r="K10" s="415">
        <v>73666.720000000001</v>
      </c>
      <c r="L10" s="415">
        <v>73666.820000000007</v>
      </c>
      <c r="M10" s="415">
        <v>73666.720000000001</v>
      </c>
      <c r="N10" s="415">
        <v>73666.820000000007</v>
      </c>
      <c r="O10" s="415">
        <v>73666.720000000001</v>
      </c>
      <c r="P10" s="415">
        <v>73666.820000000007</v>
      </c>
      <c r="Q10" s="415">
        <v>73666.720000000001</v>
      </c>
      <c r="R10" s="415">
        <v>73666.820000000007</v>
      </c>
      <c r="S10" s="415">
        <v>73666.720000000001</v>
      </c>
      <c r="T10" s="415">
        <v>73666.820000000007</v>
      </c>
      <c r="U10" s="415">
        <v>73666.720000000001</v>
      </c>
      <c r="V10" s="415">
        <v>73666.820000000007</v>
      </c>
      <c r="W10" s="415">
        <v>73666.720000000001</v>
      </c>
      <c r="X10" s="415">
        <v>73666.820000000007</v>
      </c>
      <c r="Y10" s="415">
        <v>73666.720000000001</v>
      </c>
      <c r="Z10" s="415">
        <v>73666.820000000007</v>
      </c>
      <c r="AA10" s="415">
        <v>73666.720000000001</v>
      </c>
      <c r="AB10" s="415">
        <v>73666.820000000007</v>
      </c>
      <c r="AC10" s="415">
        <v>73666.720000000001</v>
      </c>
      <c r="AD10" s="415">
        <v>73666.720000000001</v>
      </c>
      <c r="AE10" s="415">
        <f>+(E10+AC10+(+G10+I10+K10+M10+O10+Q10+S10+U10+W10+Y10+AA10)*2)/24</f>
        <v>73666.719999999987</v>
      </c>
      <c r="AF10" s="415">
        <f>+(F10+AD10+(+H10+J10+L10+N10+P10+R10+T10+V10+X10+Z10+AB10)*2)/24</f>
        <v>73666.815833333356</v>
      </c>
    </row>
    <row r="11" spans="1:35">
      <c r="A11" s="409">
        <v>3</v>
      </c>
      <c r="C11" s="413" t="s">
        <v>828</v>
      </c>
      <c r="D11" s="414" t="s">
        <v>829</v>
      </c>
      <c r="E11" s="415">
        <v>113374.44</v>
      </c>
      <c r="F11" s="415">
        <v>12857.710000000001</v>
      </c>
      <c r="G11" s="415">
        <v>113374.44</v>
      </c>
      <c r="H11" s="415">
        <v>13093.91</v>
      </c>
      <c r="I11" s="415">
        <v>113374.44</v>
      </c>
      <c r="J11" s="415">
        <v>13330.11</v>
      </c>
      <c r="K11" s="415">
        <v>113374.44</v>
      </c>
      <c r="L11" s="415">
        <v>13566.31</v>
      </c>
      <c r="M11" s="415">
        <v>113374.44</v>
      </c>
      <c r="N11" s="415">
        <v>13802.51</v>
      </c>
      <c r="O11" s="415">
        <v>113374.44</v>
      </c>
      <c r="P11" s="415">
        <v>14038.710000000001</v>
      </c>
      <c r="Q11" s="415">
        <v>113374.44</v>
      </c>
      <c r="R11" s="415">
        <v>14274.91</v>
      </c>
      <c r="S11" s="415">
        <v>113374.44</v>
      </c>
      <c r="T11" s="415">
        <v>14511.11</v>
      </c>
      <c r="U11" s="415">
        <v>113374.44</v>
      </c>
      <c r="V11" s="415">
        <v>14747.31</v>
      </c>
      <c r="W11" s="415">
        <v>113374.44</v>
      </c>
      <c r="X11" s="415">
        <v>14983.51</v>
      </c>
      <c r="Y11" s="415">
        <v>113374.44</v>
      </c>
      <c r="Z11" s="415">
        <v>15219.710000000001</v>
      </c>
      <c r="AA11" s="415">
        <v>113374.44</v>
      </c>
      <c r="AB11" s="415">
        <v>15455.91</v>
      </c>
      <c r="AC11" s="415">
        <v>113374.44</v>
      </c>
      <c r="AD11" s="415">
        <v>15692.11</v>
      </c>
      <c r="AE11" s="415">
        <f>+(E11+AC11+(+G11+I11+K11+M11+O11+Q11+S11+U11+W11+Y11+AA11)*2)/24</f>
        <v>113374.43999999996</v>
      </c>
      <c r="AF11" s="415">
        <f t="shared" ref="AF11:AF46" si="0">+(F11+AD11+(+H11+J11+L11+N11+P11+R11+T11+V11+X11+Z11+AB11)*2)/24</f>
        <v>14274.910000000002</v>
      </c>
    </row>
    <row r="12" spans="1:35">
      <c r="A12" s="409">
        <v>4</v>
      </c>
      <c r="C12" s="413" t="s">
        <v>1348</v>
      </c>
      <c r="D12" s="414" t="s">
        <v>829</v>
      </c>
      <c r="E12" s="415">
        <v>1016861.1</v>
      </c>
      <c r="F12" s="415">
        <v>33896.959999999999</v>
      </c>
      <c r="G12" s="415">
        <v>1016861.1</v>
      </c>
      <c r="H12" s="415">
        <v>36015.42</v>
      </c>
      <c r="I12" s="415">
        <v>1016861.1</v>
      </c>
      <c r="J12" s="415">
        <v>38133.879999999997</v>
      </c>
      <c r="K12" s="415">
        <v>1016861.1</v>
      </c>
      <c r="L12" s="415">
        <v>40252.340000000004</v>
      </c>
      <c r="M12" s="415">
        <v>1016861.1</v>
      </c>
      <c r="N12" s="415">
        <v>42370.8</v>
      </c>
      <c r="O12" s="415">
        <v>1016861.1</v>
      </c>
      <c r="P12" s="415">
        <v>44489.26</v>
      </c>
      <c r="Q12" s="415">
        <v>1016861.1</v>
      </c>
      <c r="R12" s="415">
        <v>46607.72</v>
      </c>
      <c r="S12" s="415">
        <v>1016861.1</v>
      </c>
      <c r="T12" s="415">
        <v>48726.18</v>
      </c>
      <c r="U12" s="415">
        <v>1016861.1</v>
      </c>
      <c r="V12" s="415">
        <v>50844.639999999999</v>
      </c>
      <c r="W12" s="415">
        <v>1016861.1</v>
      </c>
      <c r="X12" s="415">
        <v>52963.1</v>
      </c>
      <c r="Y12" s="415">
        <v>1016861.1</v>
      </c>
      <c r="Z12" s="415">
        <v>55081.56</v>
      </c>
      <c r="AA12" s="415">
        <v>1016861.1</v>
      </c>
      <c r="AB12" s="415">
        <v>57200.020000000004</v>
      </c>
      <c r="AC12" s="415">
        <v>1016861.1</v>
      </c>
      <c r="AD12" s="415">
        <v>59318.48</v>
      </c>
      <c r="AE12" s="415">
        <f t="shared" ref="AE12:AE46" si="1">+(E12+AC12+(+G12+I12+K12+M12+O12+Q12+S12+U12+W12+Y12+AA12)*2)/24</f>
        <v>1016861.0999999997</v>
      </c>
      <c r="AF12" s="415">
        <f t="shared" si="0"/>
        <v>46607.72</v>
      </c>
    </row>
    <row r="13" spans="1:35">
      <c r="A13" s="409">
        <v>5</v>
      </c>
      <c r="C13" s="413" t="s">
        <v>1349</v>
      </c>
      <c r="D13" s="414" t="s">
        <v>829</v>
      </c>
      <c r="E13" s="415">
        <v>1817585.2000000002</v>
      </c>
      <c r="F13" s="415">
        <v>45439.68</v>
      </c>
      <c r="G13" s="415">
        <v>1817585.2000000002</v>
      </c>
      <c r="H13" s="415">
        <v>49226.32</v>
      </c>
      <c r="I13" s="415">
        <v>1817585.2000000002</v>
      </c>
      <c r="J13" s="415">
        <v>53012.959999999999</v>
      </c>
      <c r="K13" s="415">
        <v>1817585.2000000002</v>
      </c>
      <c r="L13" s="415">
        <v>56799.6</v>
      </c>
      <c r="M13" s="415">
        <v>1817585.2000000002</v>
      </c>
      <c r="N13" s="415">
        <v>60586.239999999998</v>
      </c>
      <c r="O13" s="415">
        <v>1817585.2000000002</v>
      </c>
      <c r="P13" s="415">
        <v>64372.880000000005</v>
      </c>
      <c r="Q13" s="415">
        <v>1817585.2000000002</v>
      </c>
      <c r="R13" s="415">
        <v>68159.520000000004</v>
      </c>
      <c r="S13" s="415">
        <v>1817585.2000000002</v>
      </c>
      <c r="T13" s="415">
        <v>71946.16</v>
      </c>
      <c r="U13" s="415">
        <v>1817585.2000000002</v>
      </c>
      <c r="V13" s="415">
        <v>75732.800000000003</v>
      </c>
      <c r="W13" s="415">
        <v>1817585.2000000002</v>
      </c>
      <c r="X13" s="415">
        <v>79519.44</v>
      </c>
      <c r="Y13" s="415">
        <v>1817585.2000000002</v>
      </c>
      <c r="Z13" s="415">
        <v>83306.080000000002</v>
      </c>
      <c r="AA13" s="415">
        <v>1817585.2000000002</v>
      </c>
      <c r="AB13" s="415">
        <v>87092.72</v>
      </c>
      <c r="AC13" s="415">
        <v>1817585.2000000002</v>
      </c>
      <c r="AD13" s="415">
        <v>90879.360000000001</v>
      </c>
      <c r="AE13" s="415">
        <f t="shared" si="1"/>
        <v>1817585.1999999995</v>
      </c>
      <c r="AF13" s="415">
        <f t="shared" si="0"/>
        <v>68159.520000000004</v>
      </c>
    </row>
    <row r="14" spans="1:35">
      <c r="A14" s="409">
        <v>6</v>
      </c>
      <c r="C14" s="413" t="s">
        <v>830</v>
      </c>
      <c r="D14" s="414" t="s">
        <v>829</v>
      </c>
      <c r="E14" s="415">
        <v>13130.54</v>
      </c>
      <c r="F14" s="415">
        <v>0</v>
      </c>
      <c r="G14" s="415">
        <v>13130.54</v>
      </c>
      <c r="H14" s="415">
        <v>0</v>
      </c>
      <c r="I14" s="415">
        <v>13130.54</v>
      </c>
      <c r="J14" s="415">
        <v>0</v>
      </c>
      <c r="K14" s="415">
        <v>13130.54</v>
      </c>
      <c r="L14" s="415">
        <v>0</v>
      </c>
      <c r="M14" s="415">
        <v>13130.54</v>
      </c>
      <c r="N14" s="415">
        <v>0</v>
      </c>
      <c r="O14" s="415">
        <v>13130.54</v>
      </c>
      <c r="P14" s="415">
        <v>0</v>
      </c>
      <c r="Q14" s="415">
        <v>13130.54</v>
      </c>
      <c r="R14" s="415">
        <v>0</v>
      </c>
      <c r="S14" s="415">
        <v>13130.54</v>
      </c>
      <c r="T14" s="415">
        <v>0</v>
      </c>
      <c r="U14" s="415">
        <v>13130.54</v>
      </c>
      <c r="V14" s="415">
        <v>0</v>
      </c>
      <c r="W14" s="415">
        <v>13130.54</v>
      </c>
      <c r="X14" s="415">
        <v>0</v>
      </c>
      <c r="Y14" s="415">
        <v>13130.54</v>
      </c>
      <c r="Z14" s="415">
        <v>0</v>
      </c>
      <c r="AA14" s="415">
        <v>13130.54</v>
      </c>
      <c r="AB14" s="415">
        <v>0</v>
      </c>
      <c r="AC14" s="415">
        <v>13130.54</v>
      </c>
      <c r="AD14" s="415">
        <v>0</v>
      </c>
      <c r="AE14" s="415">
        <f t="shared" si="1"/>
        <v>13130.540000000006</v>
      </c>
      <c r="AF14" s="415">
        <f t="shared" si="0"/>
        <v>0</v>
      </c>
    </row>
    <row r="15" spans="1:35">
      <c r="A15" s="409">
        <v>7</v>
      </c>
      <c r="C15" s="413" t="s">
        <v>831</v>
      </c>
      <c r="D15" s="414" t="s">
        <v>829</v>
      </c>
      <c r="E15" s="415">
        <v>7692.66</v>
      </c>
      <c r="F15" s="415">
        <v>6570.3600000000006</v>
      </c>
      <c r="G15" s="415">
        <v>7692.66</v>
      </c>
      <c r="H15" s="415">
        <v>6580.49</v>
      </c>
      <c r="I15" s="415">
        <v>7692.66</v>
      </c>
      <c r="J15" s="415">
        <v>6590.62</v>
      </c>
      <c r="K15" s="415">
        <v>7692.66</v>
      </c>
      <c r="L15" s="415">
        <v>6600.75</v>
      </c>
      <c r="M15" s="415">
        <v>7692.66</v>
      </c>
      <c r="N15" s="415">
        <v>6610.88</v>
      </c>
      <c r="O15" s="415">
        <v>7692.66</v>
      </c>
      <c r="P15" s="415">
        <v>6621.01</v>
      </c>
      <c r="Q15" s="415">
        <v>7692.66</v>
      </c>
      <c r="R15" s="415">
        <v>6631.14</v>
      </c>
      <c r="S15" s="415">
        <v>7692.66</v>
      </c>
      <c r="T15" s="415">
        <v>6641.27</v>
      </c>
      <c r="U15" s="415">
        <v>7692.66</v>
      </c>
      <c r="V15" s="415">
        <v>6651.4000000000005</v>
      </c>
      <c r="W15" s="415">
        <v>7692.66</v>
      </c>
      <c r="X15" s="415">
        <v>6661.53</v>
      </c>
      <c r="Y15" s="415">
        <v>7692.66</v>
      </c>
      <c r="Z15" s="415">
        <v>6671.66</v>
      </c>
      <c r="AA15" s="415">
        <v>7692.66</v>
      </c>
      <c r="AB15" s="415">
        <v>6681.79</v>
      </c>
      <c r="AC15" s="415">
        <v>7692.66</v>
      </c>
      <c r="AD15" s="415">
        <v>6691.92</v>
      </c>
      <c r="AE15" s="415">
        <f t="shared" si="1"/>
        <v>7692.6600000000026</v>
      </c>
      <c r="AF15" s="415">
        <f t="shared" si="0"/>
        <v>6631.1399999999994</v>
      </c>
    </row>
    <row r="16" spans="1:35">
      <c r="A16" s="409">
        <v>8</v>
      </c>
      <c r="C16" s="413" t="s">
        <v>832</v>
      </c>
      <c r="D16" s="414" t="s">
        <v>829</v>
      </c>
      <c r="E16" s="415">
        <v>6203474.7999999998</v>
      </c>
      <c r="F16" s="415">
        <v>3617351.33</v>
      </c>
      <c r="G16" s="415">
        <v>6203474.7999999998</v>
      </c>
      <c r="H16" s="415">
        <v>3626759.93</v>
      </c>
      <c r="I16" s="415">
        <v>6203474.7999999998</v>
      </c>
      <c r="J16" s="415">
        <v>3636168.5300000003</v>
      </c>
      <c r="K16" s="415">
        <v>6203474.7999999998</v>
      </c>
      <c r="L16" s="415">
        <v>3645577.13</v>
      </c>
      <c r="M16" s="415">
        <v>6203474.7999999998</v>
      </c>
      <c r="N16" s="415">
        <v>3654985.73</v>
      </c>
      <c r="O16" s="415">
        <v>6203474.7999999998</v>
      </c>
      <c r="P16" s="415">
        <v>3664394.33</v>
      </c>
      <c r="Q16" s="415">
        <v>6203474.7999999998</v>
      </c>
      <c r="R16" s="415">
        <v>3673802.93</v>
      </c>
      <c r="S16" s="415">
        <v>6203474.7999999998</v>
      </c>
      <c r="T16" s="415">
        <v>3683211.5300000003</v>
      </c>
      <c r="U16" s="415">
        <v>6203474.7999999998</v>
      </c>
      <c r="V16" s="415">
        <v>3692620.13</v>
      </c>
      <c r="W16" s="415">
        <v>6203474.7999999998</v>
      </c>
      <c r="X16" s="415">
        <v>3702028.73</v>
      </c>
      <c r="Y16" s="415">
        <v>6203474.7999999998</v>
      </c>
      <c r="Z16" s="415">
        <v>3711437.33</v>
      </c>
      <c r="AA16" s="415">
        <v>6203474.7999999998</v>
      </c>
      <c r="AB16" s="415">
        <v>3720845.93</v>
      </c>
      <c r="AC16" s="415">
        <v>6203474.7999999998</v>
      </c>
      <c r="AD16" s="415">
        <v>3730254.5300000003</v>
      </c>
      <c r="AE16" s="415">
        <f t="shared" si="1"/>
        <v>6203474.799999998</v>
      </c>
      <c r="AF16" s="415">
        <f t="shared" si="0"/>
        <v>3673802.9299999997</v>
      </c>
    </row>
    <row r="17" spans="1:32">
      <c r="A17" s="409">
        <v>9</v>
      </c>
      <c r="C17" s="413" t="s">
        <v>833</v>
      </c>
      <c r="D17" s="414" t="s">
        <v>829</v>
      </c>
      <c r="E17" s="415">
        <v>36161.700000000004</v>
      </c>
      <c r="F17" s="415">
        <v>-4119.8</v>
      </c>
      <c r="G17" s="415">
        <v>36161.700000000004</v>
      </c>
      <c r="H17" s="415">
        <v>-4107.45</v>
      </c>
      <c r="I17" s="415">
        <v>36161.700000000004</v>
      </c>
      <c r="J17" s="415">
        <v>-4095.1</v>
      </c>
      <c r="K17" s="415">
        <v>36161.700000000004</v>
      </c>
      <c r="L17" s="415">
        <v>-4082.75</v>
      </c>
      <c r="M17" s="415">
        <v>36161.700000000004</v>
      </c>
      <c r="N17" s="415">
        <v>-4070.4</v>
      </c>
      <c r="O17" s="415">
        <v>36161.700000000004</v>
      </c>
      <c r="P17" s="415">
        <v>-4058.05</v>
      </c>
      <c r="Q17" s="415">
        <v>36161.700000000004</v>
      </c>
      <c r="R17" s="415">
        <v>-4045.7000000000003</v>
      </c>
      <c r="S17" s="415">
        <v>36161.700000000004</v>
      </c>
      <c r="T17" s="415">
        <v>-4033.35</v>
      </c>
      <c r="U17" s="415">
        <v>36161.700000000004</v>
      </c>
      <c r="V17" s="415">
        <v>-4021</v>
      </c>
      <c r="W17" s="415">
        <v>36161.700000000004</v>
      </c>
      <c r="X17" s="415">
        <v>-4008.65</v>
      </c>
      <c r="Y17" s="415">
        <v>36161.700000000004</v>
      </c>
      <c r="Z17" s="415">
        <v>-3996.3</v>
      </c>
      <c r="AA17" s="415">
        <v>36161.700000000004</v>
      </c>
      <c r="AB17" s="415">
        <v>-3983.9500000000003</v>
      </c>
      <c r="AC17" s="415">
        <v>36161.700000000004</v>
      </c>
      <c r="AD17" s="415">
        <v>-3971.6</v>
      </c>
      <c r="AE17" s="415">
        <f t="shared" si="1"/>
        <v>36161.700000000004</v>
      </c>
      <c r="AF17" s="415">
        <f t="shared" si="0"/>
        <v>-4045.6999999999994</v>
      </c>
    </row>
    <row r="18" spans="1:32">
      <c r="A18" s="409">
        <v>10</v>
      </c>
      <c r="C18" s="413" t="s">
        <v>834</v>
      </c>
      <c r="D18" s="414" t="s">
        <v>829</v>
      </c>
      <c r="E18" s="415">
        <v>235020</v>
      </c>
      <c r="F18" s="415">
        <v>6734.6100000000006</v>
      </c>
      <c r="G18" s="415">
        <v>235020</v>
      </c>
      <c r="H18" s="415">
        <v>7102.81</v>
      </c>
      <c r="I18" s="415">
        <v>235020</v>
      </c>
      <c r="J18" s="415">
        <v>7471.01</v>
      </c>
      <c r="K18" s="415">
        <v>235020</v>
      </c>
      <c r="L18" s="415">
        <v>7839.21</v>
      </c>
      <c r="M18" s="415">
        <v>235020</v>
      </c>
      <c r="N18" s="415">
        <v>8207.41</v>
      </c>
      <c r="O18" s="415">
        <v>235020</v>
      </c>
      <c r="P18" s="415">
        <v>8575.61</v>
      </c>
      <c r="Q18" s="415">
        <v>235020</v>
      </c>
      <c r="R18" s="415">
        <v>8943.81</v>
      </c>
      <c r="S18" s="415">
        <v>235020</v>
      </c>
      <c r="T18" s="415">
        <v>9312.01</v>
      </c>
      <c r="U18" s="415">
        <v>235020</v>
      </c>
      <c r="V18" s="415">
        <v>9680.2100000000009</v>
      </c>
      <c r="W18" s="415">
        <v>235020</v>
      </c>
      <c r="X18" s="415">
        <v>10048.41</v>
      </c>
      <c r="Y18" s="415">
        <v>235020</v>
      </c>
      <c r="Z18" s="415">
        <v>10416.61</v>
      </c>
      <c r="AA18" s="415">
        <v>235020</v>
      </c>
      <c r="AB18" s="415">
        <v>10784.81</v>
      </c>
      <c r="AC18" s="415">
        <v>235020</v>
      </c>
      <c r="AD18" s="415">
        <v>11153.01</v>
      </c>
      <c r="AE18" s="415">
        <f t="shared" si="1"/>
        <v>235020</v>
      </c>
      <c r="AF18" s="415">
        <f t="shared" si="0"/>
        <v>8943.81</v>
      </c>
    </row>
    <row r="19" spans="1:32">
      <c r="A19" s="409">
        <v>11</v>
      </c>
      <c r="C19" s="413" t="s">
        <v>835</v>
      </c>
      <c r="D19" s="414" t="s">
        <v>829</v>
      </c>
      <c r="E19" s="415">
        <v>142929.49</v>
      </c>
      <c r="F19" s="415">
        <v>0</v>
      </c>
      <c r="G19" s="415">
        <v>142929.49</v>
      </c>
      <c r="H19" s="415">
        <v>0</v>
      </c>
      <c r="I19" s="415">
        <v>142929.49</v>
      </c>
      <c r="J19" s="415">
        <v>0</v>
      </c>
      <c r="K19" s="415">
        <v>142929.49</v>
      </c>
      <c r="L19" s="415">
        <v>0</v>
      </c>
      <c r="M19" s="415">
        <v>142929.49</v>
      </c>
      <c r="N19" s="415">
        <v>0</v>
      </c>
      <c r="O19" s="415">
        <v>142929.49</v>
      </c>
      <c r="P19" s="415">
        <v>0</v>
      </c>
      <c r="Q19" s="415">
        <v>142929.49</v>
      </c>
      <c r="R19" s="415">
        <v>0</v>
      </c>
      <c r="S19" s="415">
        <v>142929.49</v>
      </c>
      <c r="T19" s="415">
        <v>0</v>
      </c>
      <c r="U19" s="415">
        <v>142929.49</v>
      </c>
      <c r="V19" s="415">
        <v>0</v>
      </c>
      <c r="W19" s="415">
        <v>142929.49</v>
      </c>
      <c r="X19" s="415">
        <v>0</v>
      </c>
      <c r="Y19" s="415">
        <v>141860.15</v>
      </c>
      <c r="Z19" s="415">
        <v>0</v>
      </c>
      <c r="AA19" s="415">
        <v>141860.15</v>
      </c>
      <c r="AB19" s="415">
        <v>0</v>
      </c>
      <c r="AC19" s="415">
        <v>141860.15</v>
      </c>
      <c r="AD19" s="415">
        <v>0</v>
      </c>
      <c r="AE19" s="415">
        <f t="shared" si="1"/>
        <v>142706.71083333332</v>
      </c>
      <c r="AF19" s="415">
        <f t="shared" si="0"/>
        <v>0</v>
      </c>
    </row>
    <row r="20" spans="1:32">
      <c r="A20" s="409">
        <v>12</v>
      </c>
      <c r="C20" s="413" t="s">
        <v>836</v>
      </c>
      <c r="D20" s="414" t="s">
        <v>829</v>
      </c>
      <c r="E20" s="415">
        <v>0</v>
      </c>
      <c r="F20" s="415">
        <v>-655.47</v>
      </c>
      <c r="G20" s="415">
        <v>0</v>
      </c>
      <c r="H20" s="415">
        <v>-655.47</v>
      </c>
      <c r="I20" s="415">
        <v>0</v>
      </c>
      <c r="J20" s="415">
        <v>-655.47</v>
      </c>
      <c r="K20" s="415">
        <v>0</v>
      </c>
      <c r="L20" s="415">
        <v>-655.47</v>
      </c>
      <c r="M20" s="415">
        <v>0</v>
      </c>
      <c r="N20" s="415">
        <v>-655.47</v>
      </c>
      <c r="O20" s="415">
        <v>0</v>
      </c>
      <c r="P20" s="415">
        <v>-655.47</v>
      </c>
      <c r="Q20" s="415">
        <v>0</v>
      </c>
      <c r="R20" s="415">
        <v>-655.47</v>
      </c>
      <c r="S20" s="415">
        <v>0</v>
      </c>
      <c r="T20" s="415">
        <v>-655.47</v>
      </c>
      <c r="U20" s="415">
        <v>0</v>
      </c>
      <c r="V20" s="415">
        <v>-655.47</v>
      </c>
      <c r="W20" s="415">
        <v>0</v>
      </c>
      <c r="X20" s="415">
        <v>-655.47</v>
      </c>
      <c r="Y20" s="415">
        <v>0</v>
      </c>
      <c r="Z20" s="415">
        <v>-655.47</v>
      </c>
      <c r="AA20" s="415">
        <v>0</v>
      </c>
      <c r="AB20" s="415">
        <v>-655.47</v>
      </c>
      <c r="AC20" s="415">
        <v>0</v>
      </c>
      <c r="AD20" s="415">
        <v>0</v>
      </c>
      <c r="AE20" s="415">
        <f t="shared" si="1"/>
        <v>0</v>
      </c>
      <c r="AF20" s="415">
        <f t="shared" si="0"/>
        <v>-628.15875000000017</v>
      </c>
    </row>
    <row r="21" spans="1:32">
      <c r="A21" s="409">
        <v>13</v>
      </c>
      <c r="C21" s="413" t="s">
        <v>837</v>
      </c>
      <c r="D21" s="414" t="s">
        <v>829</v>
      </c>
      <c r="E21" s="415">
        <v>363784.97000000003</v>
      </c>
      <c r="F21" s="415">
        <v>259721.56</v>
      </c>
      <c r="G21" s="415">
        <v>363784.97000000003</v>
      </c>
      <c r="H21" s="415">
        <v>260091.41</v>
      </c>
      <c r="I21" s="415">
        <v>363784.97000000003</v>
      </c>
      <c r="J21" s="415">
        <v>260461.26</v>
      </c>
      <c r="K21" s="415">
        <v>363784.97000000003</v>
      </c>
      <c r="L21" s="415">
        <v>260831.11000000002</v>
      </c>
      <c r="M21" s="415">
        <v>363784.97000000003</v>
      </c>
      <c r="N21" s="415">
        <v>261200.96</v>
      </c>
      <c r="O21" s="415">
        <v>363784.97000000003</v>
      </c>
      <c r="P21" s="415">
        <v>261570.81</v>
      </c>
      <c r="Q21" s="415">
        <v>363784.97000000003</v>
      </c>
      <c r="R21" s="415">
        <v>261940.66</v>
      </c>
      <c r="S21" s="415">
        <v>363784.97000000003</v>
      </c>
      <c r="T21" s="415">
        <v>262310.51</v>
      </c>
      <c r="U21" s="415">
        <v>363784.97000000003</v>
      </c>
      <c r="V21" s="415">
        <v>262680.36</v>
      </c>
      <c r="W21" s="415">
        <v>363784.97000000003</v>
      </c>
      <c r="X21" s="415">
        <v>263050.21000000002</v>
      </c>
      <c r="Y21" s="415">
        <v>363784.97000000003</v>
      </c>
      <c r="Z21" s="415">
        <v>263420.06</v>
      </c>
      <c r="AA21" s="415">
        <v>363784.97000000003</v>
      </c>
      <c r="AB21" s="415">
        <v>263789.91000000003</v>
      </c>
      <c r="AC21" s="415">
        <v>363784.97000000003</v>
      </c>
      <c r="AD21" s="415">
        <v>263504.28999999998</v>
      </c>
      <c r="AE21" s="415">
        <f t="shared" si="1"/>
        <v>363784.97000000015</v>
      </c>
      <c r="AF21" s="415">
        <f t="shared" si="0"/>
        <v>261913.34875</v>
      </c>
    </row>
    <row r="22" spans="1:32">
      <c r="A22" s="409">
        <v>14</v>
      </c>
      <c r="C22" s="413" t="s">
        <v>838</v>
      </c>
      <c r="D22" s="414" t="s">
        <v>829</v>
      </c>
      <c r="E22" s="415">
        <v>17457159.5</v>
      </c>
      <c r="F22" s="415">
        <v>5304514.93</v>
      </c>
      <c r="G22" s="415">
        <v>17470148.219999999</v>
      </c>
      <c r="H22" s="415">
        <v>5321077.45</v>
      </c>
      <c r="I22" s="415">
        <v>18880117.309999999</v>
      </c>
      <c r="J22" s="415">
        <v>5339272.26</v>
      </c>
      <c r="K22" s="415">
        <v>18983556.84</v>
      </c>
      <c r="L22" s="415">
        <v>5358939.05</v>
      </c>
      <c r="M22" s="415">
        <v>19288268.719999999</v>
      </c>
      <c r="N22" s="415">
        <v>5378713.5899999999</v>
      </c>
      <c r="O22" s="415">
        <v>19320226.48</v>
      </c>
      <c r="P22" s="415">
        <v>5357731.29</v>
      </c>
      <c r="Q22" s="415">
        <v>21238002.859999999</v>
      </c>
      <c r="R22" s="415">
        <v>5377856.5300000003</v>
      </c>
      <c r="S22" s="415">
        <v>21210910.850000001</v>
      </c>
      <c r="T22" s="415">
        <v>5392398.8799999999</v>
      </c>
      <c r="U22" s="415">
        <v>21217398.07</v>
      </c>
      <c r="V22" s="415">
        <v>5400461.4400000004</v>
      </c>
      <c r="W22" s="415">
        <v>21204115.09</v>
      </c>
      <c r="X22" s="415">
        <v>5385735.6399999997</v>
      </c>
      <c r="Y22" s="415">
        <v>21639150.960000001</v>
      </c>
      <c r="Z22" s="415">
        <v>5407823.2599999998</v>
      </c>
      <c r="AA22" s="415">
        <v>21692115.09</v>
      </c>
      <c r="AB22" s="415">
        <v>5421833.0999999996</v>
      </c>
      <c r="AC22" s="415">
        <v>21829158.440000001</v>
      </c>
      <c r="AD22" s="415">
        <v>5443378.3200000003</v>
      </c>
      <c r="AE22" s="415">
        <f t="shared" si="1"/>
        <v>20148930.788333334</v>
      </c>
      <c r="AF22" s="415">
        <f t="shared" si="0"/>
        <v>5376315.7595833335</v>
      </c>
    </row>
    <row r="23" spans="1:32">
      <c r="A23" s="409">
        <v>15</v>
      </c>
      <c r="C23" s="413" t="s">
        <v>839</v>
      </c>
      <c r="D23" s="414" t="s">
        <v>829</v>
      </c>
      <c r="E23" s="415">
        <v>45568637.829999998</v>
      </c>
      <c r="F23" s="415">
        <v>13807411.17</v>
      </c>
      <c r="G23" s="415">
        <v>45695294.729999997</v>
      </c>
      <c r="H23" s="415">
        <v>13962943.1</v>
      </c>
      <c r="I23" s="415">
        <v>45789592.32</v>
      </c>
      <c r="J23" s="415">
        <v>14120144.15</v>
      </c>
      <c r="K23" s="415">
        <v>46506902.200000003</v>
      </c>
      <c r="L23" s="415">
        <v>14275652.9</v>
      </c>
      <c r="M23" s="415">
        <v>46630250.539999999</v>
      </c>
      <c r="N23" s="415">
        <v>14435260.029999999</v>
      </c>
      <c r="O23" s="415">
        <v>46885998.5</v>
      </c>
      <c r="P23" s="415">
        <v>14590852.130000001</v>
      </c>
      <c r="Q23" s="415">
        <v>47151495.109999999</v>
      </c>
      <c r="R23" s="415">
        <v>14751319.699999999</v>
      </c>
      <c r="S23" s="415">
        <v>47313875.799999997</v>
      </c>
      <c r="T23" s="415">
        <v>14913179.93</v>
      </c>
      <c r="U23" s="415">
        <v>47658949.960000001</v>
      </c>
      <c r="V23" s="415">
        <v>15076018.52</v>
      </c>
      <c r="W23" s="415">
        <v>47763502.090000004</v>
      </c>
      <c r="X23" s="415">
        <v>15240044.74</v>
      </c>
      <c r="Y23" s="415">
        <v>49069094.310000002</v>
      </c>
      <c r="Z23" s="415">
        <v>15404430.789999999</v>
      </c>
      <c r="AA23" s="415">
        <v>49142622.759999998</v>
      </c>
      <c r="AB23" s="415">
        <v>15573310.26</v>
      </c>
      <c r="AC23" s="415">
        <v>49535595.829999998</v>
      </c>
      <c r="AD23" s="415">
        <v>15741269.390000001</v>
      </c>
      <c r="AE23" s="415">
        <f t="shared" si="1"/>
        <v>47263307.929166667</v>
      </c>
      <c r="AF23" s="415">
        <f t="shared" si="0"/>
        <v>14759791.377499998</v>
      </c>
    </row>
    <row r="24" spans="1:32">
      <c r="A24" s="409">
        <v>16</v>
      </c>
      <c r="C24" s="413" t="s">
        <v>840</v>
      </c>
      <c r="D24" s="414" t="s">
        <v>829</v>
      </c>
      <c r="E24" s="415">
        <v>38654414.200000003</v>
      </c>
      <c r="F24" s="415">
        <v>24188794.98</v>
      </c>
      <c r="G24" s="415">
        <v>39227252.979999997</v>
      </c>
      <c r="H24" s="415">
        <v>24254648.25</v>
      </c>
      <c r="I24" s="415">
        <v>39267720.729999997</v>
      </c>
      <c r="J24" s="415">
        <v>24319597</v>
      </c>
      <c r="K24" s="415">
        <v>39323931.909999996</v>
      </c>
      <c r="L24" s="415">
        <v>24387958.300000001</v>
      </c>
      <c r="M24" s="415">
        <v>39325525.289999999</v>
      </c>
      <c r="N24" s="415">
        <v>24459950.809999999</v>
      </c>
      <c r="O24" s="415">
        <v>39692175.439999998</v>
      </c>
      <c r="P24" s="415">
        <v>24528559.890000001</v>
      </c>
      <c r="Q24" s="415">
        <v>39798838.420000002</v>
      </c>
      <c r="R24" s="415">
        <v>24601328.879999999</v>
      </c>
      <c r="S24" s="415">
        <v>39920861.149999999</v>
      </c>
      <c r="T24" s="415">
        <v>24674033.120000001</v>
      </c>
      <c r="U24" s="415">
        <v>39982370.979999997</v>
      </c>
      <c r="V24" s="415">
        <v>24710556.190000001</v>
      </c>
      <c r="W24" s="415">
        <v>40002481.490000002</v>
      </c>
      <c r="X24" s="415">
        <v>24783857.199999999</v>
      </c>
      <c r="Y24" s="415">
        <v>40425636.719999999</v>
      </c>
      <c r="Z24" s="415">
        <v>24851610.649999999</v>
      </c>
      <c r="AA24" s="415">
        <v>40421612.530000001</v>
      </c>
      <c r="AB24" s="415">
        <v>24925597.350000001</v>
      </c>
      <c r="AC24" s="415">
        <v>40643375.299999997</v>
      </c>
      <c r="AD24" s="415">
        <v>24982388.82</v>
      </c>
      <c r="AE24" s="415">
        <f t="shared" si="1"/>
        <v>39753108.532499999</v>
      </c>
      <c r="AF24" s="415">
        <f t="shared" si="0"/>
        <v>24590274.12833333</v>
      </c>
    </row>
    <row r="25" spans="1:32">
      <c r="A25" s="409">
        <v>17</v>
      </c>
      <c r="C25" s="413" t="s">
        <v>841</v>
      </c>
      <c r="D25" s="414" t="s">
        <v>829</v>
      </c>
      <c r="E25" s="415">
        <v>10605833.859999999</v>
      </c>
      <c r="F25" s="415">
        <v>3322284.12</v>
      </c>
      <c r="G25" s="415">
        <v>10611033.15</v>
      </c>
      <c r="H25" s="415">
        <v>3339253.46</v>
      </c>
      <c r="I25" s="415">
        <v>10612003.83</v>
      </c>
      <c r="J25" s="415">
        <v>3356231.12</v>
      </c>
      <c r="K25" s="415">
        <v>10701743.49</v>
      </c>
      <c r="L25" s="415">
        <v>3373210.32</v>
      </c>
      <c r="M25" s="415">
        <v>10727056.119999999</v>
      </c>
      <c r="N25" s="415">
        <v>3390333.11</v>
      </c>
      <c r="O25" s="415">
        <v>10834779.59</v>
      </c>
      <c r="P25" s="415">
        <v>3373235.37</v>
      </c>
      <c r="Q25" s="415">
        <v>10864742.210000001</v>
      </c>
      <c r="R25" s="415">
        <v>3390571.01</v>
      </c>
      <c r="S25" s="415">
        <v>10865881.460000001</v>
      </c>
      <c r="T25" s="415">
        <v>3407954.6</v>
      </c>
      <c r="U25" s="415">
        <v>10868404.310000001</v>
      </c>
      <c r="V25" s="415">
        <v>3425340.01</v>
      </c>
      <c r="W25" s="415">
        <v>10902308.039999999</v>
      </c>
      <c r="X25" s="415">
        <v>3395330.2</v>
      </c>
      <c r="Y25" s="415">
        <v>11004653.49</v>
      </c>
      <c r="Z25" s="415">
        <v>3412773.9</v>
      </c>
      <c r="AA25" s="415">
        <v>11034970.210000001</v>
      </c>
      <c r="AB25" s="415">
        <v>3430381.35</v>
      </c>
      <c r="AC25" s="415">
        <v>11123787.66</v>
      </c>
      <c r="AD25" s="415">
        <v>3441715.64</v>
      </c>
      <c r="AE25" s="415">
        <f t="shared" si="1"/>
        <v>10824365.554999998</v>
      </c>
      <c r="AF25" s="415">
        <f t="shared" si="0"/>
        <v>3389717.8608333338</v>
      </c>
    </row>
    <row r="26" spans="1:32">
      <c r="A26" s="409">
        <v>18</v>
      </c>
      <c r="C26" s="413" t="s">
        <v>842</v>
      </c>
      <c r="D26" s="414" t="s">
        <v>829</v>
      </c>
      <c r="E26" s="415">
        <v>43368051.479999997</v>
      </c>
      <c r="F26" s="415">
        <v>15985848.4</v>
      </c>
      <c r="G26" s="415">
        <v>43642773.369999997</v>
      </c>
      <c r="H26" s="415">
        <v>16121384.460000001</v>
      </c>
      <c r="I26" s="415">
        <v>43821322.840000004</v>
      </c>
      <c r="J26" s="415">
        <v>16258278.9</v>
      </c>
      <c r="K26" s="415">
        <v>43959282.869999997</v>
      </c>
      <c r="L26" s="415">
        <v>16395604.93</v>
      </c>
      <c r="M26" s="415">
        <v>44409052.390000001</v>
      </c>
      <c r="N26" s="415">
        <v>16537214.27</v>
      </c>
      <c r="O26" s="415">
        <v>44816983.840000004</v>
      </c>
      <c r="P26" s="415">
        <v>16678859.439999999</v>
      </c>
      <c r="Q26" s="415">
        <v>45173782.859999999</v>
      </c>
      <c r="R26" s="415">
        <v>16823767.690000001</v>
      </c>
      <c r="S26" s="415">
        <v>45605928.149999999</v>
      </c>
      <c r="T26" s="415">
        <v>16969030.879999999</v>
      </c>
      <c r="U26" s="415">
        <v>45821018.869999997</v>
      </c>
      <c r="V26" s="415">
        <v>17116490.050000001</v>
      </c>
      <c r="W26" s="415">
        <v>46175684.920000002</v>
      </c>
      <c r="X26" s="415">
        <v>17264644.670000002</v>
      </c>
      <c r="Y26" s="415">
        <v>46880968.020000003</v>
      </c>
      <c r="Z26" s="415">
        <v>17413105.93</v>
      </c>
      <c r="AA26" s="415">
        <v>47422160.060000002</v>
      </c>
      <c r="AB26" s="415">
        <v>17548901.039999999</v>
      </c>
      <c r="AC26" s="415">
        <v>47881219.5</v>
      </c>
      <c r="AD26" s="415">
        <v>17690092.91</v>
      </c>
      <c r="AE26" s="415">
        <f t="shared" si="1"/>
        <v>45279466.139999993</v>
      </c>
      <c r="AF26" s="415">
        <f t="shared" si="0"/>
        <v>16830437.742916666</v>
      </c>
    </row>
    <row r="27" spans="1:32">
      <c r="A27" s="409">
        <v>19</v>
      </c>
      <c r="C27" s="413" t="s">
        <v>843</v>
      </c>
      <c r="D27" s="414" t="s">
        <v>829</v>
      </c>
      <c r="E27" s="415">
        <v>12916898.949999999</v>
      </c>
      <c r="F27" s="415">
        <v>19573186.780000001</v>
      </c>
      <c r="G27" s="415">
        <v>12906614.18</v>
      </c>
      <c r="H27" s="415">
        <v>19567476.260000002</v>
      </c>
      <c r="I27" s="415">
        <v>12905666.01</v>
      </c>
      <c r="J27" s="415">
        <v>19572503.57</v>
      </c>
      <c r="K27" s="415">
        <v>12898264.699999999</v>
      </c>
      <c r="L27" s="415">
        <v>19591045.690000001</v>
      </c>
      <c r="M27" s="415">
        <v>12898567.27</v>
      </c>
      <c r="N27" s="415">
        <v>19624082.780000001</v>
      </c>
      <c r="O27" s="415">
        <v>12898438.939999999</v>
      </c>
      <c r="P27" s="415">
        <v>19641071.539999999</v>
      </c>
      <c r="Q27" s="415">
        <v>12898454.189999999</v>
      </c>
      <c r="R27" s="415">
        <v>19652965.050000001</v>
      </c>
      <c r="S27" s="415">
        <v>12901082.91</v>
      </c>
      <c r="T27" s="415">
        <v>19683003.539999999</v>
      </c>
      <c r="U27" s="415">
        <v>12901082.91</v>
      </c>
      <c r="V27" s="415">
        <v>19718804.039999999</v>
      </c>
      <c r="W27" s="415">
        <v>12901091.609999999</v>
      </c>
      <c r="X27" s="415">
        <v>19754604.539999999</v>
      </c>
      <c r="Y27" s="415">
        <v>12900367.16</v>
      </c>
      <c r="Z27" s="415">
        <v>19789680.620000001</v>
      </c>
      <c r="AA27" s="415">
        <v>12894722.27</v>
      </c>
      <c r="AB27" s="415">
        <v>19761323.850000001</v>
      </c>
      <c r="AC27" s="415">
        <v>12890838.57</v>
      </c>
      <c r="AD27" s="415">
        <v>19737147.850000001</v>
      </c>
      <c r="AE27" s="415">
        <f t="shared" si="1"/>
        <v>12900685.07583333</v>
      </c>
      <c r="AF27" s="415">
        <f t="shared" si="0"/>
        <v>19667644.06625</v>
      </c>
    </row>
    <row r="28" spans="1:32">
      <c r="A28" s="409">
        <v>20</v>
      </c>
      <c r="C28" s="413" t="s">
        <v>844</v>
      </c>
      <c r="D28" s="414" t="s">
        <v>829</v>
      </c>
      <c r="E28" s="415">
        <v>9659588.1699999999</v>
      </c>
      <c r="F28" s="415">
        <v>3808055.25</v>
      </c>
      <c r="G28" s="415">
        <v>9662626.8800000008</v>
      </c>
      <c r="H28" s="415">
        <v>3819587.83</v>
      </c>
      <c r="I28" s="415">
        <v>9672077.2300000004</v>
      </c>
      <c r="J28" s="415">
        <v>3834461.65</v>
      </c>
      <c r="K28" s="415">
        <v>9677436.7300000004</v>
      </c>
      <c r="L28" s="415">
        <v>3848361.38</v>
      </c>
      <c r="M28" s="415">
        <v>9682944.8800000008</v>
      </c>
      <c r="N28" s="415">
        <v>3863315.95</v>
      </c>
      <c r="O28" s="415">
        <v>9692258.4199999999</v>
      </c>
      <c r="P28" s="415">
        <v>3878294.5300000003</v>
      </c>
      <c r="Q28" s="415">
        <v>9697904.4199999999</v>
      </c>
      <c r="R28" s="415">
        <v>3893317.5300000003</v>
      </c>
      <c r="S28" s="415">
        <v>9701743.0999999996</v>
      </c>
      <c r="T28" s="415">
        <v>3908254.89</v>
      </c>
      <c r="U28" s="415">
        <v>9693953.3300000001</v>
      </c>
      <c r="V28" s="415">
        <v>3914023.5</v>
      </c>
      <c r="W28" s="415">
        <v>9697782.7699999996</v>
      </c>
      <c r="X28" s="415">
        <v>3929049.13</v>
      </c>
      <c r="Y28" s="415">
        <v>9708494.0099999998</v>
      </c>
      <c r="Z28" s="415">
        <v>3944080.7</v>
      </c>
      <c r="AA28" s="415">
        <v>9712786.4100000001</v>
      </c>
      <c r="AB28" s="415">
        <v>3957187.36</v>
      </c>
      <c r="AC28" s="415">
        <v>9717462.2300000004</v>
      </c>
      <c r="AD28" s="415">
        <v>3971953.69</v>
      </c>
      <c r="AE28" s="415">
        <f t="shared" si="1"/>
        <v>9690711.1150000002</v>
      </c>
      <c r="AF28" s="415">
        <f t="shared" si="0"/>
        <v>3889994.91</v>
      </c>
    </row>
    <row r="29" spans="1:32">
      <c r="A29" s="409">
        <v>21</v>
      </c>
      <c r="C29" s="413" t="s">
        <v>845</v>
      </c>
      <c r="D29" s="414" t="s">
        <v>829</v>
      </c>
      <c r="E29" s="415">
        <v>2199897.91</v>
      </c>
      <c r="F29" s="415">
        <v>795547.13</v>
      </c>
      <c r="G29" s="415">
        <v>2190958.23</v>
      </c>
      <c r="H29" s="415">
        <v>787233.38</v>
      </c>
      <c r="I29" s="415">
        <v>2195167.7599999998</v>
      </c>
      <c r="J29" s="415">
        <v>791213.62</v>
      </c>
      <c r="K29" s="415">
        <v>2256522.1800000002</v>
      </c>
      <c r="L29" s="415">
        <v>795201.51</v>
      </c>
      <c r="M29" s="415">
        <v>2259957.19</v>
      </c>
      <c r="N29" s="415">
        <v>797189.95000000007</v>
      </c>
      <c r="O29" s="415">
        <v>2264300.61</v>
      </c>
      <c r="P29" s="415">
        <v>799073.95000000007</v>
      </c>
      <c r="Q29" s="415">
        <v>2263852.5499999998</v>
      </c>
      <c r="R29" s="415">
        <v>803187.43</v>
      </c>
      <c r="S29" s="415">
        <v>2264017.5</v>
      </c>
      <c r="T29" s="415">
        <v>803566.4</v>
      </c>
      <c r="U29" s="415">
        <v>2277306.17</v>
      </c>
      <c r="V29" s="415">
        <v>810036.08000000007</v>
      </c>
      <c r="W29" s="415">
        <v>2388449.0699999998</v>
      </c>
      <c r="X29" s="415">
        <v>801396.1</v>
      </c>
      <c r="Y29" s="415">
        <v>2410067.63</v>
      </c>
      <c r="Z29" s="415">
        <v>802701.49</v>
      </c>
      <c r="AA29" s="415">
        <v>2409988.66</v>
      </c>
      <c r="AB29" s="415">
        <v>805474.12</v>
      </c>
      <c r="AC29" s="415">
        <v>2441943.67</v>
      </c>
      <c r="AD29" s="415">
        <v>808988.32000000007</v>
      </c>
      <c r="AE29" s="415">
        <f t="shared" si="1"/>
        <v>2291792.3616666663</v>
      </c>
      <c r="AF29" s="415">
        <f t="shared" si="0"/>
        <v>799878.47958333325</v>
      </c>
    </row>
    <row r="30" spans="1:32">
      <c r="A30" s="409">
        <v>22</v>
      </c>
      <c r="C30" s="413" t="s">
        <v>846</v>
      </c>
      <c r="D30" s="414" t="s">
        <v>829</v>
      </c>
      <c r="E30" s="415">
        <v>0</v>
      </c>
      <c r="F30" s="415">
        <v>-256.08</v>
      </c>
      <c r="G30" s="415">
        <v>0</v>
      </c>
      <c r="H30" s="415">
        <v>-256.08</v>
      </c>
      <c r="I30" s="415">
        <v>0</v>
      </c>
      <c r="J30" s="415">
        <v>-256.08</v>
      </c>
      <c r="K30" s="415">
        <v>0</v>
      </c>
      <c r="L30" s="415">
        <v>-256.08</v>
      </c>
      <c r="M30" s="415">
        <v>0</v>
      </c>
      <c r="N30" s="415">
        <v>-256.08</v>
      </c>
      <c r="O30" s="415">
        <v>0</v>
      </c>
      <c r="P30" s="415">
        <v>-256.08</v>
      </c>
      <c r="Q30" s="415">
        <v>0</v>
      </c>
      <c r="R30" s="415">
        <v>-256.08</v>
      </c>
      <c r="S30" s="415">
        <v>0</v>
      </c>
      <c r="T30" s="415">
        <v>-256.08</v>
      </c>
      <c r="U30" s="415">
        <v>0</v>
      </c>
      <c r="V30" s="415">
        <v>-256.08</v>
      </c>
      <c r="W30" s="415">
        <v>0</v>
      </c>
      <c r="X30" s="415">
        <v>-256.08</v>
      </c>
      <c r="Y30" s="415">
        <v>0</v>
      </c>
      <c r="Z30" s="415">
        <v>-256.08</v>
      </c>
      <c r="AA30" s="415">
        <v>0</v>
      </c>
      <c r="AB30" s="415">
        <v>-256.08</v>
      </c>
      <c r="AC30" s="415">
        <v>0</v>
      </c>
      <c r="AD30" s="415">
        <v>0</v>
      </c>
      <c r="AE30" s="415">
        <f t="shared" si="1"/>
        <v>0</v>
      </c>
      <c r="AF30" s="415">
        <f t="shared" si="0"/>
        <v>-245.40999999999997</v>
      </c>
    </row>
    <row r="31" spans="1:32">
      <c r="A31" s="409">
        <v>23</v>
      </c>
      <c r="C31" s="413" t="s">
        <v>847</v>
      </c>
      <c r="D31" s="414" t="s">
        <v>829</v>
      </c>
      <c r="E31" s="415">
        <v>493301.43</v>
      </c>
      <c r="F31" s="415">
        <v>309237.99</v>
      </c>
      <c r="G31" s="415">
        <v>493301.43</v>
      </c>
      <c r="H31" s="415">
        <v>309237.99</v>
      </c>
      <c r="I31" s="415">
        <v>493301.43</v>
      </c>
      <c r="J31" s="415">
        <v>309237.99</v>
      </c>
      <c r="K31" s="415">
        <v>493301.43</v>
      </c>
      <c r="L31" s="415">
        <v>309237.99</v>
      </c>
      <c r="M31" s="415">
        <v>493301.43</v>
      </c>
      <c r="N31" s="415">
        <v>309237.99</v>
      </c>
      <c r="O31" s="415">
        <v>493301.43</v>
      </c>
      <c r="P31" s="415">
        <v>309237.99</v>
      </c>
      <c r="Q31" s="415">
        <v>493301.43</v>
      </c>
      <c r="R31" s="415">
        <v>309237.99</v>
      </c>
      <c r="S31" s="415">
        <v>493301.43</v>
      </c>
      <c r="T31" s="415">
        <v>309237.99</v>
      </c>
      <c r="U31" s="415">
        <v>493301.43</v>
      </c>
      <c r="V31" s="415">
        <v>309237.99</v>
      </c>
      <c r="W31" s="415">
        <v>493301.43</v>
      </c>
      <c r="X31" s="415">
        <v>309237.99</v>
      </c>
      <c r="Y31" s="415">
        <v>493301.43</v>
      </c>
      <c r="Z31" s="415">
        <v>309237.99</v>
      </c>
      <c r="AA31" s="415">
        <v>493301.43</v>
      </c>
      <c r="AB31" s="415">
        <v>309237.99</v>
      </c>
      <c r="AC31" s="415">
        <v>493301.43</v>
      </c>
      <c r="AD31" s="415">
        <v>309237.99</v>
      </c>
      <c r="AE31" s="415">
        <f t="shared" si="1"/>
        <v>493301.42999999993</v>
      </c>
      <c r="AF31" s="415">
        <f t="shared" si="0"/>
        <v>309237.99000000005</v>
      </c>
    </row>
    <row r="32" spans="1:32">
      <c r="A32" s="409">
        <v>24</v>
      </c>
      <c r="C32" s="413" t="s">
        <v>848</v>
      </c>
      <c r="D32" s="414" t="s">
        <v>829</v>
      </c>
      <c r="E32" s="415">
        <v>0</v>
      </c>
      <c r="F32" s="415">
        <v>11145.130000000001</v>
      </c>
      <c r="G32" s="415">
        <v>0</v>
      </c>
      <c r="H32" s="415">
        <v>11145.130000000001</v>
      </c>
      <c r="I32" s="415">
        <v>0</v>
      </c>
      <c r="J32" s="415">
        <v>11145.130000000001</v>
      </c>
      <c r="K32" s="415">
        <v>0</v>
      </c>
      <c r="L32" s="415">
        <v>11145.130000000001</v>
      </c>
      <c r="M32" s="415">
        <v>0</v>
      </c>
      <c r="N32" s="415">
        <v>11145.130000000001</v>
      </c>
      <c r="O32" s="415">
        <v>0</v>
      </c>
      <c r="P32" s="415">
        <v>11145.130000000001</v>
      </c>
      <c r="Q32" s="415">
        <v>0</v>
      </c>
      <c r="R32" s="415">
        <v>11145.130000000001</v>
      </c>
      <c r="S32" s="415">
        <v>0</v>
      </c>
      <c r="T32" s="415">
        <v>11145.130000000001</v>
      </c>
      <c r="U32" s="415">
        <v>0</v>
      </c>
      <c r="V32" s="415">
        <v>11145.130000000001</v>
      </c>
      <c r="W32" s="415">
        <v>0</v>
      </c>
      <c r="X32" s="415">
        <v>11145.130000000001</v>
      </c>
      <c r="Y32" s="415">
        <v>0</v>
      </c>
      <c r="Z32" s="415">
        <v>11145.130000000001</v>
      </c>
      <c r="AA32" s="415">
        <v>0</v>
      </c>
      <c r="AB32" s="415">
        <v>11145.130000000001</v>
      </c>
      <c r="AC32" s="415">
        <v>0</v>
      </c>
      <c r="AD32" s="415">
        <v>0</v>
      </c>
      <c r="AE32" s="415">
        <f t="shared" si="1"/>
        <v>0</v>
      </c>
      <c r="AF32" s="415">
        <f t="shared" si="0"/>
        <v>10680.749583333336</v>
      </c>
    </row>
    <row r="33" spans="1:32">
      <c r="A33" s="409">
        <v>25</v>
      </c>
      <c r="C33" s="413" t="s">
        <v>849</v>
      </c>
      <c r="D33" s="414" t="s">
        <v>829</v>
      </c>
      <c r="E33" s="415">
        <v>4516175.41</v>
      </c>
      <c r="F33" s="415">
        <v>1172226.1400000001</v>
      </c>
      <c r="G33" s="415">
        <v>4516175.41</v>
      </c>
      <c r="H33" s="415">
        <v>1176892.8500000001</v>
      </c>
      <c r="I33" s="415">
        <v>4516175.41</v>
      </c>
      <c r="J33" s="415">
        <v>1181559.56</v>
      </c>
      <c r="K33" s="415">
        <v>4516175.41</v>
      </c>
      <c r="L33" s="415">
        <v>1186226.27</v>
      </c>
      <c r="M33" s="415">
        <v>4516175.41</v>
      </c>
      <c r="N33" s="415">
        <v>1190892.98</v>
      </c>
      <c r="O33" s="415">
        <v>4516175.41</v>
      </c>
      <c r="P33" s="415">
        <v>1195559.69</v>
      </c>
      <c r="Q33" s="415">
        <v>4516175.41</v>
      </c>
      <c r="R33" s="415">
        <v>1200226.3999999999</v>
      </c>
      <c r="S33" s="415">
        <v>4516789.8099999996</v>
      </c>
      <c r="T33" s="415">
        <v>1204893.1100000001</v>
      </c>
      <c r="U33" s="415">
        <v>4516789.8099999996</v>
      </c>
      <c r="V33" s="415">
        <v>1209560.46</v>
      </c>
      <c r="W33" s="415">
        <v>4516789.8099999996</v>
      </c>
      <c r="X33" s="415">
        <v>1214227.81</v>
      </c>
      <c r="Y33" s="415">
        <v>4516789.8099999996</v>
      </c>
      <c r="Z33" s="415">
        <v>1218895.1599999999</v>
      </c>
      <c r="AA33" s="415">
        <v>4516789.8099999996</v>
      </c>
      <c r="AB33" s="415">
        <v>1223562.51</v>
      </c>
      <c r="AC33" s="415">
        <v>4516779.63</v>
      </c>
      <c r="AD33" s="415">
        <v>1239374.99</v>
      </c>
      <c r="AE33" s="415">
        <f t="shared" si="1"/>
        <v>4516456.5858333334</v>
      </c>
      <c r="AF33" s="415">
        <f t="shared" si="0"/>
        <v>1200691.4470833333</v>
      </c>
    </row>
    <row r="34" spans="1:32">
      <c r="A34" s="409">
        <v>26</v>
      </c>
      <c r="C34" s="413" t="s">
        <v>850</v>
      </c>
      <c r="D34" s="414" t="s">
        <v>829</v>
      </c>
      <c r="E34" s="415">
        <v>72240.02</v>
      </c>
      <c r="F34" s="415">
        <v>35909.42</v>
      </c>
      <c r="G34" s="415">
        <v>72240.02</v>
      </c>
      <c r="H34" s="415">
        <v>36955.090000000004</v>
      </c>
      <c r="I34" s="415">
        <v>72240.02</v>
      </c>
      <c r="J34" s="415">
        <v>38000.76</v>
      </c>
      <c r="K34" s="415">
        <v>72240.02</v>
      </c>
      <c r="L34" s="415">
        <v>39046.43</v>
      </c>
      <c r="M34" s="415">
        <v>72240.02</v>
      </c>
      <c r="N34" s="415">
        <v>40092.1</v>
      </c>
      <c r="O34" s="415">
        <v>72240.02</v>
      </c>
      <c r="P34" s="415">
        <v>41137.770000000004</v>
      </c>
      <c r="Q34" s="415">
        <v>72240.02</v>
      </c>
      <c r="R34" s="415">
        <v>42183.44</v>
      </c>
      <c r="S34" s="415">
        <v>72240.02</v>
      </c>
      <c r="T34" s="415">
        <v>43229.11</v>
      </c>
      <c r="U34" s="415">
        <v>72240.02</v>
      </c>
      <c r="V34" s="415">
        <v>44274.78</v>
      </c>
      <c r="W34" s="415">
        <v>72240.02</v>
      </c>
      <c r="X34" s="415">
        <v>45320.450000000004</v>
      </c>
      <c r="Y34" s="415">
        <v>72240.02</v>
      </c>
      <c r="Z34" s="415">
        <v>46366.12</v>
      </c>
      <c r="AA34" s="415">
        <v>72240.02</v>
      </c>
      <c r="AB34" s="415">
        <v>47411.79</v>
      </c>
      <c r="AC34" s="415">
        <v>72240.02</v>
      </c>
      <c r="AD34" s="415">
        <v>48457.46</v>
      </c>
      <c r="AE34" s="415">
        <f t="shared" si="1"/>
        <v>72240.02</v>
      </c>
      <c r="AF34" s="415">
        <f t="shared" si="0"/>
        <v>42183.439999999995</v>
      </c>
    </row>
    <row r="35" spans="1:32">
      <c r="A35" s="409">
        <v>27</v>
      </c>
      <c r="C35" s="413" t="s">
        <v>851</v>
      </c>
      <c r="D35" s="414" t="s">
        <v>829</v>
      </c>
      <c r="E35" s="415">
        <v>106237.48</v>
      </c>
      <c r="F35" s="415">
        <v>30427.39</v>
      </c>
      <c r="G35" s="415">
        <v>106237.48</v>
      </c>
      <c r="H35" s="415">
        <v>30868.28</v>
      </c>
      <c r="I35" s="415">
        <v>106237.48</v>
      </c>
      <c r="J35" s="415">
        <v>31309.170000000002</v>
      </c>
      <c r="K35" s="415">
        <v>106237.48</v>
      </c>
      <c r="L35" s="415">
        <v>31750.06</v>
      </c>
      <c r="M35" s="415">
        <v>106237.48</v>
      </c>
      <c r="N35" s="415">
        <v>32190.95</v>
      </c>
      <c r="O35" s="415">
        <v>106237.48</v>
      </c>
      <c r="P35" s="415">
        <v>32631.84</v>
      </c>
      <c r="Q35" s="415">
        <v>106237.48</v>
      </c>
      <c r="R35" s="415">
        <v>33072.730000000003</v>
      </c>
      <c r="S35" s="415">
        <v>106237.48</v>
      </c>
      <c r="T35" s="415">
        <v>33513.620000000003</v>
      </c>
      <c r="U35" s="415">
        <v>106237.48</v>
      </c>
      <c r="V35" s="415">
        <v>33954.51</v>
      </c>
      <c r="W35" s="415">
        <v>106237.48</v>
      </c>
      <c r="X35" s="415">
        <v>34395.4</v>
      </c>
      <c r="Y35" s="415">
        <v>106237.48</v>
      </c>
      <c r="Z35" s="415">
        <v>34836.29</v>
      </c>
      <c r="AA35" s="415">
        <v>106237.48</v>
      </c>
      <c r="AB35" s="415">
        <v>35277.18</v>
      </c>
      <c r="AC35" s="415">
        <v>106237.48</v>
      </c>
      <c r="AD35" s="415">
        <v>35718.07</v>
      </c>
      <c r="AE35" s="415">
        <f t="shared" si="1"/>
        <v>106237.48</v>
      </c>
      <c r="AF35" s="415">
        <f t="shared" si="0"/>
        <v>33072.729999999996</v>
      </c>
    </row>
    <row r="36" spans="1:32">
      <c r="A36" s="409">
        <v>28</v>
      </c>
      <c r="C36" s="413" t="s">
        <v>852</v>
      </c>
      <c r="D36" s="414" t="s">
        <v>829</v>
      </c>
      <c r="E36" s="415">
        <v>105251.23</v>
      </c>
      <c r="F36" s="415">
        <v>77966.2</v>
      </c>
      <c r="G36" s="415">
        <v>105251.23</v>
      </c>
      <c r="H36" s="415">
        <v>78242.490000000005</v>
      </c>
      <c r="I36" s="415">
        <v>105251.23</v>
      </c>
      <c r="J36" s="415">
        <v>78518.78</v>
      </c>
      <c r="K36" s="415">
        <v>105251.23</v>
      </c>
      <c r="L36" s="415">
        <v>78795.070000000007</v>
      </c>
      <c r="M36" s="415">
        <v>84471.150000000009</v>
      </c>
      <c r="N36" s="415">
        <v>58941.279999999999</v>
      </c>
      <c r="O36" s="415">
        <v>84471.150000000009</v>
      </c>
      <c r="P36" s="415">
        <v>59163.020000000004</v>
      </c>
      <c r="Q36" s="415">
        <v>67111.78</v>
      </c>
      <c r="R36" s="415">
        <v>43825.39</v>
      </c>
      <c r="S36" s="415">
        <v>67111.78</v>
      </c>
      <c r="T36" s="415">
        <v>44001.56</v>
      </c>
      <c r="U36" s="415">
        <v>67111.78</v>
      </c>
      <c r="V36" s="415">
        <v>44177.73</v>
      </c>
      <c r="W36" s="415">
        <v>67111.78</v>
      </c>
      <c r="X36" s="415">
        <v>44353.9</v>
      </c>
      <c r="Y36" s="415">
        <v>67111.78</v>
      </c>
      <c r="Z36" s="415">
        <v>44530.07</v>
      </c>
      <c r="AA36" s="415">
        <v>67111.78</v>
      </c>
      <c r="AB36" s="415">
        <v>44706.239999999998</v>
      </c>
      <c r="AC36" s="415">
        <v>67111.78</v>
      </c>
      <c r="AD36" s="415">
        <v>44882.41</v>
      </c>
      <c r="AE36" s="415">
        <f t="shared" si="1"/>
        <v>81129.014583333352</v>
      </c>
      <c r="AF36" s="415">
        <f t="shared" si="0"/>
        <v>56723.31958333333</v>
      </c>
    </row>
    <row r="37" spans="1:32">
      <c r="A37" s="409">
        <v>29</v>
      </c>
      <c r="C37" s="413" t="s">
        <v>853</v>
      </c>
      <c r="D37" s="414" t="s">
        <v>829</v>
      </c>
      <c r="E37" s="415">
        <v>3646897.84</v>
      </c>
      <c r="F37" s="415">
        <v>1302246.3999999999</v>
      </c>
      <c r="G37" s="415">
        <v>3674015.62</v>
      </c>
      <c r="H37" s="415">
        <v>1320936.75</v>
      </c>
      <c r="I37" s="415">
        <v>3768803.6</v>
      </c>
      <c r="J37" s="415">
        <v>1339766.08</v>
      </c>
      <c r="K37" s="415">
        <v>3768979.7</v>
      </c>
      <c r="L37" s="415">
        <v>1359081.2</v>
      </c>
      <c r="M37" s="415">
        <v>3741418.04</v>
      </c>
      <c r="N37" s="415">
        <v>1359820.8900000001</v>
      </c>
      <c r="O37" s="415">
        <v>3743703.71</v>
      </c>
      <c r="P37" s="415">
        <v>1378995.65</v>
      </c>
      <c r="Q37" s="415">
        <v>3743703.71</v>
      </c>
      <c r="R37" s="415">
        <v>1398182.13</v>
      </c>
      <c r="S37" s="415">
        <v>3743437.4699999997</v>
      </c>
      <c r="T37" s="415">
        <v>1417368.6099999999</v>
      </c>
      <c r="U37" s="415">
        <v>3745026.33</v>
      </c>
      <c r="V37" s="415">
        <v>1436553.72</v>
      </c>
      <c r="W37" s="415">
        <v>3745026.33</v>
      </c>
      <c r="X37" s="415">
        <v>1455746.98</v>
      </c>
      <c r="Y37" s="415">
        <v>3745026.33</v>
      </c>
      <c r="Z37" s="415">
        <v>1474940.24</v>
      </c>
      <c r="AA37" s="415">
        <v>3946238.67</v>
      </c>
      <c r="AB37" s="415">
        <v>1494133.5</v>
      </c>
      <c r="AC37" s="415">
        <v>4251446.0999999996</v>
      </c>
      <c r="AD37" s="415">
        <v>1514357.97</v>
      </c>
      <c r="AE37" s="415">
        <f t="shared" si="1"/>
        <v>3776212.6233333331</v>
      </c>
      <c r="AF37" s="415">
        <f t="shared" si="0"/>
        <v>1403652.3279166669</v>
      </c>
    </row>
    <row r="38" spans="1:32">
      <c r="A38" s="409">
        <v>30</v>
      </c>
      <c r="C38" s="413" t="s">
        <v>854</v>
      </c>
      <c r="D38" s="414" t="s">
        <v>829</v>
      </c>
      <c r="E38" s="415">
        <v>0</v>
      </c>
      <c r="F38" s="415">
        <v>0</v>
      </c>
      <c r="G38" s="415">
        <v>0</v>
      </c>
      <c r="H38" s="415">
        <v>0</v>
      </c>
      <c r="I38" s="415">
        <v>0</v>
      </c>
      <c r="J38" s="415">
        <v>0</v>
      </c>
      <c r="K38" s="415">
        <v>0</v>
      </c>
      <c r="L38" s="415">
        <v>0</v>
      </c>
      <c r="M38" s="415">
        <v>0</v>
      </c>
      <c r="N38" s="415">
        <v>0</v>
      </c>
      <c r="O38" s="415">
        <v>0</v>
      </c>
      <c r="P38" s="415">
        <v>0</v>
      </c>
      <c r="Q38" s="415">
        <v>0</v>
      </c>
      <c r="R38" s="415">
        <v>0</v>
      </c>
      <c r="S38" s="415">
        <v>0</v>
      </c>
      <c r="T38" s="415">
        <v>0</v>
      </c>
      <c r="U38" s="415">
        <v>0</v>
      </c>
      <c r="V38" s="415">
        <v>0</v>
      </c>
      <c r="W38" s="415">
        <v>0</v>
      </c>
      <c r="X38" s="415">
        <v>0</v>
      </c>
      <c r="Y38" s="415">
        <v>0</v>
      </c>
      <c r="Z38" s="415">
        <v>0</v>
      </c>
      <c r="AA38" s="415">
        <v>0</v>
      </c>
      <c r="AB38" s="415">
        <v>0</v>
      </c>
      <c r="AC38" s="415">
        <v>0</v>
      </c>
      <c r="AD38" s="415">
        <v>0</v>
      </c>
      <c r="AE38" s="415">
        <f t="shared" si="1"/>
        <v>0</v>
      </c>
      <c r="AF38" s="415">
        <f t="shared" si="0"/>
        <v>0</v>
      </c>
    </row>
    <row r="39" spans="1:32">
      <c r="A39" s="409">
        <v>31</v>
      </c>
      <c r="C39" s="413" t="s">
        <v>855</v>
      </c>
      <c r="D39" s="414" t="s">
        <v>829</v>
      </c>
      <c r="E39" s="415">
        <v>1518441.77</v>
      </c>
      <c r="F39" s="415">
        <v>393444.7</v>
      </c>
      <c r="G39" s="415">
        <v>1537082.6099999999</v>
      </c>
      <c r="H39" s="415">
        <v>397949.41000000003</v>
      </c>
      <c r="I39" s="415">
        <v>1537082.6099999999</v>
      </c>
      <c r="J39" s="415">
        <v>402509.42</v>
      </c>
      <c r="K39" s="415">
        <v>1527620</v>
      </c>
      <c r="L39" s="415">
        <v>385982.58</v>
      </c>
      <c r="M39" s="415">
        <v>1525092.3399999999</v>
      </c>
      <c r="N39" s="415">
        <v>390514.52</v>
      </c>
      <c r="O39" s="415">
        <v>1525092.3399999999</v>
      </c>
      <c r="P39" s="415">
        <v>395038.96</v>
      </c>
      <c r="Q39" s="415">
        <v>1527145.46</v>
      </c>
      <c r="R39" s="415">
        <v>399563.4</v>
      </c>
      <c r="S39" s="415">
        <v>1527145.46</v>
      </c>
      <c r="T39" s="415">
        <v>404093.93</v>
      </c>
      <c r="U39" s="415">
        <v>1527145.46</v>
      </c>
      <c r="V39" s="415">
        <v>408624.46</v>
      </c>
      <c r="W39" s="415">
        <v>1531614.44</v>
      </c>
      <c r="X39" s="415">
        <v>413154.99</v>
      </c>
      <c r="Y39" s="415">
        <v>1543685.6400000001</v>
      </c>
      <c r="Z39" s="415">
        <v>417698.78</v>
      </c>
      <c r="AA39" s="415">
        <v>1543685.6400000001</v>
      </c>
      <c r="AB39" s="415">
        <v>422278.38</v>
      </c>
      <c r="AC39" s="415">
        <v>1555929.2</v>
      </c>
      <c r="AD39" s="415">
        <v>426857.98</v>
      </c>
      <c r="AE39" s="415">
        <f t="shared" si="1"/>
        <v>1532464.7904166665</v>
      </c>
      <c r="AF39" s="415">
        <f t="shared" si="0"/>
        <v>403963.34749999997</v>
      </c>
    </row>
    <row r="40" spans="1:32">
      <c r="A40" s="409">
        <v>32</v>
      </c>
      <c r="C40" s="413" t="s">
        <v>856</v>
      </c>
      <c r="D40" s="414" t="s">
        <v>829</v>
      </c>
      <c r="E40" s="415">
        <v>886803.63</v>
      </c>
      <c r="F40" s="415">
        <v>-435127.25</v>
      </c>
      <c r="G40" s="415">
        <v>955255.33000000007</v>
      </c>
      <c r="H40" s="415">
        <v>-431299.22000000003</v>
      </c>
      <c r="I40" s="415">
        <v>799438.14</v>
      </c>
      <c r="J40" s="415">
        <v>-372616.89</v>
      </c>
      <c r="K40" s="415">
        <v>808258.24</v>
      </c>
      <c r="L40" s="415">
        <v>-369165.98</v>
      </c>
      <c r="M40" s="415">
        <v>808258.24</v>
      </c>
      <c r="N40" s="415">
        <v>-365677</v>
      </c>
      <c r="O40" s="415">
        <v>808258.24</v>
      </c>
      <c r="P40" s="415">
        <v>-362188.02</v>
      </c>
      <c r="Q40" s="415">
        <v>808258.24</v>
      </c>
      <c r="R40" s="415">
        <v>-358699.04</v>
      </c>
      <c r="S40" s="415">
        <v>808258.24</v>
      </c>
      <c r="T40" s="415">
        <v>-355210.06</v>
      </c>
      <c r="U40" s="415">
        <v>794128.08000000007</v>
      </c>
      <c r="V40" s="415">
        <v>-365851.24</v>
      </c>
      <c r="W40" s="415">
        <v>868888.67</v>
      </c>
      <c r="X40" s="415">
        <v>-449000.57</v>
      </c>
      <c r="Y40" s="415">
        <v>868888.67</v>
      </c>
      <c r="Z40" s="415">
        <v>-445249.86</v>
      </c>
      <c r="AA40" s="415">
        <v>868888.67</v>
      </c>
      <c r="AB40" s="415">
        <v>-441499.15</v>
      </c>
      <c r="AC40" s="415">
        <v>966321.15</v>
      </c>
      <c r="AD40" s="415">
        <v>-445256.66000000003</v>
      </c>
      <c r="AE40" s="415">
        <f t="shared" si="1"/>
        <v>843611.76250000019</v>
      </c>
      <c r="AF40" s="415">
        <f t="shared" si="0"/>
        <v>-396387.41541666671</v>
      </c>
    </row>
    <row r="41" spans="1:32">
      <c r="A41" s="409">
        <v>33</v>
      </c>
      <c r="C41" s="413" t="s">
        <v>857</v>
      </c>
      <c r="D41" s="414" t="s">
        <v>829</v>
      </c>
      <c r="E41" s="415">
        <v>337722.04</v>
      </c>
      <c r="F41" s="415">
        <v>60143.21</v>
      </c>
      <c r="G41" s="415">
        <v>338168.17</v>
      </c>
      <c r="H41" s="415">
        <v>61021.29</v>
      </c>
      <c r="I41" s="415">
        <v>338168.17</v>
      </c>
      <c r="J41" s="415">
        <v>61900.53</v>
      </c>
      <c r="K41" s="415">
        <v>338168.17</v>
      </c>
      <c r="L41" s="415">
        <v>62779.770000000004</v>
      </c>
      <c r="M41" s="415">
        <v>338168.17</v>
      </c>
      <c r="N41" s="415">
        <v>63659.01</v>
      </c>
      <c r="O41" s="415">
        <v>338168.17</v>
      </c>
      <c r="P41" s="415">
        <v>64538.25</v>
      </c>
      <c r="Q41" s="415">
        <v>338168.17</v>
      </c>
      <c r="R41" s="415">
        <v>65417.49</v>
      </c>
      <c r="S41" s="415">
        <v>341752.17</v>
      </c>
      <c r="T41" s="415">
        <v>66296.73</v>
      </c>
      <c r="U41" s="415">
        <v>341752.17</v>
      </c>
      <c r="V41" s="415">
        <v>67185.279999999999</v>
      </c>
      <c r="W41" s="415">
        <v>341752.17</v>
      </c>
      <c r="X41" s="415">
        <v>68073.83</v>
      </c>
      <c r="Y41" s="415">
        <v>341752.17</v>
      </c>
      <c r="Z41" s="415">
        <v>68962.38</v>
      </c>
      <c r="AA41" s="415">
        <v>341752.17</v>
      </c>
      <c r="AB41" s="415">
        <v>69850.930000000008</v>
      </c>
      <c r="AC41" s="415">
        <v>341685.37</v>
      </c>
      <c r="AD41" s="415">
        <v>70739.48</v>
      </c>
      <c r="AE41" s="415">
        <f t="shared" si="1"/>
        <v>339789.46458333329</v>
      </c>
      <c r="AF41" s="415">
        <f t="shared" si="0"/>
        <v>65427.236249999994</v>
      </c>
    </row>
    <row r="42" spans="1:32">
      <c r="A42" s="409">
        <v>34</v>
      </c>
      <c r="C42" s="413" t="s">
        <v>858</v>
      </c>
      <c r="D42" s="414" t="s">
        <v>829</v>
      </c>
      <c r="E42" s="415">
        <v>190417.76</v>
      </c>
      <c r="F42" s="415">
        <v>114167.62</v>
      </c>
      <c r="G42" s="415">
        <v>190417.76</v>
      </c>
      <c r="H42" s="415">
        <v>114891.21</v>
      </c>
      <c r="I42" s="415">
        <v>190417.76</v>
      </c>
      <c r="J42" s="415">
        <v>115614.8</v>
      </c>
      <c r="K42" s="415">
        <v>190417.76</v>
      </c>
      <c r="L42" s="415">
        <v>116338.39</v>
      </c>
      <c r="M42" s="415">
        <v>190417.76</v>
      </c>
      <c r="N42" s="415">
        <v>117061.98</v>
      </c>
      <c r="O42" s="415">
        <v>190417.76</v>
      </c>
      <c r="P42" s="415">
        <v>117785.57</v>
      </c>
      <c r="Q42" s="415">
        <v>190417.76</v>
      </c>
      <c r="R42" s="415">
        <v>118509.16</v>
      </c>
      <c r="S42" s="415">
        <v>190417.76</v>
      </c>
      <c r="T42" s="415">
        <v>119232.75</v>
      </c>
      <c r="U42" s="415">
        <v>190417.76</v>
      </c>
      <c r="V42" s="415">
        <v>119956.34</v>
      </c>
      <c r="W42" s="415">
        <v>190417.76</v>
      </c>
      <c r="X42" s="415">
        <v>120679.93000000001</v>
      </c>
      <c r="Y42" s="415">
        <v>190417.76</v>
      </c>
      <c r="Z42" s="415">
        <v>121403.52</v>
      </c>
      <c r="AA42" s="415">
        <v>190417.76</v>
      </c>
      <c r="AB42" s="415">
        <v>122127.11</v>
      </c>
      <c r="AC42" s="415">
        <v>190417.76</v>
      </c>
      <c r="AD42" s="415">
        <v>122850.7</v>
      </c>
      <c r="AE42" s="415">
        <f t="shared" si="1"/>
        <v>190417.76</v>
      </c>
      <c r="AF42" s="415">
        <f t="shared" si="0"/>
        <v>118509.15999999999</v>
      </c>
    </row>
    <row r="43" spans="1:32">
      <c r="A43" s="409">
        <v>35</v>
      </c>
      <c r="C43" s="413" t="s">
        <v>859</v>
      </c>
      <c r="D43" s="414" t="s">
        <v>829</v>
      </c>
      <c r="E43" s="415">
        <v>295285.8</v>
      </c>
      <c r="F43" s="415">
        <v>96472.7</v>
      </c>
      <c r="G43" s="415">
        <v>295285.8</v>
      </c>
      <c r="H43" s="415">
        <v>98778.39</v>
      </c>
      <c r="I43" s="415">
        <v>295285.8</v>
      </c>
      <c r="J43" s="415">
        <v>101084.08</v>
      </c>
      <c r="K43" s="415">
        <v>295285.8</v>
      </c>
      <c r="L43" s="415">
        <v>103389.77</v>
      </c>
      <c r="M43" s="415">
        <v>295285.8</v>
      </c>
      <c r="N43" s="415">
        <v>105695.46</v>
      </c>
      <c r="O43" s="415">
        <v>295285.8</v>
      </c>
      <c r="P43" s="415">
        <v>108001.15000000001</v>
      </c>
      <c r="Q43" s="415">
        <v>295285.8</v>
      </c>
      <c r="R43" s="415">
        <v>110306.84</v>
      </c>
      <c r="S43" s="415">
        <v>295285.8</v>
      </c>
      <c r="T43" s="415">
        <v>112612.53</v>
      </c>
      <c r="U43" s="415">
        <v>295285.8</v>
      </c>
      <c r="V43" s="415">
        <v>114918.22</v>
      </c>
      <c r="W43" s="415">
        <v>295285.8</v>
      </c>
      <c r="X43" s="415">
        <v>117223.91</v>
      </c>
      <c r="Y43" s="415">
        <v>295285.8</v>
      </c>
      <c r="Z43" s="415">
        <v>119529.60000000001</v>
      </c>
      <c r="AA43" s="415">
        <v>295285.8</v>
      </c>
      <c r="AB43" s="415">
        <v>121835.29000000001</v>
      </c>
      <c r="AC43" s="415">
        <v>295285.8</v>
      </c>
      <c r="AD43" s="415">
        <v>124140.98</v>
      </c>
      <c r="AE43" s="415">
        <f t="shared" si="1"/>
        <v>295285.79999999993</v>
      </c>
      <c r="AF43" s="415">
        <f t="shared" si="0"/>
        <v>110306.84000000003</v>
      </c>
    </row>
    <row r="44" spans="1:32">
      <c r="A44" s="409">
        <v>36</v>
      </c>
      <c r="C44" s="413" t="s">
        <v>860</v>
      </c>
      <c r="D44" s="414" t="s">
        <v>829</v>
      </c>
      <c r="E44" s="415">
        <v>1040813.32</v>
      </c>
      <c r="F44" s="415">
        <v>610785.39</v>
      </c>
      <c r="G44" s="415">
        <v>1040813.32</v>
      </c>
      <c r="H44" s="415">
        <v>610898.14</v>
      </c>
      <c r="I44" s="415">
        <v>1040813.32</v>
      </c>
      <c r="J44" s="415">
        <v>611010.89</v>
      </c>
      <c r="K44" s="415">
        <v>1040813.32</v>
      </c>
      <c r="L44" s="415">
        <v>611123.64</v>
      </c>
      <c r="M44" s="415">
        <v>1040813.32</v>
      </c>
      <c r="N44" s="415">
        <v>611236.39</v>
      </c>
      <c r="O44" s="415">
        <v>1040813.32</v>
      </c>
      <c r="P44" s="415">
        <v>611349.14</v>
      </c>
      <c r="Q44" s="415">
        <v>1040813.32</v>
      </c>
      <c r="R44" s="415">
        <v>611461.89</v>
      </c>
      <c r="S44" s="415">
        <v>1040813.32</v>
      </c>
      <c r="T44" s="415">
        <v>611574.64</v>
      </c>
      <c r="U44" s="415">
        <v>1040813.32</v>
      </c>
      <c r="V44" s="415">
        <v>611687.39</v>
      </c>
      <c r="W44" s="415">
        <v>1040813.32</v>
      </c>
      <c r="X44" s="415">
        <v>611800.14</v>
      </c>
      <c r="Y44" s="415">
        <v>1040813.32</v>
      </c>
      <c r="Z44" s="415">
        <v>611912.89</v>
      </c>
      <c r="AA44" s="415">
        <v>1040813.32</v>
      </c>
      <c r="AB44" s="415">
        <v>612025.64</v>
      </c>
      <c r="AC44" s="415">
        <v>1040813.32</v>
      </c>
      <c r="AD44" s="415">
        <v>612138.39</v>
      </c>
      <c r="AE44" s="415">
        <f t="shared" si="1"/>
        <v>1040813.3200000002</v>
      </c>
      <c r="AF44" s="415">
        <f t="shared" si="0"/>
        <v>611461.8899999999</v>
      </c>
    </row>
    <row r="45" spans="1:32">
      <c r="A45" s="409">
        <v>37</v>
      </c>
      <c r="C45" s="413" t="s">
        <v>861</v>
      </c>
      <c r="D45" s="414" t="s">
        <v>829</v>
      </c>
      <c r="E45" s="415">
        <v>79223.14</v>
      </c>
      <c r="F45" s="415">
        <v>58716.07</v>
      </c>
      <c r="G45" s="415">
        <v>79223.14</v>
      </c>
      <c r="H45" s="415">
        <v>59322.130000000005</v>
      </c>
      <c r="I45" s="415">
        <v>79223.14</v>
      </c>
      <c r="J45" s="415">
        <v>59928.19</v>
      </c>
      <c r="K45" s="415">
        <v>79223.14</v>
      </c>
      <c r="L45" s="415">
        <v>60534.25</v>
      </c>
      <c r="M45" s="415">
        <v>79223.14</v>
      </c>
      <c r="N45" s="415">
        <v>61140.31</v>
      </c>
      <c r="O45" s="415">
        <v>79223.14</v>
      </c>
      <c r="P45" s="415">
        <v>61746.37</v>
      </c>
      <c r="Q45" s="415">
        <v>79223.14</v>
      </c>
      <c r="R45" s="415">
        <v>62352.43</v>
      </c>
      <c r="S45" s="415">
        <v>79223.14</v>
      </c>
      <c r="T45" s="415">
        <v>62958.49</v>
      </c>
      <c r="U45" s="415">
        <v>79223.14</v>
      </c>
      <c r="V45" s="415">
        <v>63564.55</v>
      </c>
      <c r="W45" s="415">
        <v>79223.14</v>
      </c>
      <c r="X45" s="415">
        <v>64170.61</v>
      </c>
      <c r="Y45" s="415">
        <v>79223.14</v>
      </c>
      <c r="Z45" s="415">
        <v>64776.67</v>
      </c>
      <c r="AA45" s="415">
        <v>79223.14</v>
      </c>
      <c r="AB45" s="415">
        <v>65382.73</v>
      </c>
      <c r="AC45" s="415">
        <v>79223.14</v>
      </c>
      <c r="AD45" s="415">
        <v>65988.790000000008</v>
      </c>
      <c r="AE45" s="415">
        <f t="shared" si="1"/>
        <v>79223.14</v>
      </c>
      <c r="AF45" s="415">
        <f t="shared" si="0"/>
        <v>62352.43</v>
      </c>
    </row>
    <row r="46" spans="1:32">
      <c r="C46" s="413" t="s">
        <v>862</v>
      </c>
      <c r="D46" s="414" t="s">
        <v>829</v>
      </c>
      <c r="E46" s="415">
        <v>7208.81</v>
      </c>
      <c r="F46" s="415">
        <v>-644.32000000000005</v>
      </c>
      <c r="G46" s="415">
        <v>7208.81</v>
      </c>
      <c r="H46" s="415">
        <v>-581.18000000000006</v>
      </c>
      <c r="I46" s="415">
        <v>7208.81</v>
      </c>
      <c r="J46" s="415">
        <v>-518.04</v>
      </c>
      <c r="K46" s="415">
        <v>7208.81</v>
      </c>
      <c r="L46" s="415">
        <v>-454.90000000000003</v>
      </c>
      <c r="M46" s="415">
        <v>7208.81</v>
      </c>
      <c r="N46" s="415">
        <v>-391.76</v>
      </c>
      <c r="O46" s="415">
        <v>7208.81</v>
      </c>
      <c r="P46" s="415">
        <v>-328.62</v>
      </c>
      <c r="Q46" s="415">
        <v>7208.81</v>
      </c>
      <c r="R46" s="415">
        <v>-265.48</v>
      </c>
      <c r="S46" s="415">
        <v>7208.81</v>
      </c>
      <c r="T46" s="415">
        <v>-202.34</v>
      </c>
      <c r="U46" s="415">
        <v>7208.81</v>
      </c>
      <c r="V46" s="415">
        <v>-139.20000000000002</v>
      </c>
      <c r="W46" s="415">
        <v>7208.81</v>
      </c>
      <c r="X46" s="415">
        <v>-76.06</v>
      </c>
      <c r="Y46" s="415">
        <v>7208.81</v>
      </c>
      <c r="Z46" s="415">
        <v>-12.92</v>
      </c>
      <c r="AA46" s="415">
        <v>7208.81</v>
      </c>
      <c r="AB46" s="415">
        <v>50.22</v>
      </c>
      <c r="AC46" s="415">
        <v>7208.81</v>
      </c>
      <c r="AD46" s="415">
        <v>113.36</v>
      </c>
      <c r="AE46" s="415">
        <f t="shared" si="1"/>
        <v>7208.8099999999986</v>
      </c>
      <c r="AF46" s="415">
        <f t="shared" si="0"/>
        <v>-265.48</v>
      </c>
    </row>
    <row r="47" spans="1:32" ht="16.2">
      <c r="A47" s="409">
        <v>38</v>
      </c>
      <c r="B47" s="416" t="s">
        <v>83</v>
      </c>
      <c r="C47" s="417"/>
      <c r="D47" s="416" t="s">
        <v>863</v>
      </c>
      <c r="E47" s="418">
        <f>SUBTOTAL(9,E10:E46)</f>
        <v>203750183.19999996</v>
      </c>
      <c r="F47" s="418">
        <f t="shared" ref="F47:AC47" si="2">SUBTOTAL(9,F10:F46)</f>
        <v>94673967.230000004</v>
      </c>
      <c r="G47" s="418">
        <f t="shared" si="2"/>
        <v>204841059.48999998</v>
      </c>
      <c r="H47" s="418">
        <f t="shared" si="2"/>
        <v>95116381.049999967</v>
      </c>
      <c r="I47" s="418">
        <f t="shared" si="2"/>
        <v>206516996.5699999</v>
      </c>
      <c r="J47" s="418">
        <f t="shared" si="2"/>
        <v>95643981.260000005</v>
      </c>
      <c r="K47" s="418">
        <f t="shared" si="2"/>
        <v>207680503.04999992</v>
      </c>
      <c r="L47" s="418">
        <f t="shared" si="2"/>
        <v>96111922.719999969</v>
      </c>
      <c r="M47" s="418">
        <f t="shared" si="2"/>
        <v>208543615.13</v>
      </c>
      <c r="N47" s="418">
        <f t="shared" si="2"/>
        <v>96588070.11999999</v>
      </c>
      <c r="O47" s="418">
        <f t="shared" si="2"/>
        <v>209729440.22</v>
      </c>
      <c r="P47" s="418">
        <f t="shared" si="2"/>
        <v>97004251.859999985</v>
      </c>
      <c r="Q47" s="418">
        <f t="shared" si="2"/>
        <v>212396044.76999998</v>
      </c>
      <c r="R47" s="418">
        <f t="shared" si="2"/>
        <v>97489903.980000004</v>
      </c>
      <c r="S47" s="418">
        <f t="shared" si="2"/>
        <v>213097205.22999999</v>
      </c>
      <c r="T47" s="418">
        <f t="shared" si="2"/>
        <v>98001548.730000004</v>
      </c>
      <c r="U47" s="418">
        <f t="shared" si="2"/>
        <v>213720847.61000001</v>
      </c>
      <c r="V47" s="418">
        <f t="shared" si="2"/>
        <v>98462271.069999978</v>
      </c>
      <c r="W47" s="418">
        <f t="shared" si="2"/>
        <v>214415007.66</v>
      </c>
      <c r="X47" s="418">
        <f t="shared" si="2"/>
        <v>98813118.210000008</v>
      </c>
      <c r="Y47" s="418">
        <f t="shared" si="2"/>
        <v>217429026.73999995</v>
      </c>
      <c r="Z47" s="418">
        <f t="shared" si="2"/>
        <v>99339491.37999998</v>
      </c>
      <c r="AA47" s="418">
        <f t="shared" si="2"/>
        <v>218322784.76999995</v>
      </c>
      <c r="AB47" s="418">
        <f t="shared" si="2"/>
        <v>99792156.330000013</v>
      </c>
      <c r="AC47" s="418">
        <f t="shared" si="2"/>
        <v>220069994.46999994</v>
      </c>
      <c r="AD47" s="418">
        <f>SUBTOTAL(9,AD10:AD46)</f>
        <v>100233725.66999999</v>
      </c>
      <c r="AE47" s="418">
        <f>SUBTOTAL(9,AE10:AE46)</f>
        <v>211550218.33958331</v>
      </c>
      <c r="AF47" s="418">
        <f>SUBTOTAL(9,AF10:AF46)</f>
        <v>97484745.263333306</v>
      </c>
    </row>
    <row r="48" spans="1:32" ht="16.2">
      <c r="A48" s="409">
        <v>39</v>
      </c>
      <c r="B48" s="411" t="s">
        <v>106</v>
      </c>
      <c r="C48" s="411" t="s">
        <v>372</v>
      </c>
      <c r="D48" s="419"/>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row>
    <row r="49" spans="1:32">
      <c r="A49" s="409">
        <v>40</v>
      </c>
      <c r="C49" s="24" t="s">
        <v>864</v>
      </c>
      <c r="D49" s="24" t="s">
        <v>866</v>
      </c>
      <c r="E49" s="415">
        <v>138157.95000000001</v>
      </c>
      <c r="F49" s="415">
        <v>138157.97</v>
      </c>
      <c r="G49" s="415">
        <v>138157.95000000001</v>
      </c>
      <c r="H49" s="415">
        <v>138157.97</v>
      </c>
      <c r="I49" s="415">
        <v>138157.95000000001</v>
      </c>
      <c r="J49" s="415">
        <v>138157.97</v>
      </c>
      <c r="K49" s="415">
        <v>138157.95000000001</v>
      </c>
      <c r="L49" s="415">
        <v>138157.97</v>
      </c>
      <c r="M49" s="415">
        <v>138157.95000000001</v>
      </c>
      <c r="N49" s="415">
        <v>138157.97</v>
      </c>
      <c r="O49" s="415">
        <v>138157.95000000001</v>
      </c>
      <c r="P49" s="415">
        <v>138157.97</v>
      </c>
      <c r="Q49" s="415">
        <v>138157.95000000001</v>
      </c>
      <c r="R49" s="415">
        <v>138157.97</v>
      </c>
      <c r="S49" s="415">
        <v>138157.95000000001</v>
      </c>
      <c r="T49" s="415">
        <v>138157.97</v>
      </c>
      <c r="U49" s="415">
        <v>138157.95000000001</v>
      </c>
      <c r="V49" s="415">
        <v>138157.97</v>
      </c>
      <c r="W49" s="415">
        <v>138157.95000000001</v>
      </c>
      <c r="X49" s="415">
        <v>138157.97</v>
      </c>
      <c r="Y49" s="415">
        <v>138157.95000000001</v>
      </c>
      <c r="Z49" s="415">
        <v>138157.97</v>
      </c>
      <c r="AA49" s="415">
        <v>138157.95000000001</v>
      </c>
      <c r="AB49" s="415">
        <v>138157.97</v>
      </c>
      <c r="AC49" s="415">
        <v>138157.95000000001</v>
      </c>
      <c r="AD49" s="415">
        <v>138157.95000000001</v>
      </c>
      <c r="AE49" s="415">
        <f t="shared" ref="AE49:AF91" si="3">+(E49+AC49+(+G49+I49+K49+M49+O49+Q49+S49+U49+W49+Y49+AA49)*2)/24</f>
        <v>138157.94999999998</v>
      </c>
      <c r="AF49" s="415">
        <f t="shared" si="3"/>
        <v>138157.96916666665</v>
      </c>
    </row>
    <row r="50" spans="1:32">
      <c r="A50" s="409">
        <v>41</v>
      </c>
      <c r="C50" s="24" t="s">
        <v>865</v>
      </c>
      <c r="D50" s="414" t="s">
        <v>866</v>
      </c>
      <c r="E50" s="415">
        <v>0</v>
      </c>
      <c r="F50" s="415">
        <v>0</v>
      </c>
      <c r="G50" s="415">
        <v>0</v>
      </c>
      <c r="H50" s="415">
        <v>0</v>
      </c>
      <c r="I50" s="415">
        <v>0</v>
      </c>
      <c r="J50" s="415">
        <v>0</v>
      </c>
      <c r="K50" s="415">
        <v>0</v>
      </c>
      <c r="L50" s="415">
        <v>0</v>
      </c>
      <c r="M50" s="415">
        <v>0</v>
      </c>
      <c r="N50" s="415">
        <v>0</v>
      </c>
      <c r="O50" s="415">
        <v>0</v>
      </c>
      <c r="P50" s="415">
        <v>0</v>
      </c>
      <c r="Q50" s="415">
        <v>0</v>
      </c>
      <c r="R50" s="415">
        <v>0</v>
      </c>
      <c r="S50" s="415">
        <v>0</v>
      </c>
      <c r="T50" s="415">
        <v>0</v>
      </c>
      <c r="U50" s="415">
        <v>0</v>
      </c>
      <c r="V50" s="415">
        <v>0</v>
      </c>
      <c r="W50" s="415">
        <v>0</v>
      </c>
      <c r="X50" s="415">
        <v>0</v>
      </c>
      <c r="Y50" s="415">
        <v>0</v>
      </c>
      <c r="Z50" s="415">
        <v>0</v>
      </c>
      <c r="AA50" s="415">
        <v>0</v>
      </c>
      <c r="AB50" s="415">
        <v>0</v>
      </c>
      <c r="AC50" s="415">
        <v>0</v>
      </c>
      <c r="AD50" s="415">
        <v>0</v>
      </c>
      <c r="AE50" s="415">
        <f t="shared" si="3"/>
        <v>0</v>
      </c>
      <c r="AF50" s="415">
        <f t="shared" si="3"/>
        <v>0</v>
      </c>
    </row>
    <row r="51" spans="1:32">
      <c r="A51" s="409">
        <v>42</v>
      </c>
      <c r="C51" s="24" t="s">
        <v>1350</v>
      </c>
      <c r="D51" s="414" t="s">
        <v>866</v>
      </c>
      <c r="E51" s="415">
        <v>12647.45</v>
      </c>
      <c r="F51" s="415">
        <v>997.31000000000006</v>
      </c>
      <c r="G51" s="415">
        <v>12647.45</v>
      </c>
      <c r="H51" s="415">
        <v>1050.01</v>
      </c>
      <c r="I51" s="415">
        <v>12647.45</v>
      </c>
      <c r="J51" s="415">
        <v>1102.71</v>
      </c>
      <c r="K51" s="415">
        <v>12647.45</v>
      </c>
      <c r="L51" s="415">
        <v>1155.4100000000001</v>
      </c>
      <c r="M51" s="415">
        <v>12647.45</v>
      </c>
      <c r="N51" s="415">
        <v>1208.1100000000001</v>
      </c>
      <c r="O51" s="415">
        <v>12647.45</v>
      </c>
      <c r="P51" s="415">
        <v>1260.81</v>
      </c>
      <c r="Q51" s="415">
        <v>12647.45</v>
      </c>
      <c r="R51" s="415">
        <v>1313.51</v>
      </c>
      <c r="S51" s="415">
        <v>12647.45</v>
      </c>
      <c r="T51" s="415">
        <v>1366.21</v>
      </c>
      <c r="U51" s="415">
        <v>12647.45</v>
      </c>
      <c r="V51" s="415">
        <v>1418.91</v>
      </c>
      <c r="W51" s="415">
        <v>12647.45</v>
      </c>
      <c r="X51" s="415">
        <v>1471.6100000000001</v>
      </c>
      <c r="Y51" s="415">
        <v>12647.45</v>
      </c>
      <c r="Z51" s="415">
        <v>1524.31</v>
      </c>
      <c r="AA51" s="415">
        <v>12647.45</v>
      </c>
      <c r="AB51" s="415">
        <v>1577.01</v>
      </c>
      <c r="AC51" s="415">
        <v>12647.45</v>
      </c>
      <c r="AD51" s="415">
        <v>1629.71</v>
      </c>
      <c r="AE51" s="415">
        <f t="shared" si="3"/>
        <v>12647.449999999999</v>
      </c>
      <c r="AF51" s="415">
        <f t="shared" si="3"/>
        <v>1313.51</v>
      </c>
    </row>
    <row r="52" spans="1:32">
      <c r="A52" s="409">
        <v>43</v>
      </c>
      <c r="C52" s="24" t="s">
        <v>867</v>
      </c>
      <c r="D52" s="414" t="s">
        <v>866</v>
      </c>
      <c r="E52" s="415">
        <v>45037.37</v>
      </c>
      <c r="F52" s="415">
        <v>4597.67</v>
      </c>
      <c r="G52" s="415">
        <v>45037.37</v>
      </c>
      <c r="H52" s="415">
        <v>4691.5</v>
      </c>
      <c r="I52" s="415">
        <v>45037.37</v>
      </c>
      <c r="J52" s="415">
        <v>4785.33</v>
      </c>
      <c r="K52" s="415">
        <v>45037.37</v>
      </c>
      <c r="L52" s="415">
        <v>4879.16</v>
      </c>
      <c r="M52" s="415">
        <v>45037.37</v>
      </c>
      <c r="N52" s="415">
        <v>4972.99</v>
      </c>
      <c r="O52" s="415">
        <v>45037.37</v>
      </c>
      <c r="P52" s="415">
        <v>5066.82</v>
      </c>
      <c r="Q52" s="415">
        <v>45037.37</v>
      </c>
      <c r="R52" s="415">
        <v>5160.6500000000005</v>
      </c>
      <c r="S52" s="415">
        <v>45037.37</v>
      </c>
      <c r="T52" s="415">
        <v>5254.4800000000005</v>
      </c>
      <c r="U52" s="415">
        <v>45037.37</v>
      </c>
      <c r="V52" s="415">
        <v>5348.31</v>
      </c>
      <c r="W52" s="415">
        <v>45037.37</v>
      </c>
      <c r="X52" s="415">
        <v>5442.14</v>
      </c>
      <c r="Y52" s="415">
        <v>45037.37</v>
      </c>
      <c r="Z52" s="415">
        <v>5535.97</v>
      </c>
      <c r="AA52" s="415">
        <v>45037.37</v>
      </c>
      <c r="AB52" s="415">
        <v>5629.8</v>
      </c>
      <c r="AC52" s="415">
        <v>45037.37</v>
      </c>
      <c r="AD52" s="415">
        <v>5723.63</v>
      </c>
      <c r="AE52" s="415">
        <f t="shared" si="3"/>
        <v>45037.37</v>
      </c>
      <c r="AF52" s="415">
        <f t="shared" si="3"/>
        <v>5160.6500000000005</v>
      </c>
    </row>
    <row r="53" spans="1:32">
      <c r="A53" s="409">
        <v>44</v>
      </c>
      <c r="C53" s="24" t="s">
        <v>868</v>
      </c>
      <c r="D53" s="24" t="s">
        <v>866</v>
      </c>
      <c r="E53" s="415">
        <v>1218966.19</v>
      </c>
      <c r="F53" s="415">
        <v>95962.38</v>
      </c>
      <c r="G53" s="415">
        <v>1218966.19</v>
      </c>
      <c r="H53" s="415">
        <v>98501.89</v>
      </c>
      <c r="I53" s="415">
        <v>1218966.19</v>
      </c>
      <c r="J53" s="415">
        <v>101041.40000000001</v>
      </c>
      <c r="K53" s="415">
        <v>1218966.19</v>
      </c>
      <c r="L53" s="415">
        <v>103580.91</v>
      </c>
      <c r="M53" s="415">
        <v>1218966.19</v>
      </c>
      <c r="N53" s="415">
        <v>106120.42</v>
      </c>
      <c r="O53" s="415">
        <v>1218966.19</v>
      </c>
      <c r="P53" s="415">
        <v>108659.93000000001</v>
      </c>
      <c r="Q53" s="415">
        <v>1218966.19</v>
      </c>
      <c r="R53" s="415">
        <v>111199.44</v>
      </c>
      <c r="S53" s="415">
        <v>1218966.19</v>
      </c>
      <c r="T53" s="415">
        <v>113738.95</v>
      </c>
      <c r="U53" s="415">
        <v>1218966.19</v>
      </c>
      <c r="V53" s="415">
        <v>116278.46</v>
      </c>
      <c r="W53" s="415">
        <v>1218966.19</v>
      </c>
      <c r="X53" s="415">
        <v>118817.97</v>
      </c>
      <c r="Y53" s="415">
        <v>1218966.19</v>
      </c>
      <c r="Z53" s="415">
        <v>121357.48</v>
      </c>
      <c r="AA53" s="415">
        <v>1218966.19</v>
      </c>
      <c r="AB53" s="415">
        <v>123896.99</v>
      </c>
      <c r="AC53" s="415">
        <v>1218966.19</v>
      </c>
      <c r="AD53" s="415">
        <v>126436.5</v>
      </c>
      <c r="AE53" s="415">
        <f t="shared" si="3"/>
        <v>1218966.1899999997</v>
      </c>
      <c r="AF53" s="415">
        <f t="shared" si="3"/>
        <v>111199.43999999999</v>
      </c>
    </row>
    <row r="54" spans="1:32">
      <c r="A54" s="409">
        <v>45</v>
      </c>
      <c r="C54" s="24" t="s">
        <v>1351</v>
      </c>
      <c r="D54" s="24" t="s">
        <v>866</v>
      </c>
      <c r="E54" s="415">
        <v>2333239.5300000003</v>
      </c>
      <c r="F54" s="415">
        <v>57023.64</v>
      </c>
      <c r="G54" s="415">
        <v>2333239.5300000003</v>
      </c>
      <c r="H54" s="415">
        <v>61884.56</v>
      </c>
      <c r="I54" s="415">
        <v>2333239.5300000003</v>
      </c>
      <c r="J54" s="415">
        <v>66745.48</v>
      </c>
      <c r="K54" s="415">
        <v>2333239.5300000003</v>
      </c>
      <c r="L54" s="415">
        <v>71606.400000000009</v>
      </c>
      <c r="M54" s="415">
        <v>2333239.5300000003</v>
      </c>
      <c r="N54" s="415">
        <v>76467.320000000007</v>
      </c>
      <c r="O54" s="415">
        <v>2333239.5300000003</v>
      </c>
      <c r="P54" s="415">
        <v>81328.240000000005</v>
      </c>
      <c r="Q54" s="415">
        <v>2333239.5300000003</v>
      </c>
      <c r="R54" s="415">
        <v>86189.16</v>
      </c>
      <c r="S54" s="415">
        <v>2333239.5300000003</v>
      </c>
      <c r="T54" s="415">
        <v>91050.08</v>
      </c>
      <c r="U54" s="415">
        <v>2333239.5300000003</v>
      </c>
      <c r="V54" s="415">
        <v>95911</v>
      </c>
      <c r="W54" s="415">
        <v>2333239.5300000003</v>
      </c>
      <c r="X54" s="415">
        <v>100771.92</v>
      </c>
      <c r="Y54" s="415">
        <v>2333239.5300000003</v>
      </c>
      <c r="Z54" s="415">
        <v>105632.84</v>
      </c>
      <c r="AA54" s="415">
        <v>2333239.5300000003</v>
      </c>
      <c r="AB54" s="415">
        <v>110493.76000000001</v>
      </c>
      <c r="AC54" s="415">
        <v>2333239.5300000003</v>
      </c>
      <c r="AD54" s="415">
        <v>115354.68000000001</v>
      </c>
      <c r="AE54" s="415">
        <f t="shared" si="3"/>
        <v>2333239.5300000007</v>
      </c>
      <c r="AF54" s="415">
        <f t="shared" si="3"/>
        <v>86189.16</v>
      </c>
    </row>
    <row r="55" spans="1:32">
      <c r="A55" s="409">
        <v>46</v>
      </c>
      <c r="C55" s="24" t="s">
        <v>1352</v>
      </c>
      <c r="D55" s="24" t="s">
        <v>866</v>
      </c>
      <c r="E55" s="415">
        <v>8000.9000000000005</v>
      </c>
      <c r="F55" s="415">
        <v>66.680000000000007</v>
      </c>
      <c r="G55" s="415">
        <v>8000.9000000000005</v>
      </c>
      <c r="H55" s="415">
        <v>83.350000000000009</v>
      </c>
      <c r="I55" s="415">
        <v>8000.9000000000005</v>
      </c>
      <c r="J55" s="415">
        <v>100.02</v>
      </c>
      <c r="K55" s="415">
        <v>8000.9000000000005</v>
      </c>
      <c r="L55" s="415">
        <v>116.69</v>
      </c>
      <c r="M55" s="415">
        <v>8000.9000000000005</v>
      </c>
      <c r="N55" s="415">
        <v>133.36000000000001</v>
      </c>
      <c r="O55" s="415">
        <v>8000.9000000000005</v>
      </c>
      <c r="P55" s="415">
        <v>150.03</v>
      </c>
      <c r="Q55" s="415">
        <v>8000.9000000000005</v>
      </c>
      <c r="R55" s="415">
        <v>166.70000000000002</v>
      </c>
      <c r="S55" s="415">
        <v>8000.9000000000005</v>
      </c>
      <c r="T55" s="415">
        <v>183.37</v>
      </c>
      <c r="U55" s="415">
        <v>8000.9000000000005</v>
      </c>
      <c r="V55" s="415">
        <v>200.04</v>
      </c>
      <c r="W55" s="415">
        <v>8000.9000000000005</v>
      </c>
      <c r="X55" s="415">
        <v>216.71</v>
      </c>
      <c r="Y55" s="415">
        <v>8000.9000000000005</v>
      </c>
      <c r="Z55" s="415">
        <v>233.38</v>
      </c>
      <c r="AA55" s="415">
        <v>8000.9000000000005</v>
      </c>
      <c r="AB55" s="415">
        <v>250.05</v>
      </c>
      <c r="AC55" s="415">
        <v>8000.9000000000005</v>
      </c>
      <c r="AD55" s="415">
        <v>266.72000000000003</v>
      </c>
      <c r="AE55" s="415">
        <f t="shared" si="3"/>
        <v>8000.8999999999987</v>
      </c>
      <c r="AF55" s="415">
        <f t="shared" si="3"/>
        <v>166.70000000000002</v>
      </c>
    </row>
    <row r="56" spans="1:32">
      <c r="A56" s="409">
        <v>47</v>
      </c>
      <c r="C56" s="24" t="s">
        <v>869</v>
      </c>
      <c r="D56" s="24" t="s">
        <v>866</v>
      </c>
      <c r="E56" s="415">
        <v>211404.97</v>
      </c>
      <c r="F56" s="415">
        <v>0</v>
      </c>
      <c r="G56" s="415">
        <v>211404.97</v>
      </c>
      <c r="H56" s="415">
        <v>0</v>
      </c>
      <c r="I56" s="415">
        <v>211404.97</v>
      </c>
      <c r="J56" s="415">
        <v>0</v>
      </c>
      <c r="K56" s="415">
        <v>211404.97</v>
      </c>
      <c r="L56" s="415">
        <v>0</v>
      </c>
      <c r="M56" s="415">
        <v>211404.97</v>
      </c>
      <c r="N56" s="415">
        <v>0</v>
      </c>
      <c r="O56" s="415">
        <v>211404.97</v>
      </c>
      <c r="P56" s="415">
        <v>0</v>
      </c>
      <c r="Q56" s="415">
        <v>211404.97</v>
      </c>
      <c r="R56" s="415">
        <v>0</v>
      </c>
      <c r="S56" s="415">
        <v>211404.97</v>
      </c>
      <c r="T56" s="415">
        <v>0</v>
      </c>
      <c r="U56" s="415">
        <v>211404.97</v>
      </c>
      <c r="V56" s="415">
        <v>0</v>
      </c>
      <c r="W56" s="415">
        <v>211404.97</v>
      </c>
      <c r="X56" s="415">
        <v>0</v>
      </c>
      <c r="Y56" s="415">
        <v>211404.97</v>
      </c>
      <c r="Z56" s="415">
        <v>0</v>
      </c>
      <c r="AA56" s="415">
        <v>211404.97</v>
      </c>
      <c r="AB56" s="415">
        <v>0</v>
      </c>
      <c r="AC56" s="415">
        <v>211404.97</v>
      </c>
      <c r="AD56" s="415">
        <v>0</v>
      </c>
      <c r="AE56" s="415">
        <f t="shared" si="3"/>
        <v>211404.97000000006</v>
      </c>
      <c r="AF56" s="415">
        <f t="shared" si="3"/>
        <v>0</v>
      </c>
    </row>
    <row r="57" spans="1:32">
      <c r="A57" s="409">
        <v>48</v>
      </c>
      <c r="C57" s="24" t="s">
        <v>870</v>
      </c>
      <c r="D57" s="24" t="s">
        <v>866</v>
      </c>
      <c r="E57" s="415">
        <v>1018396.75</v>
      </c>
      <c r="F57" s="415">
        <v>793013.88</v>
      </c>
      <c r="G57" s="415">
        <v>1018396.75</v>
      </c>
      <c r="H57" s="415">
        <v>794354.77</v>
      </c>
      <c r="I57" s="415">
        <v>1018396.75</v>
      </c>
      <c r="J57" s="415">
        <v>795695.66</v>
      </c>
      <c r="K57" s="415">
        <v>1018396.75</v>
      </c>
      <c r="L57" s="415">
        <v>797036.55</v>
      </c>
      <c r="M57" s="415">
        <v>1018396.75</v>
      </c>
      <c r="N57" s="415">
        <v>798377.44000000006</v>
      </c>
      <c r="O57" s="415">
        <v>1018396.75</v>
      </c>
      <c r="P57" s="415">
        <v>799718.33000000007</v>
      </c>
      <c r="Q57" s="415">
        <v>1018396.75</v>
      </c>
      <c r="R57" s="415">
        <v>801059.22</v>
      </c>
      <c r="S57" s="415">
        <v>1018396.75</v>
      </c>
      <c r="T57" s="415">
        <v>802400.11</v>
      </c>
      <c r="U57" s="415">
        <v>1018396.75</v>
      </c>
      <c r="V57" s="415">
        <v>803741</v>
      </c>
      <c r="W57" s="415">
        <v>1018396.75</v>
      </c>
      <c r="X57" s="415">
        <v>805081.89</v>
      </c>
      <c r="Y57" s="415">
        <v>1018396.75</v>
      </c>
      <c r="Z57" s="415">
        <v>806422.78</v>
      </c>
      <c r="AA57" s="415">
        <v>1018396.75</v>
      </c>
      <c r="AB57" s="415">
        <v>807763.67</v>
      </c>
      <c r="AC57" s="415">
        <v>1018396.75</v>
      </c>
      <c r="AD57" s="415">
        <v>809104.56</v>
      </c>
      <c r="AE57" s="415">
        <f t="shared" si="3"/>
        <v>1018396.75</v>
      </c>
      <c r="AF57" s="415">
        <f t="shared" si="3"/>
        <v>801059.2200000002</v>
      </c>
    </row>
    <row r="58" spans="1:32">
      <c r="A58" s="409">
        <v>49</v>
      </c>
      <c r="C58" s="24" t="s">
        <v>871</v>
      </c>
      <c r="D58" s="24" t="s">
        <v>866</v>
      </c>
      <c r="E58" s="415">
        <v>15968181.91</v>
      </c>
      <c r="F58" s="415">
        <v>11139694.51</v>
      </c>
      <c r="G58" s="415">
        <v>15968181.91</v>
      </c>
      <c r="H58" s="415">
        <v>11163912.92</v>
      </c>
      <c r="I58" s="415">
        <v>15968181.91</v>
      </c>
      <c r="J58" s="415">
        <v>11188131.109999999</v>
      </c>
      <c r="K58" s="415">
        <v>15968181.91</v>
      </c>
      <c r="L58" s="415">
        <v>11212349.52</v>
      </c>
      <c r="M58" s="415">
        <v>15968181.91</v>
      </c>
      <c r="N58" s="415">
        <v>11236566.08</v>
      </c>
      <c r="O58" s="415">
        <v>15968181.91</v>
      </c>
      <c r="P58" s="415">
        <v>11260784.49</v>
      </c>
      <c r="Q58" s="415">
        <v>15968181.91</v>
      </c>
      <c r="R58" s="415">
        <v>11285002.9</v>
      </c>
      <c r="S58" s="415">
        <v>15968181.91</v>
      </c>
      <c r="T58" s="415">
        <v>11309221.310000001</v>
      </c>
      <c r="U58" s="415">
        <v>15968181.91</v>
      </c>
      <c r="V58" s="415">
        <v>11333439.720000001</v>
      </c>
      <c r="W58" s="415">
        <v>15900055.619999999</v>
      </c>
      <c r="X58" s="415">
        <v>11289531.84</v>
      </c>
      <c r="Y58" s="415">
        <v>15900055.619999999</v>
      </c>
      <c r="Z58" s="415">
        <v>11277498.949999999</v>
      </c>
      <c r="AA58" s="415">
        <v>15900055.619999999</v>
      </c>
      <c r="AB58" s="415">
        <v>11301575.5</v>
      </c>
      <c r="AC58" s="415">
        <v>15900055.619999999</v>
      </c>
      <c r="AD58" s="415">
        <v>11325653.23</v>
      </c>
      <c r="AE58" s="415">
        <f t="shared" si="3"/>
        <v>15948311.742083332</v>
      </c>
      <c r="AF58" s="415">
        <f t="shared" si="3"/>
        <v>11257557.350833334</v>
      </c>
    </row>
    <row r="59" spans="1:32">
      <c r="A59" s="409">
        <v>50</v>
      </c>
      <c r="C59" s="24" t="s">
        <v>872</v>
      </c>
      <c r="D59" s="24" t="s">
        <v>866</v>
      </c>
      <c r="E59" s="415">
        <v>144661.1</v>
      </c>
      <c r="F59" s="415">
        <v>154547.26</v>
      </c>
      <c r="G59" s="415">
        <v>144661.1</v>
      </c>
      <c r="H59" s="415">
        <v>154596.69</v>
      </c>
      <c r="I59" s="415">
        <v>144661.1</v>
      </c>
      <c r="J59" s="415">
        <v>154646.12</v>
      </c>
      <c r="K59" s="415">
        <v>144661.1</v>
      </c>
      <c r="L59" s="415">
        <v>154695.55000000002</v>
      </c>
      <c r="M59" s="415">
        <v>144661.1</v>
      </c>
      <c r="N59" s="415">
        <v>154744.98000000001</v>
      </c>
      <c r="O59" s="415">
        <v>144661.1</v>
      </c>
      <c r="P59" s="415">
        <v>154794.41</v>
      </c>
      <c r="Q59" s="415">
        <v>144661.1</v>
      </c>
      <c r="R59" s="415">
        <v>154843.84</v>
      </c>
      <c r="S59" s="415">
        <v>144661.1</v>
      </c>
      <c r="T59" s="415">
        <v>154893.26999999999</v>
      </c>
      <c r="U59" s="415">
        <v>144661.1</v>
      </c>
      <c r="V59" s="415">
        <v>154942.70000000001</v>
      </c>
      <c r="W59" s="415">
        <v>144661.1</v>
      </c>
      <c r="X59" s="415">
        <v>154992.13</v>
      </c>
      <c r="Y59" s="415">
        <v>144661.1</v>
      </c>
      <c r="Z59" s="415">
        <v>155041.56</v>
      </c>
      <c r="AA59" s="415">
        <v>144661.1</v>
      </c>
      <c r="AB59" s="415">
        <v>155090.99</v>
      </c>
      <c r="AC59" s="415">
        <v>144661.1</v>
      </c>
      <c r="AD59" s="415">
        <v>155140.42000000001</v>
      </c>
      <c r="AE59" s="415">
        <f t="shared" si="3"/>
        <v>144661.10000000003</v>
      </c>
      <c r="AF59" s="415">
        <f t="shared" si="3"/>
        <v>154843.84</v>
      </c>
    </row>
    <row r="60" spans="1:32">
      <c r="A60" s="409">
        <v>51</v>
      </c>
      <c r="C60" s="24" t="s">
        <v>873</v>
      </c>
      <c r="D60" s="24" t="s">
        <v>866</v>
      </c>
      <c r="E60" s="415">
        <v>1922322.92</v>
      </c>
      <c r="F60" s="415">
        <v>712240.43</v>
      </c>
      <c r="G60" s="415">
        <v>1922322.92</v>
      </c>
      <c r="H60" s="415">
        <v>715252.07000000007</v>
      </c>
      <c r="I60" s="415">
        <v>1922322.92</v>
      </c>
      <c r="J60" s="415">
        <v>718263.71</v>
      </c>
      <c r="K60" s="415">
        <v>1922322.92</v>
      </c>
      <c r="L60" s="415">
        <v>721275.35</v>
      </c>
      <c r="M60" s="415">
        <v>1922322.92</v>
      </c>
      <c r="N60" s="415">
        <v>724286.99</v>
      </c>
      <c r="O60" s="415">
        <v>1922322.92</v>
      </c>
      <c r="P60" s="415">
        <v>727298.63</v>
      </c>
      <c r="Q60" s="415">
        <v>1922322.92</v>
      </c>
      <c r="R60" s="415">
        <v>730310.27</v>
      </c>
      <c r="S60" s="415">
        <v>1922322.92</v>
      </c>
      <c r="T60" s="415">
        <v>733321.91</v>
      </c>
      <c r="U60" s="415">
        <v>1922322.92</v>
      </c>
      <c r="V60" s="415">
        <v>736333.55</v>
      </c>
      <c r="W60" s="415">
        <v>1922322.92</v>
      </c>
      <c r="X60" s="415">
        <v>739345.19000000006</v>
      </c>
      <c r="Y60" s="415">
        <v>1922322.92</v>
      </c>
      <c r="Z60" s="415">
        <v>742356.83</v>
      </c>
      <c r="AA60" s="415">
        <v>1922322.92</v>
      </c>
      <c r="AB60" s="415">
        <v>745368.47</v>
      </c>
      <c r="AC60" s="415">
        <v>1922322.92</v>
      </c>
      <c r="AD60" s="415">
        <v>748380.11</v>
      </c>
      <c r="AE60" s="415">
        <f t="shared" si="3"/>
        <v>1922322.9200000006</v>
      </c>
      <c r="AF60" s="415">
        <f t="shared" si="3"/>
        <v>730310.27</v>
      </c>
    </row>
    <row r="61" spans="1:32">
      <c r="A61" s="409">
        <v>52</v>
      </c>
      <c r="C61" s="24" t="s">
        <v>874</v>
      </c>
      <c r="D61" s="24" t="s">
        <v>866</v>
      </c>
      <c r="E61" s="415">
        <v>268634.66000000003</v>
      </c>
      <c r="F61" s="415">
        <v>183.54</v>
      </c>
      <c r="G61" s="415">
        <v>268634.66000000003</v>
      </c>
      <c r="H61" s="415">
        <v>183.54</v>
      </c>
      <c r="I61" s="415">
        <v>268634.66000000003</v>
      </c>
      <c r="J61" s="415">
        <v>183.54</v>
      </c>
      <c r="K61" s="415">
        <v>268634.66000000003</v>
      </c>
      <c r="L61" s="415">
        <v>183.54</v>
      </c>
      <c r="M61" s="415">
        <v>325865.8</v>
      </c>
      <c r="N61" s="415">
        <v>613.48</v>
      </c>
      <c r="O61" s="415">
        <v>325865.8</v>
      </c>
      <c r="P61" s="415">
        <v>613.48</v>
      </c>
      <c r="Q61" s="415">
        <v>325865.8</v>
      </c>
      <c r="R61" s="415">
        <v>613.48</v>
      </c>
      <c r="S61" s="415">
        <v>316965.8</v>
      </c>
      <c r="T61" s="415">
        <v>613.48</v>
      </c>
      <c r="U61" s="415">
        <v>316965.8</v>
      </c>
      <c r="V61" s="415">
        <v>613.48</v>
      </c>
      <c r="W61" s="415">
        <v>316965.8</v>
      </c>
      <c r="X61" s="415">
        <v>613.48</v>
      </c>
      <c r="Y61" s="415">
        <v>316965.8</v>
      </c>
      <c r="Z61" s="415">
        <v>613.48</v>
      </c>
      <c r="AA61" s="415">
        <v>316965.8</v>
      </c>
      <c r="AB61" s="415">
        <v>613.48</v>
      </c>
      <c r="AC61" s="415">
        <v>316965.8</v>
      </c>
      <c r="AD61" s="415">
        <v>613.48</v>
      </c>
      <c r="AE61" s="415">
        <f t="shared" si="3"/>
        <v>305094.21749999997</v>
      </c>
      <c r="AF61" s="415">
        <f t="shared" si="3"/>
        <v>488.08083333333326</v>
      </c>
    </row>
    <row r="62" spans="1:32">
      <c r="A62" s="409">
        <v>53</v>
      </c>
      <c r="C62" s="24" t="s">
        <v>875</v>
      </c>
      <c r="D62" s="24" t="s">
        <v>866</v>
      </c>
      <c r="E62" s="415">
        <v>702922.71</v>
      </c>
      <c r="F62" s="415">
        <v>671550.31</v>
      </c>
      <c r="G62" s="415">
        <v>702922.71</v>
      </c>
      <c r="H62" s="415">
        <v>672264.95000000007</v>
      </c>
      <c r="I62" s="415">
        <v>702922.71</v>
      </c>
      <c r="J62" s="415">
        <v>672979.59</v>
      </c>
      <c r="K62" s="415">
        <v>702922.71</v>
      </c>
      <c r="L62" s="415">
        <v>673694.23</v>
      </c>
      <c r="M62" s="415">
        <v>702922.71</v>
      </c>
      <c r="N62" s="415">
        <v>674408.87</v>
      </c>
      <c r="O62" s="415">
        <v>702922.71</v>
      </c>
      <c r="P62" s="415">
        <v>675123.51</v>
      </c>
      <c r="Q62" s="415">
        <v>702922.71</v>
      </c>
      <c r="R62" s="415">
        <v>675838.15</v>
      </c>
      <c r="S62" s="415">
        <v>702922.71</v>
      </c>
      <c r="T62" s="415">
        <v>676552.79</v>
      </c>
      <c r="U62" s="415">
        <v>702922.71</v>
      </c>
      <c r="V62" s="415">
        <v>677267.43</v>
      </c>
      <c r="W62" s="415">
        <v>702922.71</v>
      </c>
      <c r="X62" s="415">
        <v>677982.07000000007</v>
      </c>
      <c r="Y62" s="415">
        <v>702922.71</v>
      </c>
      <c r="Z62" s="415">
        <v>678696.71</v>
      </c>
      <c r="AA62" s="415">
        <v>702922.71</v>
      </c>
      <c r="AB62" s="415">
        <v>679411.35</v>
      </c>
      <c r="AC62" s="415">
        <v>702922.71</v>
      </c>
      <c r="AD62" s="415">
        <v>680125.99</v>
      </c>
      <c r="AE62" s="415">
        <f t="shared" si="3"/>
        <v>702922.71</v>
      </c>
      <c r="AF62" s="415">
        <f t="shared" si="3"/>
        <v>675838.15</v>
      </c>
    </row>
    <row r="63" spans="1:32">
      <c r="A63" s="409">
        <v>54</v>
      </c>
      <c r="C63" s="24" t="s">
        <v>876</v>
      </c>
      <c r="D63" s="24" t="s">
        <v>866</v>
      </c>
      <c r="E63" s="415">
        <v>152081117.31999999</v>
      </c>
      <c r="F63" s="415">
        <v>35767901.090000004</v>
      </c>
      <c r="G63" s="415">
        <v>152285876.18000001</v>
      </c>
      <c r="H63" s="415">
        <v>35807696.740000002</v>
      </c>
      <c r="I63" s="415">
        <v>152383338.86000001</v>
      </c>
      <c r="J63" s="415">
        <v>35966327.859999999</v>
      </c>
      <c r="K63" s="415">
        <v>152545252</v>
      </c>
      <c r="L63" s="415">
        <v>36124700.659999996</v>
      </c>
      <c r="M63" s="415">
        <v>152635695.47</v>
      </c>
      <c r="N63" s="415">
        <v>36283297.619999997</v>
      </c>
      <c r="O63" s="415">
        <v>152533201.38</v>
      </c>
      <c r="P63" s="415">
        <v>36316353.399999999</v>
      </c>
      <c r="Q63" s="415">
        <v>152584663.47999999</v>
      </c>
      <c r="R63" s="415">
        <v>36475242.149999999</v>
      </c>
      <c r="S63" s="415">
        <v>152894625.53</v>
      </c>
      <c r="T63" s="415">
        <v>36634184.509999998</v>
      </c>
      <c r="U63" s="415">
        <v>152672504.81999999</v>
      </c>
      <c r="V63" s="415">
        <v>36790426.789999999</v>
      </c>
      <c r="W63" s="415">
        <v>152717699.28999999</v>
      </c>
      <c r="X63" s="415">
        <v>36949460.649999999</v>
      </c>
      <c r="Y63" s="415">
        <v>153253677.31</v>
      </c>
      <c r="Z63" s="415">
        <v>37095357.270000003</v>
      </c>
      <c r="AA63" s="415">
        <v>155549589.37</v>
      </c>
      <c r="AB63" s="415">
        <v>37248965.939999998</v>
      </c>
      <c r="AC63" s="415">
        <v>159069534.16</v>
      </c>
      <c r="AD63" s="415">
        <v>37410983.57</v>
      </c>
      <c r="AE63" s="415">
        <f t="shared" si="3"/>
        <v>153135954.11916667</v>
      </c>
      <c r="AF63" s="415">
        <f t="shared" si="3"/>
        <v>36523454.659999996</v>
      </c>
    </row>
    <row r="64" spans="1:32">
      <c r="A64" s="409">
        <v>55</v>
      </c>
      <c r="C64" s="24" t="s">
        <v>877</v>
      </c>
      <c r="D64" s="24" t="s">
        <v>866</v>
      </c>
      <c r="E64" s="415">
        <v>136092339.77000001</v>
      </c>
      <c r="F64" s="415">
        <v>38451996.719999999</v>
      </c>
      <c r="G64" s="415">
        <v>137006519.52000001</v>
      </c>
      <c r="H64" s="415">
        <v>38910162.18</v>
      </c>
      <c r="I64" s="415">
        <v>137612464.56999999</v>
      </c>
      <c r="J64" s="415">
        <v>39379777.189999998</v>
      </c>
      <c r="K64" s="415">
        <v>138162323.05000001</v>
      </c>
      <c r="L64" s="415">
        <v>39842535.009999998</v>
      </c>
      <c r="M64" s="415">
        <v>138840522.22999999</v>
      </c>
      <c r="N64" s="415">
        <v>40308454.850000001</v>
      </c>
      <c r="O64" s="415">
        <v>140704316.47</v>
      </c>
      <c r="P64" s="415">
        <v>40785503.18</v>
      </c>
      <c r="Q64" s="415">
        <v>141664246.24000001</v>
      </c>
      <c r="R64" s="415">
        <v>41266233.960000001</v>
      </c>
      <c r="S64" s="415">
        <v>142461885.88999999</v>
      </c>
      <c r="T64" s="415">
        <v>41751850.579999998</v>
      </c>
      <c r="U64" s="415">
        <v>143506434.94</v>
      </c>
      <c r="V64" s="415">
        <v>42242156.899999999</v>
      </c>
      <c r="W64" s="415">
        <v>145731909.34999999</v>
      </c>
      <c r="X64" s="415">
        <v>42736058.210000001</v>
      </c>
      <c r="Y64" s="415">
        <v>148303899.88</v>
      </c>
      <c r="Z64" s="415">
        <v>43227156.189999998</v>
      </c>
      <c r="AA64" s="415">
        <v>149221778.66999999</v>
      </c>
      <c r="AB64" s="415">
        <v>43734678.659999996</v>
      </c>
      <c r="AC64" s="415">
        <v>151836907.28999999</v>
      </c>
      <c r="AD64" s="415">
        <v>44242872.240000002</v>
      </c>
      <c r="AE64" s="415">
        <f t="shared" si="3"/>
        <v>142265077.02833334</v>
      </c>
      <c r="AF64" s="415">
        <f t="shared" si="3"/>
        <v>41294333.449166663</v>
      </c>
    </row>
    <row r="65" spans="1:32">
      <c r="A65" s="409">
        <v>56</v>
      </c>
      <c r="C65" s="24" t="s">
        <v>878</v>
      </c>
      <c r="D65" s="24" t="s">
        <v>866</v>
      </c>
      <c r="E65" s="415">
        <v>116563175.39</v>
      </c>
      <c r="F65" s="415">
        <v>82978755.939999998</v>
      </c>
      <c r="G65" s="415">
        <v>116699053.47</v>
      </c>
      <c r="H65" s="415">
        <v>83188926.189999998</v>
      </c>
      <c r="I65" s="415">
        <v>116700326.02</v>
      </c>
      <c r="J65" s="415">
        <v>83386878.290000007</v>
      </c>
      <c r="K65" s="415">
        <v>116789435.97</v>
      </c>
      <c r="L65" s="415">
        <v>83595230.420000002</v>
      </c>
      <c r="M65" s="415">
        <v>116804618.29000001</v>
      </c>
      <c r="N65" s="415">
        <v>83785901.310000002</v>
      </c>
      <c r="O65" s="415">
        <v>116789795.88</v>
      </c>
      <c r="P65" s="415">
        <v>83905115.900000006</v>
      </c>
      <c r="Q65" s="415">
        <v>116864730.40000001</v>
      </c>
      <c r="R65" s="415">
        <v>84117908.700000003</v>
      </c>
      <c r="S65" s="415">
        <v>116979841.54000001</v>
      </c>
      <c r="T65" s="415">
        <v>84271864.430000007</v>
      </c>
      <c r="U65" s="415">
        <v>117271774.18000001</v>
      </c>
      <c r="V65" s="415">
        <v>84477890.290000007</v>
      </c>
      <c r="W65" s="415">
        <v>117750554.17</v>
      </c>
      <c r="X65" s="415">
        <v>84681237.549999997</v>
      </c>
      <c r="Y65" s="415">
        <v>117973295.04000001</v>
      </c>
      <c r="Z65" s="415">
        <v>84887392.069999993</v>
      </c>
      <c r="AA65" s="415">
        <v>118237750.54000001</v>
      </c>
      <c r="AB65" s="415">
        <v>85057431.269999996</v>
      </c>
      <c r="AC65" s="415">
        <v>118986847.06999999</v>
      </c>
      <c r="AD65" s="415">
        <v>85235842.780000001</v>
      </c>
      <c r="AE65" s="415">
        <f t="shared" si="3"/>
        <v>117219682.22750001</v>
      </c>
      <c r="AF65" s="415">
        <f t="shared" si="3"/>
        <v>84121922.981666654</v>
      </c>
    </row>
    <row r="66" spans="1:32">
      <c r="A66" s="409">
        <v>57</v>
      </c>
      <c r="C66" s="24" t="s">
        <v>879</v>
      </c>
      <c r="D66" s="24" t="s">
        <v>866</v>
      </c>
      <c r="E66" s="415">
        <v>2097766.77</v>
      </c>
      <c r="F66" s="415">
        <v>1463846.94</v>
      </c>
      <c r="G66" s="415">
        <v>2097766.77</v>
      </c>
      <c r="H66" s="415">
        <v>1466958.63</v>
      </c>
      <c r="I66" s="415">
        <v>2097766.77</v>
      </c>
      <c r="J66" s="415">
        <v>1470070.32</v>
      </c>
      <c r="K66" s="415">
        <v>2097766.77</v>
      </c>
      <c r="L66" s="415">
        <v>1473182.01</v>
      </c>
      <c r="M66" s="415">
        <v>2097766.77</v>
      </c>
      <c r="N66" s="415">
        <v>1476293.7</v>
      </c>
      <c r="O66" s="415">
        <v>2097766.77</v>
      </c>
      <c r="P66" s="415">
        <v>1479405.3900000001</v>
      </c>
      <c r="Q66" s="415">
        <v>2097766.77</v>
      </c>
      <c r="R66" s="415">
        <v>1482517.08</v>
      </c>
      <c r="S66" s="415">
        <v>2097766.77</v>
      </c>
      <c r="T66" s="415">
        <v>1485628.77</v>
      </c>
      <c r="U66" s="415">
        <v>2097766.77</v>
      </c>
      <c r="V66" s="415">
        <v>1488740.46</v>
      </c>
      <c r="W66" s="415">
        <v>2097766.77</v>
      </c>
      <c r="X66" s="415">
        <v>1491852.15</v>
      </c>
      <c r="Y66" s="415">
        <v>2097766.77</v>
      </c>
      <c r="Z66" s="415">
        <v>1494963.84</v>
      </c>
      <c r="AA66" s="415">
        <v>2097766.77</v>
      </c>
      <c r="AB66" s="415">
        <v>1498075.53</v>
      </c>
      <c r="AC66" s="415">
        <v>2097766.77</v>
      </c>
      <c r="AD66" s="415">
        <v>1501187.22</v>
      </c>
      <c r="AE66" s="415">
        <f t="shared" si="3"/>
        <v>2097766.77</v>
      </c>
      <c r="AF66" s="415">
        <f t="shared" si="3"/>
        <v>1482517.08</v>
      </c>
    </row>
    <row r="67" spans="1:32">
      <c r="A67" s="409">
        <v>58</v>
      </c>
      <c r="C67" s="24" t="s">
        <v>880</v>
      </c>
      <c r="D67" s="24" t="s">
        <v>866</v>
      </c>
      <c r="E67" s="415">
        <v>22436101.879999999</v>
      </c>
      <c r="F67" s="415">
        <v>5987789.96</v>
      </c>
      <c r="G67" s="415">
        <v>22415457.609999999</v>
      </c>
      <c r="H67" s="415">
        <v>6018279.5999999996</v>
      </c>
      <c r="I67" s="415">
        <v>22449834.93</v>
      </c>
      <c r="J67" s="415">
        <v>6051815.3899999997</v>
      </c>
      <c r="K67" s="415">
        <v>22558546.760000002</v>
      </c>
      <c r="L67" s="415">
        <v>6087735.1299999999</v>
      </c>
      <c r="M67" s="415">
        <v>22498581.940000001</v>
      </c>
      <c r="N67" s="415">
        <v>6119546.3799999999</v>
      </c>
      <c r="O67" s="415">
        <v>22507090.149999999</v>
      </c>
      <c r="P67" s="415">
        <v>6117780.5099999998</v>
      </c>
      <c r="Q67" s="415">
        <v>23436311.629999999</v>
      </c>
      <c r="R67" s="415">
        <v>6153320.9199999999</v>
      </c>
      <c r="S67" s="415">
        <v>23520464.469999999</v>
      </c>
      <c r="T67" s="415">
        <v>6186702.2599999998</v>
      </c>
      <c r="U67" s="415">
        <v>23606781.100000001</v>
      </c>
      <c r="V67" s="415">
        <v>6174680</v>
      </c>
      <c r="W67" s="415">
        <v>24157840.940000001</v>
      </c>
      <c r="X67" s="415">
        <v>6212450.8499999996</v>
      </c>
      <c r="Y67" s="415">
        <v>24242516.460000001</v>
      </c>
      <c r="Z67" s="415">
        <v>6220048.04</v>
      </c>
      <c r="AA67" s="415">
        <v>24548567.699999999</v>
      </c>
      <c r="AB67" s="415">
        <v>6228926.6500000004</v>
      </c>
      <c r="AC67" s="415">
        <v>25599862.800000001</v>
      </c>
      <c r="AD67" s="415">
        <v>6268204.3600000003</v>
      </c>
      <c r="AE67" s="415">
        <f t="shared" si="3"/>
        <v>23329998.002499998</v>
      </c>
      <c r="AF67" s="415">
        <f t="shared" si="3"/>
        <v>6141606.9074999997</v>
      </c>
    </row>
    <row r="68" spans="1:32">
      <c r="A68" s="409">
        <v>59</v>
      </c>
      <c r="C68" s="24" t="s">
        <v>881</v>
      </c>
      <c r="D68" s="24" t="s">
        <v>866</v>
      </c>
      <c r="E68" s="415">
        <v>130923599.2</v>
      </c>
      <c r="F68" s="415">
        <v>49663854.890000001</v>
      </c>
      <c r="G68" s="415">
        <v>132332881.73</v>
      </c>
      <c r="H68" s="415">
        <v>50076063.969999999</v>
      </c>
      <c r="I68" s="415">
        <v>133094871.36</v>
      </c>
      <c r="J68" s="415">
        <v>50486820.909999996</v>
      </c>
      <c r="K68" s="415">
        <v>133983648.92</v>
      </c>
      <c r="L68" s="415">
        <v>50906646.460000001</v>
      </c>
      <c r="M68" s="415">
        <v>134936279.41</v>
      </c>
      <c r="N68" s="415">
        <v>51330840.289999999</v>
      </c>
      <c r="O68" s="415">
        <v>136394856.5</v>
      </c>
      <c r="P68" s="415">
        <v>51759981.020000003</v>
      </c>
      <c r="Q68" s="415">
        <v>137743445.83000001</v>
      </c>
      <c r="R68" s="415">
        <v>52187847.490000002</v>
      </c>
      <c r="S68" s="415">
        <v>139037096.52000001</v>
      </c>
      <c r="T68" s="415">
        <v>52622138.159999996</v>
      </c>
      <c r="U68" s="415">
        <v>140108686.43000001</v>
      </c>
      <c r="V68" s="415">
        <v>53067273.030000001</v>
      </c>
      <c r="W68" s="415">
        <v>141392550.86000001</v>
      </c>
      <c r="X68" s="415">
        <v>53519768</v>
      </c>
      <c r="Y68" s="415">
        <v>143370497.22999999</v>
      </c>
      <c r="Z68" s="415">
        <v>53968448.850000001</v>
      </c>
      <c r="AA68" s="415">
        <v>144375197.65000001</v>
      </c>
      <c r="AB68" s="415">
        <v>54408081.259999998</v>
      </c>
      <c r="AC68" s="415">
        <v>146616703.03999999</v>
      </c>
      <c r="AD68" s="415">
        <v>54842146.780000001</v>
      </c>
      <c r="AE68" s="415">
        <f t="shared" si="3"/>
        <v>137961680.29666665</v>
      </c>
      <c r="AF68" s="415">
        <f t="shared" si="3"/>
        <v>52215575.856249996</v>
      </c>
    </row>
    <row r="69" spans="1:32">
      <c r="A69" s="409">
        <v>60</v>
      </c>
      <c r="C69" s="24" t="s">
        <v>882</v>
      </c>
      <c r="D69" s="24" t="s">
        <v>866</v>
      </c>
      <c r="E69" s="415">
        <v>62228709.439999998</v>
      </c>
      <c r="F69" s="415">
        <v>93345534.5</v>
      </c>
      <c r="G69" s="415">
        <v>62177550.359999999</v>
      </c>
      <c r="H69" s="415">
        <v>93423761.219999999</v>
      </c>
      <c r="I69" s="415">
        <v>62163585.369999997</v>
      </c>
      <c r="J69" s="415">
        <v>93474597</v>
      </c>
      <c r="K69" s="415">
        <v>62156756.439999998</v>
      </c>
      <c r="L69" s="415">
        <v>93636493.230000004</v>
      </c>
      <c r="M69" s="415">
        <v>62144887.159999996</v>
      </c>
      <c r="N69" s="415">
        <v>93775015.409999996</v>
      </c>
      <c r="O69" s="415">
        <v>62144888.009999998</v>
      </c>
      <c r="P69" s="415">
        <v>93886522.650000006</v>
      </c>
      <c r="Q69" s="415">
        <v>62143627.539999999</v>
      </c>
      <c r="R69" s="415">
        <v>94025528.219999999</v>
      </c>
      <c r="S69" s="415">
        <v>62143627.600000001</v>
      </c>
      <c r="T69" s="415">
        <v>94124275.239999995</v>
      </c>
      <c r="U69" s="415">
        <v>62141310.5</v>
      </c>
      <c r="V69" s="415">
        <v>94275793.319999993</v>
      </c>
      <c r="W69" s="415">
        <v>62143085.75</v>
      </c>
      <c r="X69" s="415">
        <v>94438119.299999997</v>
      </c>
      <c r="Y69" s="415">
        <v>62167487.270000003</v>
      </c>
      <c r="Z69" s="415">
        <v>94565449.409999996</v>
      </c>
      <c r="AA69" s="415">
        <v>62152142.090000004</v>
      </c>
      <c r="AB69" s="415">
        <v>94506664.209999993</v>
      </c>
      <c r="AC69" s="415">
        <v>62126401.859999999</v>
      </c>
      <c r="AD69" s="415">
        <v>94458601.310000002</v>
      </c>
      <c r="AE69" s="415">
        <f t="shared" si="3"/>
        <v>62154708.645000003</v>
      </c>
      <c r="AF69" s="415">
        <f t="shared" si="3"/>
        <v>94002857.259583339</v>
      </c>
    </row>
    <row r="70" spans="1:32">
      <c r="A70" s="409">
        <v>61</v>
      </c>
      <c r="C70" s="24" t="s">
        <v>883</v>
      </c>
      <c r="D70" s="24" t="s">
        <v>866</v>
      </c>
      <c r="E70" s="415">
        <v>0</v>
      </c>
      <c r="F70" s="415">
        <v>0.01</v>
      </c>
      <c r="G70" s="415">
        <v>0</v>
      </c>
      <c r="H70" s="415">
        <v>0.01</v>
      </c>
      <c r="I70" s="415">
        <v>0</v>
      </c>
      <c r="J70" s="415">
        <v>0.01</v>
      </c>
      <c r="K70" s="415">
        <v>0</v>
      </c>
      <c r="L70" s="415">
        <v>0.01</v>
      </c>
      <c r="M70" s="415">
        <v>0</v>
      </c>
      <c r="N70" s="415">
        <v>0.01</v>
      </c>
      <c r="O70" s="415">
        <v>0</v>
      </c>
      <c r="P70" s="415">
        <v>0.01</v>
      </c>
      <c r="Q70" s="415">
        <v>0</v>
      </c>
      <c r="R70" s="415">
        <v>0.01</v>
      </c>
      <c r="S70" s="415">
        <v>0</v>
      </c>
      <c r="T70" s="415">
        <v>0.01</v>
      </c>
      <c r="U70" s="415">
        <v>0</v>
      </c>
      <c r="V70" s="415">
        <v>0.01</v>
      </c>
      <c r="W70" s="415">
        <v>0</v>
      </c>
      <c r="X70" s="415">
        <v>0.01</v>
      </c>
      <c r="Y70" s="415">
        <v>0</v>
      </c>
      <c r="Z70" s="415">
        <v>0.01</v>
      </c>
      <c r="AA70" s="415">
        <v>0</v>
      </c>
      <c r="AB70" s="415">
        <v>0.01</v>
      </c>
      <c r="AC70" s="415">
        <v>0</v>
      </c>
      <c r="AD70" s="415">
        <v>0.01</v>
      </c>
      <c r="AE70" s="415">
        <f t="shared" si="3"/>
        <v>0</v>
      </c>
      <c r="AF70" s="415">
        <f t="shared" si="3"/>
        <v>9.9999999999999985E-3</v>
      </c>
    </row>
    <row r="71" spans="1:32">
      <c r="A71" s="409">
        <v>62</v>
      </c>
      <c r="C71" s="24" t="s">
        <v>884</v>
      </c>
      <c r="D71" s="24" t="s">
        <v>866</v>
      </c>
      <c r="E71" s="415">
        <v>23995708.359999999</v>
      </c>
      <c r="F71" s="415">
        <v>11207165</v>
      </c>
      <c r="G71" s="415">
        <v>24009499.109999999</v>
      </c>
      <c r="H71" s="415">
        <v>11244018.880000001</v>
      </c>
      <c r="I71" s="415">
        <v>24028445.699999999</v>
      </c>
      <c r="J71" s="415">
        <v>11277197.380000001</v>
      </c>
      <c r="K71" s="415">
        <v>24046225.010000002</v>
      </c>
      <c r="L71" s="415">
        <v>11313809.380000001</v>
      </c>
      <c r="M71" s="415">
        <v>24040527.699999999</v>
      </c>
      <c r="N71" s="415">
        <v>11333367.210000001</v>
      </c>
      <c r="O71" s="415">
        <v>24074886.859999999</v>
      </c>
      <c r="P71" s="415">
        <v>11370320.949999999</v>
      </c>
      <c r="Q71" s="415">
        <v>24091655.710000001</v>
      </c>
      <c r="R71" s="415">
        <v>11407511.59</v>
      </c>
      <c r="S71" s="415">
        <v>24106981.829999998</v>
      </c>
      <c r="T71" s="415">
        <v>11444547.720000001</v>
      </c>
      <c r="U71" s="415">
        <v>24110435.620000001</v>
      </c>
      <c r="V71" s="415">
        <v>11470461.039999999</v>
      </c>
      <c r="W71" s="415">
        <v>24120106.18</v>
      </c>
      <c r="X71" s="415">
        <v>11507832.220000001</v>
      </c>
      <c r="Y71" s="415">
        <v>24143286.52</v>
      </c>
      <c r="Z71" s="415">
        <v>11544598.16</v>
      </c>
      <c r="AA71" s="415">
        <v>24151932.48</v>
      </c>
      <c r="AB71" s="415">
        <v>11577400.66</v>
      </c>
      <c r="AC71" s="415">
        <v>24129820.09</v>
      </c>
      <c r="AD71" s="415">
        <v>11609933</v>
      </c>
      <c r="AE71" s="415">
        <f t="shared" si="3"/>
        <v>24082228.912083339</v>
      </c>
      <c r="AF71" s="415">
        <f t="shared" si="3"/>
        <v>11408301.182499999</v>
      </c>
    </row>
    <row r="72" spans="1:32">
      <c r="A72" s="409">
        <v>63</v>
      </c>
      <c r="C72" s="24" t="s">
        <v>885</v>
      </c>
      <c r="D72" s="24" t="s">
        <v>866</v>
      </c>
      <c r="E72" s="415">
        <v>9441928.3100000005</v>
      </c>
      <c r="F72" s="415">
        <v>3952589.04</v>
      </c>
      <c r="G72" s="415">
        <v>9454018.0099999998</v>
      </c>
      <c r="H72" s="415">
        <v>3965194.13</v>
      </c>
      <c r="I72" s="415">
        <v>9458587.6999999993</v>
      </c>
      <c r="J72" s="415">
        <v>3968323.86</v>
      </c>
      <c r="K72" s="415">
        <v>9459900.9499999993</v>
      </c>
      <c r="L72" s="415">
        <v>3970771.91</v>
      </c>
      <c r="M72" s="415">
        <v>9473642.7100000009</v>
      </c>
      <c r="N72" s="415">
        <v>3987990.24</v>
      </c>
      <c r="O72" s="415">
        <v>9457659.2300000004</v>
      </c>
      <c r="P72" s="415">
        <v>3996840.83</v>
      </c>
      <c r="Q72" s="415">
        <v>9464898.5399999991</v>
      </c>
      <c r="R72" s="415">
        <v>4013262.13</v>
      </c>
      <c r="S72" s="415">
        <v>9507831.6600000001</v>
      </c>
      <c r="T72" s="415">
        <v>4027747.17</v>
      </c>
      <c r="U72" s="415">
        <v>9548823.1099999994</v>
      </c>
      <c r="V72" s="415">
        <v>4041969.8</v>
      </c>
      <c r="W72" s="415">
        <v>9598790.9299999997</v>
      </c>
      <c r="X72" s="415">
        <v>4046489.75</v>
      </c>
      <c r="Y72" s="415">
        <v>9623421.2200000007</v>
      </c>
      <c r="Z72" s="415">
        <v>4062865.35</v>
      </c>
      <c r="AA72" s="415">
        <v>9642433.2200000007</v>
      </c>
      <c r="AB72" s="415">
        <v>4075168.64</v>
      </c>
      <c r="AC72" s="415">
        <v>9718288.5999999996</v>
      </c>
      <c r="AD72" s="415">
        <v>4089802.52</v>
      </c>
      <c r="AE72" s="415">
        <f t="shared" si="3"/>
        <v>9522509.6445833333</v>
      </c>
      <c r="AF72" s="415">
        <f t="shared" si="3"/>
        <v>4014818.2991666663</v>
      </c>
    </row>
    <row r="73" spans="1:32">
      <c r="A73" s="409">
        <v>64</v>
      </c>
      <c r="C73" s="24" t="s">
        <v>886</v>
      </c>
      <c r="D73" s="24" t="s">
        <v>866</v>
      </c>
      <c r="E73" s="415">
        <v>0</v>
      </c>
      <c r="F73" s="415">
        <v>-305.76</v>
      </c>
      <c r="G73" s="415">
        <v>0</v>
      </c>
      <c r="H73" s="415">
        <v>-305.76</v>
      </c>
      <c r="I73" s="415">
        <v>0</v>
      </c>
      <c r="J73" s="415">
        <v>-305.76</v>
      </c>
      <c r="K73" s="415">
        <v>0</v>
      </c>
      <c r="L73" s="415">
        <v>-305.76</v>
      </c>
      <c r="M73" s="415">
        <v>0</v>
      </c>
      <c r="N73" s="415">
        <v>-305.76</v>
      </c>
      <c r="O73" s="415">
        <v>0</v>
      </c>
      <c r="P73" s="415">
        <v>-305.76</v>
      </c>
      <c r="Q73" s="415">
        <v>0</v>
      </c>
      <c r="R73" s="415">
        <v>-305.76</v>
      </c>
      <c r="S73" s="415">
        <v>0</v>
      </c>
      <c r="T73" s="415">
        <v>-305.76</v>
      </c>
      <c r="U73" s="415">
        <v>0</v>
      </c>
      <c r="V73" s="415">
        <v>-305.76</v>
      </c>
      <c r="W73" s="415">
        <v>0</v>
      </c>
      <c r="X73" s="415">
        <v>-305.76</v>
      </c>
      <c r="Y73" s="415">
        <v>0</v>
      </c>
      <c r="Z73" s="415">
        <v>-305.76</v>
      </c>
      <c r="AA73" s="415">
        <v>0</v>
      </c>
      <c r="AB73" s="415">
        <v>-305.76</v>
      </c>
      <c r="AC73" s="415">
        <v>0</v>
      </c>
      <c r="AD73" s="415">
        <v>0</v>
      </c>
      <c r="AE73" s="415">
        <f t="shared" si="3"/>
        <v>0</v>
      </c>
      <c r="AF73" s="415">
        <f t="shared" si="3"/>
        <v>-293.02000000000004</v>
      </c>
    </row>
    <row r="74" spans="1:32">
      <c r="A74" s="409">
        <v>65</v>
      </c>
      <c r="C74" s="24" t="s">
        <v>887</v>
      </c>
      <c r="D74" s="24" t="s">
        <v>866</v>
      </c>
      <c r="E74" s="415">
        <v>2020069.02</v>
      </c>
      <c r="F74" s="415">
        <v>0</v>
      </c>
      <c r="G74" s="415">
        <v>2020069.02</v>
      </c>
      <c r="H74" s="415">
        <v>0</v>
      </c>
      <c r="I74" s="415">
        <v>2020069.02</v>
      </c>
      <c r="J74" s="415">
        <v>0</v>
      </c>
      <c r="K74" s="415">
        <v>2020069.02</v>
      </c>
      <c r="L74" s="415">
        <v>0</v>
      </c>
      <c r="M74" s="415">
        <v>2020069.02</v>
      </c>
      <c r="N74" s="415">
        <v>0</v>
      </c>
      <c r="O74" s="415">
        <v>2020069.02</v>
      </c>
      <c r="P74" s="415">
        <v>0</v>
      </c>
      <c r="Q74" s="415">
        <v>2020069.02</v>
      </c>
      <c r="R74" s="415">
        <v>0</v>
      </c>
      <c r="S74" s="415">
        <v>2020069.02</v>
      </c>
      <c r="T74" s="415">
        <v>0</v>
      </c>
      <c r="U74" s="415">
        <v>2020069.02</v>
      </c>
      <c r="V74" s="415">
        <v>0</v>
      </c>
      <c r="W74" s="415">
        <v>2558710.29</v>
      </c>
      <c r="X74" s="415">
        <v>0</v>
      </c>
      <c r="Y74" s="415">
        <v>2558710.29</v>
      </c>
      <c r="Z74" s="415">
        <v>0</v>
      </c>
      <c r="AA74" s="415">
        <v>2558710.29</v>
      </c>
      <c r="AB74" s="415">
        <v>0</v>
      </c>
      <c r="AC74" s="415">
        <v>2549877.4</v>
      </c>
      <c r="AD74" s="415">
        <v>0</v>
      </c>
      <c r="AE74" s="415">
        <f t="shared" si="3"/>
        <v>2176804.6866666665</v>
      </c>
      <c r="AF74" s="415">
        <f t="shared" si="3"/>
        <v>0</v>
      </c>
    </row>
    <row r="75" spans="1:32">
      <c r="A75" s="409">
        <v>66</v>
      </c>
      <c r="C75" s="24" t="s">
        <v>888</v>
      </c>
      <c r="D75" s="24" t="s">
        <v>866</v>
      </c>
      <c r="E75" s="415">
        <v>7933.28</v>
      </c>
      <c r="F75" s="415">
        <v>4703.88</v>
      </c>
      <c r="G75" s="415">
        <v>7933.28</v>
      </c>
      <c r="H75" s="415">
        <v>4703.88</v>
      </c>
      <c r="I75" s="415">
        <v>7933.28</v>
      </c>
      <c r="J75" s="415">
        <v>4703.88</v>
      </c>
      <c r="K75" s="415">
        <v>7933.28</v>
      </c>
      <c r="L75" s="415">
        <v>4703.88</v>
      </c>
      <c r="M75" s="415">
        <v>7933.28</v>
      </c>
      <c r="N75" s="415">
        <v>4703.88</v>
      </c>
      <c r="O75" s="415">
        <v>7933.28</v>
      </c>
      <c r="P75" s="415">
        <v>4703.88</v>
      </c>
      <c r="Q75" s="415">
        <v>7933.28</v>
      </c>
      <c r="R75" s="415">
        <v>4703.88</v>
      </c>
      <c r="S75" s="415">
        <v>7933.28</v>
      </c>
      <c r="T75" s="415">
        <v>4703.88</v>
      </c>
      <c r="U75" s="415">
        <v>7933.28</v>
      </c>
      <c r="V75" s="415">
        <v>4703.88</v>
      </c>
      <c r="W75" s="415">
        <v>7933.28</v>
      </c>
      <c r="X75" s="415">
        <v>4703.88</v>
      </c>
      <c r="Y75" s="415">
        <v>7933.28</v>
      </c>
      <c r="Z75" s="415">
        <v>4703.88</v>
      </c>
      <c r="AA75" s="415">
        <v>7933.28</v>
      </c>
      <c r="AB75" s="415">
        <v>4703.88</v>
      </c>
      <c r="AC75" s="415">
        <v>7933.28</v>
      </c>
      <c r="AD75" s="415">
        <v>4703.88</v>
      </c>
      <c r="AE75" s="415">
        <f t="shared" si="3"/>
        <v>7933.28</v>
      </c>
      <c r="AF75" s="415">
        <f t="shared" si="3"/>
        <v>4703.8799999999992</v>
      </c>
    </row>
    <row r="76" spans="1:32">
      <c r="A76" s="409">
        <v>67</v>
      </c>
      <c r="C76" s="24" t="s">
        <v>889</v>
      </c>
      <c r="D76" s="24" t="s">
        <v>866</v>
      </c>
      <c r="E76" s="415">
        <v>9555549.6300000008</v>
      </c>
      <c r="F76" s="415">
        <v>4799302.57</v>
      </c>
      <c r="G76" s="415">
        <v>9562360.2200000007</v>
      </c>
      <c r="H76" s="415">
        <v>4809176.6399999997</v>
      </c>
      <c r="I76" s="415">
        <v>9559168.8499999996</v>
      </c>
      <c r="J76" s="415">
        <v>4808721.75</v>
      </c>
      <c r="K76" s="415">
        <v>9539433.9399999995</v>
      </c>
      <c r="L76" s="415">
        <v>4818500.26</v>
      </c>
      <c r="M76" s="415">
        <v>12328441.6</v>
      </c>
      <c r="N76" s="415">
        <v>4828357.68</v>
      </c>
      <c r="O76" s="415">
        <v>12354137.25</v>
      </c>
      <c r="P76" s="415">
        <v>4841097.07</v>
      </c>
      <c r="Q76" s="415">
        <v>12354280.359999999</v>
      </c>
      <c r="R76" s="415">
        <v>4853863.01</v>
      </c>
      <c r="S76" s="415">
        <v>12358344.220000001</v>
      </c>
      <c r="T76" s="415">
        <v>4865853.03</v>
      </c>
      <c r="U76" s="415">
        <v>12359983.75</v>
      </c>
      <c r="V76" s="415">
        <v>4878623.32</v>
      </c>
      <c r="W76" s="415">
        <v>12360374.58</v>
      </c>
      <c r="X76" s="415">
        <v>4891395.3</v>
      </c>
      <c r="Y76" s="415">
        <v>12360374.58</v>
      </c>
      <c r="Z76" s="415">
        <v>4904167.6900000004</v>
      </c>
      <c r="AA76" s="415">
        <v>12383866.98</v>
      </c>
      <c r="AB76" s="415">
        <v>4916434.0600000005</v>
      </c>
      <c r="AC76" s="415">
        <v>12467225.67</v>
      </c>
      <c r="AD76" s="415">
        <v>4929230.72</v>
      </c>
      <c r="AE76" s="415">
        <f t="shared" si="3"/>
        <v>11544346.164999999</v>
      </c>
      <c r="AF76" s="415">
        <f t="shared" si="3"/>
        <v>4856704.7045833329</v>
      </c>
    </row>
    <row r="77" spans="1:32">
      <c r="A77" s="409">
        <v>68</v>
      </c>
      <c r="C77" s="24" t="s">
        <v>890</v>
      </c>
      <c r="D77" s="24" t="s">
        <v>866</v>
      </c>
      <c r="E77" s="415">
        <v>102325.73</v>
      </c>
      <c r="F77" s="415">
        <v>39019.07</v>
      </c>
      <c r="G77" s="415">
        <v>102325.73</v>
      </c>
      <c r="H77" s="415">
        <v>40500.230000000003</v>
      </c>
      <c r="I77" s="415">
        <v>102325.73</v>
      </c>
      <c r="J77" s="415">
        <v>41981.39</v>
      </c>
      <c r="K77" s="415">
        <v>102325.73</v>
      </c>
      <c r="L77" s="415">
        <v>43462.55</v>
      </c>
      <c r="M77" s="415">
        <v>102325.73</v>
      </c>
      <c r="N77" s="415">
        <v>44943.71</v>
      </c>
      <c r="O77" s="415">
        <v>102325.73</v>
      </c>
      <c r="P77" s="415">
        <v>46424.87</v>
      </c>
      <c r="Q77" s="415">
        <v>102325.73</v>
      </c>
      <c r="R77" s="415">
        <v>47906.03</v>
      </c>
      <c r="S77" s="415">
        <v>102325.73</v>
      </c>
      <c r="T77" s="415">
        <v>49387.19</v>
      </c>
      <c r="U77" s="415">
        <v>113762.56</v>
      </c>
      <c r="V77" s="415">
        <v>50868.35</v>
      </c>
      <c r="W77" s="415">
        <v>114979.17</v>
      </c>
      <c r="X77" s="415">
        <v>52515.06</v>
      </c>
      <c r="Y77" s="415">
        <v>114979.17</v>
      </c>
      <c r="Z77" s="415">
        <v>54179.380000000005</v>
      </c>
      <c r="AA77" s="415">
        <v>114979.17</v>
      </c>
      <c r="AB77" s="415">
        <v>55843.700000000004</v>
      </c>
      <c r="AC77" s="415">
        <v>114769.47</v>
      </c>
      <c r="AD77" s="415">
        <v>57508.020000000004</v>
      </c>
      <c r="AE77" s="415">
        <f t="shared" si="3"/>
        <v>106960.64833333333</v>
      </c>
      <c r="AF77" s="415">
        <f t="shared" si="3"/>
        <v>48023.000416666669</v>
      </c>
    </row>
    <row r="78" spans="1:32">
      <c r="A78" s="409">
        <v>69</v>
      </c>
      <c r="C78" s="24" t="s">
        <v>891</v>
      </c>
      <c r="D78" s="24" t="s">
        <v>866</v>
      </c>
      <c r="E78" s="415">
        <v>447968.56</v>
      </c>
      <c r="F78" s="415">
        <v>123514.99</v>
      </c>
      <c r="G78" s="415">
        <v>447968.56</v>
      </c>
      <c r="H78" s="415">
        <v>125374.06</v>
      </c>
      <c r="I78" s="415">
        <v>447968.56</v>
      </c>
      <c r="J78" s="415">
        <v>127233.13</v>
      </c>
      <c r="K78" s="415">
        <v>441814.81</v>
      </c>
      <c r="L78" s="415">
        <v>129092.2</v>
      </c>
      <c r="M78" s="415">
        <v>441814.81</v>
      </c>
      <c r="N78" s="415">
        <v>130925.73</v>
      </c>
      <c r="O78" s="415">
        <v>441814.81</v>
      </c>
      <c r="P78" s="415">
        <v>132759.26</v>
      </c>
      <c r="Q78" s="415">
        <v>441814.81</v>
      </c>
      <c r="R78" s="415">
        <v>134592.79</v>
      </c>
      <c r="S78" s="415">
        <v>441814.81</v>
      </c>
      <c r="T78" s="415">
        <v>136426.32</v>
      </c>
      <c r="U78" s="415">
        <v>446171.05</v>
      </c>
      <c r="V78" s="415">
        <v>138259.85</v>
      </c>
      <c r="W78" s="415">
        <v>446171.05</v>
      </c>
      <c r="X78" s="415">
        <v>140111.46</v>
      </c>
      <c r="Y78" s="415">
        <v>446171.05</v>
      </c>
      <c r="Z78" s="415">
        <v>141963.07</v>
      </c>
      <c r="AA78" s="415">
        <v>446171.05</v>
      </c>
      <c r="AB78" s="415">
        <v>143814.68</v>
      </c>
      <c r="AC78" s="415">
        <v>446098.85000000003</v>
      </c>
      <c r="AD78" s="415">
        <v>145666.29</v>
      </c>
      <c r="AE78" s="415">
        <f t="shared" si="3"/>
        <v>444727.4229166666</v>
      </c>
      <c r="AF78" s="415">
        <f t="shared" si="3"/>
        <v>134595.26583333334</v>
      </c>
    </row>
    <row r="79" spans="1:32">
      <c r="A79" s="409">
        <v>70</v>
      </c>
      <c r="C79" s="24" t="s">
        <v>892</v>
      </c>
      <c r="D79" s="24" t="s">
        <v>866</v>
      </c>
      <c r="E79" s="415">
        <v>208790.52000000002</v>
      </c>
      <c r="F79" s="415">
        <v>97529.52</v>
      </c>
      <c r="G79" s="415">
        <v>208790.52000000002</v>
      </c>
      <c r="H79" s="415">
        <v>98077.59</v>
      </c>
      <c r="I79" s="415">
        <v>208790.52000000002</v>
      </c>
      <c r="J79" s="415">
        <v>98625.66</v>
      </c>
      <c r="K79" s="415">
        <v>208790.52000000002</v>
      </c>
      <c r="L79" s="415">
        <v>99173.73</v>
      </c>
      <c r="M79" s="415">
        <v>208790.52000000002</v>
      </c>
      <c r="N79" s="415">
        <v>99721.8</v>
      </c>
      <c r="O79" s="415">
        <v>208790.52000000002</v>
      </c>
      <c r="P79" s="415">
        <v>100269.87</v>
      </c>
      <c r="Q79" s="415">
        <v>208790.52000000002</v>
      </c>
      <c r="R79" s="415">
        <v>100817.94</v>
      </c>
      <c r="S79" s="415">
        <v>208790.52000000002</v>
      </c>
      <c r="T79" s="415">
        <v>101366.01000000001</v>
      </c>
      <c r="U79" s="415">
        <v>208790.52000000002</v>
      </c>
      <c r="V79" s="415">
        <v>101914.08</v>
      </c>
      <c r="W79" s="415">
        <v>203549.89</v>
      </c>
      <c r="X79" s="415">
        <v>97721.52</v>
      </c>
      <c r="Y79" s="415">
        <v>203549.89</v>
      </c>
      <c r="Z79" s="415">
        <v>98255.84</v>
      </c>
      <c r="AA79" s="415">
        <v>203549.89</v>
      </c>
      <c r="AB79" s="415">
        <v>98790.16</v>
      </c>
      <c r="AC79" s="415">
        <v>203549.89</v>
      </c>
      <c r="AD79" s="415">
        <v>99324.479999999996</v>
      </c>
      <c r="AE79" s="415">
        <f t="shared" si="3"/>
        <v>207262.00291666671</v>
      </c>
      <c r="AF79" s="415">
        <f t="shared" si="3"/>
        <v>99430.099999999991</v>
      </c>
    </row>
    <row r="80" spans="1:32">
      <c r="A80" s="409">
        <v>71</v>
      </c>
      <c r="C80" s="24" t="s">
        <v>893</v>
      </c>
      <c r="D80" s="24" t="s">
        <v>866</v>
      </c>
      <c r="E80" s="415">
        <v>11132770.07</v>
      </c>
      <c r="F80" s="415">
        <v>3665685.4</v>
      </c>
      <c r="G80" s="415">
        <v>11216656.800000001</v>
      </c>
      <c r="H80" s="415">
        <v>3722740.84</v>
      </c>
      <c r="I80" s="415">
        <v>11034806.4</v>
      </c>
      <c r="J80" s="415">
        <v>3645780.09</v>
      </c>
      <c r="K80" s="415">
        <v>11040618.57</v>
      </c>
      <c r="L80" s="415">
        <v>3684844.69</v>
      </c>
      <c r="M80" s="415">
        <v>11082041.82</v>
      </c>
      <c r="N80" s="415">
        <v>3702527.61</v>
      </c>
      <c r="O80" s="415">
        <v>11145849.17</v>
      </c>
      <c r="P80" s="415">
        <v>3748029.0300000003</v>
      </c>
      <c r="Q80" s="415">
        <v>11090363.529999999</v>
      </c>
      <c r="R80" s="415">
        <v>3681116.13</v>
      </c>
      <c r="S80" s="415">
        <v>10944183</v>
      </c>
      <c r="T80" s="415">
        <v>3622538.86</v>
      </c>
      <c r="U80" s="415">
        <v>11163686.34</v>
      </c>
      <c r="V80" s="415">
        <v>3687335.95</v>
      </c>
      <c r="W80" s="415">
        <v>11275500.68</v>
      </c>
      <c r="X80" s="415">
        <v>3590028.3</v>
      </c>
      <c r="Y80" s="415">
        <v>11221880.85</v>
      </c>
      <c r="Z80" s="415">
        <v>3581881.02</v>
      </c>
      <c r="AA80" s="415">
        <v>11021655.4</v>
      </c>
      <c r="AB80" s="415">
        <v>3496945.23</v>
      </c>
      <c r="AC80" s="415">
        <v>11625924.470000001</v>
      </c>
      <c r="AD80" s="415">
        <v>3502362.43</v>
      </c>
      <c r="AE80" s="415">
        <f t="shared" si="3"/>
        <v>11134715.819166666</v>
      </c>
      <c r="AF80" s="415">
        <f t="shared" si="3"/>
        <v>3645649.305416666</v>
      </c>
    </row>
    <row r="81" spans="1:32">
      <c r="A81" s="409">
        <v>72</v>
      </c>
      <c r="C81" s="24" t="s">
        <v>894</v>
      </c>
      <c r="D81" s="24" t="s">
        <v>866</v>
      </c>
      <c r="E81" s="415">
        <v>23837.02</v>
      </c>
      <c r="F81" s="415">
        <v>11691.89</v>
      </c>
      <c r="G81" s="415">
        <v>23837.02</v>
      </c>
      <c r="H81" s="415">
        <v>11797.960000000001</v>
      </c>
      <c r="I81" s="415">
        <v>23837.02</v>
      </c>
      <c r="J81" s="415">
        <v>11904.03</v>
      </c>
      <c r="K81" s="415">
        <v>23837.02</v>
      </c>
      <c r="L81" s="415">
        <v>12010.1</v>
      </c>
      <c r="M81" s="415">
        <v>23837.02</v>
      </c>
      <c r="N81" s="415">
        <v>12116.17</v>
      </c>
      <c r="O81" s="415">
        <v>23837.02</v>
      </c>
      <c r="P81" s="415">
        <v>12222.24</v>
      </c>
      <c r="Q81" s="415">
        <v>23837.02</v>
      </c>
      <c r="R81" s="415">
        <v>12328.31</v>
      </c>
      <c r="S81" s="415">
        <v>23837.02</v>
      </c>
      <c r="T81" s="415">
        <v>12434.380000000001</v>
      </c>
      <c r="U81" s="415">
        <v>23837.02</v>
      </c>
      <c r="V81" s="415">
        <v>12540.45</v>
      </c>
      <c r="W81" s="415">
        <v>23837.02</v>
      </c>
      <c r="X81" s="415">
        <v>12646.52</v>
      </c>
      <c r="Y81" s="415">
        <v>23837.02</v>
      </c>
      <c r="Z81" s="415">
        <v>12752.59</v>
      </c>
      <c r="AA81" s="415">
        <v>23837.02</v>
      </c>
      <c r="AB81" s="415">
        <v>12858.66</v>
      </c>
      <c r="AC81" s="415">
        <v>23837.02</v>
      </c>
      <c r="AD81" s="415">
        <v>12964.73</v>
      </c>
      <c r="AE81" s="415">
        <f t="shared" si="3"/>
        <v>23837.02</v>
      </c>
      <c r="AF81" s="415">
        <f t="shared" si="3"/>
        <v>12328.31</v>
      </c>
    </row>
    <row r="82" spans="1:32">
      <c r="A82" s="409">
        <v>73</v>
      </c>
      <c r="C82" s="24" t="s">
        <v>895</v>
      </c>
      <c r="D82" s="24" t="s">
        <v>866</v>
      </c>
      <c r="E82" s="415">
        <v>4876288.05</v>
      </c>
      <c r="F82" s="415">
        <v>1349016.6600000001</v>
      </c>
      <c r="G82" s="415">
        <v>4882862.6399999997</v>
      </c>
      <c r="H82" s="415">
        <v>1363482.98</v>
      </c>
      <c r="I82" s="415">
        <v>4911312.6100000003</v>
      </c>
      <c r="J82" s="415">
        <v>1377968.81</v>
      </c>
      <c r="K82" s="415">
        <v>4865469.66</v>
      </c>
      <c r="L82" s="415">
        <v>1326297.99</v>
      </c>
      <c r="M82" s="415">
        <v>4905803.05</v>
      </c>
      <c r="N82" s="415">
        <v>1340732.22</v>
      </c>
      <c r="O82" s="415">
        <v>4918419.63</v>
      </c>
      <c r="P82" s="415">
        <v>1355286.1</v>
      </c>
      <c r="Q82" s="415">
        <v>4964085.72</v>
      </c>
      <c r="R82" s="415">
        <v>1369877.4100000001</v>
      </c>
      <c r="S82" s="415">
        <v>4969215.47</v>
      </c>
      <c r="T82" s="415">
        <v>1384604.2</v>
      </c>
      <c r="U82" s="415">
        <v>4973980.4800000004</v>
      </c>
      <c r="V82" s="415">
        <v>1399346.21</v>
      </c>
      <c r="W82" s="415">
        <v>4979486.47</v>
      </c>
      <c r="X82" s="415">
        <v>1414102.35</v>
      </c>
      <c r="Y82" s="415">
        <v>4984424.6399999997</v>
      </c>
      <c r="Z82" s="415">
        <v>1428874.83</v>
      </c>
      <c r="AA82" s="415">
        <v>4984424.6399999997</v>
      </c>
      <c r="AB82" s="415">
        <v>1443661.96</v>
      </c>
      <c r="AC82" s="415">
        <v>5008038.0999999996</v>
      </c>
      <c r="AD82" s="415">
        <v>1458449.09</v>
      </c>
      <c r="AE82" s="415">
        <f t="shared" si="3"/>
        <v>4940137.3404166671</v>
      </c>
      <c r="AF82" s="415">
        <f t="shared" si="3"/>
        <v>1383997.3279166666</v>
      </c>
    </row>
    <row r="83" spans="1:32">
      <c r="A83" s="409">
        <v>74</v>
      </c>
      <c r="C83" s="24" t="s">
        <v>896</v>
      </c>
      <c r="D83" s="24" t="s">
        <v>866</v>
      </c>
      <c r="E83" s="415">
        <v>131231.01999999999</v>
      </c>
      <c r="F83" s="415">
        <v>120288.42</v>
      </c>
      <c r="G83" s="415">
        <v>131231.01999999999</v>
      </c>
      <c r="H83" s="415">
        <v>120489.64</v>
      </c>
      <c r="I83" s="415">
        <v>131231.01999999999</v>
      </c>
      <c r="J83" s="415">
        <v>120690.86</v>
      </c>
      <c r="K83" s="415">
        <v>131231.01999999999</v>
      </c>
      <c r="L83" s="415">
        <v>120892.08</v>
      </c>
      <c r="M83" s="415">
        <v>131231.01999999999</v>
      </c>
      <c r="N83" s="415">
        <v>121093.3</v>
      </c>
      <c r="O83" s="415">
        <v>131231.01999999999</v>
      </c>
      <c r="P83" s="415">
        <v>121294.52</v>
      </c>
      <c r="Q83" s="415">
        <v>131231.01999999999</v>
      </c>
      <c r="R83" s="415">
        <v>121495.74</v>
      </c>
      <c r="S83" s="415">
        <v>131231.01999999999</v>
      </c>
      <c r="T83" s="415">
        <v>121696.96000000001</v>
      </c>
      <c r="U83" s="415">
        <v>131231.01999999999</v>
      </c>
      <c r="V83" s="415">
        <v>121898.18000000001</v>
      </c>
      <c r="W83" s="415">
        <v>131231.01999999999</v>
      </c>
      <c r="X83" s="415">
        <v>122099.40000000001</v>
      </c>
      <c r="Y83" s="415">
        <v>131231.01999999999</v>
      </c>
      <c r="Z83" s="415">
        <v>122300.62</v>
      </c>
      <c r="AA83" s="415">
        <v>131231.01999999999</v>
      </c>
      <c r="AB83" s="415">
        <v>122501.84</v>
      </c>
      <c r="AC83" s="415">
        <v>131231.01999999999</v>
      </c>
      <c r="AD83" s="415">
        <v>122703.06</v>
      </c>
      <c r="AE83" s="415">
        <f t="shared" si="3"/>
        <v>131231.01999999999</v>
      </c>
      <c r="AF83" s="415">
        <f t="shared" si="3"/>
        <v>121495.73999999999</v>
      </c>
    </row>
    <row r="84" spans="1:32">
      <c r="A84" s="409">
        <v>75</v>
      </c>
      <c r="C84" s="24" t="s">
        <v>897</v>
      </c>
      <c r="D84" s="24" t="s">
        <v>866</v>
      </c>
      <c r="E84" s="415">
        <v>29277.34</v>
      </c>
      <c r="F84" s="415">
        <v>21813.78</v>
      </c>
      <c r="G84" s="415">
        <v>29277.34</v>
      </c>
      <c r="H84" s="415">
        <v>21926.010000000002</v>
      </c>
      <c r="I84" s="415">
        <v>29277.34</v>
      </c>
      <c r="J84" s="415">
        <v>22038.240000000002</v>
      </c>
      <c r="K84" s="415">
        <v>5249.37</v>
      </c>
      <c r="L84" s="415">
        <v>-1877.5</v>
      </c>
      <c r="M84" s="415">
        <v>5249.37</v>
      </c>
      <c r="N84" s="415">
        <v>-1857.38</v>
      </c>
      <c r="O84" s="415">
        <v>5249.37</v>
      </c>
      <c r="P84" s="415">
        <v>-1837.26</v>
      </c>
      <c r="Q84" s="415">
        <v>5249.37</v>
      </c>
      <c r="R84" s="415">
        <v>-1817.14</v>
      </c>
      <c r="S84" s="415">
        <v>5249.37</v>
      </c>
      <c r="T84" s="415">
        <v>-1797.02</v>
      </c>
      <c r="U84" s="415">
        <v>5249.37</v>
      </c>
      <c r="V84" s="415">
        <v>-1776.9</v>
      </c>
      <c r="W84" s="415">
        <v>5249.37</v>
      </c>
      <c r="X84" s="415">
        <v>-1756.78</v>
      </c>
      <c r="Y84" s="415">
        <v>5249.37</v>
      </c>
      <c r="Z84" s="415">
        <v>-1736.66</v>
      </c>
      <c r="AA84" s="415">
        <v>5249.37</v>
      </c>
      <c r="AB84" s="415">
        <v>-1716.54</v>
      </c>
      <c r="AC84" s="415">
        <v>5249.37</v>
      </c>
      <c r="AD84" s="415">
        <v>-1696.42</v>
      </c>
      <c r="AE84" s="415">
        <f t="shared" si="3"/>
        <v>10255.197083333331</v>
      </c>
      <c r="AF84" s="415">
        <f t="shared" si="3"/>
        <v>3154.1458333333335</v>
      </c>
    </row>
    <row r="85" spans="1:32">
      <c r="A85" s="409">
        <v>76</v>
      </c>
      <c r="C85" s="24" t="s">
        <v>898</v>
      </c>
      <c r="D85" s="24" t="s">
        <v>866</v>
      </c>
      <c r="E85" s="415">
        <v>3239948.69</v>
      </c>
      <c r="F85" s="415">
        <v>-419854.45</v>
      </c>
      <c r="G85" s="415">
        <v>3430954.87</v>
      </c>
      <c r="H85" s="415">
        <v>-405868.68</v>
      </c>
      <c r="I85" s="415">
        <v>2098101.27</v>
      </c>
      <c r="J85" s="415">
        <v>-707089.84</v>
      </c>
      <c r="K85" s="415">
        <v>2016277.52</v>
      </c>
      <c r="L85" s="415">
        <v>-780256.79</v>
      </c>
      <c r="M85" s="415">
        <v>2016277.52</v>
      </c>
      <c r="N85" s="415">
        <v>-702070.84</v>
      </c>
      <c r="O85" s="415">
        <v>2016277.52</v>
      </c>
      <c r="P85" s="415">
        <v>-693367.24</v>
      </c>
      <c r="Q85" s="415">
        <v>2016277.52</v>
      </c>
      <c r="R85" s="415">
        <v>-684663.64</v>
      </c>
      <c r="S85" s="415">
        <v>2009397.16</v>
      </c>
      <c r="T85" s="415">
        <v>-681665.4</v>
      </c>
      <c r="U85" s="415">
        <v>2016778.44</v>
      </c>
      <c r="V85" s="415">
        <v>-707508.42</v>
      </c>
      <c r="W85" s="415">
        <v>2018911.32</v>
      </c>
      <c r="X85" s="415">
        <v>-739225.71</v>
      </c>
      <c r="Y85" s="415">
        <v>2021410.82</v>
      </c>
      <c r="Z85" s="415">
        <v>-743214.12</v>
      </c>
      <c r="AA85" s="415">
        <v>2139026.92</v>
      </c>
      <c r="AB85" s="415">
        <v>-734488.36</v>
      </c>
      <c r="AC85" s="415">
        <v>2099536.96</v>
      </c>
      <c r="AD85" s="415">
        <v>-1005357.87</v>
      </c>
      <c r="AE85" s="415">
        <f t="shared" si="3"/>
        <v>2205786.1420833333</v>
      </c>
      <c r="AF85" s="415">
        <f t="shared" si="3"/>
        <v>-691002.1</v>
      </c>
    </row>
    <row r="86" spans="1:32">
      <c r="A86" s="409">
        <v>77</v>
      </c>
      <c r="C86" s="24" t="s">
        <v>899</v>
      </c>
      <c r="D86" s="24" t="s">
        <v>866</v>
      </c>
      <c r="E86" s="415">
        <v>621602.63</v>
      </c>
      <c r="F86" s="415">
        <v>179102.77</v>
      </c>
      <c r="G86" s="415">
        <v>621602.63</v>
      </c>
      <c r="H86" s="415">
        <v>180718.94</v>
      </c>
      <c r="I86" s="415">
        <v>607706.98</v>
      </c>
      <c r="J86" s="415">
        <v>171539.46</v>
      </c>
      <c r="K86" s="415">
        <v>553326.53</v>
      </c>
      <c r="L86" s="415">
        <v>147864.05000000002</v>
      </c>
      <c r="M86" s="415">
        <v>553326.53</v>
      </c>
      <c r="N86" s="415">
        <v>149302.70000000001</v>
      </c>
      <c r="O86" s="415">
        <v>553326.53</v>
      </c>
      <c r="P86" s="415">
        <v>150741.35</v>
      </c>
      <c r="Q86" s="415">
        <v>553326.53</v>
      </c>
      <c r="R86" s="415">
        <v>152180</v>
      </c>
      <c r="S86" s="415">
        <v>553326.53</v>
      </c>
      <c r="T86" s="415">
        <v>153618.65</v>
      </c>
      <c r="U86" s="415">
        <v>553326.53</v>
      </c>
      <c r="V86" s="415">
        <v>155057.30000000002</v>
      </c>
      <c r="W86" s="415">
        <v>553326.53</v>
      </c>
      <c r="X86" s="415">
        <v>156495.95000000001</v>
      </c>
      <c r="Y86" s="415">
        <v>553326.53</v>
      </c>
      <c r="Z86" s="415">
        <v>157934.6</v>
      </c>
      <c r="AA86" s="415">
        <v>553326.53</v>
      </c>
      <c r="AB86" s="415">
        <v>159373.25</v>
      </c>
      <c r="AC86" s="415">
        <v>553326.53</v>
      </c>
      <c r="AD86" s="415">
        <v>160811.9</v>
      </c>
      <c r="AE86" s="415">
        <f t="shared" si="3"/>
        <v>566392.74666666682</v>
      </c>
      <c r="AF86" s="415">
        <f t="shared" si="3"/>
        <v>158731.96541666667</v>
      </c>
    </row>
    <row r="87" spans="1:32">
      <c r="A87" s="409">
        <v>78</v>
      </c>
      <c r="C87" s="24" t="s">
        <v>900</v>
      </c>
      <c r="D87" s="24" t="s">
        <v>866</v>
      </c>
      <c r="E87" s="415">
        <v>194717.30000000002</v>
      </c>
      <c r="F87" s="415">
        <v>122189.7</v>
      </c>
      <c r="G87" s="415">
        <v>194717.30000000002</v>
      </c>
      <c r="H87" s="415">
        <v>122929.63</v>
      </c>
      <c r="I87" s="415">
        <v>194717.30000000002</v>
      </c>
      <c r="J87" s="415">
        <v>123669.56</v>
      </c>
      <c r="K87" s="415">
        <v>194717.30000000002</v>
      </c>
      <c r="L87" s="415">
        <v>124409.49</v>
      </c>
      <c r="M87" s="415">
        <v>194717.30000000002</v>
      </c>
      <c r="N87" s="415">
        <v>125149.42</v>
      </c>
      <c r="O87" s="415">
        <v>194717.30000000002</v>
      </c>
      <c r="P87" s="415">
        <v>125889.35</v>
      </c>
      <c r="Q87" s="415">
        <v>194717.30000000002</v>
      </c>
      <c r="R87" s="415">
        <v>126629.28</v>
      </c>
      <c r="S87" s="415">
        <v>194717.30000000002</v>
      </c>
      <c r="T87" s="415">
        <v>127369.21</v>
      </c>
      <c r="U87" s="415">
        <v>194717.30000000002</v>
      </c>
      <c r="V87" s="415">
        <v>128109.14</v>
      </c>
      <c r="W87" s="415">
        <v>194717.30000000002</v>
      </c>
      <c r="X87" s="415">
        <v>128849.07</v>
      </c>
      <c r="Y87" s="415">
        <v>194717.30000000002</v>
      </c>
      <c r="Z87" s="415">
        <v>129589</v>
      </c>
      <c r="AA87" s="415">
        <v>194717.30000000002</v>
      </c>
      <c r="AB87" s="415">
        <v>130328.93000000001</v>
      </c>
      <c r="AC87" s="415">
        <v>194717.30000000002</v>
      </c>
      <c r="AD87" s="415">
        <v>131068.86</v>
      </c>
      <c r="AE87" s="415">
        <f t="shared" si="3"/>
        <v>194717.30000000002</v>
      </c>
      <c r="AF87" s="415">
        <f t="shared" si="3"/>
        <v>126629.27999999998</v>
      </c>
    </row>
    <row r="88" spans="1:32">
      <c r="A88" s="409">
        <v>79</v>
      </c>
      <c r="C88" s="24" t="s">
        <v>901</v>
      </c>
      <c r="D88" s="24" t="s">
        <v>866</v>
      </c>
      <c r="E88" s="415">
        <v>924622.43</v>
      </c>
      <c r="F88" s="415">
        <v>284496.61</v>
      </c>
      <c r="G88" s="415">
        <v>924622.43</v>
      </c>
      <c r="H88" s="415">
        <v>291716.37</v>
      </c>
      <c r="I88" s="415">
        <v>924622.43</v>
      </c>
      <c r="J88" s="415">
        <v>298936.13</v>
      </c>
      <c r="K88" s="415">
        <v>924622.43</v>
      </c>
      <c r="L88" s="415">
        <v>306155.89</v>
      </c>
      <c r="M88" s="415">
        <v>924622.43</v>
      </c>
      <c r="N88" s="415">
        <v>313375.65000000002</v>
      </c>
      <c r="O88" s="415">
        <v>924622.43</v>
      </c>
      <c r="P88" s="415">
        <v>320595.41000000003</v>
      </c>
      <c r="Q88" s="415">
        <v>924622.43</v>
      </c>
      <c r="R88" s="415">
        <v>327815.17</v>
      </c>
      <c r="S88" s="415">
        <v>924622.43</v>
      </c>
      <c r="T88" s="415">
        <v>335034.93</v>
      </c>
      <c r="U88" s="415">
        <v>924622.43</v>
      </c>
      <c r="V88" s="415">
        <v>342254.69</v>
      </c>
      <c r="W88" s="415">
        <v>924622.43</v>
      </c>
      <c r="X88" s="415">
        <v>349474.45</v>
      </c>
      <c r="Y88" s="415">
        <v>924622.43</v>
      </c>
      <c r="Z88" s="415">
        <v>356694.21</v>
      </c>
      <c r="AA88" s="415">
        <v>924622.43</v>
      </c>
      <c r="AB88" s="415">
        <v>363913.97000000003</v>
      </c>
      <c r="AC88" s="415">
        <v>924622.43</v>
      </c>
      <c r="AD88" s="415">
        <v>371133.73</v>
      </c>
      <c r="AE88" s="415">
        <f t="shared" si="3"/>
        <v>924622.42999999982</v>
      </c>
      <c r="AF88" s="415">
        <f t="shared" si="3"/>
        <v>327815.17000000004</v>
      </c>
    </row>
    <row r="89" spans="1:32">
      <c r="A89" s="409">
        <v>80</v>
      </c>
      <c r="C89" s="24" t="s">
        <v>902</v>
      </c>
      <c r="D89" s="24" t="s">
        <v>866</v>
      </c>
      <c r="E89" s="415">
        <v>3202003.54</v>
      </c>
      <c r="F89" s="415">
        <v>2486837.38</v>
      </c>
      <c r="G89" s="415">
        <v>3202003.54</v>
      </c>
      <c r="H89" s="415">
        <v>2487184.2599999998</v>
      </c>
      <c r="I89" s="415">
        <v>3202003.54</v>
      </c>
      <c r="J89" s="415">
        <v>2487531.14</v>
      </c>
      <c r="K89" s="415">
        <v>3204746.09</v>
      </c>
      <c r="L89" s="415">
        <v>2487878.02</v>
      </c>
      <c r="M89" s="415">
        <v>3204746.09</v>
      </c>
      <c r="N89" s="415">
        <v>2488225.2000000002</v>
      </c>
      <c r="O89" s="415">
        <v>3204746.09</v>
      </c>
      <c r="P89" s="415">
        <v>2488572.38</v>
      </c>
      <c r="Q89" s="415">
        <v>3204746.09</v>
      </c>
      <c r="R89" s="415">
        <v>2488919.56</v>
      </c>
      <c r="S89" s="415">
        <v>3204746.09</v>
      </c>
      <c r="T89" s="415">
        <v>2489266.7400000002</v>
      </c>
      <c r="U89" s="415">
        <v>3204746.09</v>
      </c>
      <c r="V89" s="415">
        <v>2489613.92</v>
      </c>
      <c r="W89" s="415">
        <v>3204655.82</v>
      </c>
      <c r="X89" s="415">
        <v>2489961.1</v>
      </c>
      <c r="Y89" s="415">
        <v>3204655.82</v>
      </c>
      <c r="Z89" s="415">
        <v>2490308.27</v>
      </c>
      <c r="AA89" s="415">
        <v>3204655.82</v>
      </c>
      <c r="AB89" s="415">
        <v>2490655.44</v>
      </c>
      <c r="AC89" s="415">
        <v>3235888.5</v>
      </c>
      <c r="AD89" s="415">
        <v>2491002.61</v>
      </c>
      <c r="AE89" s="415">
        <f t="shared" si="3"/>
        <v>3205449.7583333333</v>
      </c>
      <c r="AF89" s="415">
        <f t="shared" si="3"/>
        <v>2488919.6687500002</v>
      </c>
    </row>
    <row r="90" spans="1:32">
      <c r="A90" s="409">
        <v>81</v>
      </c>
      <c r="C90" s="24" t="s">
        <v>903</v>
      </c>
      <c r="D90" s="24" t="s">
        <v>866</v>
      </c>
      <c r="E90" s="415">
        <v>322181.13</v>
      </c>
      <c r="F90" s="415">
        <v>219230.18</v>
      </c>
      <c r="G90" s="415">
        <v>322181.13</v>
      </c>
      <c r="H90" s="415">
        <v>221694.87</v>
      </c>
      <c r="I90" s="415">
        <v>322181.13</v>
      </c>
      <c r="J90" s="415">
        <v>224159.56</v>
      </c>
      <c r="K90" s="415">
        <v>321462.03000000003</v>
      </c>
      <c r="L90" s="415">
        <v>226624.25</v>
      </c>
      <c r="M90" s="415">
        <v>321462.03000000003</v>
      </c>
      <c r="N90" s="415">
        <v>229083.43</v>
      </c>
      <c r="O90" s="415">
        <v>321462.03000000003</v>
      </c>
      <c r="P90" s="415">
        <v>231542.61000000002</v>
      </c>
      <c r="Q90" s="415">
        <v>321462.03000000003</v>
      </c>
      <c r="R90" s="415">
        <v>234001.79</v>
      </c>
      <c r="S90" s="415">
        <v>321462.03000000003</v>
      </c>
      <c r="T90" s="415">
        <v>236460.97</v>
      </c>
      <c r="U90" s="415">
        <v>321462.03000000003</v>
      </c>
      <c r="V90" s="415">
        <v>238920.15</v>
      </c>
      <c r="W90" s="415">
        <v>321462.03000000003</v>
      </c>
      <c r="X90" s="415">
        <v>241379.33000000002</v>
      </c>
      <c r="Y90" s="415">
        <v>321462.03000000003</v>
      </c>
      <c r="Z90" s="415">
        <v>243838.51</v>
      </c>
      <c r="AA90" s="415">
        <v>321462.03000000003</v>
      </c>
      <c r="AB90" s="415">
        <v>246297.69</v>
      </c>
      <c r="AC90" s="415">
        <v>321462.03000000003</v>
      </c>
      <c r="AD90" s="415">
        <v>248756.87</v>
      </c>
      <c r="AE90" s="415">
        <f t="shared" si="3"/>
        <v>321611.84250000009</v>
      </c>
      <c r="AF90" s="415">
        <f t="shared" si="3"/>
        <v>233999.72374999998</v>
      </c>
    </row>
    <row r="91" spans="1:32">
      <c r="A91" s="409">
        <v>82</v>
      </c>
      <c r="C91" s="24" t="s">
        <v>904</v>
      </c>
      <c r="D91" s="24" t="s">
        <v>866</v>
      </c>
      <c r="E91" s="415">
        <v>14274.33</v>
      </c>
      <c r="F91" s="415">
        <v>-359.73</v>
      </c>
      <c r="G91" s="415">
        <v>14274.33</v>
      </c>
      <c r="H91" s="415">
        <v>-234.71</v>
      </c>
      <c r="I91" s="415">
        <v>14274.33</v>
      </c>
      <c r="J91" s="415">
        <v>-109.69</v>
      </c>
      <c r="K91" s="415">
        <v>14274.33</v>
      </c>
      <c r="L91" s="415">
        <v>15.33</v>
      </c>
      <c r="M91" s="415">
        <v>14274.33</v>
      </c>
      <c r="N91" s="415">
        <v>140.35</v>
      </c>
      <c r="O91" s="415">
        <v>14274.33</v>
      </c>
      <c r="P91" s="415">
        <v>265.37</v>
      </c>
      <c r="Q91" s="415">
        <v>14274.33</v>
      </c>
      <c r="R91" s="415">
        <v>390.39</v>
      </c>
      <c r="S91" s="415">
        <v>14274.33</v>
      </c>
      <c r="T91" s="415">
        <v>515.41</v>
      </c>
      <c r="U91" s="415">
        <v>14274.33</v>
      </c>
      <c r="V91" s="415">
        <v>640.43000000000006</v>
      </c>
      <c r="W91" s="415">
        <v>14274.33</v>
      </c>
      <c r="X91" s="415">
        <v>765.45</v>
      </c>
      <c r="Y91" s="415">
        <v>14274.33</v>
      </c>
      <c r="Z91" s="415">
        <v>890.47</v>
      </c>
      <c r="AA91" s="415">
        <v>14274.33</v>
      </c>
      <c r="AB91" s="415">
        <v>1015.49</v>
      </c>
      <c r="AC91" s="415">
        <v>14274.33</v>
      </c>
      <c r="AD91" s="415">
        <v>1140.51</v>
      </c>
      <c r="AE91" s="415">
        <f t="shared" si="3"/>
        <v>14274.329999999996</v>
      </c>
      <c r="AF91" s="415">
        <f t="shared" si="3"/>
        <v>390.39000000000004</v>
      </c>
    </row>
    <row r="92" spans="1:32" ht="16.2">
      <c r="A92" s="409">
        <v>83</v>
      </c>
      <c r="B92" s="416" t="s">
        <v>106</v>
      </c>
      <c r="C92" s="417"/>
      <c r="D92" s="416" t="s">
        <v>905</v>
      </c>
      <c r="E92" s="418">
        <f t="shared" ref="E92:AF92" si="4">SUBTOTAL(9,E49:E91)</f>
        <v>716908411.13999987</v>
      </c>
      <c r="F92" s="418">
        <f t="shared" si="4"/>
        <v>349691372.54999995</v>
      </c>
      <c r="G92" s="418">
        <f t="shared" si="4"/>
        <v>719814865.54999983</v>
      </c>
      <c r="H92" s="418">
        <f t="shared" si="4"/>
        <v>351122100.51999992</v>
      </c>
      <c r="I92" s="418">
        <f t="shared" si="4"/>
        <v>719822123.01999986</v>
      </c>
      <c r="J92" s="418">
        <f t="shared" si="4"/>
        <v>352161619.25</v>
      </c>
      <c r="K92" s="418">
        <f t="shared" si="4"/>
        <v>721408629.44999981</v>
      </c>
      <c r="L92" s="418">
        <f t="shared" si="4"/>
        <v>353579319.95999998</v>
      </c>
      <c r="M92" s="418">
        <f t="shared" si="4"/>
        <v>726009290.69999981</v>
      </c>
      <c r="N92" s="418">
        <f t="shared" si="4"/>
        <v>355202929.90000004</v>
      </c>
      <c r="O92" s="418">
        <f t="shared" si="4"/>
        <v>729343349.84999967</v>
      </c>
      <c r="P92" s="418">
        <f t="shared" si="4"/>
        <v>356554963.54000002</v>
      </c>
      <c r="Q92" s="418">
        <f t="shared" si="4"/>
        <v>732720558.29999971</v>
      </c>
      <c r="R92" s="418">
        <f t="shared" si="4"/>
        <v>358089078.43000007</v>
      </c>
      <c r="S92" s="418">
        <f t="shared" si="4"/>
        <v>735226566.68999982</v>
      </c>
      <c r="T92" s="418">
        <f t="shared" si="4"/>
        <v>359533201.34000003</v>
      </c>
      <c r="U92" s="418">
        <f t="shared" si="4"/>
        <v>737790044.5799998</v>
      </c>
      <c r="V92" s="418">
        <f t="shared" si="4"/>
        <v>361133539.03000003</v>
      </c>
      <c r="W92" s="418">
        <f t="shared" si="4"/>
        <v>743022076.07999969</v>
      </c>
      <c r="X92" s="418">
        <f t="shared" si="4"/>
        <v>362566654.5</v>
      </c>
      <c r="Y92" s="418">
        <f t="shared" si="4"/>
        <v>748441437.37999976</v>
      </c>
      <c r="Z92" s="418">
        <f t="shared" si="4"/>
        <v>364082428.88999987</v>
      </c>
      <c r="AA92" s="418">
        <f t="shared" si="4"/>
        <v>753183631.21999967</v>
      </c>
      <c r="AB92" s="418">
        <f t="shared" si="4"/>
        <v>365355850.14999998</v>
      </c>
      <c r="AC92" s="418">
        <f t="shared" si="4"/>
        <v>764082473.55999994</v>
      </c>
      <c r="AD92" s="418">
        <f>SUBTOTAL(9,AD49:AD91)</f>
        <v>366495933.66000003</v>
      </c>
      <c r="AE92" s="418">
        <f t="shared" si="4"/>
        <v>733939834.59749973</v>
      </c>
      <c r="AF92" s="418">
        <f t="shared" si="4"/>
        <v>358122944.88458329</v>
      </c>
    </row>
    <row r="93" spans="1:32" ht="16.2">
      <c r="A93" s="409">
        <v>84</v>
      </c>
      <c r="B93" s="411" t="s">
        <v>906</v>
      </c>
      <c r="C93" s="411" t="s">
        <v>907</v>
      </c>
      <c r="D93" s="419"/>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row>
    <row r="94" spans="1:32">
      <c r="A94" s="409">
        <v>85</v>
      </c>
      <c r="C94" s="24" t="s">
        <v>908</v>
      </c>
      <c r="D94" s="24" t="s">
        <v>910</v>
      </c>
      <c r="E94" s="415">
        <v>152066.08000000002</v>
      </c>
      <c r="F94" s="415">
        <v>0</v>
      </c>
      <c r="G94" s="415">
        <v>152066.08000000002</v>
      </c>
      <c r="H94" s="415">
        <v>0</v>
      </c>
      <c r="I94" s="415">
        <v>152066.08000000002</v>
      </c>
      <c r="J94" s="415">
        <v>0</v>
      </c>
      <c r="K94" s="415">
        <v>152066.08000000002</v>
      </c>
      <c r="L94" s="415">
        <v>0</v>
      </c>
      <c r="M94" s="415">
        <v>152066.08000000002</v>
      </c>
      <c r="N94" s="415">
        <v>0</v>
      </c>
      <c r="O94" s="415">
        <v>152066.08000000002</v>
      </c>
      <c r="P94" s="415">
        <v>0</v>
      </c>
      <c r="Q94" s="415">
        <v>152066.08000000002</v>
      </c>
      <c r="R94" s="415">
        <v>0</v>
      </c>
      <c r="S94" s="415">
        <v>152066.08000000002</v>
      </c>
      <c r="T94" s="415">
        <v>0</v>
      </c>
      <c r="U94" s="415">
        <v>152066.08000000002</v>
      </c>
      <c r="V94" s="415">
        <v>0</v>
      </c>
      <c r="W94" s="415">
        <v>152066.08000000002</v>
      </c>
      <c r="X94" s="415">
        <v>0</v>
      </c>
      <c r="Y94" s="415">
        <v>152066.08000000002</v>
      </c>
      <c r="Z94" s="415">
        <v>0</v>
      </c>
      <c r="AA94" s="415">
        <v>152066.08000000002</v>
      </c>
      <c r="AB94" s="415">
        <v>0</v>
      </c>
      <c r="AC94" s="415">
        <v>152066.08000000002</v>
      </c>
      <c r="AD94" s="415">
        <v>0</v>
      </c>
      <c r="AE94" s="415">
        <f t="shared" ref="AE94:AF138" si="5">+(E94+AC94+(+G94+I94+K94+M94+O94+Q94+S94+U94+W94+Y94+AA94)*2)/24</f>
        <v>152066.08000000005</v>
      </c>
      <c r="AF94" s="415">
        <f t="shared" si="5"/>
        <v>0</v>
      </c>
    </row>
    <row r="95" spans="1:32">
      <c r="A95" s="409">
        <v>86</v>
      </c>
      <c r="C95" s="24" t="s">
        <v>909</v>
      </c>
      <c r="D95" s="414" t="s">
        <v>910</v>
      </c>
      <c r="E95" s="415">
        <v>1826757.9</v>
      </c>
      <c r="F95" s="415">
        <v>1019884.5700000001</v>
      </c>
      <c r="G95" s="415">
        <v>1826757.9000000001</v>
      </c>
      <c r="H95" s="415">
        <v>1035107.55</v>
      </c>
      <c r="I95" s="415">
        <v>1826757.9000000001</v>
      </c>
      <c r="J95" s="415">
        <v>1050330.53</v>
      </c>
      <c r="K95" s="415">
        <v>1826757.9000000001</v>
      </c>
      <c r="L95" s="415">
        <v>1065553.51</v>
      </c>
      <c r="M95" s="415">
        <v>1826757.9000000001</v>
      </c>
      <c r="N95" s="415">
        <v>1080776.49</v>
      </c>
      <c r="O95" s="415">
        <v>1826757.9000000001</v>
      </c>
      <c r="P95" s="415">
        <v>1095999.47</v>
      </c>
      <c r="Q95" s="415">
        <v>1826757.9000000001</v>
      </c>
      <c r="R95" s="415">
        <v>1111222.4500000002</v>
      </c>
      <c r="S95" s="415">
        <v>1826757.9000000001</v>
      </c>
      <c r="T95" s="415">
        <v>1126445.4300000002</v>
      </c>
      <c r="U95" s="415">
        <v>1826757.9000000001</v>
      </c>
      <c r="V95" s="415">
        <v>1141668.4100000001</v>
      </c>
      <c r="W95" s="415">
        <v>1826757.9000000001</v>
      </c>
      <c r="X95" s="415">
        <v>1156891.3900000001</v>
      </c>
      <c r="Y95" s="415">
        <v>1826757.9000000001</v>
      </c>
      <c r="Z95" s="415">
        <v>1172114.3700000001</v>
      </c>
      <c r="AA95" s="415">
        <v>1826757.9000000001</v>
      </c>
      <c r="AB95" s="415">
        <v>1187337.3500000001</v>
      </c>
      <c r="AC95" s="415">
        <v>0</v>
      </c>
      <c r="AD95" s="415">
        <v>0</v>
      </c>
      <c r="AE95" s="415">
        <f t="shared" si="5"/>
        <v>1750642.9874999998</v>
      </c>
      <c r="AF95" s="415">
        <f t="shared" si="5"/>
        <v>1061115.7695833335</v>
      </c>
    </row>
    <row r="96" spans="1:32">
      <c r="A96" s="409">
        <v>87</v>
      </c>
      <c r="C96" s="24" t="s">
        <v>911</v>
      </c>
      <c r="D96" s="414" t="s">
        <v>910</v>
      </c>
      <c r="E96" s="415">
        <v>2186206.83</v>
      </c>
      <c r="F96" s="415">
        <v>771480.16</v>
      </c>
      <c r="G96" s="415">
        <v>2186206.83</v>
      </c>
      <c r="H96" s="415">
        <v>791313.54</v>
      </c>
      <c r="I96" s="415">
        <v>2186206.83</v>
      </c>
      <c r="J96" s="415">
        <v>811146.92</v>
      </c>
      <c r="K96" s="415">
        <v>2073631.63</v>
      </c>
      <c r="L96" s="415">
        <v>718405.10000000009</v>
      </c>
      <c r="M96" s="415">
        <v>2073631.63</v>
      </c>
      <c r="N96" s="415">
        <v>735685.36</v>
      </c>
      <c r="O96" s="415">
        <v>2073631.63</v>
      </c>
      <c r="P96" s="415">
        <v>752965.62</v>
      </c>
      <c r="Q96" s="415">
        <v>2073631.63</v>
      </c>
      <c r="R96" s="415">
        <v>770245.88</v>
      </c>
      <c r="S96" s="415">
        <v>2073631.63</v>
      </c>
      <c r="T96" s="415">
        <v>787526.14</v>
      </c>
      <c r="U96" s="415">
        <v>2073631.63</v>
      </c>
      <c r="V96" s="415">
        <v>804806.4</v>
      </c>
      <c r="W96" s="415">
        <v>2073631.63</v>
      </c>
      <c r="X96" s="415">
        <v>822086.66</v>
      </c>
      <c r="Y96" s="415">
        <v>2073631.63</v>
      </c>
      <c r="Z96" s="415">
        <v>839366.92</v>
      </c>
      <c r="AA96" s="415">
        <v>2073631.63</v>
      </c>
      <c r="AB96" s="415">
        <v>856647.17999999993</v>
      </c>
      <c r="AC96" s="415">
        <v>2073631.63</v>
      </c>
      <c r="AD96" s="415">
        <v>873927.44000000006</v>
      </c>
      <c r="AE96" s="415">
        <f t="shared" si="5"/>
        <v>2097084.7966666662</v>
      </c>
      <c r="AF96" s="415">
        <f t="shared" si="5"/>
        <v>792741.62666666682</v>
      </c>
    </row>
    <row r="97" spans="1:32">
      <c r="A97" s="409">
        <v>88</v>
      </c>
      <c r="C97" s="24" t="s">
        <v>1353</v>
      </c>
      <c r="D97" s="414" t="s">
        <v>910</v>
      </c>
      <c r="E97" s="415">
        <v>22735.5</v>
      </c>
      <c r="F97" s="415">
        <v>4357.58</v>
      </c>
      <c r="G97" s="415">
        <v>22735.5</v>
      </c>
      <c r="H97" s="415">
        <v>4547.04</v>
      </c>
      <c r="I97" s="415">
        <v>22735.5</v>
      </c>
      <c r="J97" s="415">
        <v>4736.5</v>
      </c>
      <c r="K97" s="415">
        <v>22735.5</v>
      </c>
      <c r="L97" s="415">
        <v>4925.96</v>
      </c>
      <c r="M97" s="415">
        <v>22810.46</v>
      </c>
      <c r="N97" s="415">
        <v>5115.42</v>
      </c>
      <c r="O97" s="415">
        <v>22810.46</v>
      </c>
      <c r="P97" s="415">
        <v>5305.51</v>
      </c>
      <c r="Q97" s="415">
        <v>22810.46</v>
      </c>
      <c r="R97" s="415">
        <v>5495.5999999999995</v>
      </c>
      <c r="S97" s="415">
        <v>22810.46</v>
      </c>
      <c r="T97" s="415">
        <v>5685.6900000000005</v>
      </c>
      <c r="U97" s="415">
        <v>22810.46</v>
      </c>
      <c r="V97" s="415">
        <v>5875.7800000000007</v>
      </c>
      <c r="W97" s="415">
        <v>22810.46</v>
      </c>
      <c r="X97" s="415">
        <v>6065.87</v>
      </c>
      <c r="Y97" s="415">
        <v>22810.46</v>
      </c>
      <c r="Z97" s="415">
        <v>6255.96</v>
      </c>
      <c r="AA97" s="415">
        <v>22810.46</v>
      </c>
      <c r="AB97" s="415">
        <v>6446.05</v>
      </c>
      <c r="AC97" s="415">
        <v>14664.05</v>
      </c>
      <c r="AD97" s="415">
        <v>4266.1400000000003</v>
      </c>
      <c r="AE97" s="415">
        <f t="shared" si="5"/>
        <v>22449.162916666664</v>
      </c>
      <c r="AF97" s="415">
        <f t="shared" si="5"/>
        <v>5397.27</v>
      </c>
    </row>
    <row r="98" spans="1:32">
      <c r="A98" s="409">
        <v>89</v>
      </c>
      <c r="C98" s="24" t="s">
        <v>1354</v>
      </c>
      <c r="D98" s="414" t="s">
        <v>910</v>
      </c>
      <c r="E98" s="415">
        <v>430112.44000000006</v>
      </c>
      <c r="F98" s="415">
        <v>43011.24</v>
      </c>
      <c r="G98" s="415">
        <v>430112.44</v>
      </c>
      <c r="H98" s="415">
        <v>46595.51</v>
      </c>
      <c r="I98" s="415">
        <v>430112.44</v>
      </c>
      <c r="J98" s="415">
        <v>50179.780000000006</v>
      </c>
      <c r="K98" s="415">
        <v>430112.44</v>
      </c>
      <c r="L98" s="415">
        <v>53764.05</v>
      </c>
      <c r="M98" s="415">
        <v>430112.44</v>
      </c>
      <c r="N98" s="415">
        <v>57348.320000000007</v>
      </c>
      <c r="O98" s="415">
        <v>430112.44</v>
      </c>
      <c r="P98" s="415">
        <v>60932.59</v>
      </c>
      <c r="Q98" s="415">
        <v>430112.44</v>
      </c>
      <c r="R98" s="415">
        <v>64516.86</v>
      </c>
      <c r="S98" s="415">
        <v>430112.44</v>
      </c>
      <c r="T98" s="415">
        <v>68101.13</v>
      </c>
      <c r="U98" s="415">
        <v>430112.44</v>
      </c>
      <c r="V98" s="415">
        <v>71685.399999999994</v>
      </c>
      <c r="W98" s="415">
        <v>430112.44</v>
      </c>
      <c r="X98" s="415">
        <v>75269.67</v>
      </c>
      <c r="Y98" s="415">
        <v>430112.44</v>
      </c>
      <c r="Z98" s="415">
        <v>78853.94</v>
      </c>
      <c r="AA98" s="415">
        <v>430112.44</v>
      </c>
      <c r="AB98" s="415">
        <v>82438.210000000006</v>
      </c>
      <c r="AC98" s="415">
        <v>430112.44</v>
      </c>
      <c r="AD98" s="415">
        <v>86022.48000000001</v>
      </c>
      <c r="AE98" s="415">
        <f t="shared" si="5"/>
        <v>430112.44000000012</v>
      </c>
      <c r="AF98" s="415">
        <f t="shared" si="5"/>
        <v>64516.859999999993</v>
      </c>
    </row>
    <row r="99" spans="1:32">
      <c r="A99" s="409">
        <v>90</v>
      </c>
      <c r="C99" s="24" t="s">
        <v>2277</v>
      </c>
      <c r="D99" s="414" t="s">
        <v>910</v>
      </c>
      <c r="E99" s="415">
        <v>0</v>
      </c>
      <c r="F99" s="415">
        <v>0</v>
      </c>
      <c r="G99" s="415">
        <v>0</v>
      </c>
      <c r="H99" s="415">
        <v>0</v>
      </c>
      <c r="I99" s="415">
        <v>0</v>
      </c>
      <c r="J99" s="415">
        <v>0</v>
      </c>
      <c r="K99" s="415">
        <v>0</v>
      </c>
      <c r="L99" s="415">
        <v>0</v>
      </c>
      <c r="M99" s="415">
        <v>100963.92</v>
      </c>
      <c r="N99" s="415">
        <v>0</v>
      </c>
      <c r="O99" s="415">
        <v>100963.92</v>
      </c>
      <c r="P99" s="415">
        <v>841.37</v>
      </c>
      <c r="Q99" s="415">
        <v>101150.49</v>
      </c>
      <c r="R99" s="415">
        <v>1682.74</v>
      </c>
      <c r="S99" s="415">
        <v>119047.05</v>
      </c>
      <c r="T99" s="415">
        <v>2525.66</v>
      </c>
      <c r="U99" s="415">
        <v>119700.04000000001</v>
      </c>
      <c r="V99" s="415">
        <v>3517.7200000000003</v>
      </c>
      <c r="W99" s="415">
        <v>119700.04000000001</v>
      </c>
      <c r="X99" s="415">
        <v>4515.22</v>
      </c>
      <c r="Y99" s="415">
        <v>119700.04000000001</v>
      </c>
      <c r="Z99" s="415">
        <v>5512.7199999999993</v>
      </c>
      <c r="AA99" s="415">
        <v>119700.04000000001</v>
      </c>
      <c r="AB99" s="415">
        <v>6510.22</v>
      </c>
      <c r="AC99" s="415">
        <v>50760.55</v>
      </c>
      <c r="AD99" s="415">
        <v>1122.49</v>
      </c>
      <c r="AE99" s="415">
        <f t="shared" si="5"/>
        <v>77192.15125000001</v>
      </c>
      <c r="AF99" s="415">
        <f t="shared" si="5"/>
        <v>2138.9079166666666</v>
      </c>
    </row>
    <row r="100" spans="1:32">
      <c r="A100" s="409">
        <v>91</v>
      </c>
      <c r="C100" s="24" t="s">
        <v>912</v>
      </c>
      <c r="D100" s="414" t="s">
        <v>910</v>
      </c>
      <c r="E100" s="415">
        <v>0</v>
      </c>
      <c r="F100" s="415">
        <v>0</v>
      </c>
      <c r="G100" s="415">
        <v>0</v>
      </c>
      <c r="H100" s="415">
        <v>0</v>
      </c>
      <c r="I100" s="415">
        <v>0</v>
      </c>
      <c r="J100" s="415">
        <v>0</v>
      </c>
      <c r="K100" s="415">
        <v>0</v>
      </c>
      <c r="L100" s="415">
        <v>0</v>
      </c>
      <c r="M100" s="415">
        <v>0</v>
      </c>
      <c r="N100" s="415">
        <v>0</v>
      </c>
      <c r="O100" s="415">
        <v>0</v>
      </c>
      <c r="P100" s="415">
        <v>0</v>
      </c>
      <c r="Q100" s="415">
        <v>0</v>
      </c>
      <c r="R100" s="415">
        <v>0</v>
      </c>
      <c r="S100" s="415">
        <v>0</v>
      </c>
      <c r="T100" s="415">
        <v>0</v>
      </c>
      <c r="U100" s="415">
        <v>0</v>
      </c>
      <c r="V100" s="415">
        <v>0</v>
      </c>
      <c r="W100" s="415">
        <v>0</v>
      </c>
      <c r="X100" s="415">
        <v>0</v>
      </c>
      <c r="Y100" s="415">
        <v>0</v>
      </c>
      <c r="Z100" s="415">
        <v>0</v>
      </c>
      <c r="AA100" s="415">
        <v>0</v>
      </c>
      <c r="AB100" s="415">
        <v>0</v>
      </c>
      <c r="AC100" s="415">
        <v>0</v>
      </c>
      <c r="AD100" s="415">
        <v>0</v>
      </c>
      <c r="AE100" s="415">
        <f t="shared" si="5"/>
        <v>0</v>
      </c>
      <c r="AF100" s="415">
        <f t="shared" si="5"/>
        <v>0</v>
      </c>
    </row>
    <row r="101" spans="1:32">
      <c r="A101" s="409">
        <v>92</v>
      </c>
      <c r="C101" s="24" t="s">
        <v>2278</v>
      </c>
      <c r="D101" s="414" t="s">
        <v>910</v>
      </c>
      <c r="E101" s="415">
        <v>0</v>
      </c>
      <c r="F101" s="415">
        <v>0</v>
      </c>
      <c r="G101" s="415">
        <v>0</v>
      </c>
      <c r="H101" s="415">
        <v>0</v>
      </c>
      <c r="I101" s="415">
        <v>0</v>
      </c>
      <c r="J101" s="415">
        <v>0</v>
      </c>
      <c r="K101" s="415">
        <v>0</v>
      </c>
      <c r="L101" s="415">
        <v>0</v>
      </c>
      <c r="M101" s="415">
        <v>0</v>
      </c>
      <c r="N101" s="415">
        <v>0</v>
      </c>
      <c r="O101" s="415">
        <v>0</v>
      </c>
      <c r="P101" s="415">
        <v>0</v>
      </c>
      <c r="Q101" s="415">
        <v>0</v>
      </c>
      <c r="R101" s="415">
        <v>0</v>
      </c>
      <c r="S101" s="415">
        <v>0</v>
      </c>
      <c r="T101" s="415">
        <v>0</v>
      </c>
      <c r="U101" s="415">
        <v>0</v>
      </c>
      <c r="V101" s="415">
        <v>0</v>
      </c>
      <c r="W101" s="415">
        <v>603382.80000000005</v>
      </c>
      <c r="X101" s="415">
        <v>0</v>
      </c>
      <c r="Y101" s="415">
        <v>603382.80000000005</v>
      </c>
      <c r="Z101" s="415">
        <v>4188.4799999999996</v>
      </c>
      <c r="AA101" s="415">
        <v>603382.80000000005</v>
      </c>
      <c r="AB101" s="415">
        <v>8376.9599999999991</v>
      </c>
      <c r="AC101" s="415">
        <v>1191253.08</v>
      </c>
      <c r="AD101" s="415">
        <v>12565.44</v>
      </c>
      <c r="AE101" s="415">
        <f t="shared" si="5"/>
        <v>200481.24500000002</v>
      </c>
      <c r="AF101" s="415">
        <f t="shared" si="5"/>
        <v>1570.68</v>
      </c>
    </row>
    <row r="102" spans="1:32">
      <c r="A102" s="409">
        <v>93</v>
      </c>
      <c r="C102" s="24" t="s">
        <v>913</v>
      </c>
      <c r="D102" s="414" t="s">
        <v>910</v>
      </c>
      <c r="E102" s="415">
        <v>4188146.9299999997</v>
      </c>
      <c r="F102" s="415">
        <v>2025640.31</v>
      </c>
      <c r="G102" s="415">
        <v>4188146.9299999997</v>
      </c>
      <c r="H102" s="415">
        <v>2052479.35</v>
      </c>
      <c r="I102" s="415">
        <v>4188146.9299999997</v>
      </c>
      <c r="J102" s="415">
        <v>2079318.39</v>
      </c>
      <c r="K102" s="415">
        <v>4188146.9299999997</v>
      </c>
      <c r="L102" s="415">
        <v>2106157.4300000002</v>
      </c>
      <c r="M102" s="415">
        <v>4188146.9299999997</v>
      </c>
      <c r="N102" s="415">
        <v>2132996.4699999997</v>
      </c>
      <c r="O102" s="415">
        <v>4188146.9299999997</v>
      </c>
      <c r="P102" s="415">
        <v>2159835.5099999998</v>
      </c>
      <c r="Q102" s="415">
        <v>4188146.9299999997</v>
      </c>
      <c r="R102" s="415">
        <v>2186674.5499999998</v>
      </c>
      <c r="S102" s="415">
        <v>4188146.9299999997</v>
      </c>
      <c r="T102" s="415">
        <v>2213513.59</v>
      </c>
      <c r="U102" s="415">
        <v>4188146.9299999997</v>
      </c>
      <c r="V102" s="415">
        <v>2240352.63</v>
      </c>
      <c r="W102" s="415">
        <v>4188146.9299999997</v>
      </c>
      <c r="X102" s="415">
        <v>2267191.67</v>
      </c>
      <c r="Y102" s="415">
        <v>4188146.9299999997</v>
      </c>
      <c r="Z102" s="415">
        <v>2294030.71</v>
      </c>
      <c r="AA102" s="415">
        <v>4188146.9299999997</v>
      </c>
      <c r="AB102" s="415">
        <v>2320869.75</v>
      </c>
      <c r="AC102" s="415">
        <v>4188146.9299999997</v>
      </c>
      <c r="AD102" s="415">
        <v>2347708.79</v>
      </c>
      <c r="AE102" s="415">
        <f t="shared" si="5"/>
        <v>4188146.9299999997</v>
      </c>
      <c r="AF102" s="415">
        <f t="shared" si="5"/>
        <v>2186674.5499999998</v>
      </c>
    </row>
    <row r="103" spans="1:32">
      <c r="A103" s="409">
        <v>94</v>
      </c>
      <c r="C103" s="24" t="s">
        <v>914</v>
      </c>
      <c r="D103" s="414" t="s">
        <v>910</v>
      </c>
      <c r="E103" s="415">
        <v>695173.17</v>
      </c>
      <c r="F103" s="415">
        <v>386268.12</v>
      </c>
      <c r="G103" s="415">
        <v>695173.16999999993</v>
      </c>
      <c r="H103" s="415">
        <v>390404.4</v>
      </c>
      <c r="I103" s="415">
        <v>695173.16999999993</v>
      </c>
      <c r="J103" s="415">
        <v>394540.68</v>
      </c>
      <c r="K103" s="415">
        <v>695173.16999999993</v>
      </c>
      <c r="L103" s="415">
        <v>398676.96</v>
      </c>
      <c r="M103" s="415">
        <v>695173.16999999993</v>
      </c>
      <c r="N103" s="415">
        <v>402813.24</v>
      </c>
      <c r="O103" s="415">
        <v>695173.16999999993</v>
      </c>
      <c r="P103" s="415">
        <v>406949.52</v>
      </c>
      <c r="Q103" s="415">
        <v>695173.16999999993</v>
      </c>
      <c r="R103" s="415">
        <v>411085.8</v>
      </c>
      <c r="S103" s="415">
        <v>695173.16999999993</v>
      </c>
      <c r="T103" s="415">
        <v>415222.08</v>
      </c>
      <c r="U103" s="415">
        <v>695173.16999999993</v>
      </c>
      <c r="V103" s="415">
        <v>419358.36</v>
      </c>
      <c r="W103" s="415">
        <v>695173.16999999993</v>
      </c>
      <c r="X103" s="415">
        <v>423494.64</v>
      </c>
      <c r="Y103" s="415">
        <v>695173.16999999993</v>
      </c>
      <c r="Z103" s="415">
        <v>427630.92000000004</v>
      </c>
      <c r="AA103" s="415">
        <v>695173.16999999993</v>
      </c>
      <c r="AB103" s="415">
        <v>431767.2</v>
      </c>
      <c r="AC103" s="415">
        <v>695173.16999999993</v>
      </c>
      <c r="AD103" s="415">
        <v>435903.48</v>
      </c>
      <c r="AE103" s="415">
        <f t="shared" si="5"/>
        <v>695173.16999999993</v>
      </c>
      <c r="AF103" s="415">
        <f t="shared" si="5"/>
        <v>411085.8</v>
      </c>
    </row>
    <row r="104" spans="1:32">
      <c r="A104" s="409">
        <v>95</v>
      </c>
      <c r="C104" s="24" t="s">
        <v>915</v>
      </c>
      <c r="D104" s="414" t="s">
        <v>910</v>
      </c>
      <c r="E104" s="415">
        <v>2037970.8599999999</v>
      </c>
      <c r="F104" s="415">
        <v>1056937.6200000001</v>
      </c>
      <c r="G104" s="415">
        <v>2037970.8599999999</v>
      </c>
      <c r="H104" s="415">
        <v>1069063.55</v>
      </c>
      <c r="I104" s="415">
        <v>2037970.8599999999</v>
      </c>
      <c r="J104" s="415">
        <v>1081189.48</v>
      </c>
      <c r="K104" s="415">
        <v>2037970.8599999999</v>
      </c>
      <c r="L104" s="415">
        <v>1093315.4099999999</v>
      </c>
      <c r="M104" s="415">
        <v>2037970.8599999999</v>
      </c>
      <c r="N104" s="415">
        <v>1105441.3400000001</v>
      </c>
      <c r="O104" s="415">
        <v>2037970.8599999999</v>
      </c>
      <c r="P104" s="415">
        <v>1117567.27</v>
      </c>
      <c r="Q104" s="415">
        <v>2037970.8599999999</v>
      </c>
      <c r="R104" s="415">
        <v>1129693.2</v>
      </c>
      <c r="S104" s="415">
        <v>2037970.8599999999</v>
      </c>
      <c r="T104" s="415">
        <v>1141819.1299999999</v>
      </c>
      <c r="U104" s="415">
        <v>2037970.8599999999</v>
      </c>
      <c r="V104" s="415">
        <v>1153945.06</v>
      </c>
      <c r="W104" s="415">
        <v>2037970.8599999999</v>
      </c>
      <c r="X104" s="415">
        <v>1166070.99</v>
      </c>
      <c r="Y104" s="415">
        <v>2037970.8599999999</v>
      </c>
      <c r="Z104" s="415">
        <v>1178196.92</v>
      </c>
      <c r="AA104" s="415">
        <v>2037970.8599999999</v>
      </c>
      <c r="AB104" s="415">
        <v>1190322.8500000001</v>
      </c>
      <c r="AC104" s="415">
        <v>2037970.8599999999</v>
      </c>
      <c r="AD104" s="415">
        <v>1202448.78</v>
      </c>
      <c r="AE104" s="415">
        <f t="shared" si="5"/>
        <v>2037970.8599999996</v>
      </c>
      <c r="AF104" s="415">
        <f t="shared" si="5"/>
        <v>1129693.2000000002</v>
      </c>
    </row>
    <row r="105" spans="1:32">
      <c r="A105" s="409">
        <v>96</v>
      </c>
      <c r="C105" s="24" t="s">
        <v>916</v>
      </c>
      <c r="D105" s="414" t="s">
        <v>910</v>
      </c>
      <c r="E105" s="415">
        <v>17063587.219999999</v>
      </c>
      <c r="F105" s="415">
        <v>7862834.25</v>
      </c>
      <c r="G105" s="415">
        <v>17063587.219999999</v>
      </c>
      <c r="H105" s="415">
        <v>7957679.3599999994</v>
      </c>
      <c r="I105" s="415">
        <v>17063587.219999999</v>
      </c>
      <c r="J105" s="415">
        <v>8052524.4700000007</v>
      </c>
      <c r="K105" s="415">
        <v>17063587.219999999</v>
      </c>
      <c r="L105" s="415">
        <v>8147369.5800000001</v>
      </c>
      <c r="M105" s="415">
        <v>17063587.219999999</v>
      </c>
      <c r="N105" s="415">
        <v>8242214.6899999995</v>
      </c>
      <c r="O105" s="415">
        <v>17063587.219999999</v>
      </c>
      <c r="P105" s="415">
        <v>8337059.7999999998</v>
      </c>
      <c r="Q105" s="415">
        <v>17063587.219999999</v>
      </c>
      <c r="R105" s="415">
        <v>8431904.9100000001</v>
      </c>
      <c r="S105" s="415">
        <v>17063587.219999999</v>
      </c>
      <c r="T105" s="415">
        <v>8526750.0199999996</v>
      </c>
      <c r="U105" s="415">
        <v>17063587.219999999</v>
      </c>
      <c r="V105" s="415">
        <v>8621595.129999999</v>
      </c>
      <c r="W105" s="415">
        <v>17063587.219999999</v>
      </c>
      <c r="X105" s="415">
        <v>8716440.2400000002</v>
      </c>
      <c r="Y105" s="415">
        <v>17063587.219999999</v>
      </c>
      <c r="Z105" s="415">
        <v>8811285.3499999996</v>
      </c>
      <c r="AA105" s="415">
        <v>17063587.219999999</v>
      </c>
      <c r="AB105" s="415">
        <v>8906130.4600000009</v>
      </c>
      <c r="AC105" s="415">
        <v>17063587.219999999</v>
      </c>
      <c r="AD105" s="415">
        <v>9000975.5700000003</v>
      </c>
      <c r="AE105" s="415">
        <f t="shared" si="5"/>
        <v>17063587.219999999</v>
      </c>
      <c r="AF105" s="415">
        <f t="shared" si="5"/>
        <v>8431904.9099999983</v>
      </c>
    </row>
    <row r="106" spans="1:32">
      <c r="A106" s="409">
        <v>97</v>
      </c>
      <c r="C106" s="24" t="s">
        <v>917</v>
      </c>
      <c r="D106" s="414" t="s">
        <v>910</v>
      </c>
      <c r="E106" s="415">
        <v>541240.59000000008</v>
      </c>
      <c r="F106" s="415">
        <v>225205.66999999998</v>
      </c>
      <c r="G106" s="415">
        <v>541240.59</v>
      </c>
      <c r="H106" s="415">
        <v>228214.07</v>
      </c>
      <c r="I106" s="415">
        <v>541240.59</v>
      </c>
      <c r="J106" s="415">
        <v>231222.47</v>
      </c>
      <c r="K106" s="415">
        <v>541240.59</v>
      </c>
      <c r="L106" s="415">
        <v>234230.87</v>
      </c>
      <c r="M106" s="415">
        <v>541240.59</v>
      </c>
      <c r="N106" s="415">
        <v>237239.27000000002</v>
      </c>
      <c r="O106" s="415">
        <v>541240.59</v>
      </c>
      <c r="P106" s="415">
        <v>240247.67</v>
      </c>
      <c r="Q106" s="415">
        <v>541240.59</v>
      </c>
      <c r="R106" s="415">
        <v>243256.07</v>
      </c>
      <c r="S106" s="415">
        <v>541240.59</v>
      </c>
      <c r="T106" s="415">
        <v>246264.47</v>
      </c>
      <c r="U106" s="415">
        <v>541240.59</v>
      </c>
      <c r="V106" s="415">
        <v>249272.87</v>
      </c>
      <c r="W106" s="415">
        <v>541240.59</v>
      </c>
      <c r="X106" s="415">
        <v>252281.27</v>
      </c>
      <c r="Y106" s="415">
        <v>541240.59</v>
      </c>
      <c r="Z106" s="415">
        <v>255289.67</v>
      </c>
      <c r="AA106" s="415">
        <v>541240.59</v>
      </c>
      <c r="AB106" s="415">
        <v>258298.07</v>
      </c>
      <c r="AC106" s="415">
        <v>541240.59</v>
      </c>
      <c r="AD106" s="415">
        <v>261306.47</v>
      </c>
      <c r="AE106" s="415">
        <f t="shared" si="5"/>
        <v>541240.59</v>
      </c>
      <c r="AF106" s="415">
        <f t="shared" si="5"/>
        <v>243256.06999999998</v>
      </c>
    </row>
    <row r="107" spans="1:32">
      <c r="A107" s="409">
        <v>98</v>
      </c>
      <c r="C107" s="24" t="s">
        <v>1355</v>
      </c>
      <c r="D107" s="414" t="s">
        <v>910</v>
      </c>
      <c r="E107" s="415">
        <v>133873.49</v>
      </c>
      <c r="F107" s="415">
        <v>8925.67</v>
      </c>
      <c r="G107" s="415">
        <v>133873.49</v>
      </c>
      <c r="H107" s="415">
        <v>9669.7800000000007</v>
      </c>
      <c r="I107" s="415">
        <v>133873.49</v>
      </c>
      <c r="J107" s="415">
        <v>10413.890000000001</v>
      </c>
      <c r="K107" s="415">
        <v>133873.49</v>
      </c>
      <c r="L107" s="415">
        <v>11158</v>
      </c>
      <c r="M107" s="415">
        <v>133873.49</v>
      </c>
      <c r="N107" s="415">
        <v>11902.11</v>
      </c>
      <c r="O107" s="415">
        <v>133873.49</v>
      </c>
      <c r="P107" s="415">
        <v>12646.22</v>
      </c>
      <c r="Q107" s="415">
        <v>133873.49</v>
      </c>
      <c r="R107" s="415">
        <v>13390.33</v>
      </c>
      <c r="S107" s="415">
        <v>133873.49</v>
      </c>
      <c r="T107" s="415">
        <v>14134.44</v>
      </c>
      <c r="U107" s="415">
        <v>133873.49</v>
      </c>
      <c r="V107" s="415">
        <v>14878.550000000001</v>
      </c>
      <c r="W107" s="415">
        <v>133873.49</v>
      </c>
      <c r="X107" s="415">
        <v>15622.66</v>
      </c>
      <c r="Y107" s="415">
        <v>133873.49</v>
      </c>
      <c r="Z107" s="415">
        <v>16366.77</v>
      </c>
      <c r="AA107" s="415">
        <v>133873.49</v>
      </c>
      <c r="AB107" s="415">
        <v>17110.88</v>
      </c>
      <c r="AC107" s="415">
        <v>133873.49</v>
      </c>
      <c r="AD107" s="415">
        <v>17854.990000000002</v>
      </c>
      <c r="AE107" s="415">
        <f t="shared" si="5"/>
        <v>133873.49</v>
      </c>
      <c r="AF107" s="415">
        <f t="shared" si="5"/>
        <v>13390.330000000002</v>
      </c>
    </row>
    <row r="108" spans="1:32">
      <c r="A108" s="409">
        <v>99</v>
      </c>
      <c r="C108" s="24" t="s">
        <v>1356</v>
      </c>
      <c r="D108" s="414" t="s">
        <v>910</v>
      </c>
      <c r="E108" s="415">
        <v>55564.55</v>
      </c>
      <c r="F108" s="415">
        <v>306.56</v>
      </c>
      <c r="G108" s="415">
        <v>55564.55</v>
      </c>
      <c r="H108" s="415">
        <v>615.41000000000008</v>
      </c>
      <c r="I108" s="415">
        <v>55564.55</v>
      </c>
      <c r="J108" s="415">
        <v>924.26</v>
      </c>
      <c r="K108" s="415">
        <v>55564.55</v>
      </c>
      <c r="L108" s="415">
        <v>1233.1100000000001</v>
      </c>
      <c r="M108" s="415">
        <v>55564.55</v>
      </c>
      <c r="N108" s="415">
        <v>1541.96</v>
      </c>
      <c r="O108" s="415">
        <v>55564.55</v>
      </c>
      <c r="P108" s="415">
        <v>1850.81</v>
      </c>
      <c r="Q108" s="415">
        <v>55564.55</v>
      </c>
      <c r="R108" s="415">
        <v>2159.66</v>
      </c>
      <c r="S108" s="415">
        <v>55564.55</v>
      </c>
      <c r="T108" s="415">
        <v>2468.5100000000002</v>
      </c>
      <c r="U108" s="415">
        <v>55564.55</v>
      </c>
      <c r="V108" s="415">
        <v>2777.36</v>
      </c>
      <c r="W108" s="415">
        <v>55564.55</v>
      </c>
      <c r="X108" s="415">
        <v>3086.21</v>
      </c>
      <c r="Y108" s="415">
        <v>55564.55</v>
      </c>
      <c r="Z108" s="415">
        <v>3395.06</v>
      </c>
      <c r="AA108" s="415">
        <v>55564.55</v>
      </c>
      <c r="AB108" s="415">
        <v>3703.9100000000003</v>
      </c>
      <c r="AC108" s="415">
        <v>55564.55</v>
      </c>
      <c r="AD108" s="415">
        <v>4012.76</v>
      </c>
      <c r="AE108" s="415">
        <f t="shared" si="5"/>
        <v>55564.55000000001</v>
      </c>
      <c r="AF108" s="415">
        <f t="shared" si="5"/>
        <v>2159.6600000000003</v>
      </c>
    </row>
    <row r="109" spans="1:32">
      <c r="A109" s="409">
        <v>100</v>
      </c>
      <c r="C109" s="24" t="s">
        <v>918</v>
      </c>
      <c r="D109" s="24" t="s">
        <v>910</v>
      </c>
      <c r="E109" s="415">
        <v>7720.22</v>
      </c>
      <c r="F109" s="415">
        <v>7720.22</v>
      </c>
      <c r="G109" s="415">
        <v>7720.22</v>
      </c>
      <c r="H109" s="415">
        <v>7720.2199999999993</v>
      </c>
      <c r="I109" s="415">
        <v>7720.22</v>
      </c>
      <c r="J109" s="415">
        <v>7720.2199999999993</v>
      </c>
      <c r="K109" s="415">
        <v>7720.22</v>
      </c>
      <c r="L109" s="415">
        <v>7720.2199999999993</v>
      </c>
      <c r="M109" s="415">
        <v>7720.22</v>
      </c>
      <c r="N109" s="415">
        <v>7720.2199999999993</v>
      </c>
      <c r="O109" s="415">
        <v>7720.22</v>
      </c>
      <c r="P109" s="415">
        <v>7720.2199999999993</v>
      </c>
      <c r="Q109" s="415">
        <v>7720.22</v>
      </c>
      <c r="R109" s="415">
        <v>7720.2199999999993</v>
      </c>
      <c r="S109" s="415">
        <v>7720.22</v>
      </c>
      <c r="T109" s="415">
        <v>7720.2199999999993</v>
      </c>
      <c r="U109" s="415">
        <v>7720.22</v>
      </c>
      <c r="V109" s="415">
        <v>7720.2199999999993</v>
      </c>
      <c r="W109" s="415">
        <v>7720.22</v>
      </c>
      <c r="X109" s="415">
        <v>7720.2199999999993</v>
      </c>
      <c r="Y109" s="415">
        <v>7720.22</v>
      </c>
      <c r="Z109" s="415">
        <v>7720.2199999999993</v>
      </c>
      <c r="AA109" s="415">
        <v>7720.22</v>
      </c>
      <c r="AB109" s="415">
        <v>7720.2199999999993</v>
      </c>
      <c r="AC109" s="415">
        <v>7720.22</v>
      </c>
      <c r="AD109" s="415">
        <v>7720.2199999999993</v>
      </c>
      <c r="AE109" s="415">
        <f t="shared" si="5"/>
        <v>7720.22</v>
      </c>
      <c r="AF109" s="415">
        <f t="shared" si="5"/>
        <v>7720.22</v>
      </c>
    </row>
    <row r="110" spans="1:32">
      <c r="A110" s="409">
        <v>101</v>
      </c>
      <c r="C110" s="24" t="s">
        <v>1357</v>
      </c>
      <c r="D110" s="24" t="s">
        <v>910</v>
      </c>
      <c r="E110" s="415">
        <v>30627.77</v>
      </c>
      <c r="F110" s="415">
        <v>16164.63</v>
      </c>
      <c r="G110" s="415">
        <v>30627.77</v>
      </c>
      <c r="H110" s="415">
        <v>17015.400000000001</v>
      </c>
      <c r="I110" s="415">
        <v>30627.77</v>
      </c>
      <c r="J110" s="415">
        <v>17866.169999999998</v>
      </c>
      <c r="K110" s="415">
        <v>30627.77</v>
      </c>
      <c r="L110" s="415">
        <v>18716.940000000002</v>
      </c>
      <c r="M110" s="415">
        <v>30627.77</v>
      </c>
      <c r="N110" s="415">
        <v>19567.71</v>
      </c>
      <c r="O110" s="415">
        <v>30627.77</v>
      </c>
      <c r="P110" s="415">
        <v>20418.480000000003</v>
      </c>
      <c r="Q110" s="415">
        <v>30627.77</v>
      </c>
      <c r="R110" s="415">
        <v>21269.25</v>
      </c>
      <c r="S110" s="415">
        <v>30627.77</v>
      </c>
      <c r="T110" s="415">
        <v>22120.02</v>
      </c>
      <c r="U110" s="415">
        <v>30627.77</v>
      </c>
      <c r="V110" s="415">
        <v>22970.79</v>
      </c>
      <c r="W110" s="415">
        <v>30627.77</v>
      </c>
      <c r="X110" s="415">
        <v>23821.56</v>
      </c>
      <c r="Y110" s="415">
        <v>30627.77</v>
      </c>
      <c r="Z110" s="415">
        <v>24672.33</v>
      </c>
      <c r="AA110" s="415">
        <v>30627.77</v>
      </c>
      <c r="AB110" s="415">
        <v>25523.100000000002</v>
      </c>
      <c r="AC110" s="415">
        <v>30627.77</v>
      </c>
      <c r="AD110" s="415">
        <v>26373.87</v>
      </c>
      <c r="AE110" s="415">
        <f t="shared" si="5"/>
        <v>30627.770000000004</v>
      </c>
      <c r="AF110" s="415">
        <f t="shared" si="5"/>
        <v>21269.250000000004</v>
      </c>
    </row>
    <row r="111" spans="1:32">
      <c r="A111" s="409">
        <v>102</v>
      </c>
      <c r="C111" s="24" t="s">
        <v>919</v>
      </c>
      <c r="D111" s="24" t="s">
        <v>910</v>
      </c>
      <c r="E111" s="415">
        <v>14271.5</v>
      </c>
      <c r="F111" s="415">
        <v>14271.5</v>
      </c>
      <c r="G111" s="415">
        <v>14271.5</v>
      </c>
      <c r="H111" s="415">
        <v>14271.5</v>
      </c>
      <c r="I111" s="415">
        <v>14271.5</v>
      </c>
      <c r="J111" s="415">
        <v>14271.5</v>
      </c>
      <c r="K111" s="415">
        <v>14271.5</v>
      </c>
      <c r="L111" s="415">
        <v>14271.5</v>
      </c>
      <c r="M111" s="415">
        <v>14271.5</v>
      </c>
      <c r="N111" s="415">
        <v>14271.5</v>
      </c>
      <c r="O111" s="415">
        <v>14271.5</v>
      </c>
      <c r="P111" s="415">
        <v>14271.5</v>
      </c>
      <c r="Q111" s="415">
        <v>14271.5</v>
      </c>
      <c r="R111" s="415">
        <v>14271.5</v>
      </c>
      <c r="S111" s="415">
        <v>14271.5</v>
      </c>
      <c r="T111" s="415">
        <v>14271.5</v>
      </c>
      <c r="U111" s="415">
        <v>14271.5</v>
      </c>
      <c r="V111" s="415">
        <v>14271.5</v>
      </c>
      <c r="W111" s="415">
        <v>14271.5</v>
      </c>
      <c r="X111" s="415">
        <v>14271.5</v>
      </c>
      <c r="Y111" s="415">
        <v>14271.5</v>
      </c>
      <c r="Z111" s="415">
        <v>14271.5</v>
      </c>
      <c r="AA111" s="415">
        <v>14271.5</v>
      </c>
      <c r="AB111" s="415">
        <v>14271.5</v>
      </c>
      <c r="AC111" s="415">
        <v>14271.5</v>
      </c>
      <c r="AD111" s="415">
        <v>14271.5</v>
      </c>
      <c r="AE111" s="415">
        <f t="shared" si="5"/>
        <v>14271.5</v>
      </c>
      <c r="AF111" s="415">
        <f t="shared" si="5"/>
        <v>14271.5</v>
      </c>
    </row>
    <row r="112" spans="1:32">
      <c r="A112" s="409">
        <v>103</v>
      </c>
      <c r="C112" s="24" t="s">
        <v>1358</v>
      </c>
      <c r="D112" s="24" t="s">
        <v>910</v>
      </c>
      <c r="E112" s="415">
        <v>116864.94</v>
      </c>
      <c r="F112" s="415">
        <v>40904.910000000003</v>
      </c>
      <c r="G112" s="415">
        <v>116864.94</v>
      </c>
      <c r="H112" s="415">
        <v>42852.66</v>
      </c>
      <c r="I112" s="415">
        <v>116864.94</v>
      </c>
      <c r="J112" s="415">
        <v>44800.41</v>
      </c>
      <c r="K112" s="415">
        <v>116864.94</v>
      </c>
      <c r="L112" s="415">
        <v>46748.160000000003</v>
      </c>
      <c r="M112" s="415">
        <v>116864.94</v>
      </c>
      <c r="N112" s="415">
        <v>48695.91</v>
      </c>
      <c r="O112" s="415">
        <v>116864.94</v>
      </c>
      <c r="P112" s="415">
        <v>50643.66</v>
      </c>
      <c r="Q112" s="415">
        <v>116864.94</v>
      </c>
      <c r="R112" s="415">
        <v>52591.41</v>
      </c>
      <c r="S112" s="415">
        <v>116864.94</v>
      </c>
      <c r="T112" s="415">
        <v>54539.16</v>
      </c>
      <c r="U112" s="415">
        <v>116864.94</v>
      </c>
      <c r="V112" s="415">
        <v>56486.91</v>
      </c>
      <c r="W112" s="415">
        <v>116864.94</v>
      </c>
      <c r="X112" s="415">
        <v>58434.659999999996</v>
      </c>
      <c r="Y112" s="415">
        <v>116864.94</v>
      </c>
      <c r="Z112" s="415">
        <v>60382.41</v>
      </c>
      <c r="AA112" s="415">
        <v>116864.94</v>
      </c>
      <c r="AB112" s="415">
        <v>62330.16</v>
      </c>
      <c r="AC112" s="415">
        <v>116864.94</v>
      </c>
      <c r="AD112" s="415">
        <v>64277.909999999996</v>
      </c>
      <c r="AE112" s="415">
        <f t="shared" si="5"/>
        <v>116864.93999999996</v>
      </c>
      <c r="AF112" s="415">
        <f t="shared" si="5"/>
        <v>52591.41</v>
      </c>
    </row>
    <row r="113" spans="1:32">
      <c r="A113" s="409">
        <v>104</v>
      </c>
      <c r="C113" s="24" t="s">
        <v>1359</v>
      </c>
      <c r="D113" s="24" t="s">
        <v>910</v>
      </c>
      <c r="E113" s="415">
        <v>102398.32</v>
      </c>
      <c r="F113" s="415">
        <v>20459.27</v>
      </c>
      <c r="G113" s="415">
        <v>102398.32</v>
      </c>
      <c r="H113" s="415">
        <v>22165.91</v>
      </c>
      <c r="I113" s="415">
        <v>102398.32</v>
      </c>
      <c r="J113" s="415">
        <v>23872.550000000003</v>
      </c>
      <c r="K113" s="415">
        <v>102398.32</v>
      </c>
      <c r="L113" s="415">
        <v>25579.19</v>
      </c>
      <c r="M113" s="415">
        <v>102398.32</v>
      </c>
      <c r="N113" s="415">
        <v>27285.83</v>
      </c>
      <c r="O113" s="415">
        <v>102398.32</v>
      </c>
      <c r="P113" s="415">
        <v>28992.47</v>
      </c>
      <c r="Q113" s="415">
        <v>102398.32</v>
      </c>
      <c r="R113" s="415">
        <v>30699.11</v>
      </c>
      <c r="S113" s="415">
        <v>102398.32</v>
      </c>
      <c r="T113" s="415">
        <v>32405.75</v>
      </c>
      <c r="U113" s="415">
        <v>102398.32</v>
      </c>
      <c r="V113" s="415">
        <v>34112.39</v>
      </c>
      <c r="W113" s="415">
        <v>102398.32</v>
      </c>
      <c r="X113" s="415">
        <v>35819.03</v>
      </c>
      <c r="Y113" s="415">
        <v>102398.32</v>
      </c>
      <c r="Z113" s="415">
        <v>37525.67</v>
      </c>
      <c r="AA113" s="415">
        <v>102398.32</v>
      </c>
      <c r="AB113" s="415">
        <v>39232.31</v>
      </c>
      <c r="AC113" s="415">
        <v>102398.32</v>
      </c>
      <c r="AD113" s="415">
        <v>40938.949999999997</v>
      </c>
      <c r="AE113" s="415">
        <f t="shared" si="5"/>
        <v>102398.32000000002</v>
      </c>
      <c r="AF113" s="415">
        <f t="shared" si="5"/>
        <v>30699.11</v>
      </c>
    </row>
    <row r="114" spans="1:32">
      <c r="A114" s="409">
        <v>105</v>
      </c>
      <c r="C114" s="24" t="s">
        <v>1360</v>
      </c>
      <c r="D114" s="24" t="s">
        <v>910</v>
      </c>
      <c r="E114" s="415">
        <v>633813.57000000007</v>
      </c>
      <c r="F114" s="415">
        <v>0</v>
      </c>
      <c r="G114" s="415">
        <v>633850.68999999994</v>
      </c>
      <c r="H114" s="415">
        <v>0</v>
      </c>
      <c r="I114" s="415">
        <v>633850.68999999994</v>
      </c>
      <c r="J114" s="415">
        <v>0</v>
      </c>
      <c r="K114" s="415">
        <v>637338.35</v>
      </c>
      <c r="L114" s="415">
        <v>0</v>
      </c>
      <c r="M114" s="415">
        <v>637993.15</v>
      </c>
      <c r="N114" s="415">
        <v>0</v>
      </c>
      <c r="O114" s="415">
        <v>637993.15</v>
      </c>
      <c r="P114" s="415">
        <v>0</v>
      </c>
      <c r="Q114" s="415">
        <v>637993.15</v>
      </c>
      <c r="R114" s="415">
        <v>0</v>
      </c>
      <c r="S114" s="415">
        <v>637990.93000000005</v>
      </c>
      <c r="T114" s="415">
        <v>0</v>
      </c>
      <c r="U114" s="415">
        <v>637990.93000000005</v>
      </c>
      <c r="V114" s="415">
        <v>0</v>
      </c>
      <c r="W114" s="415">
        <v>637990.93000000005</v>
      </c>
      <c r="X114" s="415">
        <v>0</v>
      </c>
      <c r="Y114" s="415">
        <v>637990.93000000005</v>
      </c>
      <c r="Z114" s="415">
        <v>0</v>
      </c>
      <c r="AA114" s="415">
        <v>637990.93000000005</v>
      </c>
      <c r="AB114" s="415">
        <v>0</v>
      </c>
      <c r="AC114" s="415">
        <v>637921.69999999995</v>
      </c>
      <c r="AD114" s="415">
        <v>0</v>
      </c>
      <c r="AE114" s="415">
        <f t="shared" si="5"/>
        <v>637070.1220833332</v>
      </c>
      <c r="AF114" s="415">
        <f t="shared" si="5"/>
        <v>0</v>
      </c>
    </row>
    <row r="115" spans="1:32">
      <c r="A115" s="409">
        <v>106</v>
      </c>
      <c r="C115" s="24" t="s">
        <v>2279</v>
      </c>
      <c r="D115" s="24" t="s">
        <v>910</v>
      </c>
      <c r="E115" s="415">
        <v>0</v>
      </c>
      <c r="F115" s="415">
        <v>0</v>
      </c>
      <c r="G115" s="415">
        <v>0</v>
      </c>
      <c r="H115" s="415">
        <v>0</v>
      </c>
      <c r="I115" s="415">
        <v>0</v>
      </c>
      <c r="J115" s="415">
        <v>0</v>
      </c>
      <c r="K115" s="415">
        <v>0</v>
      </c>
      <c r="L115" s="415">
        <v>0</v>
      </c>
      <c r="M115" s="415">
        <v>0</v>
      </c>
      <c r="N115" s="415">
        <v>0</v>
      </c>
      <c r="O115" s="415">
        <v>0</v>
      </c>
      <c r="P115" s="415">
        <v>0</v>
      </c>
      <c r="Q115" s="415">
        <v>0</v>
      </c>
      <c r="R115" s="415">
        <v>0</v>
      </c>
      <c r="S115" s="415">
        <v>0</v>
      </c>
      <c r="T115" s="415">
        <v>0</v>
      </c>
      <c r="U115" s="415">
        <v>0</v>
      </c>
      <c r="V115" s="415">
        <v>0</v>
      </c>
      <c r="W115" s="415">
        <v>0</v>
      </c>
      <c r="X115" s="415">
        <v>0</v>
      </c>
      <c r="Y115" s="415">
        <v>0</v>
      </c>
      <c r="Z115" s="415">
        <v>0</v>
      </c>
      <c r="AA115" s="415">
        <v>0</v>
      </c>
      <c r="AB115" s="415">
        <v>0</v>
      </c>
      <c r="AC115" s="415">
        <v>14573.87</v>
      </c>
      <c r="AD115" s="415">
        <v>0</v>
      </c>
      <c r="AE115" s="415">
        <f t="shared" si="5"/>
        <v>607.24458333333337</v>
      </c>
      <c r="AF115" s="415">
        <f t="shared" si="5"/>
        <v>0</v>
      </c>
    </row>
    <row r="116" spans="1:32">
      <c r="A116" s="409">
        <v>107</v>
      </c>
      <c r="C116" s="24" t="s">
        <v>920</v>
      </c>
      <c r="D116" s="24" t="s">
        <v>910</v>
      </c>
      <c r="E116" s="415">
        <v>131168.49</v>
      </c>
      <c r="F116" s="415">
        <v>116236.94</v>
      </c>
      <c r="G116" s="415">
        <v>131168.49</v>
      </c>
      <c r="H116" s="415">
        <v>117798.94</v>
      </c>
      <c r="I116" s="415">
        <v>131168.49</v>
      </c>
      <c r="J116" s="415">
        <v>119360.94</v>
      </c>
      <c r="K116" s="415">
        <v>131168.49</v>
      </c>
      <c r="L116" s="415">
        <v>120922.94</v>
      </c>
      <c r="M116" s="415">
        <v>131168.49</v>
      </c>
      <c r="N116" s="415">
        <v>122484.94</v>
      </c>
      <c r="O116" s="415">
        <v>131168.49</v>
      </c>
      <c r="P116" s="415">
        <v>124046.94</v>
      </c>
      <c r="Q116" s="415">
        <v>131168.49</v>
      </c>
      <c r="R116" s="415">
        <v>125608.94</v>
      </c>
      <c r="S116" s="415">
        <v>131168.49</v>
      </c>
      <c r="T116" s="415">
        <v>127170.94</v>
      </c>
      <c r="U116" s="415">
        <v>131168.49</v>
      </c>
      <c r="V116" s="415">
        <v>128732.94</v>
      </c>
      <c r="W116" s="415">
        <v>131168.49</v>
      </c>
      <c r="X116" s="415">
        <v>130294.94</v>
      </c>
      <c r="Y116" s="415">
        <v>131168.49</v>
      </c>
      <c r="Z116" s="415">
        <v>131168.49</v>
      </c>
      <c r="AA116" s="415">
        <v>131168.49</v>
      </c>
      <c r="AB116" s="415">
        <v>131168.49</v>
      </c>
      <c r="AC116" s="415">
        <v>131168.49</v>
      </c>
      <c r="AD116" s="415">
        <v>131168.49</v>
      </c>
      <c r="AE116" s="415">
        <f t="shared" si="5"/>
        <v>131168.49</v>
      </c>
      <c r="AF116" s="415">
        <f t="shared" si="5"/>
        <v>125205.17958333332</v>
      </c>
    </row>
    <row r="117" spans="1:32">
      <c r="A117" s="409">
        <v>108</v>
      </c>
      <c r="C117" s="24" t="s">
        <v>921</v>
      </c>
      <c r="D117" s="24" t="s">
        <v>910</v>
      </c>
      <c r="E117" s="415">
        <v>3004957.37</v>
      </c>
      <c r="F117" s="415">
        <v>2230146.85</v>
      </c>
      <c r="G117" s="415">
        <v>3004957.37</v>
      </c>
      <c r="H117" s="415">
        <v>2265930.88</v>
      </c>
      <c r="I117" s="415">
        <v>3004957.37</v>
      </c>
      <c r="J117" s="415">
        <v>2301714.91</v>
      </c>
      <c r="K117" s="415">
        <v>3004957.37</v>
      </c>
      <c r="L117" s="415">
        <v>2337498.94</v>
      </c>
      <c r="M117" s="415">
        <v>3004957.37</v>
      </c>
      <c r="N117" s="415">
        <v>2373282.9699999997</v>
      </c>
      <c r="O117" s="415">
        <v>3004957.37</v>
      </c>
      <c r="P117" s="415">
        <v>2409067</v>
      </c>
      <c r="Q117" s="415">
        <v>3004957.37</v>
      </c>
      <c r="R117" s="415">
        <v>2444851.0300000003</v>
      </c>
      <c r="S117" s="415">
        <v>3004957.37</v>
      </c>
      <c r="T117" s="415">
        <v>2480635.06</v>
      </c>
      <c r="U117" s="415">
        <v>3004957.37</v>
      </c>
      <c r="V117" s="415">
        <v>2516419.09</v>
      </c>
      <c r="W117" s="415">
        <v>3004957.37</v>
      </c>
      <c r="X117" s="415">
        <v>2552203.12</v>
      </c>
      <c r="Y117" s="415">
        <v>3004957.37</v>
      </c>
      <c r="Z117" s="415">
        <v>2587987.1500000004</v>
      </c>
      <c r="AA117" s="415">
        <v>3004957.37</v>
      </c>
      <c r="AB117" s="415">
        <v>2623771.1799999997</v>
      </c>
      <c r="AC117" s="415">
        <v>3004957.37</v>
      </c>
      <c r="AD117" s="415">
        <v>2659555.21</v>
      </c>
      <c r="AE117" s="415">
        <f t="shared" si="5"/>
        <v>3004957.3700000006</v>
      </c>
      <c r="AF117" s="415">
        <f t="shared" si="5"/>
        <v>2444851.0300000007</v>
      </c>
    </row>
    <row r="118" spans="1:32">
      <c r="A118" s="409">
        <v>109</v>
      </c>
      <c r="C118" s="24" t="s">
        <v>922</v>
      </c>
      <c r="D118" s="24" t="s">
        <v>910</v>
      </c>
      <c r="E118" s="415">
        <v>585144.89</v>
      </c>
      <c r="F118" s="415">
        <v>353410.95999999996</v>
      </c>
      <c r="G118" s="415">
        <v>585144.89</v>
      </c>
      <c r="H118" s="415">
        <v>360379.06</v>
      </c>
      <c r="I118" s="415">
        <v>585144.89</v>
      </c>
      <c r="J118" s="415">
        <v>367347.16</v>
      </c>
      <c r="K118" s="415">
        <v>585144.89</v>
      </c>
      <c r="L118" s="415">
        <v>374315.26</v>
      </c>
      <c r="M118" s="415">
        <v>585144.89</v>
      </c>
      <c r="N118" s="415">
        <v>381283.36</v>
      </c>
      <c r="O118" s="415">
        <v>585144.89</v>
      </c>
      <c r="P118" s="415">
        <v>388251.46</v>
      </c>
      <c r="Q118" s="415">
        <v>585144.89</v>
      </c>
      <c r="R118" s="415">
        <v>395219.56</v>
      </c>
      <c r="S118" s="415">
        <v>585144.89</v>
      </c>
      <c r="T118" s="415">
        <v>402187.66000000003</v>
      </c>
      <c r="U118" s="415">
        <v>585144.89</v>
      </c>
      <c r="V118" s="415">
        <v>409155.76</v>
      </c>
      <c r="W118" s="415">
        <v>585144.89</v>
      </c>
      <c r="X118" s="415">
        <v>416123.86</v>
      </c>
      <c r="Y118" s="415">
        <v>585144.89</v>
      </c>
      <c r="Z118" s="415">
        <v>423091.96</v>
      </c>
      <c r="AA118" s="415">
        <v>585144.89</v>
      </c>
      <c r="AB118" s="415">
        <v>430060.06</v>
      </c>
      <c r="AC118" s="415">
        <v>585144.89</v>
      </c>
      <c r="AD118" s="415">
        <v>437028.16000000003</v>
      </c>
      <c r="AE118" s="415">
        <f t="shared" si="5"/>
        <v>585144.8899999999</v>
      </c>
      <c r="AF118" s="415">
        <f t="shared" si="5"/>
        <v>395219.56</v>
      </c>
    </row>
    <row r="119" spans="1:32">
      <c r="A119" s="409">
        <v>110</v>
      </c>
      <c r="C119" s="24" t="s">
        <v>923</v>
      </c>
      <c r="D119" s="24" t="s">
        <v>910</v>
      </c>
      <c r="E119" s="415">
        <v>20560.650000000001</v>
      </c>
      <c r="F119" s="415">
        <v>11973.93</v>
      </c>
      <c r="G119" s="415">
        <v>20560.650000000001</v>
      </c>
      <c r="H119" s="415">
        <v>12218.77</v>
      </c>
      <c r="I119" s="415">
        <v>20560.650000000001</v>
      </c>
      <c r="J119" s="415">
        <v>12463.61</v>
      </c>
      <c r="K119" s="415">
        <v>20560.650000000001</v>
      </c>
      <c r="L119" s="415">
        <v>12708.45</v>
      </c>
      <c r="M119" s="415">
        <v>20560.650000000001</v>
      </c>
      <c r="N119" s="415">
        <v>12953.29</v>
      </c>
      <c r="O119" s="415">
        <v>20560.650000000001</v>
      </c>
      <c r="P119" s="415">
        <v>13198.130000000001</v>
      </c>
      <c r="Q119" s="415">
        <v>20560.650000000001</v>
      </c>
      <c r="R119" s="415">
        <v>13442.970000000001</v>
      </c>
      <c r="S119" s="415">
        <v>20560.650000000001</v>
      </c>
      <c r="T119" s="415">
        <v>13687.81</v>
      </c>
      <c r="U119" s="415">
        <v>20560.650000000001</v>
      </c>
      <c r="V119" s="415">
        <v>13932.650000000001</v>
      </c>
      <c r="W119" s="415">
        <v>20560.650000000001</v>
      </c>
      <c r="X119" s="415">
        <v>14177.49</v>
      </c>
      <c r="Y119" s="415">
        <v>20560.650000000001</v>
      </c>
      <c r="Z119" s="415">
        <v>14422.330000000002</v>
      </c>
      <c r="AA119" s="415">
        <v>20560.650000000001</v>
      </c>
      <c r="AB119" s="415">
        <v>14667.17</v>
      </c>
      <c r="AC119" s="415">
        <v>20560.650000000001</v>
      </c>
      <c r="AD119" s="415">
        <v>14912.01</v>
      </c>
      <c r="AE119" s="415">
        <f t="shared" si="5"/>
        <v>20560.649999999998</v>
      </c>
      <c r="AF119" s="415">
        <f t="shared" si="5"/>
        <v>13442.970000000001</v>
      </c>
    </row>
    <row r="120" spans="1:32">
      <c r="A120" s="409">
        <v>111</v>
      </c>
      <c r="C120" s="24" t="s">
        <v>1361</v>
      </c>
      <c r="D120" s="24" t="s">
        <v>910</v>
      </c>
      <c r="E120" s="415">
        <v>2996321.4</v>
      </c>
      <c r="F120" s="415">
        <v>765436.64</v>
      </c>
      <c r="G120" s="415">
        <v>2996321.4</v>
      </c>
      <c r="H120" s="415">
        <v>801117.83000000007</v>
      </c>
      <c r="I120" s="415">
        <v>2996321.4</v>
      </c>
      <c r="J120" s="415">
        <v>836799.02</v>
      </c>
      <c r="K120" s="415">
        <v>2996321.4</v>
      </c>
      <c r="L120" s="415">
        <v>872480.21</v>
      </c>
      <c r="M120" s="415">
        <v>2996321.4</v>
      </c>
      <c r="N120" s="415">
        <v>908161.4</v>
      </c>
      <c r="O120" s="415">
        <v>2996321.4</v>
      </c>
      <c r="P120" s="415">
        <v>943842.59000000008</v>
      </c>
      <c r="Q120" s="415">
        <v>2996321.4</v>
      </c>
      <c r="R120" s="415">
        <v>979523.78</v>
      </c>
      <c r="S120" s="415">
        <v>2996321.4</v>
      </c>
      <c r="T120" s="415">
        <v>1015204.9700000001</v>
      </c>
      <c r="U120" s="415">
        <v>2996321.4</v>
      </c>
      <c r="V120" s="415">
        <v>1050886.1599999999</v>
      </c>
      <c r="W120" s="415">
        <v>2996321.4</v>
      </c>
      <c r="X120" s="415">
        <v>1086567.3500000001</v>
      </c>
      <c r="Y120" s="415">
        <v>2996321.4</v>
      </c>
      <c r="Z120" s="415">
        <v>1122248.54</v>
      </c>
      <c r="AA120" s="415">
        <v>2996321.4</v>
      </c>
      <c r="AB120" s="415">
        <v>1157929.73</v>
      </c>
      <c r="AC120" s="415">
        <v>2316740.37</v>
      </c>
      <c r="AD120" s="415">
        <v>922893.85000000009</v>
      </c>
      <c r="AE120" s="415">
        <f t="shared" si="5"/>
        <v>2968005.5237499992</v>
      </c>
      <c r="AF120" s="415">
        <f t="shared" si="5"/>
        <v>968243.90208333358</v>
      </c>
    </row>
    <row r="121" spans="1:32">
      <c r="A121" s="409">
        <v>112</v>
      </c>
      <c r="C121" s="24" t="s">
        <v>1362</v>
      </c>
      <c r="D121" s="24" t="s">
        <v>910</v>
      </c>
      <c r="E121" s="415">
        <v>656793.18000000005</v>
      </c>
      <c r="F121" s="415">
        <v>93915.55</v>
      </c>
      <c r="G121" s="415">
        <v>654150.74</v>
      </c>
      <c r="H121" s="415">
        <v>101736.86</v>
      </c>
      <c r="I121" s="415">
        <v>654150.74</v>
      </c>
      <c r="J121" s="415">
        <v>109526.71</v>
      </c>
      <c r="K121" s="415">
        <v>654150.74</v>
      </c>
      <c r="L121" s="415">
        <v>117316.56</v>
      </c>
      <c r="M121" s="415">
        <v>654150.74</v>
      </c>
      <c r="N121" s="415">
        <v>125106.41</v>
      </c>
      <c r="O121" s="415">
        <v>654150.74</v>
      </c>
      <c r="P121" s="415">
        <v>132896.26</v>
      </c>
      <c r="Q121" s="415">
        <v>654150.74</v>
      </c>
      <c r="R121" s="415">
        <v>140686.11000000002</v>
      </c>
      <c r="S121" s="415">
        <v>654150.74</v>
      </c>
      <c r="T121" s="415">
        <v>148475.96</v>
      </c>
      <c r="U121" s="415">
        <v>654150.74</v>
      </c>
      <c r="V121" s="415">
        <v>156265.81</v>
      </c>
      <c r="W121" s="415">
        <v>654150.74</v>
      </c>
      <c r="X121" s="415">
        <v>164055.66</v>
      </c>
      <c r="Y121" s="415">
        <v>654150.74</v>
      </c>
      <c r="Z121" s="415">
        <v>171845.51</v>
      </c>
      <c r="AA121" s="415">
        <v>654150.74</v>
      </c>
      <c r="AB121" s="415">
        <v>179635.36000000002</v>
      </c>
      <c r="AC121" s="415">
        <v>654150.74</v>
      </c>
      <c r="AD121" s="415">
        <v>187425.21</v>
      </c>
      <c r="AE121" s="415">
        <f t="shared" si="5"/>
        <v>654260.84166666679</v>
      </c>
      <c r="AF121" s="415">
        <f t="shared" si="5"/>
        <v>140684.79916666666</v>
      </c>
    </row>
    <row r="122" spans="1:32">
      <c r="A122" s="409">
        <v>113</v>
      </c>
      <c r="C122" s="24" t="s">
        <v>1363</v>
      </c>
      <c r="D122" s="24" t="s">
        <v>910</v>
      </c>
      <c r="E122" s="415">
        <v>123571.06</v>
      </c>
      <c r="F122" s="415">
        <v>0</v>
      </c>
      <c r="G122" s="415">
        <v>123571.06</v>
      </c>
      <c r="H122" s="415">
        <v>1471.5300000000002</v>
      </c>
      <c r="I122" s="415">
        <v>123571.06</v>
      </c>
      <c r="J122" s="415">
        <v>2943.0600000000004</v>
      </c>
      <c r="K122" s="415">
        <v>123571.06</v>
      </c>
      <c r="L122" s="415">
        <v>4414.59</v>
      </c>
      <c r="M122" s="415">
        <v>123571.06</v>
      </c>
      <c r="N122" s="415">
        <v>5886.1200000000008</v>
      </c>
      <c r="O122" s="415">
        <v>123571.06</v>
      </c>
      <c r="P122" s="415">
        <v>7357.65</v>
      </c>
      <c r="Q122" s="415">
        <v>123571.06</v>
      </c>
      <c r="R122" s="415">
        <v>8829.18</v>
      </c>
      <c r="S122" s="415">
        <v>123571.06</v>
      </c>
      <c r="T122" s="415">
        <v>10300.709999999999</v>
      </c>
      <c r="U122" s="415">
        <v>123571.06</v>
      </c>
      <c r="V122" s="415">
        <v>11772.240000000002</v>
      </c>
      <c r="W122" s="415">
        <v>123571.06</v>
      </c>
      <c r="X122" s="415">
        <v>13243.77</v>
      </c>
      <c r="Y122" s="415">
        <v>123571.06</v>
      </c>
      <c r="Z122" s="415">
        <v>14715.3</v>
      </c>
      <c r="AA122" s="415">
        <v>123571.06</v>
      </c>
      <c r="AB122" s="415">
        <v>16186.83</v>
      </c>
      <c r="AC122" s="415">
        <v>123571.06</v>
      </c>
      <c r="AD122" s="415">
        <v>17658.36</v>
      </c>
      <c r="AE122" s="415">
        <f t="shared" si="5"/>
        <v>123571.06000000004</v>
      </c>
      <c r="AF122" s="415">
        <f t="shared" si="5"/>
        <v>8829.18</v>
      </c>
    </row>
    <row r="123" spans="1:32">
      <c r="A123" s="409">
        <v>114</v>
      </c>
      <c r="C123" s="24" t="s">
        <v>2280</v>
      </c>
      <c r="D123" s="24" t="s">
        <v>910</v>
      </c>
      <c r="E123" s="415">
        <v>0</v>
      </c>
      <c r="F123" s="415">
        <v>0</v>
      </c>
      <c r="G123" s="415">
        <v>0</v>
      </c>
      <c r="H123" s="415">
        <v>0</v>
      </c>
      <c r="I123" s="415">
        <v>0</v>
      </c>
      <c r="J123" s="415">
        <v>0</v>
      </c>
      <c r="K123" s="415">
        <v>0</v>
      </c>
      <c r="L123" s="415">
        <v>0</v>
      </c>
      <c r="M123" s="415">
        <v>0</v>
      </c>
      <c r="N123" s="415">
        <v>0</v>
      </c>
      <c r="O123" s="415">
        <v>0</v>
      </c>
      <c r="P123" s="415">
        <v>0</v>
      </c>
      <c r="Q123" s="415">
        <v>0</v>
      </c>
      <c r="R123" s="415">
        <v>0</v>
      </c>
      <c r="S123" s="415">
        <v>0</v>
      </c>
      <c r="T123" s="415">
        <v>0</v>
      </c>
      <c r="U123" s="415">
        <v>0</v>
      </c>
      <c r="V123" s="415">
        <v>0</v>
      </c>
      <c r="W123" s="415">
        <v>0</v>
      </c>
      <c r="X123" s="415">
        <v>0</v>
      </c>
      <c r="Y123" s="415">
        <v>0</v>
      </c>
      <c r="Z123" s="415">
        <v>0</v>
      </c>
      <c r="AA123" s="415">
        <v>0</v>
      </c>
      <c r="AB123" s="415">
        <v>0</v>
      </c>
      <c r="AC123" s="415">
        <v>220234.71</v>
      </c>
      <c r="AD123" s="415">
        <v>0</v>
      </c>
      <c r="AE123" s="415">
        <f t="shared" si="5"/>
        <v>9176.4462499999991</v>
      </c>
      <c r="AF123" s="415">
        <f t="shared" si="5"/>
        <v>0</v>
      </c>
    </row>
    <row r="124" spans="1:32">
      <c r="A124" s="409">
        <v>115</v>
      </c>
      <c r="C124" s="24" t="s">
        <v>2281</v>
      </c>
      <c r="D124" s="24" t="s">
        <v>910</v>
      </c>
      <c r="E124" s="415">
        <v>0</v>
      </c>
      <c r="F124" s="415">
        <v>0</v>
      </c>
      <c r="G124" s="415">
        <v>0</v>
      </c>
      <c r="H124" s="415">
        <v>0</v>
      </c>
      <c r="I124" s="415">
        <v>0</v>
      </c>
      <c r="J124" s="415">
        <v>0</v>
      </c>
      <c r="K124" s="415">
        <v>0</v>
      </c>
      <c r="L124" s="415">
        <v>0</v>
      </c>
      <c r="M124" s="415">
        <v>0</v>
      </c>
      <c r="N124" s="415">
        <v>0</v>
      </c>
      <c r="O124" s="415">
        <v>0</v>
      </c>
      <c r="P124" s="415">
        <v>0</v>
      </c>
      <c r="Q124" s="415">
        <v>0</v>
      </c>
      <c r="R124" s="415">
        <v>0</v>
      </c>
      <c r="S124" s="415">
        <v>0</v>
      </c>
      <c r="T124" s="415">
        <v>0</v>
      </c>
      <c r="U124" s="415">
        <v>0</v>
      </c>
      <c r="V124" s="415">
        <v>0</v>
      </c>
      <c r="W124" s="415">
        <v>0</v>
      </c>
      <c r="X124" s="415">
        <v>0</v>
      </c>
      <c r="Y124" s="415">
        <v>0</v>
      </c>
      <c r="Z124" s="415">
        <v>0</v>
      </c>
      <c r="AA124" s="415">
        <v>167698.90000000002</v>
      </c>
      <c r="AB124" s="415">
        <v>0</v>
      </c>
      <c r="AC124" s="415">
        <v>166354.96000000002</v>
      </c>
      <c r="AD124" s="415">
        <v>1746.8600000000001</v>
      </c>
      <c r="AE124" s="415">
        <f t="shared" si="5"/>
        <v>20906.365000000002</v>
      </c>
      <c r="AF124" s="415">
        <f t="shared" si="5"/>
        <v>72.785833333333343</v>
      </c>
    </row>
    <row r="125" spans="1:32">
      <c r="A125" s="409">
        <v>116</v>
      </c>
      <c r="C125" s="24" t="s">
        <v>2282</v>
      </c>
      <c r="D125" s="24" t="s">
        <v>910</v>
      </c>
      <c r="E125" s="415">
        <v>0</v>
      </c>
      <c r="F125" s="415">
        <v>0</v>
      </c>
      <c r="G125" s="415">
        <v>0</v>
      </c>
      <c r="H125" s="415">
        <v>0</v>
      </c>
      <c r="I125" s="415">
        <v>0</v>
      </c>
      <c r="J125" s="415">
        <v>0</v>
      </c>
      <c r="K125" s="415">
        <v>0</v>
      </c>
      <c r="L125" s="415">
        <v>0</v>
      </c>
      <c r="M125" s="415">
        <v>0</v>
      </c>
      <c r="N125" s="415">
        <v>0</v>
      </c>
      <c r="O125" s="415">
        <v>0</v>
      </c>
      <c r="P125" s="415">
        <v>0</v>
      </c>
      <c r="Q125" s="415">
        <v>0</v>
      </c>
      <c r="R125" s="415">
        <v>0</v>
      </c>
      <c r="S125" s="415">
        <v>0</v>
      </c>
      <c r="T125" s="415">
        <v>0</v>
      </c>
      <c r="U125" s="415">
        <v>0</v>
      </c>
      <c r="V125" s="415">
        <v>0</v>
      </c>
      <c r="W125" s="415">
        <v>0</v>
      </c>
      <c r="X125" s="415">
        <v>0</v>
      </c>
      <c r="Y125" s="415">
        <v>0</v>
      </c>
      <c r="Z125" s="415">
        <v>0</v>
      </c>
      <c r="AA125" s="415">
        <v>0</v>
      </c>
      <c r="AB125" s="415">
        <v>0</v>
      </c>
      <c r="AC125" s="415">
        <v>2784867.69</v>
      </c>
      <c r="AD125" s="415">
        <v>1482032.63</v>
      </c>
      <c r="AE125" s="415">
        <f t="shared" si="5"/>
        <v>116036.15375</v>
      </c>
      <c r="AF125" s="415">
        <f t="shared" si="5"/>
        <v>61751.359583333331</v>
      </c>
    </row>
    <row r="126" spans="1:32">
      <c r="A126" s="409">
        <v>117</v>
      </c>
      <c r="C126" s="24" t="s">
        <v>924</v>
      </c>
      <c r="D126" s="24" t="s">
        <v>910</v>
      </c>
      <c r="E126" s="415">
        <v>94899.760000000009</v>
      </c>
      <c r="F126" s="415">
        <v>0</v>
      </c>
      <c r="G126" s="415">
        <v>94899.760000000009</v>
      </c>
      <c r="H126" s="415">
        <v>0</v>
      </c>
      <c r="I126" s="415">
        <v>94899.760000000009</v>
      </c>
      <c r="J126" s="415">
        <v>0</v>
      </c>
      <c r="K126" s="415">
        <v>94899.760000000009</v>
      </c>
      <c r="L126" s="415">
        <v>0</v>
      </c>
      <c r="M126" s="415">
        <v>94899.760000000009</v>
      </c>
      <c r="N126" s="415">
        <v>0</v>
      </c>
      <c r="O126" s="415">
        <v>94899.760000000009</v>
      </c>
      <c r="P126" s="415">
        <v>0</v>
      </c>
      <c r="Q126" s="415">
        <v>94899.760000000009</v>
      </c>
      <c r="R126" s="415">
        <v>0</v>
      </c>
      <c r="S126" s="415">
        <v>94899.760000000009</v>
      </c>
      <c r="T126" s="415">
        <v>0</v>
      </c>
      <c r="U126" s="415">
        <v>94899.760000000009</v>
      </c>
      <c r="V126" s="415">
        <v>0</v>
      </c>
      <c r="W126" s="415">
        <v>94899.760000000009</v>
      </c>
      <c r="X126" s="415">
        <v>0</v>
      </c>
      <c r="Y126" s="415">
        <v>94899.760000000009</v>
      </c>
      <c r="Z126" s="415">
        <v>0</v>
      </c>
      <c r="AA126" s="415">
        <v>94899.760000000009</v>
      </c>
      <c r="AB126" s="415">
        <v>0</v>
      </c>
      <c r="AC126" s="415">
        <v>94899.760000000009</v>
      </c>
      <c r="AD126" s="415">
        <v>0</v>
      </c>
      <c r="AE126" s="415">
        <f t="shared" si="5"/>
        <v>94899.760000000009</v>
      </c>
      <c r="AF126" s="415">
        <f t="shared" si="5"/>
        <v>0</v>
      </c>
    </row>
    <row r="127" spans="1:32">
      <c r="A127" s="409">
        <v>118</v>
      </c>
      <c r="C127" s="24" t="s">
        <v>925</v>
      </c>
      <c r="D127" s="24" t="s">
        <v>910</v>
      </c>
      <c r="E127" s="415">
        <v>399189.1</v>
      </c>
      <c r="F127" s="415">
        <v>419228.1</v>
      </c>
      <c r="G127" s="415">
        <v>399189.10000000003</v>
      </c>
      <c r="H127" s="415">
        <v>419228.10000000003</v>
      </c>
      <c r="I127" s="415">
        <v>399189.10000000003</v>
      </c>
      <c r="J127" s="415">
        <v>419228.10000000003</v>
      </c>
      <c r="K127" s="415">
        <v>399189.10000000003</v>
      </c>
      <c r="L127" s="415">
        <v>419228.10000000003</v>
      </c>
      <c r="M127" s="415">
        <v>399189.10000000003</v>
      </c>
      <c r="N127" s="415">
        <v>419228.10000000003</v>
      </c>
      <c r="O127" s="415">
        <v>422081.87</v>
      </c>
      <c r="P127" s="415">
        <v>415354.55000000005</v>
      </c>
      <c r="Q127" s="415">
        <v>422081.87</v>
      </c>
      <c r="R127" s="415">
        <v>415547.62</v>
      </c>
      <c r="S127" s="415">
        <v>422081.87</v>
      </c>
      <c r="T127" s="415">
        <v>415976.74000000005</v>
      </c>
      <c r="U127" s="415">
        <v>422081.87</v>
      </c>
      <c r="V127" s="415">
        <v>416405.86</v>
      </c>
      <c r="W127" s="415">
        <v>422081.87</v>
      </c>
      <c r="X127" s="415">
        <v>416834.98</v>
      </c>
      <c r="Y127" s="415">
        <v>422081.87</v>
      </c>
      <c r="Z127" s="415">
        <v>417264.1</v>
      </c>
      <c r="AA127" s="415">
        <v>422081.87</v>
      </c>
      <c r="AB127" s="415">
        <v>417693.22</v>
      </c>
      <c r="AC127" s="415">
        <v>421631.54</v>
      </c>
      <c r="AD127" s="415">
        <v>418122.34</v>
      </c>
      <c r="AE127" s="415">
        <f t="shared" si="5"/>
        <v>413478.31750000006</v>
      </c>
      <c r="AF127" s="415">
        <f t="shared" si="5"/>
        <v>417555.39083333337</v>
      </c>
    </row>
    <row r="128" spans="1:32">
      <c r="A128" s="409">
        <v>119</v>
      </c>
      <c r="C128" s="24" t="s">
        <v>926</v>
      </c>
      <c r="D128" s="24" t="s">
        <v>910</v>
      </c>
      <c r="E128" s="415">
        <v>954713.11</v>
      </c>
      <c r="F128" s="415">
        <v>696776.96000000008</v>
      </c>
      <c r="G128" s="415">
        <v>954713.11</v>
      </c>
      <c r="H128" s="415">
        <v>696776.96</v>
      </c>
      <c r="I128" s="415">
        <v>954713.11</v>
      </c>
      <c r="J128" s="415">
        <v>696776.96</v>
      </c>
      <c r="K128" s="415">
        <v>954713.11</v>
      </c>
      <c r="L128" s="415">
        <v>696776.96</v>
      </c>
      <c r="M128" s="415">
        <v>954713.11</v>
      </c>
      <c r="N128" s="415">
        <v>696776.96</v>
      </c>
      <c r="O128" s="415">
        <v>954713.11</v>
      </c>
      <c r="P128" s="415">
        <v>696776.96</v>
      </c>
      <c r="Q128" s="415">
        <v>954713.11</v>
      </c>
      <c r="R128" s="415">
        <v>696776.96</v>
      </c>
      <c r="S128" s="415">
        <v>954713.11</v>
      </c>
      <c r="T128" s="415">
        <v>696776.96</v>
      </c>
      <c r="U128" s="415">
        <v>954713.11</v>
      </c>
      <c r="V128" s="415">
        <v>696776.96</v>
      </c>
      <c r="W128" s="415">
        <v>954713.11</v>
      </c>
      <c r="X128" s="415">
        <v>696776.96</v>
      </c>
      <c r="Y128" s="415">
        <v>954713.11</v>
      </c>
      <c r="Z128" s="415">
        <v>696776.96</v>
      </c>
      <c r="AA128" s="415">
        <v>954713.11</v>
      </c>
      <c r="AB128" s="415">
        <v>696776.96</v>
      </c>
      <c r="AC128" s="415">
        <v>954713.11</v>
      </c>
      <c r="AD128" s="415">
        <v>696776.96</v>
      </c>
      <c r="AE128" s="415">
        <f t="shared" si="5"/>
        <v>954713.10999999987</v>
      </c>
      <c r="AF128" s="415">
        <f t="shared" si="5"/>
        <v>696776.96</v>
      </c>
    </row>
    <row r="129" spans="1:32">
      <c r="A129" s="409">
        <v>120</v>
      </c>
      <c r="C129" s="24" t="s">
        <v>927</v>
      </c>
      <c r="D129" s="24" t="s">
        <v>910</v>
      </c>
      <c r="E129" s="415">
        <v>5944803.1500000004</v>
      </c>
      <c r="F129" s="415">
        <v>5541204.4500000002</v>
      </c>
      <c r="G129" s="415">
        <v>5944803.6600000001</v>
      </c>
      <c r="H129" s="415">
        <v>5547347.4100000001</v>
      </c>
      <c r="I129" s="415">
        <v>5944803.6600000001</v>
      </c>
      <c r="J129" s="415">
        <v>5553490.3700000001</v>
      </c>
      <c r="K129" s="415">
        <v>5978074.5600000005</v>
      </c>
      <c r="L129" s="415">
        <v>5559633.3300000001</v>
      </c>
      <c r="M129" s="415">
        <v>5978074.5600000005</v>
      </c>
      <c r="N129" s="415">
        <v>5565810.6699999999</v>
      </c>
      <c r="O129" s="415">
        <v>5978074.5600000005</v>
      </c>
      <c r="P129" s="415">
        <v>5571988.0099999998</v>
      </c>
      <c r="Q129" s="415">
        <v>5977384.3000000007</v>
      </c>
      <c r="R129" s="415">
        <v>5578165.3499999996</v>
      </c>
      <c r="S129" s="415">
        <v>5977384.3000000007</v>
      </c>
      <c r="T129" s="415">
        <v>5584341.9799999995</v>
      </c>
      <c r="U129" s="415">
        <v>5977384.3000000007</v>
      </c>
      <c r="V129" s="415">
        <v>5590518.6100000003</v>
      </c>
      <c r="W129" s="415">
        <v>5977486.1900000004</v>
      </c>
      <c r="X129" s="415">
        <v>5596695.2400000002</v>
      </c>
      <c r="Y129" s="415">
        <v>5977486.1900000004</v>
      </c>
      <c r="Z129" s="415">
        <v>5602871.9799999995</v>
      </c>
      <c r="AA129" s="415">
        <v>5977486.1900000004</v>
      </c>
      <c r="AB129" s="415">
        <v>5609048.7200000007</v>
      </c>
      <c r="AC129" s="415">
        <v>5977291.5</v>
      </c>
      <c r="AD129" s="415">
        <v>5615225.46</v>
      </c>
      <c r="AE129" s="415">
        <f t="shared" si="5"/>
        <v>5970790.8162500001</v>
      </c>
      <c r="AF129" s="415">
        <f t="shared" si="5"/>
        <v>5578177.2187499991</v>
      </c>
    </row>
    <row r="130" spans="1:32">
      <c r="A130" s="409">
        <v>121</v>
      </c>
      <c r="C130" s="24" t="s">
        <v>928</v>
      </c>
      <c r="D130" s="24" t="s">
        <v>910</v>
      </c>
      <c r="E130" s="415">
        <v>3129482.49</v>
      </c>
      <c r="F130" s="415">
        <v>1073696.77</v>
      </c>
      <c r="G130" s="415">
        <v>3149441.87</v>
      </c>
      <c r="H130" s="415">
        <v>1116049.1000000001</v>
      </c>
      <c r="I130" s="415">
        <v>3149934.33</v>
      </c>
      <c r="J130" s="415">
        <v>1158671.55</v>
      </c>
      <c r="K130" s="415">
        <v>3163528.4499999997</v>
      </c>
      <c r="L130" s="415">
        <v>1201300.6599999999</v>
      </c>
      <c r="M130" s="415">
        <v>3163528.4499999997</v>
      </c>
      <c r="N130" s="415">
        <v>1244113.75</v>
      </c>
      <c r="O130" s="415">
        <v>3163528.4499999997</v>
      </c>
      <c r="P130" s="415">
        <v>1286926.8400000001</v>
      </c>
      <c r="Q130" s="415">
        <v>3163528.4499999997</v>
      </c>
      <c r="R130" s="415">
        <v>1329739.9300000002</v>
      </c>
      <c r="S130" s="415">
        <v>3163528.4499999997</v>
      </c>
      <c r="T130" s="415">
        <v>1372553.02</v>
      </c>
      <c r="U130" s="415">
        <v>3163528.4499999997</v>
      </c>
      <c r="V130" s="415">
        <v>1415366.11</v>
      </c>
      <c r="W130" s="415">
        <v>3178999.78</v>
      </c>
      <c r="X130" s="415">
        <v>1458179.2</v>
      </c>
      <c r="Y130" s="415">
        <v>3178999.78</v>
      </c>
      <c r="Z130" s="415">
        <v>1501201.66</v>
      </c>
      <c r="AA130" s="415">
        <v>3178999.78</v>
      </c>
      <c r="AB130" s="415">
        <v>1544224.1199999999</v>
      </c>
      <c r="AC130" s="415">
        <v>3494588.6599999997</v>
      </c>
      <c r="AD130" s="415">
        <v>1587246.5799999998</v>
      </c>
      <c r="AE130" s="415">
        <f t="shared" si="5"/>
        <v>3177465.1512500006</v>
      </c>
      <c r="AF130" s="415">
        <f t="shared" si="5"/>
        <v>1329899.8012499998</v>
      </c>
    </row>
    <row r="131" spans="1:32">
      <c r="A131" s="409">
        <v>122</v>
      </c>
      <c r="C131" s="24" t="s">
        <v>929</v>
      </c>
      <c r="D131" s="24" t="s">
        <v>910</v>
      </c>
      <c r="E131" s="415">
        <v>158310.35</v>
      </c>
      <c r="F131" s="415">
        <v>-193316.37000000002</v>
      </c>
      <c r="G131" s="415">
        <v>158310.35</v>
      </c>
      <c r="H131" s="415">
        <v>-191024.83000000002</v>
      </c>
      <c r="I131" s="415">
        <v>158310.35</v>
      </c>
      <c r="J131" s="415">
        <v>-188733.29</v>
      </c>
      <c r="K131" s="415">
        <v>158310.35</v>
      </c>
      <c r="L131" s="415">
        <v>-186441.75</v>
      </c>
      <c r="M131" s="415">
        <v>158310.35</v>
      </c>
      <c r="N131" s="415">
        <v>-184150.21000000002</v>
      </c>
      <c r="O131" s="415">
        <v>158310.35</v>
      </c>
      <c r="P131" s="415">
        <v>-181858.66999999998</v>
      </c>
      <c r="Q131" s="415">
        <v>158310.35</v>
      </c>
      <c r="R131" s="415">
        <v>-179567.13</v>
      </c>
      <c r="S131" s="415">
        <v>158310.35</v>
      </c>
      <c r="T131" s="415">
        <v>-177275.59000000003</v>
      </c>
      <c r="U131" s="415">
        <v>158310.35</v>
      </c>
      <c r="V131" s="415">
        <v>-174984.05</v>
      </c>
      <c r="W131" s="415">
        <v>158310.35</v>
      </c>
      <c r="X131" s="415">
        <v>-172692.51</v>
      </c>
      <c r="Y131" s="415">
        <v>158310.35</v>
      </c>
      <c r="Z131" s="415">
        <v>-170400.97</v>
      </c>
      <c r="AA131" s="415">
        <v>158310.35</v>
      </c>
      <c r="AB131" s="415">
        <v>-168109.43</v>
      </c>
      <c r="AC131" s="415">
        <v>158310.35</v>
      </c>
      <c r="AD131" s="415">
        <v>-165817.89000000001</v>
      </c>
      <c r="AE131" s="415">
        <f t="shared" si="5"/>
        <v>158310.35000000003</v>
      </c>
      <c r="AF131" s="415">
        <f t="shared" si="5"/>
        <v>-179567.13</v>
      </c>
    </row>
    <row r="132" spans="1:32">
      <c r="A132" s="409">
        <v>123</v>
      </c>
      <c r="C132" s="24" t="s">
        <v>930</v>
      </c>
      <c r="D132" s="24" t="s">
        <v>910</v>
      </c>
      <c r="E132" s="415">
        <v>1276603.8500000001</v>
      </c>
      <c r="F132" s="415">
        <v>60413.3</v>
      </c>
      <c r="G132" s="415">
        <v>1276603.8500000001</v>
      </c>
      <c r="H132" s="415">
        <v>65711.210000000006</v>
      </c>
      <c r="I132" s="415">
        <v>1276603.8500000001</v>
      </c>
      <c r="J132" s="415">
        <v>71009.12000000001</v>
      </c>
      <c r="K132" s="415">
        <v>1283146.57</v>
      </c>
      <c r="L132" s="415">
        <v>76307.03</v>
      </c>
      <c r="M132" s="415">
        <v>1283071.6100000001</v>
      </c>
      <c r="N132" s="415">
        <v>81632.09</v>
      </c>
      <c r="O132" s="415">
        <v>1283071.6100000001</v>
      </c>
      <c r="P132" s="415">
        <v>86956.84</v>
      </c>
      <c r="Q132" s="415">
        <v>1283071.6100000001</v>
      </c>
      <c r="R132" s="415">
        <v>92281.59</v>
      </c>
      <c r="S132" s="415">
        <v>1283071.6100000001</v>
      </c>
      <c r="T132" s="415">
        <v>97606.34</v>
      </c>
      <c r="U132" s="415">
        <v>1283071.6100000001</v>
      </c>
      <c r="V132" s="415">
        <v>102931.09</v>
      </c>
      <c r="W132" s="415">
        <v>1283071.6100000001</v>
      </c>
      <c r="X132" s="415">
        <v>108255.84</v>
      </c>
      <c r="Y132" s="415">
        <v>1283071.6100000001</v>
      </c>
      <c r="Z132" s="415">
        <v>113580.59</v>
      </c>
      <c r="AA132" s="415">
        <v>1283071.6100000001</v>
      </c>
      <c r="AB132" s="415">
        <v>118905.34</v>
      </c>
      <c r="AC132" s="415">
        <v>1283046.32</v>
      </c>
      <c r="AD132" s="415">
        <v>124230.09</v>
      </c>
      <c r="AE132" s="415">
        <f t="shared" si="5"/>
        <v>1281729.3529166665</v>
      </c>
      <c r="AF132" s="415">
        <f t="shared" si="5"/>
        <v>92291.564583333326</v>
      </c>
    </row>
    <row r="133" spans="1:32">
      <c r="A133" s="409">
        <v>124</v>
      </c>
      <c r="C133" s="24" t="s">
        <v>931</v>
      </c>
      <c r="D133" s="24" t="s">
        <v>910</v>
      </c>
      <c r="E133" s="415">
        <v>2994409.61</v>
      </c>
      <c r="F133" s="415">
        <v>2994409.62</v>
      </c>
      <c r="G133" s="415">
        <v>2994409.6100000003</v>
      </c>
      <c r="H133" s="415">
        <v>2994409.62</v>
      </c>
      <c r="I133" s="415">
        <v>2994409.6100000003</v>
      </c>
      <c r="J133" s="415">
        <v>2994409.62</v>
      </c>
      <c r="K133" s="415">
        <v>2994409.6100000003</v>
      </c>
      <c r="L133" s="415">
        <v>2994409.62</v>
      </c>
      <c r="M133" s="415">
        <v>2994409.6100000003</v>
      </c>
      <c r="N133" s="415">
        <v>2994409.62</v>
      </c>
      <c r="O133" s="415">
        <v>2994409.6100000003</v>
      </c>
      <c r="P133" s="415">
        <v>2994409.62</v>
      </c>
      <c r="Q133" s="415">
        <v>2994409.6100000003</v>
      </c>
      <c r="R133" s="415">
        <v>2994409.62</v>
      </c>
      <c r="S133" s="415">
        <v>2994409.6100000003</v>
      </c>
      <c r="T133" s="415">
        <v>2994409.62</v>
      </c>
      <c r="U133" s="415">
        <v>2994409.6100000003</v>
      </c>
      <c r="V133" s="415">
        <v>2994409.62</v>
      </c>
      <c r="W133" s="415">
        <v>2994409.6100000003</v>
      </c>
      <c r="X133" s="415">
        <v>2994409.62</v>
      </c>
      <c r="Y133" s="415">
        <v>2994409.6100000003</v>
      </c>
      <c r="Z133" s="415">
        <v>2994409.62</v>
      </c>
      <c r="AA133" s="415">
        <v>2994409.6100000003</v>
      </c>
      <c r="AB133" s="415">
        <v>2994409.62</v>
      </c>
      <c r="AC133" s="415">
        <v>2994409.6100000003</v>
      </c>
      <c r="AD133" s="415">
        <v>2994409.61</v>
      </c>
      <c r="AE133" s="415">
        <f t="shared" si="5"/>
        <v>2994409.61</v>
      </c>
      <c r="AF133" s="415">
        <f t="shared" si="5"/>
        <v>2994409.6195833343</v>
      </c>
    </row>
    <row r="134" spans="1:32">
      <c r="A134" s="409">
        <v>125</v>
      </c>
      <c r="C134" s="24" t="s">
        <v>932</v>
      </c>
      <c r="D134" s="24" t="s">
        <v>910</v>
      </c>
      <c r="E134" s="415">
        <v>7723.92</v>
      </c>
      <c r="F134" s="415">
        <v>6066.64</v>
      </c>
      <c r="G134" s="415">
        <v>7723.92</v>
      </c>
      <c r="H134" s="415">
        <v>6086.92</v>
      </c>
      <c r="I134" s="415">
        <v>7723.92</v>
      </c>
      <c r="J134" s="415">
        <v>6107.2000000000007</v>
      </c>
      <c r="K134" s="415">
        <v>7723.92</v>
      </c>
      <c r="L134" s="415">
        <v>6127.4800000000005</v>
      </c>
      <c r="M134" s="415">
        <v>7723.92</v>
      </c>
      <c r="N134" s="415">
        <v>6147.76</v>
      </c>
      <c r="O134" s="415">
        <v>7723.92</v>
      </c>
      <c r="P134" s="415">
        <v>6168.0400000000009</v>
      </c>
      <c r="Q134" s="415">
        <v>7723.92</v>
      </c>
      <c r="R134" s="415">
        <v>6188.3200000000006</v>
      </c>
      <c r="S134" s="415">
        <v>7723.92</v>
      </c>
      <c r="T134" s="415">
        <v>6208.6</v>
      </c>
      <c r="U134" s="415">
        <v>7723.92</v>
      </c>
      <c r="V134" s="415">
        <v>6228.880000000001</v>
      </c>
      <c r="W134" s="415">
        <v>7723.92</v>
      </c>
      <c r="X134" s="415">
        <v>6249.1600000000008</v>
      </c>
      <c r="Y134" s="415">
        <v>7723.92</v>
      </c>
      <c r="Z134" s="415">
        <v>6269.4400000000005</v>
      </c>
      <c r="AA134" s="415">
        <v>7723.92</v>
      </c>
      <c r="AB134" s="415">
        <v>6289.72</v>
      </c>
      <c r="AC134" s="415">
        <v>7723.92</v>
      </c>
      <c r="AD134" s="415">
        <v>6310</v>
      </c>
      <c r="AE134" s="415">
        <f t="shared" si="5"/>
        <v>7723.9199999999992</v>
      </c>
      <c r="AF134" s="415">
        <f t="shared" si="5"/>
        <v>6188.32</v>
      </c>
    </row>
    <row r="135" spans="1:32">
      <c r="A135" s="409">
        <v>126</v>
      </c>
      <c r="C135" s="24" t="s">
        <v>933</v>
      </c>
      <c r="D135" s="24" t="s">
        <v>910</v>
      </c>
      <c r="E135" s="415">
        <v>2035982.23</v>
      </c>
      <c r="F135" s="415">
        <v>789500.16999999993</v>
      </c>
      <c r="G135" s="415">
        <v>1936459.93</v>
      </c>
      <c r="H135" s="415">
        <v>732671.35</v>
      </c>
      <c r="I135" s="415">
        <v>1936326.94</v>
      </c>
      <c r="J135" s="415">
        <v>742595.7</v>
      </c>
      <c r="K135" s="415">
        <v>1865255.93</v>
      </c>
      <c r="L135" s="415">
        <v>712500.19000000006</v>
      </c>
      <c r="M135" s="415">
        <v>1834253.2400000002</v>
      </c>
      <c r="N135" s="415">
        <v>702060.94</v>
      </c>
      <c r="O135" s="415">
        <v>1854822.48</v>
      </c>
      <c r="P135" s="415">
        <v>704963.83000000007</v>
      </c>
      <c r="Q135" s="415">
        <v>1854822.48</v>
      </c>
      <c r="R135" s="415">
        <v>714469.79</v>
      </c>
      <c r="S135" s="415">
        <v>1854822.48</v>
      </c>
      <c r="T135" s="415">
        <v>723975.74</v>
      </c>
      <c r="U135" s="415">
        <v>1985144.93</v>
      </c>
      <c r="V135" s="415">
        <v>733481.70000000007</v>
      </c>
      <c r="W135" s="415">
        <v>1987264.6500000001</v>
      </c>
      <c r="X135" s="415">
        <v>716590.36</v>
      </c>
      <c r="Y135" s="415">
        <v>2017208.58</v>
      </c>
      <c r="Z135" s="415">
        <v>717755.64999999991</v>
      </c>
      <c r="AA135" s="415">
        <v>1958953.4500000002</v>
      </c>
      <c r="AB135" s="415">
        <v>676442.58000000007</v>
      </c>
      <c r="AC135" s="415">
        <v>2137291.48</v>
      </c>
      <c r="AD135" s="415">
        <v>686482.22</v>
      </c>
      <c r="AE135" s="415">
        <f t="shared" si="5"/>
        <v>1930997.6620833334</v>
      </c>
      <c r="AF135" s="415">
        <f t="shared" si="5"/>
        <v>717958.25208333333</v>
      </c>
    </row>
    <row r="136" spans="1:32">
      <c r="A136" s="409">
        <v>127</v>
      </c>
      <c r="C136" s="24" t="s">
        <v>934</v>
      </c>
      <c r="D136" s="24" t="s">
        <v>910</v>
      </c>
      <c r="E136" s="415">
        <v>43088.19</v>
      </c>
      <c r="F136" s="415">
        <v>18335.93</v>
      </c>
      <c r="G136" s="415">
        <v>43088.19</v>
      </c>
      <c r="H136" s="415">
        <v>18527.669999999998</v>
      </c>
      <c r="I136" s="415">
        <v>43088.19</v>
      </c>
      <c r="J136" s="415">
        <v>18719.41</v>
      </c>
      <c r="K136" s="415">
        <v>43088.19</v>
      </c>
      <c r="L136" s="415">
        <v>18911.150000000001</v>
      </c>
      <c r="M136" s="415">
        <v>43088.19</v>
      </c>
      <c r="N136" s="415">
        <v>19102.89</v>
      </c>
      <c r="O136" s="415">
        <v>43088.19</v>
      </c>
      <c r="P136" s="415">
        <v>19294.63</v>
      </c>
      <c r="Q136" s="415">
        <v>43088.19</v>
      </c>
      <c r="R136" s="415">
        <v>19486.37</v>
      </c>
      <c r="S136" s="415">
        <v>43088.19</v>
      </c>
      <c r="T136" s="415">
        <v>19678.11</v>
      </c>
      <c r="U136" s="415">
        <v>43088.19</v>
      </c>
      <c r="V136" s="415">
        <v>19869.849999999999</v>
      </c>
      <c r="W136" s="415">
        <v>43088.19</v>
      </c>
      <c r="X136" s="415">
        <v>20061.59</v>
      </c>
      <c r="Y136" s="415">
        <v>43088.19</v>
      </c>
      <c r="Z136" s="415">
        <v>20253.330000000002</v>
      </c>
      <c r="AA136" s="415">
        <v>52521.200000000004</v>
      </c>
      <c r="AB136" s="415">
        <v>20445.07</v>
      </c>
      <c r="AC136" s="415">
        <v>52364.869999999995</v>
      </c>
      <c r="AD136" s="415">
        <v>20678.79</v>
      </c>
      <c r="AE136" s="415">
        <f t="shared" si="5"/>
        <v>44260.802499999998</v>
      </c>
      <c r="AF136" s="415">
        <f t="shared" si="5"/>
        <v>19488.119166666667</v>
      </c>
    </row>
    <row r="137" spans="1:32">
      <c r="A137" s="409">
        <v>128</v>
      </c>
      <c r="C137" s="24" t="s">
        <v>935</v>
      </c>
      <c r="D137" s="24" t="s">
        <v>910</v>
      </c>
      <c r="E137" s="415">
        <v>2441513.96</v>
      </c>
      <c r="F137" s="415">
        <v>533803.03</v>
      </c>
      <c r="G137" s="415">
        <v>2469880.0099999998</v>
      </c>
      <c r="H137" s="415">
        <v>541046.18999999994</v>
      </c>
      <c r="I137" s="415">
        <v>2477713.0299999998</v>
      </c>
      <c r="J137" s="415">
        <v>548373.5</v>
      </c>
      <c r="K137" s="415">
        <v>2481346.0699999998</v>
      </c>
      <c r="L137" s="415">
        <v>552265.71</v>
      </c>
      <c r="M137" s="415">
        <v>2505573.58</v>
      </c>
      <c r="N137" s="415">
        <v>559627.04</v>
      </c>
      <c r="O137" s="415">
        <v>2533156.7800000003</v>
      </c>
      <c r="P137" s="415">
        <v>567060.24</v>
      </c>
      <c r="Q137" s="415">
        <v>2543109.75</v>
      </c>
      <c r="R137" s="415">
        <v>574575.27</v>
      </c>
      <c r="S137" s="415">
        <v>2543109.75</v>
      </c>
      <c r="T137" s="415">
        <v>582119.83000000007</v>
      </c>
      <c r="U137" s="415">
        <v>2543109.75</v>
      </c>
      <c r="V137" s="415">
        <v>589664.39</v>
      </c>
      <c r="W137" s="415">
        <v>2550851.14</v>
      </c>
      <c r="X137" s="415">
        <v>597208.94999999995</v>
      </c>
      <c r="Y137" s="415">
        <v>2662728.4500000002</v>
      </c>
      <c r="Z137" s="415">
        <v>604776.48</v>
      </c>
      <c r="AA137" s="415">
        <v>2663853.04</v>
      </c>
      <c r="AB137" s="415">
        <v>612675.91</v>
      </c>
      <c r="AC137" s="415">
        <v>2695786.5</v>
      </c>
      <c r="AD137" s="415">
        <v>620578.67000000004</v>
      </c>
      <c r="AE137" s="415">
        <f t="shared" si="5"/>
        <v>2545256.7983333333</v>
      </c>
      <c r="AF137" s="415">
        <f t="shared" si="5"/>
        <v>575548.69666666666</v>
      </c>
    </row>
    <row r="138" spans="1:32">
      <c r="A138" s="409">
        <v>129</v>
      </c>
      <c r="C138" s="24" t="s">
        <v>936</v>
      </c>
      <c r="D138" s="24" t="s">
        <v>910</v>
      </c>
      <c r="E138" s="415">
        <v>90630.82</v>
      </c>
      <c r="F138" s="415">
        <v>42766.710000000006</v>
      </c>
      <c r="G138" s="415">
        <v>90630.82</v>
      </c>
      <c r="H138" s="415">
        <v>43114.130000000005</v>
      </c>
      <c r="I138" s="415">
        <v>90630.82</v>
      </c>
      <c r="J138" s="415">
        <v>43461.55</v>
      </c>
      <c r="K138" s="415">
        <v>84472.540000000008</v>
      </c>
      <c r="L138" s="415">
        <v>37650.69</v>
      </c>
      <c r="M138" s="415">
        <v>84472.540000000008</v>
      </c>
      <c r="N138" s="415">
        <v>37974.5</v>
      </c>
      <c r="O138" s="415">
        <v>84472.540000000008</v>
      </c>
      <c r="P138" s="415">
        <v>38298.31</v>
      </c>
      <c r="Q138" s="415">
        <v>84472.540000000008</v>
      </c>
      <c r="R138" s="415">
        <v>38622.120000000003</v>
      </c>
      <c r="S138" s="415">
        <v>84472.540000000008</v>
      </c>
      <c r="T138" s="415">
        <v>38945.93</v>
      </c>
      <c r="U138" s="415">
        <v>84472.540000000008</v>
      </c>
      <c r="V138" s="415">
        <v>39269.74</v>
      </c>
      <c r="W138" s="415">
        <v>84472.540000000008</v>
      </c>
      <c r="X138" s="415">
        <v>39593.550000000003</v>
      </c>
      <c r="Y138" s="415">
        <v>84472.540000000008</v>
      </c>
      <c r="Z138" s="415">
        <v>39917.360000000001</v>
      </c>
      <c r="AA138" s="415">
        <v>84472.540000000008</v>
      </c>
      <c r="AB138" s="415">
        <v>40241.17</v>
      </c>
      <c r="AC138" s="415">
        <v>84472.540000000008</v>
      </c>
      <c r="AD138" s="415">
        <v>40564.979999999996</v>
      </c>
      <c r="AE138" s="415">
        <f t="shared" si="5"/>
        <v>85755.515000000029</v>
      </c>
      <c r="AF138" s="415">
        <f t="shared" si="5"/>
        <v>39896.241249999992</v>
      </c>
    </row>
    <row r="139" spans="1:32">
      <c r="A139" s="409">
        <v>130</v>
      </c>
      <c r="C139" s="24" t="s">
        <v>937</v>
      </c>
      <c r="D139" s="24" t="s">
        <v>910</v>
      </c>
      <c r="E139" s="415">
        <v>-96696.89</v>
      </c>
      <c r="F139" s="415">
        <v>-34308.04</v>
      </c>
      <c r="G139" s="415">
        <v>-94673.540000000008</v>
      </c>
      <c r="H139" s="415">
        <v>-34725.449999999997</v>
      </c>
      <c r="I139" s="415">
        <v>-94673.540000000008</v>
      </c>
      <c r="J139" s="415">
        <v>-35134.120000000003</v>
      </c>
      <c r="K139" s="415">
        <v>-94673.540000000008</v>
      </c>
      <c r="L139" s="415">
        <v>-35542.79</v>
      </c>
      <c r="M139" s="415">
        <v>-94673.540000000008</v>
      </c>
      <c r="N139" s="415">
        <v>-35951.460000000006</v>
      </c>
      <c r="O139" s="415">
        <v>-94673.540000000008</v>
      </c>
      <c r="P139" s="415">
        <v>-36360.129999999997</v>
      </c>
      <c r="Q139" s="415">
        <v>-94673.540000000008</v>
      </c>
      <c r="R139" s="415">
        <v>-36768.800000000003</v>
      </c>
      <c r="S139" s="415">
        <v>-94673.540000000008</v>
      </c>
      <c r="T139" s="415">
        <v>-37177.47</v>
      </c>
      <c r="U139" s="415">
        <v>-94673.540000000008</v>
      </c>
      <c r="V139" s="415">
        <v>-37586.14</v>
      </c>
      <c r="W139" s="415">
        <v>-94673.540000000008</v>
      </c>
      <c r="X139" s="415">
        <v>-37994.810000000005</v>
      </c>
      <c r="Y139" s="415">
        <v>-94673.540000000008</v>
      </c>
      <c r="Z139" s="415">
        <v>-38403.479999999996</v>
      </c>
      <c r="AA139" s="415">
        <v>-94673.540000000008</v>
      </c>
      <c r="AB139" s="415">
        <v>-38812.15</v>
      </c>
      <c r="AC139" s="415">
        <v>-94673.540000000008</v>
      </c>
      <c r="AD139" s="415">
        <v>-51325.86</v>
      </c>
      <c r="AE139" s="415">
        <f t="shared" ref="AE139:AF147" si="6">+(E139+AC139+(+G139+I139+K139+M139+O139+Q139+S139+U139+W139+Y139+AA139)*2)/24</f>
        <v>-94757.846250000017</v>
      </c>
      <c r="AF139" s="415">
        <f t="shared" si="6"/>
        <v>-37272.8125</v>
      </c>
    </row>
    <row r="140" spans="1:32">
      <c r="A140" s="409">
        <v>131</v>
      </c>
      <c r="C140" s="24" t="s">
        <v>938</v>
      </c>
      <c r="D140" s="24" t="s">
        <v>910</v>
      </c>
      <c r="E140" s="415">
        <v>0</v>
      </c>
      <c r="F140" s="415">
        <v>-12105.03</v>
      </c>
      <c r="G140" s="415">
        <v>0</v>
      </c>
      <c r="H140" s="415">
        <v>-12105.03</v>
      </c>
      <c r="I140" s="415">
        <v>0</v>
      </c>
      <c r="J140" s="415">
        <v>-12105.03</v>
      </c>
      <c r="K140" s="415">
        <v>0</v>
      </c>
      <c r="L140" s="415">
        <v>-12105.03</v>
      </c>
      <c r="M140" s="415">
        <v>0</v>
      </c>
      <c r="N140" s="415">
        <v>-12105.03</v>
      </c>
      <c r="O140" s="415">
        <v>0</v>
      </c>
      <c r="P140" s="415">
        <v>-12105.03</v>
      </c>
      <c r="Q140" s="415">
        <v>0</v>
      </c>
      <c r="R140" s="415">
        <v>-12105.03</v>
      </c>
      <c r="S140" s="415">
        <v>0</v>
      </c>
      <c r="T140" s="415">
        <v>-12105.03</v>
      </c>
      <c r="U140" s="415">
        <v>0</v>
      </c>
      <c r="V140" s="415">
        <v>-12105.03</v>
      </c>
      <c r="W140" s="415">
        <v>0</v>
      </c>
      <c r="X140" s="415">
        <v>-12105.03</v>
      </c>
      <c r="Y140" s="415">
        <v>0</v>
      </c>
      <c r="Z140" s="415">
        <v>-12105.03</v>
      </c>
      <c r="AA140" s="415">
        <v>0</v>
      </c>
      <c r="AB140" s="415">
        <v>-12105.03</v>
      </c>
      <c r="AC140" s="415">
        <v>0</v>
      </c>
      <c r="AD140" s="415">
        <v>1.0000000000005116E-2</v>
      </c>
      <c r="AE140" s="415">
        <f t="shared" si="6"/>
        <v>0</v>
      </c>
      <c r="AF140" s="415">
        <f t="shared" si="6"/>
        <v>-11600.653333333335</v>
      </c>
    </row>
    <row r="141" spans="1:32">
      <c r="A141" s="409">
        <v>132</v>
      </c>
      <c r="C141" s="24" t="s">
        <v>939</v>
      </c>
      <c r="D141" s="24" t="s">
        <v>910</v>
      </c>
      <c r="E141" s="415">
        <v>20451.79</v>
      </c>
      <c r="F141" s="415">
        <v>5127.5300000000007</v>
      </c>
      <c r="G141" s="415">
        <v>20451.79</v>
      </c>
      <c r="H141" s="415">
        <v>5287.22</v>
      </c>
      <c r="I141" s="415">
        <v>20451.79</v>
      </c>
      <c r="J141" s="415">
        <v>5446.91</v>
      </c>
      <c r="K141" s="415">
        <v>20451.79</v>
      </c>
      <c r="L141" s="415">
        <v>5606.6</v>
      </c>
      <c r="M141" s="415">
        <v>20451.79</v>
      </c>
      <c r="N141" s="415">
        <v>5766.29</v>
      </c>
      <c r="O141" s="415">
        <v>20451.79</v>
      </c>
      <c r="P141" s="415">
        <v>5925.98</v>
      </c>
      <c r="Q141" s="415">
        <v>19861.97</v>
      </c>
      <c r="R141" s="415">
        <v>6085.67</v>
      </c>
      <c r="S141" s="415">
        <v>19861.97</v>
      </c>
      <c r="T141" s="415">
        <v>6240.76</v>
      </c>
      <c r="U141" s="415">
        <v>19861.97</v>
      </c>
      <c r="V141" s="415">
        <v>6395.8499999999995</v>
      </c>
      <c r="W141" s="415">
        <v>19861.97</v>
      </c>
      <c r="X141" s="415">
        <v>6550.9400000000005</v>
      </c>
      <c r="Y141" s="415">
        <v>19861.97</v>
      </c>
      <c r="Z141" s="415">
        <v>6706.0300000000007</v>
      </c>
      <c r="AA141" s="415">
        <v>19861.97</v>
      </c>
      <c r="AB141" s="415">
        <v>6861.1200000000008</v>
      </c>
      <c r="AC141" s="415">
        <v>19861.97</v>
      </c>
      <c r="AD141" s="415">
        <v>7016.21</v>
      </c>
      <c r="AE141" s="415">
        <f t="shared" si="6"/>
        <v>20132.304166666669</v>
      </c>
      <c r="AF141" s="415">
        <f t="shared" si="6"/>
        <v>6078.7699999999995</v>
      </c>
    </row>
    <row r="142" spans="1:32">
      <c r="A142" s="409">
        <v>133</v>
      </c>
      <c r="C142" s="24" t="s">
        <v>940</v>
      </c>
      <c r="D142" s="24" t="s">
        <v>910</v>
      </c>
      <c r="E142" s="415">
        <v>755929.80999999994</v>
      </c>
      <c r="F142" s="415">
        <v>661285.87</v>
      </c>
      <c r="G142" s="415">
        <v>755929.81</v>
      </c>
      <c r="H142" s="415">
        <v>661367.76</v>
      </c>
      <c r="I142" s="415">
        <v>755929.81</v>
      </c>
      <c r="J142" s="415">
        <v>661449.65</v>
      </c>
      <c r="K142" s="415">
        <v>755929.81</v>
      </c>
      <c r="L142" s="415">
        <v>661531.54</v>
      </c>
      <c r="M142" s="415">
        <v>755929.81</v>
      </c>
      <c r="N142" s="415">
        <v>661613.42999999993</v>
      </c>
      <c r="O142" s="415">
        <v>755929.81</v>
      </c>
      <c r="P142" s="415">
        <v>661695.31999999995</v>
      </c>
      <c r="Q142" s="415">
        <v>755929.81</v>
      </c>
      <c r="R142" s="415">
        <v>661777.21</v>
      </c>
      <c r="S142" s="415">
        <v>755929.81</v>
      </c>
      <c r="T142" s="415">
        <v>661859.1</v>
      </c>
      <c r="U142" s="415">
        <v>755929.81</v>
      </c>
      <c r="V142" s="415">
        <v>661940.99</v>
      </c>
      <c r="W142" s="415">
        <v>755929.81</v>
      </c>
      <c r="X142" s="415">
        <v>662022.88</v>
      </c>
      <c r="Y142" s="415">
        <v>755929.81</v>
      </c>
      <c r="Z142" s="415">
        <v>662104.77</v>
      </c>
      <c r="AA142" s="415">
        <v>755929.81</v>
      </c>
      <c r="AB142" s="415">
        <v>662186.66</v>
      </c>
      <c r="AC142" s="415">
        <v>1168410.55</v>
      </c>
      <c r="AD142" s="415">
        <v>662268.55000000005</v>
      </c>
      <c r="AE142" s="415">
        <f t="shared" si="6"/>
        <v>773116.50750000018</v>
      </c>
      <c r="AF142" s="415">
        <f t="shared" si="6"/>
        <v>661777.21000000008</v>
      </c>
    </row>
    <row r="143" spans="1:32">
      <c r="A143" s="409">
        <v>134</v>
      </c>
      <c r="C143" s="24" t="s">
        <v>941</v>
      </c>
      <c r="D143" s="24" t="s">
        <v>910</v>
      </c>
      <c r="E143" s="415">
        <v>134305.54</v>
      </c>
      <c r="F143" s="415">
        <v>-34004.65</v>
      </c>
      <c r="G143" s="415">
        <v>134305.54</v>
      </c>
      <c r="H143" s="415">
        <v>-32977.21</v>
      </c>
      <c r="I143" s="415">
        <v>134305.54</v>
      </c>
      <c r="J143" s="415">
        <v>-31949.770000000004</v>
      </c>
      <c r="K143" s="415">
        <v>134305.54</v>
      </c>
      <c r="L143" s="415">
        <v>-30922.33</v>
      </c>
      <c r="M143" s="415">
        <v>134305.54</v>
      </c>
      <c r="N143" s="415">
        <v>-29894.890000000003</v>
      </c>
      <c r="O143" s="415">
        <v>134305.54</v>
      </c>
      <c r="P143" s="415">
        <v>-28867.45</v>
      </c>
      <c r="Q143" s="415">
        <v>134305.54</v>
      </c>
      <c r="R143" s="415">
        <v>-27840.01</v>
      </c>
      <c r="S143" s="415">
        <v>134305.54</v>
      </c>
      <c r="T143" s="415">
        <v>-26812.57</v>
      </c>
      <c r="U143" s="415">
        <v>134305.54</v>
      </c>
      <c r="V143" s="415">
        <v>-25785.129999999997</v>
      </c>
      <c r="W143" s="415">
        <v>134305.54</v>
      </c>
      <c r="X143" s="415">
        <v>-24757.690000000002</v>
      </c>
      <c r="Y143" s="415">
        <v>134305.54</v>
      </c>
      <c r="Z143" s="415">
        <v>-23730.25</v>
      </c>
      <c r="AA143" s="415">
        <v>134305.54</v>
      </c>
      <c r="AB143" s="415">
        <v>-22702.81</v>
      </c>
      <c r="AC143" s="415">
        <v>134305.54</v>
      </c>
      <c r="AD143" s="415">
        <v>-21675.370000000003</v>
      </c>
      <c r="AE143" s="415">
        <f t="shared" si="6"/>
        <v>134305.54</v>
      </c>
      <c r="AF143" s="415">
        <f t="shared" si="6"/>
        <v>-27840.010000000006</v>
      </c>
    </row>
    <row r="144" spans="1:32">
      <c r="A144" s="409">
        <v>135</v>
      </c>
      <c r="C144" s="24" t="s">
        <v>942</v>
      </c>
      <c r="D144" s="24" t="s">
        <v>910</v>
      </c>
      <c r="E144" s="415">
        <v>59484.53</v>
      </c>
      <c r="F144" s="415">
        <v>18006.25</v>
      </c>
      <c r="G144" s="415">
        <v>59484.530000000006</v>
      </c>
      <c r="H144" s="415">
        <v>18527.240000000002</v>
      </c>
      <c r="I144" s="415">
        <v>59484.530000000006</v>
      </c>
      <c r="J144" s="415">
        <v>19048.23</v>
      </c>
      <c r="K144" s="415">
        <v>59484.530000000006</v>
      </c>
      <c r="L144" s="415">
        <v>19569.22</v>
      </c>
      <c r="M144" s="415">
        <v>59484.530000000006</v>
      </c>
      <c r="N144" s="415">
        <v>20090.21</v>
      </c>
      <c r="O144" s="415">
        <v>59484.530000000006</v>
      </c>
      <c r="P144" s="415">
        <v>20611.2</v>
      </c>
      <c r="Q144" s="415">
        <v>59484.530000000006</v>
      </c>
      <c r="R144" s="415">
        <v>21132.190000000002</v>
      </c>
      <c r="S144" s="415">
        <v>59484.530000000006</v>
      </c>
      <c r="T144" s="415">
        <v>21653.18</v>
      </c>
      <c r="U144" s="415">
        <v>59484.530000000006</v>
      </c>
      <c r="V144" s="415">
        <v>22174.170000000002</v>
      </c>
      <c r="W144" s="415">
        <v>59484.530000000006</v>
      </c>
      <c r="X144" s="415">
        <v>22695.16</v>
      </c>
      <c r="Y144" s="415">
        <v>59484.530000000006</v>
      </c>
      <c r="Z144" s="415">
        <v>23216.15</v>
      </c>
      <c r="AA144" s="415">
        <v>59484.530000000006</v>
      </c>
      <c r="AB144" s="415">
        <v>23737.14</v>
      </c>
      <c r="AC144" s="415">
        <v>59484.530000000006</v>
      </c>
      <c r="AD144" s="415">
        <v>24258.129999999997</v>
      </c>
      <c r="AE144" s="415">
        <f t="shared" si="6"/>
        <v>59484.530000000021</v>
      </c>
      <c r="AF144" s="415">
        <f t="shared" si="6"/>
        <v>21132.190000000002</v>
      </c>
    </row>
    <row r="145" spans="1:32">
      <c r="A145" s="409">
        <v>136</v>
      </c>
      <c r="C145" s="24" t="s">
        <v>943</v>
      </c>
      <c r="D145" s="24" t="s">
        <v>910</v>
      </c>
      <c r="E145" s="415">
        <v>17021371.539999999</v>
      </c>
      <c r="F145" s="415">
        <v>-4862761.5600000005</v>
      </c>
      <c r="G145" s="415">
        <v>17412554.27</v>
      </c>
      <c r="H145" s="415">
        <v>-4765377.12</v>
      </c>
      <c r="I145" s="415">
        <v>17672094.510000002</v>
      </c>
      <c r="J145" s="415">
        <v>-4656210.95</v>
      </c>
      <c r="K145" s="415">
        <v>18683811.460000001</v>
      </c>
      <c r="L145" s="415">
        <v>-4554812.99</v>
      </c>
      <c r="M145" s="415">
        <v>20220243.52</v>
      </c>
      <c r="N145" s="415">
        <v>-4250271.2699999996</v>
      </c>
      <c r="O145" s="415">
        <v>20744219.199999999</v>
      </c>
      <c r="P145" s="415">
        <v>-4134519.9699999997</v>
      </c>
      <c r="Q145" s="415">
        <v>21913827.629999999</v>
      </c>
      <c r="R145" s="415">
        <v>-4016222.31</v>
      </c>
      <c r="S145" s="415">
        <v>22160868.489999998</v>
      </c>
      <c r="T145" s="415">
        <v>-7188191.3700000001</v>
      </c>
      <c r="U145" s="415">
        <v>22823927.759999998</v>
      </c>
      <c r="V145" s="415">
        <v>-7061413.1799999997</v>
      </c>
      <c r="W145" s="415">
        <v>23098590.809999999</v>
      </c>
      <c r="X145" s="415">
        <v>-6930365.79</v>
      </c>
      <c r="Y145" s="415">
        <v>23580421.120000001</v>
      </c>
      <c r="Z145" s="415">
        <v>-6798365.2600000007</v>
      </c>
      <c r="AA145" s="415">
        <v>23884955.82</v>
      </c>
      <c r="AB145" s="415">
        <v>-6663829.2800000003</v>
      </c>
      <c r="AC145" s="415">
        <v>21564736.030000001</v>
      </c>
      <c r="AD145" s="415">
        <v>-7585645.2999999998</v>
      </c>
      <c r="AE145" s="415">
        <f t="shared" si="6"/>
        <v>20957380.697916668</v>
      </c>
      <c r="AF145" s="415">
        <f t="shared" si="6"/>
        <v>-5603648.5766666653</v>
      </c>
    </row>
    <row r="146" spans="1:32">
      <c r="A146" s="409">
        <v>137</v>
      </c>
      <c r="C146" s="24" t="s">
        <v>944</v>
      </c>
      <c r="D146" s="24" t="s">
        <v>910</v>
      </c>
      <c r="E146" s="415">
        <v>47999110.489999995</v>
      </c>
      <c r="F146" s="415">
        <v>13548823.51</v>
      </c>
      <c r="G146" s="415">
        <v>48009282.969999999</v>
      </c>
      <c r="H146" s="415">
        <v>13474287.790000001</v>
      </c>
      <c r="I146" s="415">
        <v>48089973.710000001</v>
      </c>
      <c r="J146" s="415">
        <v>13437449.34</v>
      </c>
      <c r="K146" s="415">
        <v>48071645.740000002</v>
      </c>
      <c r="L146" s="415">
        <v>13436451.07</v>
      </c>
      <c r="M146" s="415">
        <v>46600891.990000002</v>
      </c>
      <c r="N146" s="415">
        <v>12994044.439999999</v>
      </c>
      <c r="O146" s="415">
        <v>46481176.849999994</v>
      </c>
      <c r="P146" s="415">
        <v>12910434.1</v>
      </c>
      <c r="Q146" s="415">
        <v>46438987.949999996</v>
      </c>
      <c r="R146" s="415">
        <v>12858897.640000001</v>
      </c>
      <c r="S146" s="415">
        <v>43339141.289999999</v>
      </c>
      <c r="T146" s="415">
        <v>11874761.520000001</v>
      </c>
      <c r="U146" s="415">
        <v>43721819.159999996</v>
      </c>
      <c r="V146" s="415">
        <v>11856747.109999999</v>
      </c>
      <c r="W146" s="415">
        <v>43804745.420000002</v>
      </c>
      <c r="X146" s="415">
        <v>11939454.220000001</v>
      </c>
      <c r="Y146" s="415">
        <v>44252641.890000001</v>
      </c>
      <c r="Z146" s="415">
        <v>11918561.15</v>
      </c>
      <c r="AA146" s="415">
        <v>44159593.710000001</v>
      </c>
      <c r="AB146" s="415">
        <v>11831499.850000001</v>
      </c>
      <c r="AC146" s="415">
        <v>43437209.129999995</v>
      </c>
      <c r="AD146" s="415">
        <v>11331238.5</v>
      </c>
      <c r="AE146" s="415">
        <f t="shared" si="6"/>
        <v>45724005.040833332</v>
      </c>
      <c r="AF146" s="415">
        <f t="shared" si="6"/>
        <v>12581051.602916665</v>
      </c>
    </row>
    <row r="147" spans="1:32">
      <c r="A147" s="409">
        <v>138</v>
      </c>
      <c r="C147" s="24" t="s">
        <v>945</v>
      </c>
      <c r="D147" s="24" t="s">
        <v>910</v>
      </c>
      <c r="E147" s="415">
        <v>11160435.100000001</v>
      </c>
      <c r="F147" s="415">
        <v>3817599.66</v>
      </c>
      <c r="G147" s="415">
        <v>11147001.08</v>
      </c>
      <c r="H147" s="415">
        <v>3784245.81</v>
      </c>
      <c r="I147" s="415">
        <v>11166514.960000001</v>
      </c>
      <c r="J147" s="415">
        <v>3768799.29</v>
      </c>
      <c r="K147" s="415">
        <v>11197446</v>
      </c>
      <c r="L147" s="415">
        <v>3764153.41</v>
      </c>
      <c r="M147" s="415">
        <v>11194610.42</v>
      </c>
      <c r="N147" s="415">
        <v>3758857.4299999997</v>
      </c>
      <c r="O147" s="415">
        <v>11200511.59</v>
      </c>
      <c r="P147" s="415">
        <v>3729989</v>
      </c>
      <c r="Q147" s="415">
        <v>11198864.199999999</v>
      </c>
      <c r="R147" s="415">
        <v>3712882.8200000003</v>
      </c>
      <c r="S147" s="415">
        <v>11244447.940000001</v>
      </c>
      <c r="T147" s="415">
        <v>3706207.75</v>
      </c>
      <c r="U147" s="415">
        <v>11329959.15</v>
      </c>
      <c r="V147" s="415">
        <v>3702227.91</v>
      </c>
      <c r="W147" s="415">
        <v>11395118.559999999</v>
      </c>
      <c r="X147" s="415">
        <v>3724132.5</v>
      </c>
      <c r="Y147" s="415">
        <v>11443243.83</v>
      </c>
      <c r="Z147" s="415">
        <v>3722911.8699999996</v>
      </c>
      <c r="AA147" s="415">
        <v>11489303.620000001</v>
      </c>
      <c r="AB147" s="415">
        <v>3685039.1999999997</v>
      </c>
      <c r="AC147" s="415">
        <v>11519764.66</v>
      </c>
      <c r="AD147" s="415">
        <v>3690670.4400000004</v>
      </c>
      <c r="AE147" s="415">
        <f t="shared" si="6"/>
        <v>11278926.769166669</v>
      </c>
      <c r="AF147" s="415">
        <f t="shared" si="6"/>
        <v>3734465.17</v>
      </c>
    </row>
    <row r="148" spans="1:32" ht="16.2">
      <c r="A148" s="409">
        <v>139</v>
      </c>
      <c r="B148" s="416" t="s">
        <v>906</v>
      </c>
      <c r="C148" s="417"/>
      <c r="D148" s="416" t="s">
        <v>946</v>
      </c>
      <c r="E148" s="418">
        <f t="shared" ref="E148:AF148" si="7">SUM(E94:E147)</f>
        <v>134383391.37</v>
      </c>
      <c r="F148" s="418">
        <f t="shared" si="7"/>
        <v>42166042.000000015</v>
      </c>
      <c r="G148" s="418">
        <f t="shared" si="7"/>
        <v>134719534.23000002</v>
      </c>
      <c r="H148" s="418">
        <f t="shared" si="7"/>
        <v>42438843.960000016</v>
      </c>
      <c r="I148" s="418">
        <f t="shared" si="7"/>
        <v>135087471.58000001</v>
      </c>
      <c r="J148" s="418">
        <f t="shared" si="7"/>
        <v>42846116.970000006</v>
      </c>
      <c r="K148" s="418">
        <f t="shared" si="7"/>
        <v>135982515.55000001</v>
      </c>
      <c r="L148" s="418">
        <f t="shared" si="7"/>
        <v>43130080.810000002</v>
      </c>
      <c r="M148" s="418">
        <f t="shared" si="7"/>
        <v>136140201.81999999</v>
      </c>
      <c r="N148" s="418">
        <f t="shared" si="7"/>
        <v>43314657.590000004</v>
      </c>
      <c r="O148" s="418">
        <f t="shared" si="7"/>
        <v>136621408.73999998</v>
      </c>
      <c r="P148" s="418">
        <f t="shared" si="7"/>
        <v>43656049.939999998</v>
      </c>
      <c r="Q148" s="418">
        <f t="shared" si="7"/>
        <v>137756040.33999997</v>
      </c>
      <c r="R148" s="418">
        <f t="shared" si="7"/>
        <v>44054576.300000004</v>
      </c>
      <c r="S148" s="418">
        <f t="shared" si="7"/>
        <v>134966712.62</v>
      </c>
      <c r="T148" s="418">
        <f t="shared" si="7"/>
        <v>40240929.200000003</v>
      </c>
      <c r="U148" s="418">
        <f t="shared" si="7"/>
        <v>136228936.41</v>
      </c>
      <c r="V148" s="418">
        <f t="shared" si="7"/>
        <v>40694995.439999998</v>
      </c>
      <c r="W148" s="418">
        <f t="shared" si="7"/>
        <v>137280502.25999999</v>
      </c>
      <c r="X148" s="418">
        <f t="shared" si="7"/>
        <v>41253544.970000006</v>
      </c>
      <c r="Y148" s="418">
        <f t="shared" si="7"/>
        <v>138400175.55000001</v>
      </c>
      <c r="Z148" s="418">
        <f t="shared" si="7"/>
        <v>41708111.350000001</v>
      </c>
      <c r="AA148" s="418">
        <f t="shared" si="7"/>
        <v>138777723.23000002</v>
      </c>
      <c r="AB148" s="418">
        <f t="shared" si="7"/>
        <v>42019372.900000013</v>
      </c>
      <c r="AC148" s="418">
        <f t="shared" si="7"/>
        <v>137725802.91999999</v>
      </c>
      <c r="AD148" s="418">
        <f t="shared" si="7"/>
        <v>40957731.18</v>
      </c>
      <c r="AE148" s="418">
        <f t="shared" si="7"/>
        <v>136501318.28958336</v>
      </c>
      <c r="AF148" s="418">
        <f t="shared" si="7"/>
        <v>42243263.835000008</v>
      </c>
    </row>
    <row r="149" spans="1:32" ht="16.2">
      <c r="A149" s="409">
        <v>140</v>
      </c>
      <c r="B149" s="884" t="s">
        <v>947</v>
      </c>
      <c r="C149" s="884"/>
      <c r="D149" s="419"/>
      <c r="E149" s="420"/>
      <c r="F149" s="420"/>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c r="AC149" s="420"/>
      <c r="AD149" s="420"/>
      <c r="AE149" s="420"/>
      <c r="AF149" s="420"/>
    </row>
    <row r="150" spans="1:32">
      <c r="A150" s="409">
        <v>141</v>
      </c>
      <c r="C150" s="24" t="s">
        <v>948</v>
      </c>
      <c r="E150" s="415">
        <v>87719.71</v>
      </c>
      <c r="F150" s="415">
        <v>31955.280000000002</v>
      </c>
      <c r="G150" s="415">
        <v>87719.71</v>
      </c>
      <c r="H150" s="415">
        <v>32026.15</v>
      </c>
      <c r="I150" s="415">
        <v>87719.71</v>
      </c>
      <c r="J150" s="415">
        <v>32097.010000000002</v>
      </c>
      <c r="K150" s="415">
        <v>87719.71</v>
      </c>
      <c r="L150" s="415">
        <v>32167.88</v>
      </c>
      <c r="M150" s="415">
        <v>87719.71</v>
      </c>
      <c r="N150" s="415">
        <v>32238.74</v>
      </c>
      <c r="O150" s="415">
        <v>87719.71</v>
      </c>
      <c r="P150" s="415">
        <v>32309.61</v>
      </c>
      <c r="Q150" s="415">
        <v>87719.71</v>
      </c>
      <c r="R150" s="415">
        <v>32380.47</v>
      </c>
      <c r="S150" s="415">
        <v>87719.71</v>
      </c>
      <c r="T150" s="415">
        <v>32451.34</v>
      </c>
      <c r="U150" s="415">
        <v>87719.71</v>
      </c>
      <c r="V150" s="415">
        <v>32522.2</v>
      </c>
      <c r="W150" s="415">
        <v>87719.71</v>
      </c>
      <c r="X150" s="415">
        <v>32593.07</v>
      </c>
      <c r="Y150" s="415">
        <v>87719.71</v>
      </c>
      <c r="Z150" s="415">
        <v>32663.93</v>
      </c>
      <c r="AA150" s="415">
        <v>87719.71</v>
      </c>
      <c r="AB150" s="415">
        <v>32734.799999999999</v>
      </c>
      <c r="AC150" s="415">
        <v>86636.74</v>
      </c>
      <c r="AD150" s="415">
        <v>32361.68</v>
      </c>
      <c r="AE150" s="415">
        <f t="shared" ref="AE150:AF152" si="8">+(E150+AC150+(+G150+I150+K150+M150+O150+Q150+S150+U150+W150+Y150+AA150)*2)/24</f>
        <v>87674.586249999993</v>
      </c>
      <c r="AF150" s="415">
        <f t="shared" si="8"/>
        <v>32361.973333333332</v>
      </c>
    </row>
    <row r="151" spans="1:32">
      <c r="A151" s="409">
        <v>142</v>
      </c>
      <c r="C151" s="24" t="s">
        <v>949</v>
      </c>
      <c r="E151" s="415">
        <v>0</v>
      </c>
      <c r="F151" s="415">
        <v>0</v>
      </c>
      <c r="G151" s="415">
        <v>0</v>
      </c>
      <c r="H151" s="415">
        <v>0</v>
      </c>
      <c r="I151" s="415">
        <v>0</v>
      </c>
      <c r="J151" s="415">
        <v>0</v>
      </c>
      <c r="K151" s="415">
        <v>0</v>
      </c>
      <c r="L151" s="415">
        <v>0</v>
      </c>
      <c r="M151" s="415">
        <v>0</v>
      </c>
      <c r="N151" s="415">
        <v>0</v>
      </c>
      <c r="O151" s="415">
        <v>0</v>
      </c>
      <c r="P151" s="415">
        <v>0</v>
      </c>
      <c r="Q151" s="415">
        <v>0</v>
      </c>
      <c r="R151" s="415">
        <v>0</v>
      </c>
      <c r="S151" s="415">
        <v>0</v>
      </c>
      <c r="T151" s="415">
        <v>0</v>
      </c>
      <c r="U151" s="415">
        <v>0</v>
      </c>
      <c r="V151" s="415">
        <v>0</v>
      </c>
      <c r="W151" s="415">
        <v>0</v>
      </c>
      <c r="X151" s="415">
        <v>0</v>
      </c>
      <c r="Y151" s="415">
        <v>0</v>
      </c>
      <c r="Z151" s="415">
        <v>0</v>
      </c>
      <c r="AA151" s="415">
        <v>0</v>
      </c>
      <c r="AB151" s="415">
        <v>0</v>
      </c>
      <c r="AC151" s="415">
        <v>0</v>
      </c>
      <c r="AD151" s="415">
        <v>0</v>
      </c>
      <c r="AE151" s="415">
        <f t="shared" si="8"/>
        <v>0</v>
      </c>
      <c r="AF151" s="415">
        <f t="shared" si="8"/>
        <v>0</v>
      </c>
    </row>
    <row r="152" spans="1:32">
      <c r="A152" s="409">
        <v>143</v>
      </c>
      <c r="C152" s="24" t="s">
        <v>950</v>
      </c>
      <c r="E152" s="415">
        <v>22097038.48</v>
      </c>
      <c r="F152" s="415">
        <v>4372545.04</v>
      </c>
      <c r="G152" s="415">
        <v>22097038.48</v>
      </c>
      <c r="H152" s="415">
        <v>4398067.97</v>
      </c>
      <c r="I152" s="415">
        <v>22097038.48</v>
      </c>
      <c r="J152" s="415">
        <v>4423590.9000000004</v>
      </c>
      <c r="K152" s="415">
        <v>22097038.48</v>
      </c>
      <c r="L152" s="415">
        <v>4449113.83</v>
      </c>
      <c r="M152" s="415">
        <v>22097038.48</v>
      </c>
      <c r="N152" s="415">
        <v>4474636.7699999996</v>
      </c>
      <c r="O152" s="415">
        <v>22097038.48</v>
      </c>
      <c r="P152" s="415">
        <v>4500159.7</v>
      </c>
      <c r="Q152" s="415">
        <v>22097038.48</v>
      </c>
      <c r="R152" s="415">
        <v>4525682.63</v>
      </c>
      <c r="S152" s="415">
        <v>22097038.48</v>
      </c>
      <c r="T152" s="415">
        <v>4551205.54</v>
      </c>
      <c r="U152" s="415">
        <v>22097038.48</v>
      </c>
      <c r="V152" s="415">
        <v>4576728.4800000004</v>
      </c>
      <c r="W152" s="415">
        <v>22097038.48</v>
      </c>
      <c r="X152" s="415">
        <v>4602251.42</v>
      </c>
      <c r="Y152" s="415">
        <v>22097038.48</v>
      </c>
      <c r="Z152" s="415">
        <v>4627774.33</v>
      </c>
      <c r="AA152" s="415">
        <v>22097038.48</v>
      </c>
      <c r="AB152" s="415">
        <v>4653297.25</v>
      </c>
      <c r="AC152" s="415">
        <v>26251194.289999999</v>
      </c>
      <c r="AD152" s="415">
        <v>4656844.2300000004</v>
      </c>
      <c r="AE152" s="415">
        <f t="shared" si="8"/>
        <v>22270128.305416662</v>
      </c>
      <c r="AF152" s="415">
        <f t="shared" si="8"/>
        <v>4524766.9545833329</v>
      </c>
    </row>
    <row r="153" spans="1:32" ht="16.2">
      <c r="A153" s="409">
        <v>144</v>
      </c>
      <c r="B153" s="885" t="s">
        <v>947</v>
      </c>
      <c r="C153" s="885"/>
      <c r="D153" s="416"/>
      <c r="E153" s="418">
        <f>SUM(E150:E152)</f>
        <v>22184758.190000001</v>
      </c>
      <c r="F153" s="418">
        <f t="shared" ref="F153:AF153" si="9">SUM(F150:F152)</f>
        <v>4404500.32</v>
      </c>
      <c r="G153" s="418">
        <f t="shared" si="9"/>
        <v>22184758.190000001</v>
      </c>
      <c r="H153" s="418">
        <f t="shared" si="9"/>
        <v>4430094.12</v>
      </c>
      <c r="I153" s="418">
        <f t="shared" si="9"/>
        <v>22184758.190000001</v>
      </c>
      <c r="J153" s="418">
        <f t="shared" si="9"/>
        <v>4455687.91</v>
      </c>
      <c r="K153" s="418">
        <f t="shared" si="9"/>
        <v>22184758.190000001</v>
      </c>
      <c r="L153" s="418">
        <f t="shared" si="9"/>
        <v>4481281.71</v>
      </c>
      <c r="M153" s="418">
        <f t="shared" si="9"/>
        <v>22184758.190000001</v>
      </c>
      <c r="N153" s="418">
        <f t="shared" si="9"/>
        <v>4506875.51</v>
      </c>
      <c r="O153" s="418">
        <f t="shared" si="9"/>
        <v>22184758.190000001</v>
      </c>
      <c r="P153" s="418">
        <f t="shared" si="9"/>
        <v>4532469.3100000005</v>
      </c>
      <c r="Q153" s="418">
        <f t="shared" si="9"/>
        <v>22184758.190000001</v>
      </c>
      <c r="R153" s="418">
        <f t="shared" si="9"/>
        <v>4558063.0999999996</v>
      </c>
      <c r="S153" s="418">
        <f t="shared" si="9"/>
        <v>22184758.190000001</v>
      </c>
      <c r="T153" s="418">
        <f t="shared" si="9"/>
        <v>4583656.88</v>
      </c>
      <c r="U153" s="418">
        <f t="shared" si="9"/>
        <v>22184758.190000001</v>
      </c>
      <c r="V153" s="418">
        <f t="shared" si="9"/>
        <v>4609250.6800000006</v>
      </c>
      <c r="W153" s="418">
        <f t="shared" si="9"/>
        <v>22184758.190000001</v>
      </c>
      <c r="X153" s="418">
        <f t="shared" si="9"/>
        <v>4634844.49</v>
      </c>
      <c r="Y153" s="418">
        <f t="shared" si="9"/>
        <v>22184758.190000001</v>
      </c>
      <c r="Z153" s="418">
        <f t="shared" si="9"/>
        <v>4660438.26</v>
      </c>
      <c r="AA153" s="418">
        <f t="shared" si="9"/>
        <v>22184758.190000001</v>
      </c>
      <c r="AB153" s="418">
        <f t="shared" si="9"/>
        <v>4686032.05</v>
      </c>
      <c r="AC153" s="418">
        <f t="shared" si="9"/>
        <v>26337831.029999997</v>
      </c>
      <c r="AD153" s="418">
        <f t="shared" si="9"/>
        <v>4689205.91</v>
      </c>
      <c r="AE153" s="418">
        <f t="shared" si="9"/>
        <v>22357802.891666662</v>
      </c>
      <c r="AF153" s="418">
        <f t="shared" si="9"/>
        <v>4557128.9279166665</v>
      </c>
    </row>
    <row r="154" spans="1:32">
      <c r="A154" s="409">
        <v>145</v>
      </c>
    </row>
    <row r="155" spans="1:32" ht="16.8" thickBot="1">
      <c r="A155" s="409">
        <v>146</v>
      </c>
      <c r="B155" s="421"/>
      <c r="C155" s="422" t="s">
        <v>951</v>
      </c>
      <c r="D155" s="421"/>
      <c r="E155" s="165">
        <f t="shared" ref="E155:AF155" si="10">SUM(E153,E148,E92,E47)</f>
        <v>1077226743.8999999</v>
      </c>
      <c r="F155" s="165">
        <f t="shared" si="10"/>
        <v>490935882.09999996</v>
      </c>
      <c r="G155" s="165">
        <f t="shared" si="10"/>
        <v>1081560217.4599998</v>
      </c>
      <c r="H155" s="165">
        <f t="shared" si="10"/>
        <v>493107419.64999986</v>
      </c>
      <c r="I155" s="165">
        <f t="shared" si="10"/>
        <v>1083611349.3599997</v>
      </c>
      <c r="J155" s="165">
        <f t="shared" si="10"/>
        <v>495107405.38999999</v>
      </c>
      <c r="K155" s="165">
        <f t="shared" si="10"/>
        <v>1087256406.2399998</v>
      </c>
      <c r="L155" s="165">
        <f t="shared" si="10"/>
        <v>497302605.19999993</v>
      </c>
      <c r="M155" s="165">
        <f t="shared" si="10"/>
        <v>1092877865.8399997</v>
      </c>
      <c r="N155" s="165">
        <f t="shared" si="10"/>
        <v>499612533.12000006</v>
      </c>
      <c r="O155" s="165">
        <f t="shared" si="10"/>
        <v>1097878956.9999995</v>
      </c>
      <c r="P155" s="165">
        <f t="shared" si="10"/>
        <v>501747734.64999998</v>
      </c>
      <c r="Q155" s="165">
        <f t="shared" si="10"/>
        <v>1105057401.5999997</v>
      </c>
      <c r="R155" s="165">
        <f t="shared" si="10"/>
        <v>504191621.81000006</v>
      </c>
      <c r="S155" s="165">
        <f t="shared" si="10"/>
        <v>1105475242.7299998</v>
      </c>
      <c r="T155" s="165">
        <f t="shared" si="10"/>
        <v>502359336.15000004</v>
      </c>
      <c r="U155" s="165">
        <f t="shared" si="10"/>
        <v>1109924586.79</v>
      </c>
      <c r="V155" s="165">
        <f t="shared" si="10"/>
        <v>504900056.22000003</v>
      </c>
      <c r="W155" s="165">
        <f t="shared" si="10"/>
        <v>1116902344.1899998</v>
      </c>
      <c r="X155" s="165">
        <f t="shared" si="10"/>
        <v>507268162.17000008</v>
      </c>
      <c r="Y155" s="165">
        <f t="shared" si="10"/>
        <v>1126455397.8599997</v>
      </c>
      <c r="Z155" s="165">
        <f t="shared" si="10"/>
        <v>509790469.87999988</v>
      </c>
      <c r="AA155" s="165">
        <f t="shared" si="10"/>
        <v>1132468897.4099996</v>
      </c>
      <c r="AB155" s="165">
        <f t="shared" si="10"/>
        <v>511853411.42999995</v>
      </c>
      <c r="AC155" s="165">
        <f t="shared" si="10"/>
        <v>1148216101.98</v>
      </c>
      <c r="AD155" s="165">
        <f t="shared" si="10"/>
        <v>512376596.41999996</v>
      </c>
      <c r="AE155" s="165">
        <f t="shared" si="10"/>
        <v>1104349174.1183331</v>
      </c>
      <c r="AF155" s="165">
        <f t="shared" si="10"/>
        <v>502408082.9108333</v>
      </c>
    </row>
    <row r="156" spans="1:32" ht="16.2" thickTop="1">
      <c r="A156" s="409">
        <v>147</v>
      </c>
      <c r="F156" s="394"/>
      <c r="H156" s="394"/>
      <c r="J156" s="394"/>
      <c r="L156" s="394"/>
      <c r="N156" s="394"/>
      <c r="P156" s="394"/>
      <c r="R156" s="394"/>
      <c r="T156" s="394"/>
    </row>
    <row r="157" spans="1:32">
      <c r="A157" s="409">
        <v>148</v>
      </c>
      <c r="F157" s="394"/>
      <c r="H157" s="394"/>
      <c r="I157" s="394"/>
      <c r="J157" s="394"/>
      <c r="K157" s="394"/>
      <c r="L157" s="394"/>
      <c r="M157" s="394"/>
      <c r="N157" s="394"/>
      <c r="O157" s="394"/>
      <c r="P157" s="394"/>
      <c r="Q157" s="394"/>
      <c r="R157" s="394"/>
      <c r="S157" s="394"/>
      <c r="T157" s="394"/>
      <c r="X157" s="423"/>
      <c r="Y157" s="423"/>
      <c r="Z157" s="423"/>
      <c r="AC157" s="760"/>
      <c r="AD157" s="760"/>
      <c r="AE157" s="394"/>
    </row>
    <row r="158" spans="1:32" ht="30">
      <c r="A158" s="409">
        <v>149</v>
      </c>
      <c r="B158" s="424" t="s">
        <v>1098</v>
      </c>
      <c r="D158" s="425"/>
      <c r="X158" s="423"/>
      <c r="AA158" s="426"/>
      <c r="AB158" s="426"/>
      <c r="AC158" s="760"/>
      <c r="AD158" s="760"/>
      <c r="AE158" s="394"/>
      <c r="AF158" s="394"/>
    </row>
    <row r="159" spans="1:32">
      <c r="A159" s="409">
        <v>150</v>
      </c>
    </row>
    <row r="160" spans="1:32">
      <c r="A160" s="409">
        <v>151</v>
      </c>
      <c r="Q160" s="394"/>
    </row>
    <row r="161" spans="1:32">
      <c r="A161" s="409">
        <v>152</v>
      </c>
      <c r="D161" s="426" t="s">
        <v>952</v>
      </c>
      <c r="F161" s="394">
        <f>E92</f>
        <v>716908411.13999987</v>
      </c>
      <c r="H161" s="394">
        <f>G92</f>
        <v>719814865.54999983</v>
      </c>
      <c r="J161" s="394">
        <f>I92</f>
        <v>719822123.01999986</v>
      </c>
      <c r="L161" s="394">
        <f>K92</f>
        <v>721408629.44999981</v>
      </c>
      <c r="N161" s="394">
        <f>M92</f>
        <v>726009290.69999981</v>
      </c>
      <c r="P161" s="394">
        <f>O92</f>
        <v>729343349.84999967</v>
      </c>
      <c r="R161" s="394">
        <f>Q92</f>
        <v>732720558.29999971</v>
      </c>
      <c r="T161" s="394">
        <f>S92</f>
        <v>735226566.68999982</v>
      </c>
      <c r="V161" s="394">
        <f>U92</f>
        <v>737790044.5799998</v>
      </c>
      <c r="X161" s="394">
        <f>W92</f>
        <v>743022076.07999969</v>
      </c>
      <c r="Z161" s="394">
        <f>Y92</f>
        <v>748441437.37999976</v>
      </c>
      <c r="AB161" s="394">
        <f>AA92</f>
        <v>753183631.21999967</v>
      </c>
      <c r="AD161" s="394">
        <f>AC92</f>
        <v>764082473.55999994</v>
      </c>
    </row>
    <row r="162" spans="1:32">
      <c r="A162" s="409">
        <v>153</v>
      </c>
      <c r="D162" s="426" t="s">
        <v>953</v>
      </c>
      <c r="E162" s="254">
        <v>0.74850000000000005</v>
      </c>
      <c r="F162" s="394">
        <f>E162*SUM(E94:E144)</f>
        <v>43564551.96864</v>
      </c>
      <c r="G162" s="254">
        <f>+'State Allocation Formulas'!C21</f>
        <v>0.75170000000000003</v>
      </c>
      <c r="H162" s="394">
        <f>G162*SUM(G94:G144)</f>
        <v>43711878.115547001</v>
      </c>
      <c r="I162" s="254">
        <f>+G162</f>
        <v>0.75170000000000003</v>
      </c>
      <c r="J162" s="394">
        <f>I162*SUM(I94:I144)</f>
        <v>43718036.410280004</v>
      </c>
      <c r="K162" s="254">
        <f>+I162</f>
        <v>0.75170000000000003</v>
      </c>
      <c r="L162" s="394">
        <f>K162*SUM(K94:K144)</f>
        <v>43620859.603495002</v>
      </c>
      <c r="M162" s="254">
        <f>+K162</f>
        <v>0.75170000000000003</v>
      </c>
      <c r="N162" s="394">
        <f>M162*SUM(M94:M144)</f>
        <v>43692153.492513001</v>
      </c>
      <c r="O162" s="254">
        <f>+M162</f>
        <v>0.75170000000000003</v>
      </c>
      <c r="P162" s="394">
        <f>O162*SUM(O94:O144)</f>
        <v>43745558.176869996</v>
      </c>
      <c r="Q162" s="254">
        <f>+O162</f>
        <v>0.75170000000000003</v>
      </c>
      <c r="R162" s="394">
        <f>Q162*SUM(Q94:Q144)</f>
        <v>43752217.832952</v>
      </c>
      <c r="S162" s="254">
        <f>+Q162</f>
        <v>0.75170000000000003</v>
      </c>
      <c r="T162" s="394">
        <f>S162*SUM(S94:S144)</f>
        <v>43765669.008330002</v>
      </c>
      <c r="U162" s="254">
        <f>+S162</f>
        <v>0.75170000000000003</v>
      </c>
      <c r="V162" s="394">
        <f>U162*SUM(U94:U144)</f>
        <v>43864123.246578</v>
      </c>
      <c r="W162" s="254">
        <f>+U162</f>
        <v>0.75170000000000003</v>
      </c>
      <c r="X162" s="394">
        <f>W162*SUM(W94:W144)</f>
        <v>44336805.083198994</v>
      </c>
      <c r="Y162" s="254">
        <f>+W162</f>
        <v>0.75170000000000003</v>
      </c>
      <c r="Z162" s="394">
        <f>Y162*SUM(Y94:Y144)</f>
        <v>44443412.109306999</v>
      </c>
      <c r="AA162" s="254">
        <f>+Y162</f>
        <v>0.75170000000000003</v>
      </c>
      <c r="AB162" s="394">
        <f>AA162*SUM(AA94:AA144)</f>
        <v>44533617.139136001</v>
      </c>
      <c r="AC162" s="254">
        <f>+AA162</f>
        <v>0.75170000000000003</v>
      </c>
      <c r="AD162" s="394">
        <f>AC162*SUM(AC94:AC144)</f>
        <v>46007116.783269994</v>
      </c>
      <c r="AE162" s="394"/>
    </row>
    <row r="163" spans="1:32">
      <c r="A163" s="409">
        <v>154</v>
      </c>
      <c r="D163" s="426" t="s">
        <v>954</v>
      </c>
      <c r="E163" s="254">
        <v>0.74490000000000001</v>
      </c>
      <c r="F163" s="394">
        <f>SUM(E145:E147)*E163</f>
        <v>56747165.170136996</v>
      </c>
      <c r="G163" s="254">
        <f>+'State Allocation Formulas'!C16</f>
        <v>0.74299999999999999</v>
      </c>
      <c r="H163" s="394">
        <f>SUM(G145:G147)*G163</f>
        <v>56890646.871759996</v>
      </c>
      <c r="I163" s="254">
        <f>+G163</f>
        <v>0.74299999999999999</v>
      </c>
      <c r="J163" s="394">
        <f>SUM(I145:I147)*I163</f>
        <v>57157937.302740008</v>
      </c>
      <c r="K163" s="254">
        <f>+I163</f>
        <v>0.74299999999999999</v>
      </c>
      <c r="L163" s="394">
        <f>SUM(K145:K147)*K163</f>
        <v>57919007.077600002</v>
      </c>
      <c r="M163" s="254">
        <f>+K163</f>
        <v>0.74299999999999999</v>
      </c>
      <c r="N163" s="394">
        <f>SUM(M145:M147)*M163</f>
        <v>57965699.225990005</v>
      </c>
      <c r="O163" s="254">
        <f>+M163</f>
        <v>0.74299999999999999</v>
      </c>
      <c r="P163" s="394">
        <f>SUM(O145:O147)*O163</f>
        <v>58270449.37652</v>
      </c>
      <c r="Q163" s="254">
        <f>+O163</f>
        <v>0.74299999999999999</v>
      </c>
      <c r="R163" s="394">
        <f>SUM(Q145:Q147)*Q163</f>
        <v>59106898.076540001</v>
      </c>
      <c r="S163" s="254">
        <f>+Q163</f>
        <v>0.74299999999999999</v>
      </c>
      <c r="T163" s="394">
        <f>SUM(S145:S147)*S163</f>
        <v>57021132.085960001</v>
      </c>
      <c r="U163" s="254">
        <f>+S163</f>
        <v>0.74299999999999999</v>
      </c>
      <c r="V163" s="394">
        <f>SUM(U145:U147)*U163</f>
        <v>57861649.610009991</v>
      </c>
      <c r="W163" s="254">
        <f>+U163</f>
        <v>0.74299999999999999</v>
      </c>
      <c r="X163" s="394">
        <f>SUM(W145:W147)*W163</f>
        <v>58175751.908970006</v>
      </c>
      <c r="Y163" s="254">
        <f>+W163</f>
        <v>0.74299999999999999</v>
      </c>
      <c r="Z163" s="394">
        <f>SUM(Y145:Y147)*Y163</f>
        <v>58902295.98212</v>
      </c>
      <c r="AA163" s="254">
        <f>+Y163</f>
        <v>0.74299999999999999</v>
      </c>
      <c r="AB163" s="394">
        <f>SUM(AA145:AA147)*AA163</f>
        <v>59093652.890450001</v>
      </c>
      <c r="AC163" s="254">
        <f>+AA163</f>
        <v>0.74299999999999999</v>
      </c>
      <c r="AD163" s="394">
        <f>SUM(AC145:AC147)*AC163</f>
        <v>56855630.396259993</v>
      </c>
    </row>
    <row r="164" spans="1:32">
      <c r="A164" s="409">
        <v>155</v>
      </c>
      <c r="F164" s="394"/>
      <c r="H164" s="394"/>
      <c r="J164" s="394"/>
      <c r="L164" s="394"/>
      <c r="N164" s="394"/>
      <c r="P164" s="394"/>
      <c r="R164" s="394"/>
      <c r="T164" s="394"/>
      <c r="V164" s="394"/>
      <c r="X164" s="394"/>
      <c r="Z164" s="394"/>
      <c r="AB164" s="394"/>
      <c r="AD164" s="394"/>
    </row>
    <row r="165" spans="1:32">
      <c r="A165" s="409">
        <v>156</v>
      </c>
      <c r="D165" s="426" t="s">
        <v>955</v>
      </c>
      <c r="F165" s="394">
        <f>SUM(F161:F163)</f>
        <v>817220128.27877688</v>
      </c>
      <c r="H165" s="394">
        <f>SUM(H161:H163)</f>
        <v>820417390.5373069</v>
      </c>
      <c r="J165" s="394">
        <f>SUM(J161:J163)</f>
        <v>820698096.73301983</v>
      </c>
      <c r="L165" s="394">
        <f>SUM(L161:L163)</f>
        <v>822948496.13109481</v>
      </c>
      <c r="N165" s="394">
        <f>SUM(N161:N163)</f>
        <v>827667143.41850281</v>
      </c>
      <c r="P165" s="394">
        <f>SUM(P161:P163)</f>
        <v>831359357.40338969</v>
      </c>
      <c r="R165" s="394">
        <f>SUM(R161:R163)</f>
        <v>835579674.20949173</v>
      </c>
      <c r="T165" s="394">
        <f>SUM(T161:T163)</f>
        <v>836013367.78428984</v>
      </c>
      <c r="V165" s="394">
        <f>SUM(V161:V163)</f>
        <v>839515817.43658781</v>
      </c>
      <c r="X165" s="394">
        <f>SUM(X161:X163)</f>
        <v>845534633.07216871</v>
      </c>
      <c r="Z165" s="394">
        <f>SUM(Z161:Z163)</f>
        <v>851787145.47142684</v>
      </c>
      <c r="AB165" s="394">
        <f>SUM(AB161:AB163)</f>
        <v>856810901.24958563</v>
      </c>
      <c r="AD165" s="394">
        <f>SUM(AD161:AD163)</f>
        <v>866945220.73952997</v>
      </c>
      <c r="AE165" s="24" t="s">
        <v>963</v>
      </c>
      <c r="AF165" s="415">
        <f t="shared" ref="AF165" si="11">+(F165+AD165+(+H165+J165+L165+N165+P165+R165+T165+V165+X165+Z165+AB165)*2)/24</f>
        <v>835867891.49633491</v>
      </c>
    </row>
    <row r="166" spans="1:32">
      <c r="A166" s="409">
        <v>157</v>
      </c>
      <c r="AB166" s="394"/>
      <c r="AD166" s="394"/>
    </row>
    <row r="167" spans="1:32">
      <c r="A167" s="409">
        <v>158</v>
      </c>
      <c r="D167" s="426" t="s">
        <v>952</v>
      </c>
      <c r="F167" s="394">
        <f>F92</f>
        <v>349691372.54999995</v>
      </c>
      <c r="H167" s="394">
        <f>H92</f>
        <v>351122100.51999992</v>
      </c>
      <c r="J167" s="394">
        <f>J92</f>
        <v>352161619.25</v>
      </c>
      <c r="L167" s="394">
        <f>L92</f>
        <v>353579319.95999998</v>
      </c>
      <c r="N167" s="394">
        <f>N92</f>
        <v>355202929.90000004</v>
      </c>
      <c r="P167" s="394">
        <f>P92</f>
        <v>356554963.54000002</v>
      </c>
      <c r="R167" s="394">
        <f>R92</f>
        <v>358089078.43000007</v>
      </c>
      <c r="T167" s="394">
        <f>T92</f>
        <v>359533201.34000003</v>
      </c>
      <c r="V167" s="394">
        <f>V92</f>
        <v>361133539.03000003</v>
      </c>
      <c r="X167" s="394">
        <f>X92</f>
        <v>362566654.5</v>
      </c>
      <c r="Z167" s="394">
        <f>Z92</f>
        <v>364082428.88999987</v>
      </c>
      <c r="AB167" s="394">
        <f>AB92</f>
        <v>365355850.14999998</v>
      </c>
      <c r="AD167" s="394">
        <f>AD92</f>
        <v>366495933.66000003</v>
      </c>
    </row>
    <row r="168" spans="1:32">
      <c r="A168" s="409">
        <v>159</v>
      </c>
      <c r="D168" s="426" t="s">
        <v>953</v>
      </c>
      <c r="F168" s="394">
        <f>E162*SUM(F94:F144)</f>
        <v>22202291.72191501</v>
      </c>
      <c r="H168" s="394">
        <f>G162*SUM(H94:H144)</f>
        <v>22510173.278716009</v>
      </c>
      <c r="J168" s="394">
        <f>I162*SUM(J94:J144)</f>
        <v>22773562.802293006</v>
      </c>
      <c r="L168" s="394">
        <f>K162*SUM(L94:L144)</f>
        <v>22915040.281844005</v>
      </c>
      <c r="N168" s="394">
        <f>M162*SUM(N94:N144)</f>
        <v>23161400.688383002</v>
      </c>
      <c r="P168" s="394">
        <f>O162*SUM(P94:P144)</f>
        <v>23415565.357076999</v>
      </c>
      <c r="R168" s="394">
        <f>Q162*SUM(R94:R144)</f>
        <v>23677811.943355002</v>
      </c>
      <c r="T168" s="394">
        <f>S162*SUM(T94:T144)</f>
        <v>23940255.332210001</v>
      </c>
      <c r="V168" s="394">
        <f>U162*SUM(V94:V144)</f>
        <v>24202810.837119997</v>
      </c>
      <c r="X168" s="394">
        <f>W162*SUM(X94:X144)</f>
        <v>24445527.580868002</v>
      </c>
      <c r="Z168" s="394">
        <f>Y162*SUM(Z94:Z144)</f>
        <v>24704623.198603004</v>
      </c>
      <c r="AB168" s="394">
        <f>AA162*SUM(AB94:AB144)</f>
        <v>24931380.674821008</v>
      </c>
      <c r="AD168" s="394">
        <f>AC162*SUM(AD94:AD144)</f>
        <v>25198087.149818003</v>
      </c>
    </row>
    <row r="169" spans="1:32">
      <c r="A169" s="409">
        <v>160</v>
      </c>
      <c r="D169" s="426" t="s">
        <v>954</v>
      </c>
      <c r="F169" s="394">
        <f>SUM(F145:F147)*E163</f>
        <v>9313977.5332890004</v>
      </c>
      <c r="H169" s="394">
        <f>SUM(H145:H147)*G163</f>
        <v>9282415.2646400016</v>
      </c>
      <c r="J169" s="394">
        <f>SUM(J145:J147)*I163</f>
        <v>9324677.9962399993</v>
      </c>
      <c r="L169" s="394">
        <f>SUM(L145:L147)*K163</f>
        <v>9395823.0770699997</v>
      </c>
      <c r="N169" s="394">
        <f>SUM(N145:N147)*M163</f>
        <v>9289454.5357999988</v>
      </c>
      <c r="P169" s="394">
        <f>SUM(P145:P147)*O163</f>
        <v>9291886.0255899988</v>
      </c>
      <c r="R169" s="394">
        <f>SUM(R145:R147)*Q163</f>
        <v>9328779.7054500002</v>
      </c>
      <c r="T169" s="394">
        <f>SUM(T145:T147)*S163</f>
        <v>6235833.9797000019</v>
      </c>
      <c r="V169" s="394">
        <f>SUM(V145:V147)*U163</f>
        <v>6313688.4471199997</v>
      </c>
      <c r="X169" s="394">
        <f>SUM(X145:X147)*W163</f>
        <v>6488783.15099</v>
      </c>
      <c r="Z169" s="394">
        <f>SUM(Z145:Z147)*Y163</f>
        <v>6570429.06568</v>
      </c>
      <c r="AB169" s="394">
        <f>SUM(AB145:AB147)*AA163</f>
        <v>6577563.3591100005</v>
      </c>
      <c r="AD169" s="394">
        <f>SUM(AD145:AD147)*AC163</f>
        <v>5525143.8845200008</v>
      </c>
    </row>
    <row r="170" spans="1:32">
      <c r="A170" s="409">
        <v>161</v>
      </c>
      <c r="F170" s="394"/>
      <c r="H170" s="394"/>
      <c r="J170" s="394"/>
      <c r="L170" s="394"/>
      <c r="N170" s="394"/>
      <c r="P170" s="394"/>
      <c r="R170" s="394"/>
      <c r="T170" s="394"/>
      <c r="V170" s="394"/>
      <c r="X170" s="394"/>
      <c r="Z170" s="394"/>
      <c r="AB170" s="394"/>
      <c r="AD170" s="394"/>
    </row>
    <row r="171" spans="1:32">
      <c r="A171" s="409">
        <v>162</v>
      </c>
      <c r="D171" s="426" t="s">
        <v>956</v>
      </c>
      <c r="F171" s="394">
        <f>SUM(F167:F169)</f>
        <v>381207641.80520397</v>
      </c>
      <c r="H171" s="394">
        <f>SUM(H167:H169)</f>
        <v>382914689.06335592</v>
      </c>
      <c r="J171" s="394">
        <f>SUM(J167:J169)</f>
        <v>384259860.04853302</v>
      </c>
      <c r="L171" s="394">
        <f>SUM(L167:L169)</f>
        <v>385890183.318914</v>
      </c>
      <c r="N171" s="394">
        <f>SUM(N167:N169)</f>
        <v>387653785.124183</v>
      </c>
      <c r="P171" s="394">
        <f>SUM(P167:P169)</f>
        <v>389262414.92266703</v>
      </c>
      <c r="R171" s="394">
        <f>SUM(R167:R169)</f>
        <v>391095670.07880509</v>
      </c>
      <c r="T171" s="394">
        <f>SUM(T167:T169)</f>
        <v>389709290.65191007</v>
      </c>
      <c r="V171" s="394">
        <f>SUM(V167:V169)</f>
        <v>391650038.31424004</v>
      </c>
      <c r="X171" s="394">
        <f>SUM(X167:X169)</f>
        <v>393500965.23185802</v>
      </c>
      <c r="Z171" s="394">
        <f>SUM(Z167:Z169)</f>
        <v>395357481.15428293</v>
      </c>
      <c r="AB171" s="394">
        <f>SUM(AB167:AB169)</f>
        <v>396864794.18393099</v>
      </c>
      <c r="AD171" s="394">
        <f>SUM(AD167:AD169)</f>
        <v>397219164.69433802</v>
      </c>
      <c r="AE171" s="24" t="s">
        <v>964</v>
      </c>
      <c r="AF171" s="415">
        <f t="shared" ref="AF171" si="12">+(F171+AD171+(+H171+J171+L171+N171+P171+R171+T171+V171+X171+Z171+AB171)*2)/24</f>
        <v>389781047.94520426</v>
      </c>
    </row>
  </sheetData>
  <mergeCells count="17">
    <mergeCell ref="B149:C149"/>
    <mergeCell ref="B153:C153"/>
    <mergeCell ref="A1:L1"/>
    <mergeCell ref="A2:L2"/>
    <mergeCell ref="A3:L3"/>
    <mergeCell ref="A4:L4"/>
    <mergeCell ref="A5:L5"/>
    <mergeCell ref="M2:X2"/>
    <mergeCell ref="M3:X3"/>
    <mergeCell ref="M4:X4"/>
    <mergeCell ref="M5:X5"/>
    <mergeCell ref="Y1:AF1"/>
    <mergeCell ref="Y2:AF2"/>
    <mergeCell ref="Y3:AF3"/>
    <mergeCell ref="Y4:AF4"/>
    <mergeCell ref="Y5:AF5"/>
    <mergeCell ref="M1:X1"/>
  </mergeCells>
  <phoneticPr fontId="142" type="noConversion"/>
  <printOptions horizontalCentered="1"/>
  <pageMargins left="0.7" right="0.7" top="0.75" bottom="0.75" header="0.3" footer="0.3"/>
  <pageSetup scale="47" orientation="landscape" r:id="rId1"/>
  <headerFooter scaleWithDoc="0" alignWithMargins="0">
    <oddHeader>&amp;RPage &amp;P of &amp;N</oddHeader>
    <oddFooter>&amp;LElectronic Tab Name:&amp;A</oddFooter>
  </headerFooter>
  <rowBreaks count="3" manualBreakCount="3">
    <brk id="47" max="16383" man="1"/>
    <brk id="92" max="16383" man="1"/>
    <brk id="1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88"/>
  <sheetViews>
    <sheetView view="pageBreakPreview" zoomScale="50" zoomScaleNormal="100" zoomScaleSheetLayoutView="50" workbookViewId="0">
      <pane xSplit="9" ySplit="5" topLeftCell="AC6" activePane="bottomRight" state="frozen"/>
      <selection activeCell="G24" sqref="F24:G24"/>
      <selection pane="topRight" activeCell="G24" sqref="F24:G24"/>
      <selection pane="bottomLeft" activeCell="G24" sqref="F24:G24"/>
      <selection pane="bottomRight" activeCell="G24" sqref="F24:G24"/>
    </sheetView>
  </sheetViews>
  <sheetFormatPr defaultColWidth="9.109375" defaultRowHeight="15.6"/>
  <cols>
    <col min="1" max="1" width="9.44140625" style="28" bestFit="1" customWidth="1"/>
    <col min="2" max="2" width="42.33203125" style="4" bestFit="1" customWidth="1"/>
    <col min="3" max="3" width="9.109375" style="4"/>
    <col min="4" max="4" width="4.5546875" style="4" customWidth="1"/>
    <col min="5" max="9" width="9.109375" style="4"/>
    <col min="10" max="10" width="21.33203125" style="4" bestFit="1" customWidth="1"/>
    <col min="11" max="12" width="20.44140625" style="4" bestFit="1" customWidth="1"/>
    <col min="13" max="13" width="21.88671875" style="4" bestFit="1" customWidth="1"/>
    <col min="14" max="14" width="20.44140625" style="4" bestFit="1" customWidth="1"/>
    <col min="15" max="15" width="19.88671875" style="4" bestFit="1" customWidth="1"/>
    <col min="16" max="16" width="21.33203125" style="4" bestFit="1" customWidth="1"/>
    <col min="17" max="18" width="20.44140625" style="4" bestFit="1" customWidth="1"/>
    <col min="19" max="19" width="20.5546875" style="4" bestFit="1" customWidth="1"/>
    <col min="20" max="21" width="19.88671875" style="4" bestFit="1" customWidth="1"/>
    <col min="22" max="22" width="20.44140625" style="4" bestFit="1" customWidth="1"/>
    <col min="23" max="23" width="19.88671875" style="4" bestFit="1" customWidth="1"/>
    <col min="24" max="24" width="20.44140625" style="4" bestFit="1" customWidth="1"/>
    <col min="25" max="25" width="21.88671875" style="4" bestFit="1" customWidth="1"/>
    <col min="26" max="27" width="20.44140625" style="4" bestFit="1" customWidth="1"/>
    <col min="28" max="28" width="20.5546875" style="4" bestFit="1" customWidth="1"/>
    <col min="29" max="30" width="20.44140625" style="4" bestFit="1" customWidth="1"/>
    <col min="31" max="31" width="20.5546875" style="4" bestFit="1" customWidth="1"/>
    <col min="32" max="32" width="19.44140625" style="4" bestFit="1" customWidth="1"/>
    <col min="33" max="34" width="19.88671875" style="4" bestFit="1" customWidth="1"/>
    <col min="35" max="36" width="20.44140625" style="4" bestFit="1" customWidth="1"/>
    <col min="37" max="37" width="21.88671875" style="4" bestFit="1" customWidth="1"/>
    <col min="38" max="38" width="19.88671875" style="4" bestFit="1" customWidth="1"/>
    <col min="39" max="39" width="20.44140625" style="4" bestFit="1" customWidth="1"/>
    <col min="40" max="40" width="21.33203125" style="4" bestFit="1" customWidth="1"/>
    <col min="41" max="41" width="20.44140625" style="4" bestFit="1" customWidth="1"/>
    <col min="42" max="42" width="19.88671875" style="4" bestFit="1" customWidth="1"/>
    <col min="43" max="43" width="21.33203125" style="4" bestFit="1" customWidth="1"/>
    <col min="44" max="44" width="19.88671875" style="4" bestFit="1" customWidth="1"/>
    <col min="45" max="45" width="19.44140625" style="4" bestFit="1" customWidth="1"/>
    <col min="46" max="46" width="21.88671875" style="4" bestFit="1" customWidth="1"/>
    <col min="47" max="47" width="20.44140625" style="4" bestFit="1" customWidth="1"/>
    <col min="48" max="48" width="19.88671875" style="4" bestFit="1" customWidth="1"/>
    <col min="49" max="49" width="20.5546875" style="4" bestFit="1" customWidth="1"/>
    <col min="50" max="51" width="17.5546875" style="4" bestFit="1" customWidth="1"/>
    <col min="52" max="16384" width="9.109375" style="4"/>
  </cols>
  <sheetData>
    <row r="1" spans="1:51">
      <c r="E1" s="866" t="s">
        <v>60</v>
      </c>
      <c r="F1" s="866"/>
      <c r="G1" s="866"/>
      <c r="H1" s="866"/>
      <c r="I1" s="866"/>
      <c r="J1" s="866"/>
      <c r="K1" s="866"/>
      <c r="R1" s="866" t="s">
        <v>60</v>
      </c>
      <c r="S1" s="866"/>
      <c r="T1" s="866"/>
      <c r="U1" s="866"/>
      <c r="V1" s="3"/>
      <c r="W1" s="3"/>
      <c r="X1" s="3"/>
      <c r="Y1" s="3"/>
      <c r="AB1" s="866" t="s">
        <v>60</v>
      </c>
      <c r="AC1" s="866"/>
      <c r="AD1" s="866"/>
      <c r="AE1" s="866"/>
      <c r="AF1" s="866"/>
      <c r="AG1" s="866"/>
      <c r="AH1" s="866"/>
      <c r="AI1" s="866"/>
      <c r="AJ1" s="866"/>
      <c r="AK1" s="866"/>
      <c r="AL1" s="866"/>
      <c r="AM1" s="866"/>
      <c r="AN1" s="866"/>
      <c r="AO1" s="866"/>
      <c r="AP1" s="866" t="s">
        <v>60</v>
      </c>
      <c r="AQ1" s="866"/>
      <c r="AR1" s="866"/>
      <c r="AS1" s="866"/>
      <c r="AT1" s="866"/>
      <c r="AU1" s="866"/>
      <c r="AV1" s="866"/>
      <c r="AW1" s="866"/>
      <c r="AX1" s="866"/>
      <c r="AY1" s="866"/>
    </row>
    <row r="2" spans="1:51">
      <c r="E2" s="6"/>
      <c r="F2" s="866" t="s">
        <v>1863</v>
      </c>
      <c r="G2" s="866"/>
      <c r="H2" s="866"/>
      <c r="I2" s="866"/>
      <c r="J2" s="866"/>
      <c r="K2" s="6"/>
      <c r="R2" s="866" t="str">
        <f>+F2</f>
        <v>UG 20_____</v>
      </c>
      <c r="S2" s="866"/>
      <c r="T2" s="866"/>
      <c r="U2" s="866"/>
      <c r="V2" s="3"/>
      <c r="W2" s="3"/>
      <c r="X2" s="3"/>
      <c r="Y2" s="6"/>
      <c r="AA2" s="6"/>
      <c r="AB2" s="866" t="str">
        <f>+R2</f>
        <v>UG 20_____</v>
      </c>
      <c r="AC2" s="866"/>
      <c r="AD2" s="866"/>
      <c r="AE2" s="866"/>
      <c r="AF2" s="866"/>
      <c r="AG2" s="866"/>
      <c r="AH2" s="866"/>
      <c r="AI2" s="866"/>
      <c r="AJ2" s="866"/>
      <c r="AK2" s="866"/>
      <c r="AL2" s="866"/>
      <c r="AM2" s="866"/>
      <c r="AN2" s="866"/>
      <c r="AO2" s="866"/>
      <c r="AP2" s="866" t="str">
        <f>+AB2</f>
        <v>UG 20_____</v>
      </c>
      <c r="AQ2" s="866"/>
      <c r="AR2" s="866"/>
      <c r="AS2" s="866"/>
      <c r="AT2" s="866"/>
      <c r="AU2" s="866"/>
      <c r="AV2" s="866"/>
      <c r="AW2" s="866"/>
      <c r="AX2" s="866"/>
      <c r="AY2" s="866"/>
    </row>
    <row r="3" spans="1:51">
      <c r="E3" s="6"/>
      <c r="F3" s="866" t="s">
        <v>1335</v>
      </c>
      <c r="G3" s="866"/>
      <c r="H3" s="866"/>
      <c r="I3" s="866"/>
      <c r="J3" s="866"/>
      <c r="K3" s="6"/>
      <c r="R3" s="866" t="str">
        <f>+F3</f>
        <v>MCP WP-1.4</v>
      </c>
      <c r="S3" s="866"/>
      <c r="T3" s="866"/>
      <c r="U3" s="866"/>
      <c r="V3" s="3"/>
      <c r="W3" s="3"/>
      <c r="X3" s="3"/>
      <c r="Y3" s="6"/>
      <c r="AA3" s="6"/>
      <c r="AB3" s="866" t="str">
        <f>+R3</f>
        <v>MCP WP-1.4</v>
      </c>
      <c r="AC3" s="866"/>
      <c r="AD3" s="866"/>
      <c r="AE3" s="866"/>
      <c r="AF3" s="866"/>
      <c r="AG3" s="866"/>
      <c r="AH3" s="866"/>
      <c r="AI3" s="866"/>
      <c r="AJ3" s="866"/>
      <c r="AK3" s="866"/>
      <c r="AL3" s="866"/>
      <c r="AM3" s="866"/>
      <c r="AN3" s="866"/>
      <c r="AO3" s="866"/>
      <c r="AP3" s="866" t="str">
        <f>+AB3</f>
        <v>MCP WP-1.4</v>
      </c>
      <c r="AQ3" s="866"/>
      <c r="AR3" s="866"/>
      <c r="AS3" s="866"/>
      <c r="AT3" s="866"/>
      <c r="AU3" s="866"/>
      <c r="AV3" s="866"/>
      <c r="AW3" s="866"/>
      <c r="AX3" s="866"/>
      <c r="AY3" s="866"/>
    </row>
    <row r="4" spans="1:51">
      <c r="E4" s="866" t="s">
        <v>1053</v>
      </c>
      <c r="F4" s="866"/>
      <c r="G4" s="866"/>
      <c r="H4" s="866"/>
      <c r="I4" s="866"/>
      <c r="J4" s="866"/>
      <c r="K4" s="866"/>
      <c r="R4" s="866" t="s">
        <v>1053</v>
      </c>
      <c r="S4" s="866"/>
      <c r="T4" s="866"/>
      <c r="U4" s="866"/>
      <c r="V4" s="3"/>
      <c r="W4" s="3"/>
      <c r="X4" s="3"/>
      <c r="Y4" s="3"/>
      <c r="AB4" s="866" t="s">
        <v>1053</v>
      </c>
      <c r="AC4" s="866"/>
      <c r="AD4" s="866"/>
      <c r="AE4" s="866"/>
      <c r="AF4" s="866"/>
      <c r="AG4" s="866"/>
      <c r="AH4" s="866"/>
      <c r="AI4" s="866"/>
      <c r="AJ4" s="866"/>
      <c r="AK4" s="866"/>
      <c r="AL4" s="866"/>
      <c r="AM4" s="866"/>
      <c r="AN4" s="866"/>
      <c r="AO4" s="866"/>
      <c r="AP4" s="866" t="s">
        <v>1053</v>
      </c>
      <c r="AQ4" s="866"/>
      <c r="AR4" s="866"/>
      <c r="AS4" s="866"/>
      <c r="AT4" s="866"/>
      <c r="AU4" s="866"/>
      <c r="AV4" s="866"/>
      <c r="AW4" s="866"/>
      <c r="AX4" s="866"/>
      <c r="AY4" s="866"/>
    </row>
    <row r="5" spans="1:51">
      <c r="F5" s="866" t="s">
        <v>1862</v>
      </c>
      <c r="G5" s="866"/>
      <c r="H5" s="866"/>
      <c r="I5" s="866"/>
      <c r="J5" s="866"/>
      <c r="R5" s="866" t="str">
        <f>+F5</f>
        <v>Twelve Months Ended December 31, 2019</v>
      </c>
      <c r="S5" s="866"/>
      <c r="T5" s="866"/>
      <c r="U5" s="866"/>
      <c r="V5" s="3"/>
      <c r="W5" s="3"/>
      <c r="X5" s="3"/>
      <c r="AB5" s="866" t="str">
        <f>+R5</f>
        <v>Twelve Months Ended December 31, 2019</v>
      </c>
      <c r="AC5" s="866"/>
      <c r="AD5" s="866"/>
      <c r="AE5" s="866"/>
      <c r="AF5" s="866"/>
      <c r="AG5" s="866"/>
      <c r="AH5" s="866"/>
      <c r="AI5" s="866"/>
      <c r="AJ5" s="866"/>
      <c r="AK5" s="866"/>
      <c r="AL5" s="866"/>
      <c r="AM5" s="866"/>
      <c r="AN5" s="866"/>
      <c r="AO5" s="866"/>
      <c r="AP5" s="866" t="str">
        <f>+AB5</f>
        <v>Twelve Months Ended December 31, 2019</v>
      </c>
      <c r="AQ5" s="866"/>
      <c r="AR5" s="866"/>
      <c r="AS5" s="866"/>
      <c r="AT5" s="866"/>
      <c r="AU5" s="866"/>
      <c r="AV5" s="866"/>
      <c r="AW5" s="866"/>
      <c r="AX5" s="866"/>
      <c r="AY5" s="866"/>
    </row>
    <row r="8" spans="1:51" s="28" customFormat="1" ht="16.2" thickBot="1">
      <c r="A8" s="28" t="s">
        <v>662</v>
      </c>
      <c r="B8" s="28" t="s">
        <v>803</v>
      </c>
      <c r="C8" s="28" t="s">
        <v>801</v>
      </c>
      <c r="E8" s="28" t="s">
        <v>802</v>
      </c>
      <c r="F8" s="28" t="s">
        <v>805</v>
      </c>
      <c r="G8" s="28" t="s">
        <v>806</v>
      </c>
      <c r="H8" s="28" t="s">
        <v>807</v>
      </c>
      <c r="I8" s="28" t="s">
        <v>808</v>
      </c>
      <c r="J8" s="28" t="s">
        <v>809</v>
      </c>
      <c r="K8" s="28" t="s">
        <v>810</v>
      </c>
      <c r="L8" s="28" t="s">
        <v>811</v>
      </c>
      <c r="M8" s="28" t="s">
        <v>812</v>
      </c>
      <c r="N8" s="28" t="s">
        <v>967</v>
      </c>
      <c r="O8" s="28" t="s">
        <v>814</v>
      </c>
      <c r="P8" s="28" t="s">
        <v>815</v>
      </c>
      <c r="Q8" s="28" t="s">
        <v>816</v>
      </c>
      <c r="R8" s="28" t="s">
        <v>1020</v>
      </c>
      <c r="S8" s="28" t="s">
        <v>1021</v>
      </c>
      <c r="T8" s="28" t="s">
        <v>1022</v>
      </c>
      <c r="U8" s="28" t="s">
        <v>1023</v>
      </c>
      <c r="V8" s="28" t="s">
        <v>1024</v>
      </c>
      <c r="W8" s="28" t="s">
        <v>1025</v>
      </c>
      <c r="X8" s="28" t="s">
        <v>1026</v>
      </c>
      <c r="Y8" s="28" t="s">
        <v>1027</v>
      </c>
      <c r="Z8" s="28" t="s">
        <v>1028</v>
      </c>
      <c r="AA8" s="28" t="s">
        <v>1029</v>
      </c>
      <c r="AB8" s="28" t="s">
        <v>1030</v>
      </c>
      <c r="AC8" s="28" t="s">
        <v>753</v>
      </c>
      <c r="AD8" s="28" t="s">
        <v>1031</v>
      </c>
      <c r="AE8" s="28" t="s">
        <v>1032</v>
      </c>
      <c r="AF8" s="28" t="s">
        <v>1033</v>
      </c>
      <c r="AG8" s="28" t="s">
        <v>1034</v>
      </c>
      <c r="AH8" s="28" t="s">
        <v>1036</v>
      </c>
      <c r="AI8" s="28" t="s">
        <v>1037</v>
      </c>
      <c r="AJ8" s="28" t="s">
        <v>1038</v>
      </c>
      <c r="AK8" s="28" t="s">
        <v>1039</v>
      </c>
      <c r="AL8" s="28" t="s">
        <v>1040</v>
      </c>
      <c r="AM8" s="28" t="s">
        <v>1041</v>
      </c>
      <c r="AN8" s="28" t="s">
        <v>1042</v>
      </c>
      <c r="AO8" s="28" t="s">
        <v>1043</v>
      </c>
      <c r="AP8" s="28" t="s">
        <v>1044</v>
      </c>
      <c r="AQ8" s="28" t="s">
        <v>1045</v>
      </c>
      <c r="AR8" s="28" t="s">
        <v>1046</v>
      </c>
      <c r="AS8" s="28" t="s">
        <v>1047</v>
      </c>
      <c r="AT8" s="28" t="s">
        <v>1048</v>
      </c>
      <c r="AU8" s="28" t="s">
        <v>906</v>
      </c>
      <c r="AV8" s="28" t="s">
        <v>1049</v>
      </c>
      <c r="AW8" s="28" t="s">
        <v>1050</v>
      </c>
      <c r="AX8" s="28" t="s">
        <v>1051</v>
      </c>
      <c r="AY8" s="28" t="s">
        <v>1052</v>
      </c>
    </row>
    <row r="9" spans="1:51">
      <c r="A9" s="28">
        <v>1</v>
      </c>
      <c r="B9" s="896" t="s">
        <v>1097</v>
      </c>
      <c r="C9" s="897"/>
      <c r="D9" s="897"/>
      <c r="E9" s="898"/>
      <c r="F9" s="905" t="s">
        <v>373</v>
      </c>
      <c r="G9" s="905"/>
      <c r="H9" s="905"/>
      <c r="I9" s="906"/>
      <c r="J9" s="166" t="s">
        <v>753</v>
      </c>
      <c r="K9" s="167" t="s">
        <v>965</v>
      </c>
      <c r="L9" s="168" t="s">
        <v>966</v>
      </c>
      <c r="M9" s="166" t="s">
        <v>753</v>
      </c>
      <c r="N9" s="167" t="s">
        <v>965</v>
      </c>
      <c r="O9" s="168" t="s">
        <v>966</v>
      </c>
      <c r="P9" s="166" t="s">
        <v>753</v>
      </c>
      <c r="Q9" s="167" t="s">
        <v>965</v>
      </c>
      <c r="R9" s="168" t="s">
        <v>966</v>
      </c>
      <c r="S9" s="166" t="s">
        <v>753</v>
      </c>
      <c r="T9" s="167" t="s">
        <v>965</v>
      </c>
      <c r="U9" s="168" t="s">
        <v>966</v>
      </c>
      <c r="V9" s="166" t="s">
        <v>753</v>
      </c>
      <c r="W9" s="167" t="s">
        <v>965</v>
      </c>
      <c r="X9" s="168" t="s">
        <v>966</v>
      </c>
      <c r="Y9" s="166" t="s">
        <v>753</v>
      </c>
      <c r="Z9" s="167" t="s">
        <v>965</v>
      </c>
      <c r="AA9" s="168" t="s">
        <v>966</v>
      </c>
      <c r="AB9" s="166" t="s">
        <v>753</v>
      </c>
      <c r="AC9" s="167" t="s">
        <v>965</v>
      </c>
      <c r="AD9" s="168" t="s">
        <v>966</v>
      </c>
      <c r="AE9" s="166" t="s">
        <v>753</v>
      </c>
      <c r="AF9" s="167" t="s">
        <v>965</v>
      </c>
      <c r="AG9" s="168" t="s">
        <v>966</v>
      </c>
      <c r="AH9" s="166" t="s">
        <v>753</v>
      </c>
      <c r="AI9" s="167" t="s">
        <v>965</v>
      </c>
      <c r="AJ9" s="168" t="s">
        <v>966</v>
      </c>
      <c r="AK9" s="166" t="s">
        <v>753</v>
      </c>
      <c r="AL9" s="167" t="s">
        <v>965</v>
      </c>
      <c r="AM9" s="168" t="s">
        <v>966</v>
      </c>
      <c r="AN9" s="166" t="s">
        <v>753</v>
      </c>
      <c r="AO9" s="167" t="s">
        <v>965</v>
      </c>
      <c r="AP9" s="168" t="s">
        <v>966</v>
      </c>
      <c r="AQ9" s="166" t="s">
        <v>753</v>
      </c>
      <c r="AR9" s="167" t="s">
        <v>965</v>
      </c>
      <c r="AS9" s="168" t="s">
        <v>966</v>
      </c>
      <c r="AT9" s="166" t="s">
        <v>753</v>
      </c>
      <c r="AU9" s="167" t="s">
        <v>965</v>
      </c>
      <c r="AV9" s="168" t="s">
        <v>966</v>
      </c>
      <c r="AW9" s="169" t="s">
        <v>1005</v>
      </c>
      <c r="AX9" s="169" t="s">
        <v>106</v>
      </c>
      <c r="AY9" s="169" t="s">
        <v>83</v>
      </c>
    </row>
    <row r="10" spans="1:51">
      <c r="A10" s="28">
        <v>2</v>
      </c>
      <c r="B10" s="899"/>
      <c r="C10" s="900"/>
      <c r="D10" s="900"/>
      <c r="E10" s="901"/>
      <c r="F10" s="907" t="s">
        <v>374</v>
      </c>
      <c r="G10" s="907"/>
      <c r="H10" s="907"/>
      <c r="I10" s="908"/>
      <c r="J10" s="725" t="s">
        <v>1336</v>
      </c>
      <c r="K10" s="716" t="s">
        <v>1336</v>
      </c>
      <c r="L10" s="726" t="s">
        <v>1336</v>
      </c>
      <c r="M10" s="725" t="s">
        <v>1866</v>
      </c>
      <c r="N10" s="716" t="s">
        <v>1866</v>
      </c>
      <c r="O10" s="716" t="s">
        <v>1866</v>
      </c>
      <c r="P10" s="725" t="s">
        <v>1866</v>
      </c>
      <c r="Q10" s="716" t="s">
        <v>1866</v>
      </c>
      <c r="R10" s="716" t="s">
        <v>1866</v>
      </c>
      <c r="S10" s="725" t="s">
        <v>1866</v>
      </c>
      <c r="T10" s="716" t="s">
        <v>1866</v>
      </c>
      <c r="U10" s="716" t="s">
        <v>1866</v>
      </c>
      <c r="V10" s="725" t="s">
        <v>1866</v>
      </c>
      <c r="W10" s="716" t="s">
        <v>1866</v>
      </c>
      <c r="X10" s="716" t="s">
        <v>1866</v>
      </c>
      <c r="Y10" s="725" t="s">
        <v>1866</v>
      </c>
      <c r="Z10" s="716" t="s">
        <v>1866</v>
      </c>
      <c r="AA10" s="716" t="s">
        <v>1866</v>
      </c>
      <c r="AB10" s="725" t="s">
        <v>1866</v>
      </c>
      <c r="AC10" s="725" t="s">
        <v>1866</v>
      </c>
      <c r="AD10" s="725" t="s">
        <v>1866</v>
      </c>
      <c r="AE10" s="725" t="s">
        <v>1866</v>
      </c>
      <c r="AF10" s="725" t="s">
        <v>1866</v>
      </c>
      <c r="AG10" s="725" t="s">
        <v>1866</v>
      </c>
      <c r="AH10" s="725" t="s">
        <v>1866</v>
      </c>
      <c r="AI10" s="725" t="s">
        <v>1866</v>
      </c>
      <c r="AJ10" s="725" t="s">
        <v>1866</v>
      </c>
      <c r="AK10" s="725" t="s">
        <v>1866</v>
      </c>
      <c r="AL10" s="725" t="s">
        <v>1866</v>
      </c>
      <c r="AM10" s="725" t="s">
        <v>1866</v>
      </c>
      <c r="AN10" s="725" t="s">
        <v>1866</v>
      </c>
      <c r="AO10" s="716" t="s">
        <v>1866</v>
      </c>
      <c r="AP10" s="716" t="s">
        <v>1866</v>
      </c>
      <c r="AQ10" s="725" t="s">
        <v>1866</v>
      </c>
      <c r="AR10" s="716" t="s">
        <v>1866</v>
      </c>
      <c r="AS10" s="716" t="s">
        <v>1866</v>
      </c>
      <c r="AT10" s="725" t="s">
        <v>1866</v>
      </c>
      <c r="AU10" s="716" t="s">
        <v>1866</v>
      </c>
      <c r="AV10" s="716" t="s">
        <v>1866</v>
      </c>
    </row>
    <row r="11" spans="1:51">
      <c r="A11" s="28">
        <v>3</v>
      </c>
      <c r="B11" s="899"/>
      <c r="C11" s="900"/>
      <c r="D11" s="900"/>
      <c r="E11" s="901"/>
      <c r="F11" s="907" t="s">
        <v>375</v>
      </c>
      <c r="G11" s="907"/>
      <c r="H11" s="907"/>
      <c r="I11" s="908"/>
      <c r="J11" s="170" t="s">
        <v>967</v>
      </c>
      <c r="K11" s="171" t="s">
        <v>967</v>
      </c>
      <c r="L11" s="172" t="s">
        <v>967</v>
      </c>
      <c r="M11" s="170" t="s">
        <v>967</v>
      </c>
      <c r="N11" s="171" t="s">
        <v>967</v>
      </c>
      <c r="O11" s="172" t="s">
        <v>967</v>
      </c>
      <c r="P11" s="170" t="s">
        <v>967</v>
      </c>
      <c r="Q11" s="171" t="s">
        <v>967</v>
      </c>
      <c r="R11" s="172" t="s">
        <v>967</v>
      </c>
      <c r="S11" s="170" t="s">
        <v>967</v>
      </c>
      <c r="T11" s="171" t="s">
        <v>967</v>
      </c>
      <c r="U11" s="172" t="s">
        <v>967</v>
      </c>
      <c r="V11" s="170" t="s">
        <v>967</v>
      </c>
      <c r="W11" s="171" t="s">
        <v>967</v>
      </c>
      <c r="X11" s="172" t="s">
        <v>967</v>
      </c>
      <c r="Y11" s="170" t="s">
        <v>967</v>
      </c>
      <c r="Z11" s="171" t="s">
        <v>967</v>
      </c>
      <c r="AA11" s="172" t="s">
        <v>967</v>
      </c>
      <c r="AB11" s="170" t="s">
        <v>967</v>
      </c>
      <c r="AC11" s="171" t="s">
        <v>967</v>
      </c>
      <c r="AD11" s="172" t="s">
        <v>967</v>
      </c>
      <c r="AE11" s="170" t="s">
        <v>967</v>
      </c>
      <c r="AF11" s="171" t="s">
        <v>967</v>
      </c>
      <c r="AG11" s="172" t="s">
        <v>967</v>
      </c>
      <c r="AH11" s="170" t="s">
        <v>967</v>
      </c>
      <c r="AI11" s="171" t="s">
        <v>967</v>
      </c>
      <c r="AJ11" s="172" t="s">
        <v>967</v>
      </c>
      <c r="AK11" s="170" t="s">
        <v>967</v>
      </c>
      <c r="AL11" s="171" t="s">
        <v>967</v>
      </c>
      <c r="AM11" s="172" t="s">
        <v>967</v>
      </c>
      <c r="AN11" s="170" t="s">
        <v>967</v>
      </c>
      <c r="AO11" s="171" t="s">
        <v>967</v>
      </c>
      <c r="AP11" s="172" t="s">
        <v>967</v>
      </c>
      <c r="AQ11" s="170" t="s">
        <v>967</v>
      </c>
      <c r="AR11" s="171" t="s">
        <v>967</v>
      </c>
      <c r="AS11" s="172" t="s">
        <v>967</v>
      </c>
      <c r="AT11" s="170" t="s">
        <v>967</v>
      </c>
      <c r="AU11" s="171" t="s">
        <v>967</v>
      </c>
      <c r="AV11" s="172" t="s">
        <v>967</v>
      </c>
      <c r="AX11" s="169" t="s">
        <v>369</v>
      </c>
    </row>
    <row r="12" spans="1:51">
      <c r="A12" s="154">
        <v>4</v>
      </c>
      <c r="B12" s="899"/>
      <c r="C12" s="900"/>
      <c r="D12" s="900"/>
      <c r="E12" s="901"/>
      <c r="F12" s="907" t="s">
        <v>376</v>
      </c>
      <c r="G12" s="907"/>
      <c r="H12" s="907"/>
      <c r="I12" s="908"/>
      <c r="J12" s="170" t="s">
        <v>473</v>
      </c>
      <c r="K12" s="171" t="s">
        <v>473</v>
      </c>
      <c r="L12" s="172" t="s">
        <v>473</v>
      </c>
      <c r="M12" s="170" t="s">
        <v>528</v>
      </c>
      <c r="N12" s="171" t="s">
        <v>528</v>
      </c>
      <c r="O12" s="172" t="s">
        <v>528</v>
      </c>
      <c r="P12" s="170" t="s">
        <v>562</v>
      </c>
      <c r="Q12" s="171" t="s">
        <v>562</v>
      </c>
      <c r="R12" s="172" t="s">
        <v>562</v>
      </c>
      <c r="S12" s="170" t="s">
        <v>563</v>
      </c>
      <c r="T12" s="171" t="s">
        <v>563</v>
      </c>
      <c r="U12" s="172" t="s">
        <v>563</v>
      </c>
      <c r="V12" s="170" t="s">
        <v>968</v>
      </c>
      <c r="W12" s="171" t="s">
        <v>968</v>
      </c>
      <c r="X12" s="172" t="s">
        <v>968</v>
      </c>
      <c r="Y12" s="170" t="s">
        <v>969</v>
      </c>
      <c r="Z12" s="171" t="s">
        <v>969</v>
      </c>
      <c r="AA12" s="172" t="s">
        <v>969</v>
      </c>
      <c r="AB12" s="170" t="s">
        <v>970</v>
      </c>
      <c r="AC12" s="171" t="s">
        <v>970</v>
      </c>
      <c r="AD12" s="172" t="s">
        <v>970</v>
      </c>
      <c r="AE12" s="170" t="s">
        <v>971</v>
      </c>
      <c r="AF12" s="171" t="s">
        <v>971</v>
      </c>
      <c r="AG12" s="172" t="s">
        <v>971</v>
      </c>
      <c r="AH12" s="170" t="s">
        <v>389</v>
      </c>
      <c r="AI12" s="171" t="s">
        <v>389</v>
      </c>
      <c r="AJ12" s="172" t="s">
        <v>389</v>
      </c>
      <c r="AK12" s="170" t="s">
        <v>972</v>
      </c>
      <c r="AL12" s="171" t="s">
        <v>972</v>
      </c>
      <c r="AM12" s="172" t="s">
        <v>972</v>
      </c>
      <c r="AN12" s="170" t="s">
        <v>973</v>
      </c>
      <c r="AO12" s="171" t="s">
        <v>973</v>
      </c>
      <c r="AP12" s="172" t="s">
        <v>973</v>
      </c>
      <c r="AQ12" s="170" t="s">
        <v>974</v>
      </c>
      <c r="AR12" s="171" t="s">
        <v>974</v>
      </c>
      <c r="AS12" s="172" t="s">
        <v>974</v>
      </c>
      <c r="AT12" s="170" t="s">
        <v>473</v>
      </c>
      <c r="AU12" s="171" t="s">
        <v>473</v>
      </c>
      <c r="AV12" s="172" t="s">
        <v>473</v>
      </c>
    </row>
    <row r="13" spans="1:51" ht="16.2" thickBot="1">
      <c r="A13" s="154">
        <v>5</v>
      </c>
      <c r="B13" s="902"/>
      <c r="C13" s="903"/>
      <c r="D13" s="903"/>
      <c r="E13" s="904"/>
      <c r="F13" s="907" t="s">
        <v>377</v>
      </c>
      <c r="G13" s="907"/>
      <c r="H13" s="907"/>
      <c r="I13" s="908"/>
      <c r="J13" s="170" t="s">
        <v>725</v>
      </c>
      <c r="K13" s="171" t="s">
        <v>725</v>
      </c>
      <c r="L13" s="172" t="s">
        <v>725</v>
      </c>
      <c r="M13" s="170" t="s">
        <v>725</v>
      </c>
      <c r="N13" s="171" t="s">
        <v>725</v>
      </c>
      <c r="O13" s="172" t="s">
        <v>725</v>
      </c>
      <c r="P13" s="170" t="s">
        <v>725</v>
      </c>
      <c r="Q13" s="171" t="s">
        <v>725</v>
      </c>
      <c r="R13" s="172" t="s">
        <v>725</v>
      </c>
      <c r="S13" s="170" t="s">
        <v>725</v>
      </c>
      <c r="T13" s="171" t="s">
        <v>725</v>
      </c>
      <c r="U13" s="172" t="s">
        <v>725</v>
      </c>
      <c r="V13" s="170" t="s">
        <v>725</v>
      </c>
      <c r="W13" s="171" t="s">
        <v>725</v>
      </c>
      <c r="X13" s="172" t="s">
        <v>725</v>
      </c>
      <c r="Y13" s="170" t="s">
        <v>725</v>
      </c>
      <c r="Z13" s="171" t="s">
        <v>725</v>
      </c>
      <c r="AA13" s="172" t="s">
        <v>725</v>
      </c>
      <c r="AB13" s="170" t="s">
        <v>725</v>
      </c>
      <c r="AC13" s="171" t="s">
        <v>725</v>
      </c>
      <c r="AD13" s="172" t="s">
        <v>725</v>
      </c>
      <c r="AE13" s="170" t="s">
        <v>725</v>
      </c>
      <c r="AF13" s="171" t="s">
        <v>725</v>
      </c>
      <c r="AG13" s="172" t="s">
        <v>725</v>
      </c>
      <c r="AH13" s="170" t="s">
        <v>725</v>
      </c>
      <c r="AI13" s="171" t="s">
        <v>725</v>
      </c>
      <c r="AJ13" s="172" t="s">
        <v>725</v>
      </c>
      <c r="AK13" s="170" t="s">
        <v>725</v>
      </c>
      <c r="AL13" s="171" t="s">
        <v>725</v>
      </c>
      <c r="AM13" s="172" t="s">
        <v>725</v>
      </c>
      <c r="AN13" s="170" t="s">
        <v>725</v>
      </c>
      <c r="AO13" s="171" t="s">
        <v>725</v>
      </c>
      <c r="AP13" s="172" t="s">
        <v>725</v>
      </c>
      <c r="AQ13" s="170" t="s">
        <v>725</v>
      </c>
      <c r="AR13" s="171" t="s">
        <v>725</v>
      </c>
      <c r="AS13" s="172" t="s">
        <v>725</v>
      </c>
      <c r="AT13" s="170" t="s">
        <v>725</v>
      </c>
      <c r="AU13" s="171" t="s">
        <v>725</v>
      </c>
      <c r="AV13" s="172" t="s">
        <v>725</v>
      </c>
    </row>
    <row r="14" spans="1:51">
      <c r="A14" s="154">
        <v>6</v>
      </c>
      <c r="B14" s="173"/>
      <c r="C14" s="174"/>
      <c r="D14" s="174"/>
      <c r="E14" s="174"/>
      <c r="F14" s="174"/>
      <c r="G14" s="174"/>
      <c r="H14" s="174"/>
      <c r="I14" s="175"/>
      <c r="J14" s="173"/>
      <c r="K14" s="174"/>
      <c r="L14" s="175"/>
      <c r="M14" s="173"/>
      <c r="N14" s="174"/>
      <c r="O14" s="175"/>
      <c r="P14" s="173"/>
      <c r="Q14" s="174"/>
      <c r="R14" s="175"/>
      <c r="S14" s="173"/>
      <c r="T14" s="174"/>
      <c r="U14" s="175"/>
      <c r="V14" s="173"/>
      <c r="W14" s="174"/>
      <c r="X14" s="175"/>
      <c r="Y14" s="173"/>
      <c r="Z14" s="174"/>
      <c r="AA14" s="175"/>
      <c r="AB14" s="173"/>
      <c r="AC14" s="174"/>
      <c r="AD14" s="175"/>
      <c r="AE14" s="173"/>
      <c r="AF14" s="174"/>
      <c r="AG14" s="175"/>
      <c r="AH14" s="173"/>
      <c r="AI14" s="174"/>
      <c r="AJ14" s="175"/>
      <c r="AK14" s="173"/>
      <c r="AL14" s="174"/>
      <c r="AM14" s="175"/>
      <c r="AN14" s="173"/>
      <c r="AO14" s="174"/>
      <c r="AP14" s="175"/>
      <c r="AQ14" s="173"/>
      <c r="AR14" s="174"/>
      <c r="AS14" s="175"/>
      <c r="AT14" s="173"/>
      <c r="AU14" s="174"/>
      <c r="AV14" s="175"/>
      <c r="AW14" s="175"/>
      <c r="AX14" s="175"/>
      <c r="AY14" s="175"/>
    </row>
    <row r="15" spans="1:51" ht="31.2">
      <c r="A15" s="154">
        <v>7</v>
      </c>
      <c r="B15" s="177"/>
      <c r="C15" s="178" t="s">
        <v>975</v>
      </c>
      <c r="D15" s="178"/>
      <c r="E15" s="178" t="s">
        <v>976</v>
      </c>
      <c r="F15" s="178" t="s">
        <v>977</v>
      </c>
      <c r="G15" s="178" t="s">
        <v>978</v>
      </c>
      <c r="H15" s="178" t="s">
        <v>979</v>
      </c>
      <c r="I15" s="179" t="s">
        <v>980</v>
      </c>
      <c r="J15" s="177"/>
      <c r="K15" s="180"/>
      <c r="L15" s="181"/>
      <c r="M15" s="177"/>
      <c r="N15" s="180"/>
      <c r="O15" s="181"/>
      <c r="P15" s="177"/>
      <c r="Q15" s="180"/>
      <c r="R15" s="181"/>
      <c r="S15" s="177"/>
      <c r="T15" s="180"/>
      <c r="U15" s="181"/>
      <c r="V15" s="177"/>
      <c r="W15" s="180"/>
      <c r="X15" s="181"/>
      <c r="Y15" s="177"/>
      <c r="Z15" s="180"/>
      <c r="AA15" s="181"/>
      <c r="AB15" s="177"/>
      <c r="AC15" s="180"/>
      <c r="AD15" s="181"/>
      <c r="AE15" s="177"/>
      <c r="AF15" s="180"/>
      <c r="AG15" s="181"/>
      <c r="AH15" s="177"/>
      <c r="AI15" s="180"/>
      <c r="AJ15" s="181"/>
      <c r="AK15" s="177"/>
      <c r="AL15" s="180"/>
      <c r="AM15" s="181"/>
      <c r="AN15" s="177"/>
      <c r="AO15" s="180"/>
      <c r="AP15" s="181"/>
      <c r="AQ15" s="177"/>
      <c r="AR15" s="180"/>
      <c r="AS15" s="181"/>
      <c r="AT15" s="177"/>
      <c r="AU15" s="180"/>
      <c r="AV15" s="181"/>
    </row>
    <row r="16" spans="1:51" ht="16.2">
      <c r="A16" s="154">
        <v>8</v>
      </c>
      <c r="B16" s="893" t="s">
        <v>982</v>
      </c>
      <c r="C16" s="894"/>
      <c r="D16" s="894"/>
      <c r="E16" s="894"/>
      <c r="F16" s="894"/>
      <c r="G16" s="894"/>
      <c r="H16" s="894"/>
      <c r="I16" s="895"/>
      <c r="J16" s="182"/>
      <c r="K16" s="183"/>
      <c r="L16" s="184"/>
      <c r="M16" s="182"/>
      <c r="N16" s="183"/>
      <c r="O16" s="184"/>
      <c r="P16" s="182"/>
      <c r="Q16" s="183"/>
      <c r="R16" s="184"/>
      <c r="S16" s="182"/>
      <c r="T16" s="183"/>
      <c r="U16" s="184"/>
      <c r="V16" s="182"/>
      <c r="W16" s="183"/>
      <c r="X16" s="184"/>
      <c r="Y16" s="182"/>
      <c r="Z16" s="183"/>
      <c r="AA16" s="184"/>
      <c r="AB16" s="182"/>
      <c r="AC16" s="183"/>
      <c r="AD16" s="184"/>
      <c r="AE16" s="182"/>
      <c r="AF16" s="183"/>
      <c r="AG16" s="184"/>
      <c r="AH16" s="182"/>
      <c r="AI16" s="183"/>
      <c r="AJ16" s="184"/>
      <c r="AK16" s="182"/>
      <c r="AL16" s="183"/>
      <c r="AM16" s="184"/>
      <c r="AN16" s="182"/>
      <c r="AO16" s="183"/>
      <c r="AP16" s="184"/>
      <c r="AQ16" s="182"/>
      <c r="AR16" s="183"/>
      <c r="AS16" s="184"/>
      <c r="AT16" s="182"/>
      <c r="AU16" s="183"/>
      <c r="AV16" s="184"/>
    </row>
    <row r="17" spans="1:56">
      <c r="A17" s="154">
        <v>9</v>
      </c>
      <c r="B17" s="176" t="s">
        <v>983</v>
      </c>
      <c r="C17" s="171" t="s">
        <v>754</v>
      </c>
      <c r="D17" s="171"/>
      <c r="E17" s="171" t="s">
        <v>984</v>
      </c>
      <c r="F17" s="171" t="s">
        <v>632</v>
      </c>
      <c r="G17" s="171" t="s">
        <v>985</v>
      </c>
      <c r="H17" s="171" t="s">
        <v>382</v>
      </c>
      <c r="I17" s="172" t="s">
        <v>382</v>
      </c>
      <c r="J17" s="182">
        <v>0</v>
      </c>
      <c r="K17" s="183">
        <v>0</v>
      </c>
      <c r="L17" s="184"/>
      <c r="M17" s="182">
        <v>0</v>
      </c>
      <c r="N17" s="183">
        <v>0</v>
      </c>
      <c r="O17" s="184"/>
      <c r="P17" s="182">
        <v>0</v>
      </c>
      <c r="Q17" s="183">
        <v>0</v>
      </c>
      <c r="R17" s="184"/>
      <c r="S17" s="182">
        <v>0</v>
      </c>
      <c r="T17" s="183">
        <v>0</v>
      </c>
      <c r="U17" s="184"/>
      <c r="V17" s="182">
        <v>0</v>
      </c>
      <c r="W17" s="183">
        <v>0</v>
      </c>
      <c r="X17" s="184"/>
      <c r="Y17" s="182">
        <v>0</v>
      </c>
      <c r="Z17" s="183">
        <v>0</v>
      </c>
      <c r="AA17" s="184"/>
      <c r="AB17" s="182">
        <v>0</v>
      </c>
      <c r="AC17" s="183">
        <v>0</v>
      </c>
      <c r="AD17" s="184"/>
      <c r="AE17" s="182">
        <v>0</v>
      </c>
      <c r="AF17" s="183">
        <v>0</v>
      </c>
      <c r="AG17" s="184"/>
      <c r="AH17" s="182">
        <v>0</v>
      </c>
      <c r="AI17" s="183">
        <v>0</v>
      </c>
      <c r="AJ17" s="184"/>
      <c r="AK17" s="182">
        <v>0</v>
      </c>
      <c r="AL17" s="183">
        <v>0</v>
      </c>
      <c r="AM17" s="184"/>
      <c r="AN17" s="182">
        <v>0</v>
      </c>
      <c r="AO17" s="183">
        <v>0</v>
      </c>
      <c r="AP17" s="184"/>
      <c r="AQ17" s="182">
        <v>0</v>
      </c>
      <c r="AR17" s="183">
        <v>0</v>
      </c>
      <c r="AS17" s="184"/>
      <c r="AT17" s="182">
        <v>0</v>
      </c>
      <c r="AU17" s="183">
        <v>0</v>
      </c>
      <c r="AV17" s="184"/>
    </row>
    <row r="18" spans="1:56">
      <c r="A18" s="28">
        <v>10</v>
      </c>
      <c r="B18" s="176" t="s">
        <v>986</v>
      </c>
      <c r="C18" s="171" t="s">
        <v>754</v>
      </c>
      <c r="D18" s="171"/>
      <c r="E18" s="171" t="s">
        <v>382</v>
      </c>
      <c r="F18" s="171" t="s">
        <v>632</v>
      </c>
      <c r="G18" s="171" t="s">
        <v>987</v>
      </c>
      <c r="H18" s="171" t="s">
        <v>382</v>
      </c>
      <c r="I18" s="172" t="s">
        <v>382</v>
      </c>
      <c r="J18" s="182">
        <f>+K18+L18</f>
        <v>-3418947.2399999998</v>
      </c>
      <c r="K18" s="185">
        <v>-3255123.44</v>
      </c>
      <c r="L18" s="184">
        <v>-163823.79999999999</v>
      </c>
      <c r="M18" s="182">
        <f>+N18+O18</f>
        <v>-3302748.8</v>
      </c>
      <c r="N18" s="185">
        <v>-3146448.38</v>
      </c>
      <c r="O18" s="184">
        <v>-156300.42000000001</v>
      </c>
      <c r="P18" s="182">
        <f>+Q18+R18</f>
        <v>-3311183.56</v>
      </c>
      <c r="Q18" s="185">
        <v>-3146448.38</v>
      </c>
      <c r="R18" s="184">
        <v>-164735.18</v>
      </c>
      <c r="S18" s="182">
        <f>+T18+U18</f>
        <v>-3337179.04</v>
      </c>
      <c r="T18" s="185">
        <v>-3146448.38</v>
      </c>
      <c r="U18" s="184">
        <v>-190730.66</v>
      </c>
      <c r="V18" s="182">
        <f>+W18+X18</f>
        <v>-3333157.56</v>
      </c>
      <c r="W18" s="185">
        <v>-3142835.9</v>
      </c>
      <c r="X18" s="184">
        <v>-190321.66</v>
      </c>
      <c r="Y18" s="182">
        <f>+Z18+AA18</f>
        <v>-3338815.94</v>
      </c>
      <c r="Z18" s="185">
        <v>-3142439.63</v>
      </c>
      <c r="AA18" s="184">
        <v>-196376.31</v>
      </c>
      <c r="AB18" s="182">
        <f>+AC18+AD18</f>
        <v>-3338815.94</v>
      </c>
      <c r="AC18" s="185">
        <v>-3142439.63</v>
      </c>
      <c r="AD18" s="184">
        <v>-196376.31</v>
      </c>
      <c r="AE18" s="182">
        <f>+AF18+AG18</f>
        <v>-3336013.46</v>
      </c>
      <c r="AF18" s="185">
        <v>-3142439.63</v>
      </c>
      <c r="AG18" s="184">
        <v>-193573.83</v>
      </c>
      <c r="AH18" s="182">
        <f>+AI18+AJ18</f>
        <v>-3339862.54</v>
      </c>
      <c r="AI18" s="185">
        <v>-3142439.63</v>
      </c>
      <c r="AJ18" s="184">
        <v>-197422.91</v>
      </c>
      <c r="AK18" s="182">
        <f>+AL18+AM18</f>
        <v>-3340258.81</v>
      </c>
      <c r="AL18" s="185">
        <v>-3142835.9</v>
      </c>
      <c r="AM18" s="184">
        <v>-197422.91</v>
      </c>
      <c r="AN18" s="182">
        <f>+AO18+AP18</f>
        <v>-3343673.7199999997</v>
      </c>
      <c r="AO18" s="185">
        <v>-3142835.9</v>
      </c>
      <c r="AP18" s="184">
        <v>-200837.82</v>
      </c>
      <c r="AQ18" s="182">
        <f>+AR18+AS18</f>
        <v>-3349954.61</v>
      </c>
      <c r="AR18" s="185">
        <v>-3142835.9</v>
      </c>
      <c r="AS18" s="184">
        <v>-207118.71</v>
      </c>
      <c r="AT18" s="182">
        <f>+AU18+AV18</f>
        <v>-3349954.61</v>
      </c>
      <c r="AU18" s="185">
        <v>-3142835.9</v>
      </c>
      <c r="AV18" s="184">
        <v>-207118.71</v>
      </c>
      <c r="AW18" s="134">
        <f>+(AT18+J18+(M18+P18+S18+V18+Y18+AB18+AE18+AH18+AK18+AN18+AQ18)*2)/24</f>
        <v>-3338009.575416666</v>
      </c>
      <c r="AX18" s="134">
        <f t="shared" ref="AX18:AY22" si="0">+(AU18+K18+(N18+Q18+T18+W18+Z18+AC18+AF18+AI18+AL18+AO18+AR18)*2)/24</f>
        <v>-3148285.5775000001</v>
      </c>
      <c r="AY18" s="134">
        <f t="shared" si="0"/>
        <v>-189723.99791666667</v>
      </c>
    </row>
    <row r="19" spans="1:56">
      <c r="A19" s="28">
        <v>11</v>
      </c>
      <c r="B19" s="176" t="s">
        <v>988</v>
      </c>
      <c r="C19" s="171" t="s">
        <v>754</v>
      </c>
      <c r="D19" s="171"/>
      <c r="E19" s="171" t="s">
        <v>981</v>
      </c>
      <c r="F19" s="171" t="s">
        <v>632</v>
      </c>
      <c r="G19" s="171" t="s">
        <v>989</v>
      </c>
      <c r="H19" s="171" t="s">
        <v>382</v>
      </c>
      <c r="I19" s="172" t="s">
        <v>382</v>
      </c>
      <c r="J19" s="182">
        <f t="shared" ref="J19:J22" si="1">+K19+L19</f>
        <v>117299.85</v>
      </c>
      <c r="K19" s="183">
        <v>108675.06</v>
      </c>
      <c r="L19" s="184">
        <v>8624.7900000000009</v>
      </c>
      <c r="M19" s="182">
        <f>+N19+O19</f>
        <v>0</v>
      </c>
      <c r="N19" s="183">
        <v>0</v>
      </c>
      <c r="O19" s="184">
        <v>0</v>
      </c>
      <c r="P19" s="182">
        <v>0</v>
      </c>
      <c r="Q19" s="183">
        <v>0</v>
      </c>
      <c r="R19" s="184">
        <v>0</v>
      </c>
      <c r="S19" s="182">
        <f>+T19+U19</f>
        <v>77103.62</v>
      </c>
      <c r="T19" s="183">
        <v>74253.98</v>
      </c>
      <c r="U19" s="184">
        <v>2849.64</v>
      </c>
      <c r="V19" s="182">
        <f>+W19+X19</f>
        <v>77103.62</v>
      </c>
      <c r="W19" s="183">
        <v>74253.98</v>
      </c>
      <c r="X19" s="184">
        <v>2849.64</v>
      </c>
      <c r="Y19" s="182">
        <f>+Z19+AA19</f>
        <v>77103.62</v>
      </c>
      <c r="Z19" s="183">
        <v>74253.98</v>
      </c>
      <c r="AA19" s="184">
        <v>2849.64</v>
      </c>
      <c r="AB19" s="182">
        <f>+AC19+AD19</f>
        <v>77103.62</v>
      </c>
      <c r="AC19" s="183">
        <v>74253.98</v>
      </c>
      <c r="AD19" s="184">
        <v>2849.64</v>
      </c>
      <c r="AE19" s="182">
        <f>+AF19+AG19</f>
        <v>77103.62</v>
      </c>
      <c r="AF19" s="183">
        <v>74253.98</v>
      </c>
      <c r="AG19" s="184">
        <v>2849.64</v>
      </c>
      <c r="AH19" s="182">
        <f t="shared" ref="AH19:AH22" si="2">+AI19+AJ19</f>
        <v>77103.62</v>
      </c>
      <c r="AI19" s="183">
        <v>74253.98</v>
      </c>
      <c r="AJ19" s="184">
        <v>2849.64</v>
      </c>
      <c r="AK19" s="182">
        <f t="shared" ref="AK19:AK22" si="3">+AL19+AM19</f>
        <v>140365.51999999999</v>
      </c>
      <c r="AL19" s="183">
        <v>128346.79</v>
      </c>
      <c r="AM19" s="184">
        <v>12018.73</v>
      </c>
      <c r="AN19" s="182">
        <f t="shared" ref="AN19:AN22" si="4">+AO19+AP19</f>
        <v>140365.51999999999</v>
      </c>
      <c r="AO19" s="183">
        <v>128346.79</v>
      </c>
      <c r="AP19" s="184">
        <v>12018.73</v>
      </c>
      <c r="AQ19" s="182">
        <f t="shared" ref="AQ19:AQ22" si="5">+AR19+AS19</f>
        <v>140365.51999999999</v>
      </c>
      <c r="AR19" s="183">
        <v>128346.79</v>
      </c>
      <c r="AS19" s="184">
        <v>12018.73</v>
      </c>
      <c r="AT19" s="182">
        <f t="shared" ref="AT19:AT22" si="6">+AU19+AV19</f>
        <v>140365.51999999999</v>
      </c>
      <c r="AU19" s="183">
        <v>128346.79</v>
      </c>
      <c r="AV19" s="184">
        <v>12018.73</v>
      </c>
      <c r="AW19" s="134">
        <f t="shared" ref="AW19:AW22" si="7">+(AT19+J19+(M19+P19+S19+V19+Y19+AB19+AE19+AH19+AK19+AN19+AQ19)*2)/24</f>
        <v>84379.247083333335</v>
      </c>
      <c r="AX19" s="134">
        <f t="shared" si="0"/>
        <v>79089.597916666666</v>
      </c>
      <c r="AY19" s="134">
        <f t="shared" si="0"/>
        <v>5289.649166666667</v>
      </c>
    </row>
    <row r="20" spans="1:56">
      <c r="A20" s="28">
        <v>12</v>
      </c>
      <c r="B20" s="176" t="s">
        <v>990</v>
      </c>
      <c r="C20" s="171" t="s">
        <v>754</v>
      </c>
      <c r="D20" s="171"/>
      <c r="E20" s="171" t="s">
        <v>981</v>
      </c>
      <c r="F20" s="171" t="s">
        <v>632</v>
      </c>
      <c r="G20" s="171" t="s">
        <v>991</v>
      </c>
      <c r="H20" s="171" t="s">
        <v>382</v>
      </c>
      <c r="I20" s="172" t="s">
        <v>382</v>
      </c>
      <c r="J20" s="186">
        <f t="shared" si="1"/>
        <v>0</v>
      </c>
      <c r="K20" s="187">
        <v>0.01</v>
      </c>
      <c r="L20" s="188">
        <v>-0.01</v>
      </c>
      <c r="M20" s="186">
        <f>+N20+O20</f>
        <v>0</v>
      </c>
      <c r="N20" s="187">
        <v>0.01</v>
      </c>
      <c r="O20" s="188">
        <v>-0.01</v>
      </c>
      <c r="P20" s="186">
        <v>0</v>
      </c>
      <c r="Q20" s="187">
        <v>0.01</v>
      </c>
      <c r="R20" s="188">
        <v>-0.01</v>
      </c>
      <c r="S20" s="186">
        <v>0</v>
      </c>
      <c r="T20" s="187">
        <v>0.01</v>
      </c>
      <c r="U20" s="188">
        <v>-0.01</v>
      </c>
      <c r="V20" s="186">
        <v>0</v>
      </c>
      <c r="W20" s="187">
        <v>0.01</v>
      </c>
      <c r="X20" s="188">
        <v>-0.01</v>
      </c>
      <c r="Y20" s="186">
        <v>0</v>
      </c>
      <c r="Z20" s="187">
        <v>0.01</v>
      </c>
      <c r="AA20" s="188">
        <v>-0.01</v>
      </c>
      <c r="AB20" s="186">
        <v>0</v>
      </c>
      <c r="AC20" s="187">
        <v>0.01</v>
      </c>
      <c r="AD20" s="188">
        <v>-0.01</v>
      </c>
      <c r="AE20" s="186">
        <v>0</v>
      </c>
      <c r="AF20" s="187">
        <v>0.01</v>
      </c>
      <c r="AG20" s="188">
        <v>-0.01</v>
      </c>
      <c r="AH20" s="186">
        <f t="shared" si="2"/>
        <v>0</v>
      </c>
      <c r="AI20" s="187">
        <v>0.01</v>
      </c>
      <c r="AJ20" s="188">
        <v>-0.01</v>
      </c>
      <c r="AK20" s="186">
        <f t="shared" si="3"/>
        <v>0</v>
      </c>
      <c r="AL20" s="187">
        <v>0.01</v>
      </c>
      <c r="AM20" s="188">
        <v>-0.01</v>
      </c>
      <c r="AN20" s="186">
        <f t="shared" si="4"/>
        <v>0</v>
      </c>
      <c r="AO20" s="187">
        <v>0.01</v>
      </c>
      <c r="AP20" s="188">
        <v>-0.01</v>
      </c>
      <c r="AQ20" s="186">
        <f t="shared" si="5"/>
        <v>0</v>
      </c>
      <c r="AR20" s="187">
        <v>0.01</v>
      </c>
      <c r="AS20" s="188">
        <v>-0.01</v>
      </c>
      <c r="AT20" s="186">
        <f t="shared" si="6"/>
        <v>0</v>
      </c>
      <c r="AU20" s="187">
        <v>0.01</v>
      </c>
      <c r="AV20" s="188">
        <v>-0.01</v>
      </c>
      <c r="AW20" s="134">
        <f t="shared" si="7"/>
        <v>0</v>
      </c>
      <c r="AX20" s="134">
        <f t="shared" si="0"/>
        <v>9.9999999999999985E-3</v>
      </c>
      <c r="AY20" s="134">
        <f t="shared" si="0"/>
        <v>-9.9999999999999985E-3</v>
      </c>
    </row>
    <row r="21" spans="1:56">
      <c r="A21" s="154">
        <v>13</v>
      </c>
      <c r="B21" s="176" t="s">
        <v>992</v>
      </c>
      <c r="C21" s="171" t="s">
        <v>754</v>
      </c>
      <c r="D21" s="171"/>
      <c r="E21" s="171" t="s">
        <v>981</v>
      </c>
      <c r="F21" s="171" t="s">
        <v>632</v>
      </c>
      <c r="G21" s="171" t="s">
        <v>993</v>
      </c>
      <c r="H21" s="171" t="s">
        <v>382</v>
      </c>
      <c r="I21" s="172" t="s">
        <v>382</v>
      </c>
      <c r="J21" s="186">
        <f t="shared" si="1"/>
        <v>-1014253.48</v>
      </c>
      <c r="K21" s="187">
        <v>-758934.52</v>
      </c>
      <c r="L21" s="188">
        <v>-255318.96</v>
      </c>
      <c r="M21" s="186">
        <f t="shared" ref="M21:M22" si="8">+N21+O21</f>
        <v>-1014253.48</v>
      </c>
      <c r="N21" s="187">
        <v>-762301.02</v>
      </c>
      <c r="O21" s="188">
        <v>-251952.46</v>
      </c>
      <c r="P21" s="186">
        <f>+Q21+R21</f>
        <v>-1014253.48</v>
      </c>
      <c r="Q21" s="187">
        <v>-762301.02</v>
      </c>
      <c r="R21" s="188">
        <v>-251952.46</v>
      </c>
      <c r="S21" s="186">
        <f>+T21+U21</f>
        <v>-998215.14</v>
      </c>
      <c r="T21" s="187">
        <v>-750245</v>
      </c>
      <c r="U21" s="188">
        <v>-247970.14</v>
      </c>
      <c r="V21" s="186">
        <f>+W21+X21</f>
        <v>-961008.70000000007</v>
      </c>
      <c r="W21" s="187">
        <v>-722276.92</v>
      </c>
      <c r="X21" s="188">
        <v>-238731.78</v>
      </c>
      <c r="Y21" s="186">
        <f>+Z21+AA21</f>
        <v>-961008.70000000007</v>
      </c>
      <c r="Z21" s="187">
        <v>-722276.92</v>
      </c>
      <c r="AA21" s="188">
        <v>-238731.78</v>
      </c>
      <c r="AB21" s="186">
        <f>+AC21+AD21</f>
        <v>-961008.70000000007</v>
      </c>
      <c r="AC21" s="187">
        <v>-722276.92</v>
      </c>
      <c r="AD21" s="188">
        <v>-238731.78</v>
      </c>
      <c r="AE21" s="186">
        <f>+AF21+AG21</f>
        <v>-961008.70000000007</v>
      </c>
      <c r="AF21" s="187">
        <v>-722276.92</v>
      </c>
      <c r="AG21" s="188">
        <v>-238731.78</v>
      </c>
      <c r="AH21" s="186">
        <f t="shared" si="2"/>
        <v>-961008.70000000007</v>
      </c>
      <c r="AI21" s="187">
        <v>-722276.92</v>
      </c>
      <c r="AJ21" s="188">
        <v>-238731.78</v>
      </c>
      <c r="AK21" s="186">
        <f t="shared" si="3"/>
        <v>-940392.64999999991</v>
      </c>
      <c r="AL21" s="187">
        <v>-706779.84</v>
      </c>
      <c r="AM21" s="188">
        <v>-233612.81</v>
      </c>
      <c r="AN21" s="186">
        <f t="shared" si="4"/>
        <v>-947948.91</v>
      </c>
      <c r="AO21" s="187">
        <v>-712459.88</v>
      </c>
      <c r="AP21" s="188">
        <v>-235489.03</v>
      </c>
      <c r="AQ21" s="186">
        <f t="shared" si="5"/>
        <v>-956826.3</v>
      </c>
      <c r="AR21" s="187">
        <v>-719133.01</v>
      </c>
      <c r="AS21" s="188">
        <v>-237693.29</v>
      </c>
      <c r="AT21" s="186">
        <f t="shared" si="6"/>
        <v>-985998.22</v>
      </c>
      <c r="AU21" s="187">
        <v>-741061.54</v>
      </c>
      <c r="AV21" s="188">
        <v>-244936.68</v>
      </c>
      <c r="AW21" s="134">
        <f t="shared" si="7"/>
        <v>-973088.27583333338</v>
      </c>
      <c r="AX21" s="134">
        <f t="shared" si="0"/>
        <v>-731216.86666666658</v>
      </c>
      <c r="AY21" s="134">
        <f t="shared" si="0"/>
        <v>-241871.40916666665</v>
      </c>
    </row>
    <row r="22" spans="1:56" ht="16.2" thickBot="1">
      <c r="A22" s="154">
        <v>14</v>
      </c>
      <c r="B22" s="176" t="s">
        <v>994</v>
      </c>
      <c r="C22" s="171" t="s">
        <v>754</v>
      </c>
      <c r="D22" s="171"/>
      <c r="E22" s="171" t="s">
        <v>981</v>
      </c>
      <c r="F22" s="171" t="s">
        <v>632</v>
      </c>
      <c r="G22" s="171" t="s">
        <v>995</v>
      </c>
      <c r="H22" s="171" t="s">
        <v>382</v>
      </c>
      <c r="I22" s="172" t="s">
        <v>382</v>
      </c>
      <c r="J22" s="186">
        <f t="shared" si="1"/>
        <v>0</v>
      </c>
      <c r="K22" s="187">
        <v>0</v>
      </c>
      <c r="L22" s="188">
        <v>0</v>
      </c>
      <c r="M22" s="186">
        <f t="shared" si="8"/>
        <v>0</v>
      </c>
      <c r="N22" s="187">
        <v>0</v>
      </c>
      <c r="O22" s="188">
        <v>0</v>
      </c>
      <c r="P22" s="186">
        <v>0</v>
      </c>
      <c r="Q22" s="187">
        <v>0</v>
      </c>
      <c r="R22" s="188">
        <v>0</v>
      </c>
      <c r="S22" s="186">
        <v>0</v>
      </c>
      <c r="T22" s="187">
        <v>0</v>
      </c>
      <c r="U22" s="188">
        <v>0</v>
      </c>
      <c r="V22" s="186">
        <v>0</v>
      </c>
      <c r="W22" s="187">
        <v>0</v>
      </c>
      <c r="X22" s="188">
        <v>0</v>
      </c>
      <c r="Y22" s="186">
        <v>0</v>
      </c>
      <c r="Z22" s="187">
        <v>0</v>
      </c>
      <c r="AA22" s="188">
        <v>0</v>
      </c>
      <c r="AB22" s="186">
        <v>0</v>
      </c>
      <c r="AC22" s="187">
        <v>0</v>
      </c>
      <c r="AD22" s="188">
        <v>0</v>
      </c>
      <c r="AE22" s="186">
        <v>0</v>
      </c>
      <c r="AF22" s="187">
        <v>0</v>
      </c>
      <c r="AG22" s="188">
        <v>0</v>
      </c>
      <c r="AH22" s="186">
        <f t="shared" si="2"/>
        <v>0</v>
      </c>
      <c r="AI22" s="187">
        <v>0</v>
      </c>
      <c r="AJ22" s="188">
        <v>0</v>
      </c>
      <c r="AK22" s="186">
        <f t="shared" si="3"/>
        <v>0</v>
      </c>
      <c r="AL22" s="187">
        <v>0</v>
      </c>
      <c r="AM22" s="188">
        <v>0</v>
      </c>
      <c r="AN22" s="186">
        <f t="shared" si="4"/>
        <v>0</v>
      </c>
      <c r="AO22" s="187">
        <v>0</v>
      </c>
      <c r="AP22" s="188">
        <v>0</v>
      </c>
      <c r="AQ22" s="186">
        <f t="shared" si="5"/>
        <v>0</v>
      </c>
      <c r="AR22" s="187">
        <v>0</v>
      </c>
      <c r="AS22" s="188">
        <v>0</v>
      </c>
      <c r="AT22" s="186">
        <f t="shared" si="6"/>
        <v>0</v>
      </c>
      <c r="AU22" s="187">
        <v>0</v>
      </c>
      <c r="AV22" s="188">
        <v>0</v>
      </c>
      <c r="AW22" s="189">
        <f t="shared" si="7"/>
        <v>0</v>
      </c>
      <c r="AX22" s="189">
        <f t="shared" si="0"/>
        <v>0</v>
      </c>
      <c r="AY22" s="189">
        <f t="shared" si="0"/>
        <v>0</v>
      </c>
    </row>
    <row r="23" spans="1:56" ht="16.2" thickBot="1">
      <c r="A23" s="154">
        <v>15</v>
      </c>
      <c r="B23" s="176"/>
      <c r="C23" s="171"/>
      <c r="D23" s="171"/>
      <c r="E23" s="171"/>
      <c r="F23" s="171"/>
      <c r="G23" s="171"/>
      <c r="H23" s="171"/>
      <c r="I23" s="172"/>
      <c r="J23" s="190">
        <f>SUM(J18:J22)</f>
        <v>-4315900.8699999992</v>
      </c>
      <c r="K23" s="191">
        <f>SUM(K17:K22)</f>
        <v>-3905382.89</v>
      </c>
      <c r="L23" s="192">
        <f>SUM(L18:L22)</f>
        <v>-410517.98</v>
      </c>
      <c r="M23" s="190">
        <f>SUM(M17:M22)</f>
        <v>-4317002.2799999993</v>
      </c>
      <c r="N23" s="191">
        <f>SUM(N17:N22)</f>
        <v>-3908749.39</v>
      </c>
      <c r="O23" s="192">
        <f>SUM(O18:O22)</f>
        <v>-408252.89</v>
      </c>
      <c r="P23" s="190">
        <f>SUM(P17:P22)</f>
        <v>-4325437.04</v>
      </c>
      <c r="Q23" s="191">
        <f>SUM(Q17:Q22)</f>
        <v>-3908749.39</v>
      </c>
      <c r="R23" s="192">
        <f>SUM(R18:R22)</f>
        <v>-416687.65</v>
      </c>
      <c r="S23" s="190">
        <f>SUM(S17:S22)</f>
        <v>-4258290.5599999996</v>
      </c>
      <c r="T23" s="191">
        <f>SUM(T17:T22)</f>
        <v>-3822439.39</v>
      </c>
      <c r="U23" s="192">
        <f>SUM(U18:U22)</f>
        <v>-435851.17000000004</v>
      </c>
      <c r="V23" s="190">
        <f>SUM(V17:V22)</f>
        <v>-4217062.6399999997</v>
      </c>
      <c r="W23" s="191">
        <f>SUM(W17:W22)</f>
        <v>-3790858.83</v>
      </c>
      <c r="X23" s="192">
        <f>SUM(X18:X22)</f>
        <v>-426203.81</v>
      </c>
      <c r="Y23" s="190">
        <f>SUM(Y17:Y22)</f>
        <v>-4222721.0199999996</v>
      </c>
      <c r="Z23" s="191">
        <f>SUM(Z17:Z22)</f>
        <v>-3790462.56</v>
      </c>
      <c r="AA23" s="192">
        <f>SUM(AA18:AA22)</f>
        <v>-432258.45999999996</v>
      </c>
      <c r="AB23" s="190">
        <f>SUM(AB17:AB22)</f>
        <v>-4222721.0199999996</v>
      </c>
      <c r="AC23" s="191">
        <f>SUM(AC17:AC22)</f>
        <v>-3790462.56</v>
      </c>
      <c r="AD23" s="192">
        <f>SUM(AD18:AD22)</f>
        <v>-432258.45999999996</v>
      </c>
      <c r="AE23" s="190">
        <f>SUM(AE17:AE22)</f>
        <v>-4219918.54</v>
      </c>
      <c r="AF23" s="191">
        <f>SUM(AF17:AF22)</f>
        <v>-3790462.56</v>
      </c>
      <c r="AG23" s="192">
        <f>SUM(AG18:AG22)</f>
        <v>-429455.98</v>
      </c>
      <c r="AH23" s="190">
        <f>SUM(AH17:AH22)</f>
        <v>-4223767.62</v>
      </c>
      <c r="AI23" s="191">
        <f>SUM(AI17:AI22)</f>
        <v>-3790462.56</v>
      </c>
      <c r="AJ23" s="192">
        <f>SUM(AJ18:AJ22)</f>
        <v>-433305.06</v>
      </c>
      <c r="AK23" s="190">
        <f>SUM(AK17:AK22)</f>
        <v>-4140285.94</v>
      </c>
      <c r="AL23" s="191">
        <f>SUM(AL17:AL22)</f>
        <v>-3721268.94</v>
      </c>
      <c r="AM23" s="192">
        <f>SUM(AM18:AM22)</f>
        <v>-419017</v>
      </c>
      <c r="AN23" s="190">
        <f>SUM(AN17:AN22)</f>
        <v>-4151257.11</v>
      </c>
      <c r="AO23" s="191">
        <f>SUM(AO17:AO22)</f>
        <v>-3726948.98</v>
      </c>
      <c r="AP23" s="192">
        <f>SUM(AP18:AP22)</f>
        <v>-424308.13</v>
      </c>
      <c r="AQ23" s="190">
        <f>SUM(AQ17:AQ22)</f>
        <v>-4166415.3899999997</v>
      </c>
      <c r="AR23" s="191">
        <f>SUM(AR17:AR22)</f>
        <v>-3733622.1100000003</v>
      </c>
      <c r="AS23" s="192">
        <f>SUM(AS18:AS22)</f>
        <v>-432793.28</v>
      </c>
      <c r="AT23" s="190">
        <f>SUM(AT17:AT22)</f>
        <v>-4195587.3099999996</v>
      </c>
      <c r="AU23" s="191">
        <f>SUM(AU17:AU22)</f>
        <v>-3755550.64</v>
      </c>
      <c r="AV23" s="192">
        <f>SUM(AV18:AV22)</f>
        <v>-440036.67</v>
      </c>
      <c r="AW23" s="193">
        <f>SUM(AW18:AW22)</f>
        <v>-4226718.604166666</v>
      </c>
      <c r="AX23" s="752">
        <f t="shared" ref="AX23:AY23" si="9">SUM(AX18:AX22)</f>
        <v>-3800412.8362500002</v>
      </c>
      <c r="AY23" s="194">
        <f t="shared" si="9"/>
        <v>-426305.76791666669</v>
      </c>
    </row>
    <row r="24" spans="1:56" ht="16.2" thickTop="1">
      <c r="A24" s="154">
        <v>16</v>
      </c>
      <c r="B24" s="176"/>
      <c r="C24" s="171"/>
      <c r="D24" s="171"/>
      <c r="E24" s="171"/>
      <c r="F24" s="171"/>
      <c r="G24" s="171"/>
      <c r="H24" s="171"/>
      <c r="I24" s="172"/>
      <c r="J24" s="182"/>
      <c r="K24" s="183"/>
      <c r="L24" s="184">
        <v>8.7311491370201111E-10</v>
      </c>
      <c r="M24" s="182"/>
      <c r="N24" s="183"/>
      <c r="O24" s="184">
        <v>5.8207660913467407E-10</v>
      </c>
      <c r="P24" s="182"/>
      <c r="Q24" s="183"/>
      <c r="R24" s="184">
        <v>6.9849193096160889E-10</v>
      </c>
      <c r="S24" s="182"/>
      <c r="T24" s="183"/>
      <c r="U24" s="184">
        <v>0</v>
      </c>
      <c r="V24" s="182"/>
      <c r="W24" s="183"/>
      <c r="X24" s="184">
        <v>0</v>
      </c>
      <c r="Y24" s="182"/>
      <c r="Z24" s="183"/>
      <c r="AA24" s="184">
        <v>0</v>
      </c>
      <c r="AB24" s="182"/>
      <c r="AC24" s="183"/>
      <c r="AD24" s="184">
        <v>0</v>
      </c>
      <c r="AE24" s="182"/>
      <c r="AF24" s="183"/>
      <c r="AG24" s="184">
        <v>0</v>
      </c>
      <c r="AH24" s="182"/>
      <c r="AI24" s="183"/>
      <c r="AJ24" s="184">
        <v>0</v>
      </c>
      <c r="AK24" s="182"/>
      <c r="AL24" s="183"/>
      <c r="AM24" s="184">
        <v>4.6566128730773926E-10</v>
      </c>
      <c r="AN24" s="182"/>
      <c r="AO24" s="183"/>
      <c r="AP24" s="184">
        <v>4.6566128730773926E-10</v>
      </c>
      <c r="AQ24" s="182"/>
      <c r="AR24" s="183"/>
      <c r="AS24" s="184">
        <v>6.4028427004814148E-10</v>
      </c>
      <c r="AT24" s="182"/>
      <c r="AU24" s="183"/>
      <c r="AV24" s="184">
        <v>0</v>
      </c>
      <c r="AW24" s="195"/>
      <c r="AX24" s="886" t="s">
        <v>2031</v>
      </c>
      <c r="AY24" s="886"/>
      <c r="AZ24" s="886"/>
      <c r="BA24" s="886"/>
      <c r="BB24" s="886"/>
      <c r="BC24" s="886"/>
      <c r="BD24" s="886"/>
    </row>
    <row r="25" spans="1:56" ht="16.2">
      <c r="A25" s="154">
        <v>17</v>
      </c>
      <c r="B25" s="893" t="s">
        <v>996</v>
      </c>
      <c r="C25" s="894"/>
      <c r="D25" s="894"/>
      <c r="E25" s="894"/>
      <c r="F25" s="894"/>
      <c r="G25" s="894"/>
      <c r="H25" s="894"/>
      <c r="I25" s="895"/>
      <c r="J25" s="196"/>
      <c r="K25" s="197"/>
      <c r="L25" s="198"/>
      <c r="M25" s="196"/>
      <c r="N25" s="197"/>
      <c r="O25" s="198"/>
      <c r="P25" s="196"/>
      <c r="Q25" s="197"/>
      <c r="R25" s="198"/>
      <c r="S25" s="196"/>
      <c r="T25" s="197"/>
      <c r="U25" s="198"/>
      <c r="V25" s="196"/>
      <c r="W25" s="197"/>
      <c r="X25" s="198"/>
      <c r="Y25" s="196"/>
      <c r="Z25" s="197"/>
      <c r="AA25" s="198"/>
      <c r="AB25" s="196"/>
      <c r="AC25" s="197"/>
      <c r="AD25" s="198"/>
      <c r="AE25" s="196"/>
      <c r="AF25" s="197"/>
      <c r="AG25" s="198"/>
      <c r="AH25" s="196"/>
      <c r="AI25" s="197"/>
      <c r="AJ25" s="198"/>
      <c r="AK25" s="196"/>
      <c r="AL25" s="197"/>
      <c r="AM25" s="198"/>
      <c r="AN25" s="196"/>
      <c r="AO25" s="197"/>
      <c r="AP25" s="198"/>
      <c r="AQ25" s="196"/>
      <c r="AR25" s="197"/>
      <c r="AS25" s="198"/>
      <c r="AT25" s="196"/>
      <c r="AU25" s="197"/>
      <c r="AV25" s="198"/>
      <c r="AX25" s="886"/>
      <c r="AY25" s="886"/>
      <c r="AZ25" s="886"/>
      <c r="BA25" s="886"/>
      <c r="BB25" s="886"/>
      <c r="BC25" s="886"/>
      <c r="BD25" s="886"/>
    </row>
    <row r="26" spans="1:56">
      <c r="A26" s="154">
        <v>18</v>
      </c>
      <c r="B26" s="199" t="s">
        <v>997</v>
      </c>
      <c r="C26" s="171" t="s">
        <v>754</v>
      </c>
      <c r="D26" s="171"/>
      <c r="E26" s="171" t="s">
        <v>981</v>
      </c>
      <c r="F26" s="200" t="s">
        <v>641</v>
      </c>
      <c r="G26" s="200" t="s">
        <v>998</v>
      </c>
      <c r="H26" s="200" t="s">
        <v>382</v>
      </c>
      <c r="I26" s="201" t="s">
        <v>382</v>
      </c>
      <c r="J26" s="202">
        <f>+K26+L26</f>
        <v>-99638867.390000001</v>
      </c>
      <c r="K26" s="707">
        <v>-76751819.560000002</v>
      </c>
      <c r="L26" s="203">
        <v>-22887047.829999998</v>
      </c>
      <c r="M26" s="202">
        <f>+N26+O26</f>
        <v>-99562756.319999993</v>
      </c>
      <c r="N26" s="707">
        <v>-75209706.129999995</v>
      </c>
      <c r="O26" s="203">
        <v>-24353050.190000001</v>
      </c>
      <c r="P26" s="202">
        <f>+Q26+R26</f>
        <v>-99486645.239999995</v>
      </c>
      <c r="Q26" s="707">
        <v>-75152211.819999993</v>
      </c>
      <c r="R26" s="203">
        <v>-24334433.420000002</v>
      </c>
      <c r="S26" s="202">
        <f>+T26+U26</f>
        <v>-99410534.159999996</v>
      </c>
      <c r="T26" s="707">
        <v>-75094717.510000005</v>
      </c>
      <c r="U26" s="203">
        <v>-24315816.649999999</v>
      </c>
      <c r="V26" s="202">
        <f>+W26+X26</f>
        <v>-99334423.089999989</v>
      </c>
      <c r="W26" s="707">
        <v>-75037223.209999993</v>
      </c>
      <c r="X26" s="203">
        <v>-24297199.879999999</v>
      </c>
      <c r="Y26" s="202">
        <v>-1.4901161193847699E-8</v>
      </c>
      <c r="Z26" s="707">
        <v>-9.9999904632568394E-3</v>
      </c>
      <c r="AA26" s="203">
        <v>1.00000016391277E-2</v>
      </c>
      <c r="AB26" s="202">
        <v>-1.4901161193847699E-8</v>
      </c>
      <c r="AC26" s="707">
        <v>-9.9999904632568394E-3</v>
      </c>
      <c r="AD26" s="203">
        <v>1.00000016391277E-2</v>
      </c>
      <c r="AE26" s="202">
        <v>-1.4901161193847699E-8</v>
      </c>
      <c r="AF26" s="707">
        <v>-9.9999904632568394E-3</v>
      </c>
      <c r="AG26" s="203">
        <v>1.00000016391277E-2</v>
      </c>
      <c r="AH26" s="202">
        <v>-1.4901161193847699E-8</v>
      </c>
      <c r="AI26" s="707">
        <v>-9.9999904632568394E-3</v>
      </c>
      <c r="AJ26" s="203">
        <v>1.00000016391277E-2</v>
      </c>
      <c r="AK26" s="202">
        <v>-1.4901161193847699E-8</v>
      </c>
      <c r="AL26" s="707">
        <v>-9.9999904632568394E-3</v>
      </c>
      <c r="AM26" s="203">
        <v>1.00000016391277E-2</v>
      </c>
      <c r="AN26" s="202">
        <v>-1.4901161193847699E-8</v>
      </c>
      <c r="AO26" s="707">
        <v>-9.9999904632568394E-3</v>
      </c>
      <c r="AP26" s="203">
        <v>1.00000016391277E-2</v>
      </c>
      <c r="AQ26" s="202">
        <v>-1.4901161193847699E-8</v>
      </c>
      <c r="AR26" s="707">
        <v>-9.9999904632568394E-3</v>
      </c>
      <c r="AS26" s="203">
        <v>1.00000016391277E-2</v>
      </c>
      <c r="AT26" s="202">
        <v>-1.4901161193847699E-8</v>
      </c>
      <c r="AU26" s="707">
        <v>-9.9999904632568394E-3</v>
      </c>
      <c r="AV26" s="203">
        <v>1.00000016391277E-2</v>
      </c>
      <c r="AW26" s="134">
        <f t="shared" ref="AW26:AW42" si="10">+(AT26+J26+(M26+P26+S26+V26+Y26+AB26+AE26+AH26+AK26+AN26+AQ26)*2)/24</f>
        <v>-37301149.375416666</v>
      </c>
      <c r="AX26" s="134">
        <f t="shared" ref="AX26:AX42" si="11">+(AU26+K26+(N26+Q26+T26+W26+Z26+AC26+AF26+AI26+AL26+AO26+AR26)*2)/24</f>
        <v>-28239147.37708332</v>
      </c>
      <c r="AY26" s="134">
        <f t="shared" ref="AY26:AY42" si="12">+(AV26+L26+(O26+R26+U26+X26+AA26+AD26+AG26+AJ26+AM26+AP26+AS26)*2)/24</f>
        <v>-9062001.9983333293</v>
      </c>
    </row>
    <row r="27" spans="1:56">
      <c r="A27" s="154">
        <v>19</v>
      </c>
      <c r="B27" s="199" t="s">
        <v>997</v>
      </c>
      <c r="C27" s="171" t="s">
        <v>754</v>
      </c>
      <c r="D27" s="171"/>
      <c r="E27" s="171" t="s">
        <v>1009</v>
      </c>
      <c r="F27" s="200" t="s">
        <v>641</v>
      </c>
      <c r="G27" s="200" t="s">
        <v>998</v>
      </c>
      <c r="H27" s="200" t="s">
        <v>382</v>
      </c>
      <c r="I27" s="201" t="s">
        <v>382</v>
      </c>
      <c r="J27" s="202">
        <f t="shared" ref="J27:J34" si="13">+K27+L27</f>
        <v>0</v>
      </c>
      <c r="K27" s="707">
        <v>0</v>
      </c>
      <c r="L27" s="203">
        <v>0</v>
      </c>
      <c r="M27" s="202">
        <f t="shared" ref="M27:M34" si="14">+N27+O27</f>
        <v>0</v>
      </c>
      <c r="N27" s="707">
        <v>0</v>
      </c>
      <c r="O27" s="203">
        <v>0</v>
      </c>
      <c r="P27" s="202">
        <f t="shared" ref="P27:P34" si="15">+Q27+R27</f>
        <v>0</v>
      </c>
      <c r="Q27" s="707">
        <v>0</v>
      </c>
      <c r="R27" s="203">
        <v>0</v>
      </c>
      <c r="S27" s="202">
        <f t="shared" ref="S27:S34" si="16">+T27+U27</f>
        <v>0</v>
      </c>
      <c r="T27" s="707">
        <v>0</v>
      </c>
      <c r="U27" s="203">
        <v>0</v>
      </c>
      <c r="V27" s="202">
        <f t="shared" ref="V27:V34" si="17">+W27+X27</f>
        <v>0</v>
      </c>
      <c r="W27" s="707">
        <v>0</v>
      </c>
      <c r="X27" s="203">
        <v>0</v>
      </c>
      <c r="Y27" s="202">
        <f>+Z27+AA27</f>
        <v>-22343046.039999999</v>
      </c>
      <c r="Z27" s="707">
        <v>0</v>
      </c>
      <c r="AA27" s="203">
        <v>-22343046.039999999</v>
      </c>
      <c r="AB27" s="202">
        <f>+AC27+AD27</f>
        <v>-22325913.43</v>
      </c>
      <c r="AC27" s="707">
        <v>0</v>
      </c>
      <c r="AD27" s="203">
        <v>-22325913.43</v>
      </c>
      <c r="AE27" s="202">
        <f>+AF27+AG27</f>
        <v>-22308780.829999998</v>
      </c>
      <c r="AF27" s="707">
        <v>0</v>
      </c>
      <c r="AG27" s="203">
        <v>-22308780.829999998</v>
      </c>
      <c r="AH27" s="202">
        <f>+AI27+AJ27</f>
        <v>-22291648.23</v>
      </c>
      <c r="AI27" s="707">
        <v>0</v>
      </c>
      <c r="AJ27" s="203">
        <v>-22291648.23</v>
      </c>
      <c r="AK27" s="202">
        <f>+AL27+AM27</f>
        <v>-22274515.629999999</v>
      </c>
      <c r="AL27" s="707">
        <v>0</v>
      </c>
      <c r="AM27" s="203">
        <v>-22274515.629999999</v>
      </c>
      <c r="AN27" s="202">
        <f>+AO27+AP27</f>
        <v>-22257383.030000001</v>
      </c>
      <c r="AO27" s="707">
        <v>0</v>
      </c>
      <c r="AP27" s="203">
        <v>-22257383.030000001</v>
      </c>
      <c r="AQ27" s="202">
        <f>+AR27+AS27</f>
        <v>-22454623.309999999</v>
      </c>
      <c r="AR27" s="707">
        <v>0</v>
      </c>
      <c r="AS27" s="203">
        <v>-22454623.309999999</v>
      </c>
      <c r="AT27" s="202">
        <f>+AU27+AV27</f>
        <v>-22776131.02</v>
      </c>
      <c r="AU27" s="707">
        <v>0</v>
      </c>
      <c r="AV27" s="203">
        <v>-22776131.02</v>
      </c>
      <c r="AW27" s="134">
        <f t="shared" si="10"/>
        <v>-13970331.334166666</v>
      </c>
      <c r="AX27" s="134">
        <f t="shared" si="11"/>
        <v>0</v>
      </c>
      <c r="AY27" s="134">
        <f t="shared" si="12"/>
        <v>-13970331.334166666</v>
      </c>
    </row>
    <row r="28" spans="1:56">
      <c r="A28" s="154">
        <v>20</v>
      </c>
      <c r="B28" s="199" t="s">
        <v>997</v>
      </c>
      <c r="C28" s="171" t="s">
        <v>754</v>
      </c>
      <c r="D28" s="171"/>
      <c r="E28" s="171" t="s">
        <v>984</v>
      </c>
      <c r="F28" s="200" t="s">
        <v>641</v>
      </c>
      <c r="G28" s="200" t="s">
        <v>998</v>
      </c>
      <c r="H28" s="200" t="s">
        <v>382</v>
      </c>
      <c r="I28" s="201" t="s">
        <v>382</v>
      </c>
      <c r="J28" s="202">
        <f t="shared" si="13"/>
        <v>0</v>
      </c>
      <c r="K28" s="707">
        <v>0</v>
      </c>
      <c r="L28" s="203">
        <v>0</v>
      </c>
      <c r="M28" s="202">
        <f t="shared" si="14"/>
        <v>0</v>
      </c>
      <c r="N28" s="707">
        <v>0</v>
      </c>
      <c r="O28" s="203">
        <v>0</v>
      </c>
      <c r="P28" s="202">
        <f t="shared" si="15"/>
        <v>0</v>
      </c>
      <c r="Q28" s="707">
        <v>0</v>
      </c>
      <c r="R28" s="203">
        <v>0</v>
      </c>
      <c r="S28" s="202">
        <f t="shared" si="16"/>
        <v>0</v>
      </c>
      <c r="T28" s="707">
        <v>0</v>
      </c>
      <c r="U28" s="203">
        <v>0</v>
      </c>
      <c r="V28" s="202">
        <f t="shared" si="17"/>
        <v>0</v>
      </c>
      <c r="W28" s="707">
        <v>0</v>
      </c>
      <c r="X28" s="203">
        <v>0</v>
      </c>
      <c r="Y28" s="202">
        <f t="shared" ref="Y28:Y34" si="18">+Z28+AA28</f>
        <v>-76915265.980000004</v>
      </c>
      <c r="Z28" s="707">
        <v>-76915265.980000004</v>
      </c>
      <c r="AA28" s="203">
        <v>0</v>
      </c>
      <c r="AB28" s="202">
        <f t="shared" ref="AB28:AB34" si="19">+AC28+AD28</f>
        <v>-76856287.510000005</v>
      </c>
      <c r="AC28" s="707">
        <v>-76856287.510000005</v>
      </c>
      <c r="AD28" s="203">
        <v>0</v>
      </c>
      <c r="AE28" s="202">
        <f t="shared" ref="AE28:AE34" si="20">+AF28+AG28</f>
        <v>-76797309.040000007</v>
      </c>
      <c r="AF28" s="707">
        <v>-76797309.040000007</v>
      </c>
      <c r="AG28" s="203">
        <v>0</v>
      </c>
      <c r="AH28" s="202">
        <f t="shared" ref="AH28:AH34" si="21">+AI28+AJ28</f>
        <v>-76738330.569999993</v>
      </c>
      <c r="AI28" s="707">
        <v>-76738330.569999993</v>
      </c>
      <c r="AJ28" s="203">
        <v>0</v>
      </c>
      <c r="AK28" s="202">
        <f t="shared" ref="AK28:AK34" si="22">+AL28+AM28</f>
        <v>-76679352.090000004</v>
      </c>
      <c r="AL28" s="707">
        <v>-76679352.090000004</v>
      </c>
      <c r="AM28" s="203">
        <v>0</v>
      </c>
      <c r="AN28" s="202">
        <f t="shared" ref="AN28:AN34" si="23">+AO28+AP28</f>
        <v>-76620373.620000005</v>
      </c>
      <c r="AO28" s="707">
        <v>-76620373.620000005</v>
      </c>
      <c r="AP28" s="203">
        <v>0</v>
      </c>
      <c r="AQ28" s="202">
        <f t="shared" ref="AQ28:AQ34" si="24">+AR28+AS28</f>
        <v>-77299367.390000001</v>
      </c>
      <c r="AR28" s="707">
        <v>-77299367.390000001</v>
      </c>
      <c r="AS28" s="203">
        <v>0</v>
      </c>
      <c r="AT28" s="202">
        <f t="shared" ref="AT28:AT34" si="25">+AU28+AV28</f>
        <v>-78406148.049999997</v>
      </c>
      <c r="AU28" s="707">
        <v>-78406148.049999997</v>
      </c>
      <c r="AV28" s="203">
        <v>0</v>
      </c>
      <c r="AW28" s="134">
        <f t="shared" si="10"/>
        <v>-48092446.685416669</v>
      </c>
      <c r="AX28" s="134">
        <f t="shared" si="11"/>
        <v>-48092446.685416669</v>
      </c>
      <c r="AY28" s="134">
        <f t="shared" si="12"/>
        <v>0</v>
      </c>
    </row>
    <row r="29" spans="1:56">
      <c r="A29" s="154">
        <v>21</v>
      </c>
      <c r="B29" s="199" t="s">
        <v>999</v>
      </c>
      <c r="C29" s="171" t="s">
        <v>754</v>
      </c>
      <c r="D29" s="171"/>
      <c r="E29" s="171" t="s">
        <v>981</v>
      </c>
      <c r="F29" s="200" t="s">
        <v>642</v>
      </c>
      <c r="G29" s="200" t="s">
        <v>1000</v>
      </c>
      <c r="H29" s="200" t="s">
        <v>382</v>
      </c>
      <c r="I29" s="201" t="s">
        <v>382</v>
      </c>
      <c r="J29" s="202">
        <f t="shared" si="13"/>
        <v>-153482.01</v>
      </c>
      <c r="K29" s="707">
        <v>-118227.19</v>
      </c>
      <c r="L29" s="203">
        <v>-35254.82</v>
      </c>
      <c r="M29" s="202">
        <f t="shared" si="14"/>
        <v>-152777.97</v>
      </c>
      <c r="N29" s="707">
        <v>-115408.48</v>
      </c>
      <c r="O29" s="203">
        <v>-37369.49</v>
      </c>
      <c r="P29" s="202">
        <f t="shared" si="15"/>
        <v>-152073.93</v>
      </c>
      <c r="Q29" s="707">
        <v>-114876.65</v>
      </c>
      <c r="R29" s="203">
        <v>-37197.279999999999</v>
      </c>
      <c r="S29" s="202">
        <f t="shared" si="16"/>
        <v>-151369.9</v>
      </c>
      <c r="T29" s="707">
        <v>-114344.83</v>
      </c>
      <c r="U29" s="203">
        <v>-37025.07</v>
      </c>
      <c r="V29" s="202">
        <f t="shared" si="17"/>
        <v>-150665.85999999999</v>
      </c>
      <c r="W29" s="707">
        <v>-113813</v>
      </c>
      <c r="X29" s="203">
        <v>-36852.86</v>
      </c>
      <c r="Y29" s="202">
        <f t="shared" si="18"/>
        <v>2.1827898863402417E-11</v>
      </c>
      <c r="Z29" s="707">
        <v>-9.9999999802094005E-3</v>
      </c>
      <c r="AA29" s="203">
        <v>1.0000000002037299E-2</v>
      </c>
      <c r="AB29" s="202">
        <f t="shared" si="19"/>
        <v>2.1827898863402417E-11</v>
      </c>
      <c r="AC29" s="707">
        <v>-9.9999999802094005E-3</v>
      </c>
      <c r="AD29" s="203">
        <v>1.0000000002037299E-2</v>
      </c>
      <c r="AE29" s="202">
        <f t="shared" si="20"/>
        <v>2.1827898863402417E-11</v>
      </c>
      <c r="AF29" s="707">
        <v>-9.9999999802094005E-3</v>
      </c>
      <c r="AG29" s="203">
        <v>1.0000000002037299E-2</v>
      </c>
      <c r="AH29" s="202">
        <f t="shared" si="21"/>
        <v>2.1827898863402417E-11</v>
      </c>
      <c r="AI29" s="707">
        <v>-9.9999999802094005E-3</v>
      </c>
      <c r="AJ29" s="203">
        <v>1.0000000002037299E-2</v>
      </c>
      <c r="AK29" s="202">
        <f t="shared" si="22"/>
        <v>2.1827898863402417E-11</v>
      </c>
      <c r="AL29" s="707">
        <v>-9.9999999802094005E-3</v>
      </c>
      <c r="AM29" s="203">
        <v>1.0000000002037299E-2</v>
      </c>
      <c r="AN29" s="202">
        <f t="shared" si="23"/>
        <v>2.1827898863402417E-11</v>
      </c>
      <c r="AO29" s="707">
        <v>-9.9999999802094005E-3</v>
      </c>
      <c r="AP29" s="203">
        <v>1.0000000002037299E-2</v>
      </c>
      <c r="AQ29" s="202">
        <f t="shared" si="24"/>
        <v>2.1827898863402417E-11</v>
      </c>
      <c r="AR29" s="707">
        <v>-9.9999999802094005E-3</v>
      </c>
      <c r="AS29" s="203">
        <v>1.0000000002037299E-2</v>
      </c>
      <c r="AT29" s="202">
        <f t="shared" si="25"/>
        <v>2.1827898863402417E-11</v>
      </c>
      <c r="AU29" s="707">
        <v>-9.9999999802094005E-3</v>
      </c>
      <c r="AV29" s="203">
        <v>1.0000000002037299E-2</v>
      </c>
      <c r="AW29" s="402">
        <f t="shared" si="10"/>
        <v>-56969.05541666667</v>
      </c>
      <c r="AX29" s="403">
        <f t="shared" si="11"/>
        <v>-43129.719166666669</v>
      </c>
      <c r="AY29" s="403">
        <f t="shared" si="12"/>
        <v>-13839.336249999995</v>
      </c>
    </row>
    <row r="30" spans="1:56">
      <c r="A30" s="154">
        <v>22</v>
      </c>
      <c r="B30" s="199" t="s">
        <v>999</v>
      </c>
      <c r="C30" s="171" t="s">
        <v>754</v>
      </c>
      <c r="D30" s="171"/>
      <c r="E30" s="171" t="s">
        <v>1009</v>
      </c>
      <c r="F30" s="200" t="s">
        <v>642</v>
      </c>
      <c r="G30" s="200" t="s">
        <v>1000</v>
      </c>
      <c r="H30" s="200" t="s">
        <v>382</v>
      </c>
      <c r="I30" s="201" t="s">
        <v>382</v>
      </c>
      <c r="J30" s="202">
        <f t="shared" si="13"/>
        <v>0</v>
      </c>
      <c r="K30" s="707">
        <v>0</v>
      </c>
      <c r="L30" s="203">
        <v>0</v>
      </c>
      <c r="M30" s="202">
        <f t="shared" si="14"/>
        <v>0</v>
      </c>
      <c r="N30" s="707">
        <v>0</v>
      </c>
      <c r="O30" s="203">
        <v>0</v>
      </c>
      <c r="P30" s="202">
        <f t="shared" si="15"/>
        <v>0</v>
      </c>
      <c r="Q30" s="707">
        <v>0</v>
      </c>
      <c r="R30" s="203">
        <v>0</v>
      </c>
      <c r="S30" s="202">
        <f t="shared" si="16"/>
        <v>0</v>
      </c>
      <c r="T30" s="707">
        <v>0</v>
      </c>
      <c r="U30" s="203">
        <v>0</v>
      </c>
      <c r="V30" s="202">
        <f t="shared" si="17"/>
        <v>0</v>
      </c>
      <c r="W30" s="707">
        <v>0</v>
      </c>
      <c r="X30" s="203">
        <v>0</v>
      </c>
      <c r="Y30" s="202">
        <f t="shared" si="18"/>
        <v>-36680.65</v>
      </c>
      <c r="Z30" s="707">
        <v>0</v>
      </c>
      <c r="AA30" s="203">
        <v>-36680.65</v>
      </c>
      <c r="AB30" s="202">
        <f t="shared" si="19"/>
        <v>-36508.44</v>
      </c>
      <c r="AC30" s="707">
        <v>0</v>
      </c>
      <c r="AD30" s="203">
        <v>-36508.44</v>
      </c>
      <c r="AE30" s="202">
        <f t="shared" si="20"/>
        <v>-36336.230000000003</v>
      </c>
      <c r="AF30" s="707">
        <v>0</v>
      </c>
      <c r="AG30" s="203">
        <v>-36336.230000000003</v>
      </c>
      <c r="AH30" s="202">
        <f t="shared" si="21"/>
        <v>-36164.019999999997</v>
      </c>
      <c r="AI30" s="707">
        <v>0</v>
      </c>
      <c r="AJ30" s="203">
        <v>-36164.019999999997</v>
      </c>
      <c r="AK30" s="202">
        <f t="shared" si="22"/>
        <v>-35991.82</v>
      </c>
      <c r="AL30" s="707">
        <v>0</v>
      </c>
      <c r="AM30" s="203">
        <v>-35991.82</v>
      </c>
      <c r="AN30" s="202">
        <f t="shared" si="23"/>
        <v>-35819.61</v>
      </c>
      <c r="AO30" s="707">
        <v>0</v>
      </c>
      <c r="AP30" s="203">
        <v>-35819.61</v>
      </c>
      <c r="AQ30" s="202">
        <f t="shared" si="24"/>
        <v>-35647.4</v>
      </c>
      <c r="AR30" s="707">
        <v>0</v>
      </c>
      <c r="AS30" s="203">
        <v>-35647.4</v>
      </c>
      <c r="AT30" s="202">
        <f t="shared" si="25"/>
        <v>-35475.199999999997</v>
      </c>
      <c r="AU30" s="707">
        <v>0</v>
      </c>
      <c r="AV30" s="203">
        <v>-35475.199999999997</v>
      </c>
      <c r="AW30" s="402">
        <f t="shared" si="10"/>
        <v>-22573.814166666667</v>
      </c>
      <c r="AX30" s="403">
        <f t="shared" si="11"/>
        <v>0</v>
      </c>
      <c r="AY30" s="403">
        <f t="shared" si="12"/>
        <v>-22573.814166666667</v>
      </c>
    </row>
    <row r="31" spans="1:56">
      <c r="A31" s="154">
        <v>23</v>
      </c>
      <c r="B31" s="199" t="s">
        <v>999</v>
      </c>
      <c r="C31" s="171" t="s">
        <v>754</v>
      </c>
      <c r="D31" s="171"/>
      <c r="E31" s="171" t="s">
        <v>984</v>
      </c>
      <c r="F31" s="200" t="s">
        <v>642</v>
      </c>
      <c r="G31" s="200" t="s">
        <v>1000</v>
      </c>
      <c r="H31" s="200" t="s">
        <v>382</v>
      </c>
      <c r="I31" s="201" t="s">
        <v>382</v>
      </c>
      <c r="J31" s="202">
        <f t="shared" si="13"/>
        <v>0</v>
      </c>
      <c r="K31" s="707">
        <v>0</v>
      </c>
      <c r="L31" s="203">
        <v>0</v>
      </c>
      <c r="M31" s="202">
        <f t="shared" si="14"/>
        <v>0</v>
      </c>
      <c r="N31" s="707">
        <v>0</v>
      </c>
      <c r="O31" s="203">
        <v>0</v>
      </c>
      <c r="P31" s="202">
        <f t="shared" si="15"/>
        <v>0</v>
      </c>
      <c r="Q31" s="707">
        <v>0</v>
      </c>
      <c r="R31" s="203">
        <v>0</v>
      </c>
      <c r="S31" s="202">
        <f t="shared" si="16"/>
        <v>0</v>
      </c>
      <c r="T31" s="707">
        <v>0</v>
      </c>
      <c r="U31" s="203">
        <v>0</v>
      </c>
      <c r="V31" s="202">
        <f t="shared" si="17"/>
        <v>0</v>
      </c>
      <c r="W31" s="707">
        <v>0</v>
      </c>
      <c r="X31" s="203">
        <v>0</v>
      </c>
      <c r="Y31" s="202">
        <f t="shared" si="18"/>
        <v>-113281.17</v>
      </c>
      <c r="Z31" s="707">
        <v>-113281.17</v>
      </c>
      <c r="AA31" s="203">
        <v>0</v>
      </c>
      <c r="AB31" s="202">
        <f t="shared" si="19"/>
        <v>-112749.34</v>
      </c>
      <c r="AC31" s="707">
        <v>-112749.34</v>
      </c>
      <c r="AD31" s="203">
        <v>0</v>
      </c>
      <c r="AE31" s="202">
        <f t="shared" si="20"/>
        <v>-112217.51</v>
      </c>
      <c r="AF31" s="707">
        <v>-112217.51</v>
      </c>
      <c r="AG31" s="203">
        <v>0</v>
      </c>
      <c r="AH31" s="202">
        <f t="shared" si="21"/>
        <v>-111685.68</v>
      </c>
      <c r="AI31" s="707">
        <v>-111685.68</v>
      </c>
      <c r="AJ31" s="203">
        <v>0</v>
      </c>
      <c r="AK31" s="202">
        <f t="shared" si="22"/>
        <v>-111153.85</v>
      </c>
      <c r="AL31" s="707">
        <v>-111153.85</v>
      </c>
      <c r="AM31" s="203">
        <v>0</v>
      </c>
      <c r="AN31" s="202">
        <f t="shared" si="23"/>
        <v>-110622.02</v>
      </c>
      <c r="AO31" s="707">
        <v>-110622.02</v>
      </c>
      <c r="AP31" s="203">
        <v>0</v>
      </c>
      <c r="AQ31" s="202">
        <f t="shared" si="24"/>
        <v>-110090.19</v>
      </c>
      <c r="AR31" s="707">
        <v>-110090.19</v>
      </c>
      <c r="AS31" s="203">
        <v>0</v>
      </c>
      <c r="AT31" s="202">
        <f t="shared" si="25"/>
        <v>-109558.36</v>
      </c>
      <c r="AU31" s="707">
        <v>-109558.36</v>
      </c>
      <c r="AV31" s="203">
        <v>0</v>
      </c>
      <c r="AW31" s="402">
        <f t="shared" si="10"/>
        <v>-69714.911666666667</v>
      </c>
      <c r="AX31" s="403">
        <f t="shared" si="11"/>
        <v>-69714.911666666667</v>
      </c>
      <c r="AY31" s="403">
        <f t="shared" si="12"/>
        <v>0</v>
      </c>
    </row>
    <row r="32" spans="1:56">
      <c r="A32" s="154">
        <v>24</v>
      </c>
      <c r="B32" s="199" t="s">
        <v>1337</v>
      </c>
      <c r="C32" s="171" t="s">
        <v>754</v>
      </c>
      <c r="D32" s="171"/>
      <c r="E32" s="171" t="s">
        <v>981</v>
      </c>
      <c r="F32" s="200" t="s">
        <v>469</v>
      </c>
      <c r="G32" s="200" t="s">
        <v>1342</v>
      </c>
      <c r="H32" s="200" t="s">
        <v>382</v>
      </c>
      <c r="I32" s="201" t="s">
        <v>382</v>
      </c>
      <c r="J32" s="202">
        <f t="shared" si="13"/>
        <v>680831.94</v>
      </c>
      <c r="K32" s="707">
        <v>524444.86</v>
      </c>
      <c r="L32" s="203">
        <v>156387.07999999999</v>
      </c>
      <c r="M32" s="202">
        <f t="shared" si="14"/>
        <v>681059.07000000007</v>
      </c>
      <c r="N32" s="707">
        <v>514472.02</v>
      </c>
      <c r="O32" s="203">
        <v>166587.04999999999</v>
      </c>
      <c r="P32" s="202">
        <f t="shared" si="15"/>
        <v>682798.39999999991</v>
      </c>
      <c r="Q32" s="707">
        <v>515785.91</v>
      </c>
      <c r="R32" s="203">
        <v>167012.49</v>
      </c>
      <c r="S32" s="202">
        <f t="shared" si="16"/>
        <v>672259.39</v>
      </c>
      <c r="T32" s="707">
        <v>507824.74</v>
      </c>
      <c r="U32" s="203">
        <v>164434.65</v>
      </c>
      <c r="V32" s="202">
        <f t="shared" si="17"/>
        <v>671430.12</v>
      </c>
      <c r="W32" s="707">
        <v>507198.31</v>
      </c>
      <c r="X32" s="203">
        <v>164231.81</v>
      </c>
      <c r="Y32" s="202">
        <f t="shared" si="18"/>
        <v>0</v>
      </c>
      <c r="Z32" s="707">
        <v>0</v>
      </c>
      <c r="AA32" s="203">
        <v>0</v>
      </c>
      <c r="AB32" s="202">
        <f t="shared" si="19"/>
        <v>0</v>
      </c>
      <c r="AC32" s="707">
        <v>0</v>
      </c>
      <c r="AD32" s="203">
        <v>0</v>
      </c>
      <c r="AE32" s="202">
        <f t="shared" si="20"/>
        <v>0</v>
      </c>
      <c r="AF32" s="707">
        <v>0</v>
      </c>
      <c r="AG32" s="203">
        <v>0</v>
      </c>
      <c r="AH32" s="202">
        <f t="shared" si="21"/>
        <v>0</v>
      </c>
      <c r="AI32" s="707">
        <v>0</v>
      </c>
      <c r="AJ32" s="203">
        <v>0</v>
      </c>
      <c r="AK32" s="202">
        <f t="shared" si="22"/>
        <v>0</v>
      </c>
      <c r="AL32" s="707">
        <v>0</v>
      </c>
      <c r="AM32" s="203">
        <v>0</v>
      </c>
      <c r="AN32" s="202">
        <f t="shared" si="23"/>
        <v>0</v>
      </c>
      <c r="AO32" s="707">
        <v>0</v>
      </c>
      <c r="AP32" s="203">
        <v>0</v>
      </c>
      <c r="AQ32" s="202">
        <f t="shared" si="24"/>
        <v>0</v>
      </c>
      <c r="AR32" s="707">
        <v>0</v>
      </c>
      <c r="AS32" s="203">
        <v>0</v>
      </c>
      <c r="AT32" s="202">
        <f t="shared" si="25"/>
        <v>0</v>
      </c>
      <c r="AU32" s="707">
        <v>0</v>
      </c>
      <c r="AV32" s="203">
        <v>0</v>
      </c>
      <c r="AW32" s="402">
        <f t="shared" si="10"/>
        <v>253996.91250000001</v>
      </c>
      <c r="AX32" s="403">
        <f t="shared" si="11"/>
        <v>192291.95083333334</v>
      </c>
      <c r="AY32" s="403">
        <f t="shared" si="12"/>
        <v>61704.96166666667</v>
      </c>
    </row>
    <row r="33" spans="1:51">
      <c r="A33" s="154">
        <v>25</v>
      </c>
      <c r="B33" s="199" t="s">
        <v>1337</v>
      </c>
      <c r="C33" s="171" t="s">
        <v>754</v>
      </c>
      <c r="D33" s="171"/>
      <c r="E33" s="171" t="s">
        <v>1009</v>
      </c>
      <c r="F33" s="200" t="s">
        <v>469</v>
      </c>
      <c r="G33" s="200" t="s">
        <v>1342</v>
      </c>
      <c r="H33" s="200" t="s">
        <v>382</v>
      </c>
      <c r="I33" s="201" t="s">
        <v>382</v>
      </c>
      <c r="J33" s="202">
        <f t="shared" si="13"/>
        <v>0</v>
      </c>
      <c r="K33" s="707">
        <v>0</v>
      </c>
      <c r="L33" s="203">
        <v>0</v>
      </c>
      <c r="M33" s="202">
        <f t="shared" si="14"/>
        <v>0</v>
      </c>
      <c r="N33" s="707">
        <v>0</v>
      </c>
      <c r="O33" s="203">
        <v>0</v>
      </c>
      <c r="P33" s="202">
        <f t="shared" si="15"/>
        <v>0</v>
      </c>
      <c r="Q33" s="707">
        <v>0</v>
      </c>
      <c r="R33" s="203">
        <v>0</v>
      </c>
      <c r="S33" s="202">
        <f t="shared" si="16"/>
        <v>0</v>
      </c>
      <c r="T33" s="707">
        <v>0</v>
      </c>
      <c r="U33" s="203">
        <v>0</v>
      </c>
      <c r="V33" s="202">
        <f t="shared" si="17"/>
        <v>0</v>
      </c>
      <c r="W33" s="707">
        <v>0</v>
      </c>
      <c r="X33" s="203">
        <v>0</v>
      </c>
      <c r="Y33" s="202">
        <f t="shared" si="18"/>
        <v>39907.08</v>
      </c>
      <c r="Z33" s="707">
        <v>0</v>
      </c>
      <c r="AA33" s="203">
        <v>39907.08</v>
      </c>
      <c r="AB33" s="202">
        <f t="shared" si="19"/>
        <v>39907.08</v>
      </c>
      <c r="AC33" s="707">
        <v>0</v>
      </c>
      <c r="AD33" s="203">
        <v>39907.08</v>
      </c>
      <c r="AE33" s="202">
        <f t="shared" si="20"/>
        <v>39329.18</v>
      </c>
      <c r="AF33" s="707">
        <v>0</v>
      </c>
      <c r="AG33" s="203">
        <v>39329.18</v>
      </c>
      <c r="AH33" s="202">
        <f t="shared" si="21"/>
        <v>40122.9</v>
      </c>
      <c r="AI33" s="707">
        <v>0</v>
      </c>
      <c r="AJ33" s="203">
        <v>40122.9</v>
      </c>
      <c r="AK33" s="202">
        <f t="shared" si="22"/>
        <v>38232.14</v>
      </c>
      <c r="AL33" s="707">
        <v>0</v>
      </c>
      <c r="AM33" s="203">
        <v>38232.14</v>
      </c>
      <c r="AN33" s="202">
        <f t="shared" si="23"/>
        <v>38936.33</v>
      </c>
      <c r="AO33" s="707">
        <v>0</v>
      </c>
      <c r="AP33" s="203">
        <v>38936.33</v>
      </c>
      <c r="AQ33" s="202">
        <f t="shared" si="24"/>
        <v>40231.5</v>
      </c>
      <c r="AR33" s="707">
        <v>0</v>
      </c>
      <c r="AS33" s="203">
        <v>40231.5</v>
      </c>
      <c r="AT33" s="202">
        <f t="shared" si="25"/>
        <v>40231.5</v>
      </c>
      <c r="AU33" s="707">
        <v>0</v>
      </c>
      <c r="AV33" s="203">
        <v>40231.5</v>
      </c>
      <c r="AW33" s="402">
        <f t="shared" si="10"/>
        <v>24731.83</v>
      </c>
      <c r="AX33" s="403">
        <f t="shared" si="11"/>
        <v>0</v>
      </c>
      <c r="AY33" s="403">
        <f t="shared" si="12"/>
        <v>24731.83</v>
      </c>
    </row>
    <row r="34" spans="1:51">
      <c r="A34" s="154">
        <v>26</v>
      </c>
      <c r="B34" s="199" t="s">
        <v>1337</v>
      </c>
      <c r="C34" s="171" t="s">
        <v>754</v>
      </c>
      <c r="D34" s="171"/>
      <c r="E34" s="171" t="s">
        <v>984</v>
      </c>
      <c r="F34" s="200" t="s">
        <v>469</v>
      </c>
      <c r="G34" s="200" t="s">
        <v>1342</v>
      </c>
      <c r="H34" s="200" t="s">
        <v>382</v>
      </c>
      <c r="I34" s="201" t="s">
        <v>382</v>
      </c>
      <c r="J34" s="202">
        <f t="shared" si="13"/>
        <v>0</v>
      </c>
      <c r="K34" s="707">
        <v>0</v>
      </c>
      <c r="L34" s="203">
        <v>0</v>
      </c>
      <c r="M34" s="202">
        <f t="shared" si="14"/>
        <v>0</v>
      </c>
      <c r="N34" s="707">
        <v>0</v>
      </c>
      <c r="O34" s="203">
        <v>0</v>
      </c>
      <c r="P34" s="202">
        <f t="shared" si="15"/>
        <v>0</v>
      </c>
      <c r="Q34" s="707">
        <v>0</v>
      </c>
      <c r="R34" s="203">
        <v>0</v>
      </c>
      <c r="S34" s="202">
        <f t="shared" si="16"/>
        <v>0</v>
      </c>
      <c r="T34" s="707">
        <v>0</v>
      </c>
      <c r="U34" s="203">
        <v>0</v>
      </c>
      <c r="V34" s="202">
        <f t="shared" si="17"/>
        <v>0</v>
      </c>
      <c r="W34" s="707">
        <v>0</v>
      </c>
      <c r="X34" s="203">
        <v>0</v>
      </c>
      <c r="Y34" s="202">
        <f t="shared" si="18"/>
        <v>632689.85</v>
      </c>
      <c r="Z34" s="707">
        <v>632689.85</v>
      </c>
      <c r="AA34" s="203">
        <v>0</v>
      </c>
      <c r="AB34" s="202">
        <f t="shared" si="19"/>
        <v>632689.85</v>
      </c>
      <c r="AC34" s="707">
        <v>632689.85</v>
      </c>
      <c r="AD34" s="203">
        <v>0</v>
      </c>
      <c r="AE34" s="202">
        <f t="shared" si="20"/>
        <v>632689.85</v>
      </c>
      <c r="AF34" s="707">
        <v>632689.85</v>
      </c>
      <c r="AG34" s="203">
        <v>0</v>
      </c>
      <c r="AH34" s="202">
        <f t="shared" si="21"/>
        <v>632689.85</v>
      </c>
      <c r="AI34" s="707">
        <v>632689.85</v>
      </c>
      <c r="AJ34" s="203">
        <v>0</v>
      </c>
      <c r="AK34" s="202">
        <f t="shared" si="22"/>
        <v>621617.1</v>
      </c>
      <c r="AL34" s="707">
        <v>621617.1</v>
      </c>
      <c r="AM34" s="203">
        <v>0</v>
      </c>
      <c r="AN34" s="202">
        <f t="shared" si="23"/>
        <v>621617.1</v>
      </c>
      <c r="AO34" s="707">
        <v>621617.1</v>
      </c>
      <c r="AP34" s="203">
        <v>0</v>
      </c>
      <c r="AQ34" s="202">
        <f t="shared" si="24"/>
        <v>621617.1</v>
      </c>
      <c r="AR34" s="707">
        <v>621617.1</v>
      </c>
      <c r="AS34" s="203">
        <v>0</v>
      </c>
      <c r="AT34" s="202">
        <f t="shared" si="25"/>
        <v>621617.1</v>
      </c>
      <c r="AU34" s="707">
        <v>621617.1</v>
      </c>
      <c r="AV34" s="203">
        <v>0</v>
      </c>
      <c r="AW34" s="402">
        <f t="shared" si="10"/>
        <v>392201.60416666669</v>
      </c>
      <c r="AX34" s="403">
        <f t="shared" si="11"/>
        <v>392201.60416666669</v>
      </c>
      <c r="AY34" s="403">
        <f t="shared" si="12"/>
        <v>0</v>
      </c>
    </row>
    <row r="35" spans="1:51">
      <c r="A35" s="154">
        <v>27</v>
      </c>
      <c r="B35" s="199" t="s">
        <v>1338</v>
      </c>
      <c r="C35" s="171" t="s">
        <v>754</v>
      </c>
      <c r="D35" s="171"/>
      <c r="E35" s="171" t="s">
        <v>984</v>
      </c>
      <c r="F35" s="200" t="s">
        <v>641</v>
      </c>
      <c r="G35" s="200" t="s">
        <v>1343</v>
      </c>
      <c r="H35" s="200" t="s">
        <v>382</v>
      </c>
      <c r="I35" s="201" t="s">
        <v>382</v>
      </c>
      <c r="J35" s="404">
        <v>0</v>
      </c>
      <c r="K35" s="708">
        <v>0</v>
      </c>
      <c r="L35" s="405">
        <v>0</v>
      </c>
      <c r="M35" s="404">
        <v>0</v>
      </c>
      <c r="N35" s="708">
        <v>0</v>
      </c>
      <c r="O35" s="405">
        <v>0</v>
      </c>
      <c r="P35" s="404">
        <v>0</v>
      </c>
      <c r="Q35" s="708">
        <v>0</v>
      </c>
      <c r="R35" s="405">
        <v>0</v>
      </c>
      <c r="S35" s="404">
        <v>0</v>
      </c>
      <c r="T35" s="708">
        <v>0</v>
      </c>
      <c r="U35" s="405">
        <v>0</v>
      </c>
      <c r="V35" s="404">
        <v>0</v>
      </c>
      <c r="W35" s="708">
        <v>0</v>
      </c>
      <c r="X35" s="405">
        <v>0</v>
      </c>
      <c r="Y35" s="404">
        <v>0</v>
      </c>
      <c r="Z35" s="708">
        <v>0</v>
      </c>
      <c r="AA35" s="405">
        <v>0</v>
      </c>
      <c r="AB35" s="404">
        <v>0</v>
      </c>
      <c r="AC35" s="708">
        <v>0</v>
      </c>
      <c r="AD35" s="405">
        <v>0</v>
      </c>
      <c r="AE35" s="404">
        <v>0</v>
      </c>
      <c r="AF35" s="708">
        <v>0</v>
      </c>
      <c r="AG35" s="405">
        <v>0</v>
      </c>
      <c r="AH35" s="404">
        <v>0</v>
      </c>
      <c r="AI35" s="708">
        <v>0</v>
      </c>
      <c r="AJ35" s="405">
        <v>0</v>
      </c>
      <c r="AK35" s="404">
        <v>0</v>
      </c>
      <c r="AL35" s="708">
        <v>0</v>
      </c>
      <c r="AM35" s="405">
        <v>0</v>
      </c>
      <c r="AN35" s="404">
        <v>0</v>
      </c>
      <c r="AO35" s="708">
        <v>0</v>
      </c>
      <c r="AP35" s="405">
        <v>0</v>
      </c>
      <c r="AQ35" s="404">
        <v>0</v>
      </c>
      <c r="AR35" s="708">
        <v>0</v>
      </c>
      <c r="AS35" s="405">
        <v>0</v>
      </c>
      <c r="AT35" s="404">
        <v>0</v>
      </c>
      <c r="AU35" s="708">
        <v>0</v>
      </c>
      <c r="AV35" s="405">
        <v>0</v>
      </c>
      <c r="AW35" s="402">
        <f t="shared" si="10"/>
        <v>0</v>
      </c>
      <c r="AX35" s="403">
        <f t="shared" si="11"/>
        <v>0</v>
      </c>
      <c r="AY35" s="403">
        <f t="shared" si="12"/>
        <v>0</v>
      </c>
    </row>
    <row r="36" spans="1:51">
      <c r="A36" s="154">
        <v>28</v>
      </c>
      <c r="B36" s="199" t="s">
        <v>1339</v>
      </c>
      <c r="C36" s="171" t="s">
        <v>754</v>
      </c>
      <c r="D36" s="171"/>
      <c r="E36" s="171" t="s">
        <v>984</v>
      </c>
      <c r="F36" s="200" t="s">
        <v>469</v>
      </c>
      <c r="G36" s="200" t="s">
        <v>1344</v>
      </c>
      <c r="H36" s="200" t="s">
        <v>382</v>
      </c>
      <c r="I36" s="201" t="s">
        <v>382</v>
      </c>
      <c r="J36" s="404">
        <f>+K36+L36</f>
        <v>248712.88</v>
      </c>
      <c r="K36" s="708">
        <v>248712.88</v>
      </c>
      <c r="L36" s="405">
        <v>0</v>
      </c>
      <c r="M36" s="404">
        <f>+N36+O36</f>
        <v>246409.98</v>
      </c>
      <c r="N36" s="708">
        <v>246409.98</v>
      </c>
      <c r="O36" s="405">
        <v>0</v>
      </c>
      <c r="P36" s="404">
        <f>+Q36+R36</f>
        <v>244107.08</v>
      </c>
      <c r="Q36" s="708">
        <v>244107.08</v>
      </c>
      <c r="R36" s="405">
        <v>0</v>
      </c>
      <c r="S36" s="404">
        <f>+T36+U36</f>
        <v>241804.19</v>
      </c>
      <c r="T36" s="708">
        <v>241804.19</v>
      </c>
      <c r="U36" s="405">
        <v>0</v>
      </c>
      <c r="V36" s="404">
        <f>+W36+X36</f>
        <v>239501.29</v>
      </c>
      <c r="W36" s="708">
        <v>239501.29</v>
      </c>
      <c r="X36" s="405">
        <v>0</v>
      </c>
      <c r="Y36" s="404">
        <f>+Z36+AA36</f>
        <v>237198.39</v>
      </c>
      <c r="Z36" s="708">
        <v>237198.39</v>
      </c>
      <c r="AA36" s="405">
        <v>0</v>
      </c>
      <c r="AB36" s="404">
        <f>+AC36+AD36</f>
        <v>234895.5</v>
      </c>
      <c r="AC36" s="708">
        <v>234895.5</v>
      </c>
      <c r="AD36" s="405">
        <v>0</v>
      </c>
      <c r="AE36" s="404">
        <f>+AF36+AG36</f>
        <v>232592.6</v>
      </c>
      <c r="AF36" s="708">
        <v>232592.6</v>
      </c>
      <c r="AG36" s="405">
        <v>0</v>
      </c>
      <c r="AH36" s="404">
        <f>+AI36+AJ36</f>
        <v>230289.7</v>
      </c>
      <c r="AI36" s="708">
        <v>230289.7</v>
      </c>
      <c r="AJ36" s="405">
        <v>0</v>
      </c>
      <c r="AK36" s="404">
        <f>+AL36+AM36</f>
        <v>227986.81</v>
      </c>
      <c r="AL36" s="708">
        <v>227986.81</v>
      </c>
      <c r="AM36" s="405">
        <v>0</v>
      </c>
      <c r="AN36" s="404">
        <f>+AO36+AP36</f>
        <v>225683.91</v>
      </c>
      <c r="AO36" s="708">
        <v>225683.91</v>
      </c>
      <c r="AP36" s="405">
        <v>0</v>
      </c>
      <c r="AQ36" s="404">
        <f>+AR36+AS36</f>
        <v>223381.01</v>
      </c>
      <c r="AR36" s="708">
        <v>223381.01</v>
      </c>
      <c r="AS36" s="405">
        <v>0</v>
      </c>
      <c r="AT36" s="404">
        <f>+AU36+AV36</f>
        <v>221078.12</v>
      </c>
      <c r="AU36" s="708">
        <v>221078.12</v>
      </c>
      <c r="AV36" s="405">
        <v>0</v>
      </c>
      <c r="AW36" s="402">
        <f t="shared" si="10"/>
        <v>234895.49666666667</v>
      </c>
      <c r="AX36" s="403">
        <f t="shared" si="11"/>
        <v>234895.49666666667</v>
      </c>
      <c r="AY36" s="403">
        <f t="shared" si="12"/>
        <v>0</v>
      </c>
    </row>
    <row r="37" spans="1:51">
      <c r="A37" s="154">
        <v>29</v>
      </c>
      <c r="B37" s="199" t="s">
        <v>1339</v>
      </c>
      <c r="C37" s="171" t="s">
        <v>754</v>
      </c>
      <c r="D37" s="171"/>
      <c r="E37" s="171" t="s">
        <v>1009</v>
      </c>
      <c r="F37" s="200" t="s">
        <v>469</v>
      </c>
      <c r="G37" s="200" t="s">
        <v>1344</v>
      </c>
      <c r="H37" s="200"/>
      <c r="I37" s="201"/>
      <c r="J37" s="406">
        <f>+K37+L37</f>
        <v>65440.960000000101</v>
      </c>
      <c r="K37" s="709">
        <v>0</v>
      </c>
      <c r="L37" s="204">
        <v>65440.960000000101</v>
      </c>
      <c r="M37" s="406">
        <f>+N37+O37</f>
        <v>64077.61</v>
      </c>
      <c r="N37" s="709">
        <v>0</v>
      </c>
      <c r="O37" s="204">
        <v>64077.61</v>
      </c>
      <c r="P37" s="406">
        <f>+Q37+R37</f>
        <v>62714.26</v>
      </c>
      <c r="Q37" s="709">
        <v>0</v>
      </c>
      <c r="R37" s="204">
        <v>62714.26</v>
      </c>
      <c r="S37" s="406">
        <f>+T37+U37</f>
        <v>61350.9</v>
      </c>
      <c r="T37" s="709">
        <v>0</v>
      </c>
      <c r="U37" s="204">
        <v>61350.9</v>
      </c>
      <c r="V37" s="406">
        <f>+W37+X37</f>
        <v>59987.55</v>
      </c>
      <c r="W37" s="709">
        <v>0</v>
      </c>
      <c r="X37" s="204">
        <v>59987.55</v>
      </c>
      <c r="Y37" s="406">
        <f>+Z37+AA37</f>
        <v>58624.2</v>
      </c>
      <c r="Z37" s="709">
        <v>0</v>
      </c>
      <c r="AA37" s="204">
        <v>58624.2</v>
      </c>
      <c r="AB37" s="406">
        <f>+AC37+AD37</f>
        <v>57260.84</v>
      </c>
      <c r="AC37" s="709">
        <v>0</v>
      </c>
      <c r="AD37" s="204">
        <v>57260.84</v>
      </c>
      <c r="AE37" s="406">
        <f>+AF37+AG37</f>
        <v>55897.49</v>
      </c>
      <c r="AF37" s="709">
        <v>0</v>
      </c>
      <c r="AG37" s="204">
        <v>55897.49</v>
      </c>
      <c r="AH37" s="406">
        <f>+AI37+AJ37</f>
        <v>54534.14</v>
      </c>
      <c r="AI37" s="709">
        <v>0</v>
      </c>
      <c r="AJ37" s="204">
        <v>54534.14</v>
      </c>
      <c r="AK37" s="406">
        <f>+AL37+AM37</f>
        <v>53170.78</v>
      </c>
      <c r="AL37" s="709">
        <v>0</v>
      </c>
      <c r="AM37" s="204">
        <v>53170.78</v>
      </c>
      <c r="AN37" s="406">
        <f>+AO37+AP37</f>
        <v>51807.43</v>
      </c>
      <c r="AO37" s="709">
        <v>0</v>
      </c>
      <c r="AP37" s="204">
        <v>51807.43</v>
      </c>
      <c r="AQ37" s="406">
        <f>+AR37+AS37</f>
        <v>50444.08</v>
      </c>
      <c r="AR37" s="709">
        <v>0</v>
      </c>
      <c r="AS37" s="204">
        <v>50444.08</v>
      </c>
      <c r="AT37" s="406">
        <f>+AU37+AV37</f>
        <v>49080.72</v>
      </c>
      <c r="AU37" s="709">
        <v>0</v>
      </c>
      <c r="AV37" s="204">
        <v>49080.72</v>
      </c>
      <c r="AW37" s="402">
        <f t="shared" si="10"/>
        <v>57260.843333333345</v>
      </c>
      <c r="AX37" s="403">
        <f t="shared" si="11"/>
        <v>0</v>
      </c>
      <c r="AY37" s="403">
        <f t="shared" si="12"/>
        <v>57260.843333333345</v>
      </c>
    </row>
    <row r="38" spans="1:51">
      <c r="A38" s="154">
        <v>30</v>
      </c>
      <c r="B38" s="199" t="s">
        <v>1338</v>
      </c>
      <c r="C38" s="171" t="s">
        <v>754</v>
      </c>
      <c r="D38" s="171"/>
      <c r="E38" s="171" t="s">
        <v>1009</v>
      </c>
      <c r="F38" s="200" t="s">
        <v>641</v>
      </c>
      <c r="G38" s="200" t="s">
        <v>1343</v>
      </c>
      <c r="H38" s="200"/>
      <c r="I38" s="201"/>
      <c r="J38" s="406">
        <f t="shared" ref="J38:J42" si="26">+K38+L38</f>
        <v>0</v>
      </c>
      <c r="K38" s="709">
        <v>0</v>
      </c>
      <c r="L38" s="204">
        <v>0</v>
      </c>
      <c r="M38" s="406">
        <f t="shared" ref="M38:M42" si="27">+N38+O38</f>
        <v>0</v>
      </c>
      <c r="N38" s="709">
        <v>0</v>
      </c>
      <c r="O38" s="204">
        <v>0</v>
      </c>
      <c r="P38" s="406">
        <f t="shared" ref="P38:P42" si="28">+Q38+R38</f>
        <v>0</v>
      </c>
      <c r="Q38" s="709">
        <v>0</v>
      </c>
      <c r="R38" s="204">
        <v>0</v>
      </c>
      <c r="S38" s="406">
        <f t="shared" ref="S38:S42" si="29">+T38+U38</f>
        <v>0</v>
      </c>
      <c r="T38" s="709">
        <v>0</v>
      </c>
      <c r="U38" s="204">
        <v>0</v>
      </c>
      <c r="V38" s="406">
        <f t="shared" ref="V38:V42" si="30">+W38+X38</f>
        <v>0</v>
      </c>
      <c r="W38" s="709">
        <v>0</v>
      </c>
      <c r="X38" s="204">
        <v>0</v>
      </c>
      <c r="Y38" s="406">
        <f t="shared" ref="Y38:Y42" si="31">+Z38+AA38</f>
        <v>0</v>
      </c>
      <c r="Z38" s="709">
        <v>0</v>
      </c>
      <c r="AA38" s="204">
        <v>0</v>
      </c>
      <c r="AB38" s="406">
        <f t="shared" ref="AB38:AB42" si="32">+AC38+AD38</f>
        <v>0</v>
      </c>
      <c r="AC38" s="709">
        <v>0</v>
      </c>
      <c r="AD38" s="204">
        <v>0</v>
      </c>
      <c r="AE38" s="406">
        <f t="shared" ref="AE38:AE42" si="33">+AF38+AG38</f>
        <v>0</v>
      </c>
      <c r="AF38" s="709">
        <v>0</v>
      </c>
      <c r="AG38" s="204">
        <v>0</v>
      </c>
      <c r="AH38" s="406">
        <f t="shared" ref="AH38:AH42" si="34">+AI38+AJ38</f>
        <v>0</v>
      </c>
      <c r="AI38" s="709">
        <v>0</v>
      </c>
      <c r="AJ38" s="204">
        <v>0</v>
      </c>
      <c r="AK38" s="406">
        <f t="shared" ref="AK38:AK42" si="35">+AL38+AM38</f>
        <v>0</v>
      </c>
      <c r="AL38" s="709">
        <v>0</v>
      </c>
      <c r="AM38" s="204">
        <v>0</v>
      </c>
      <c r="AN38" s="406">
        <f t="shared" ref="AN38:AN42" si="36">+AO38+AP38</f>
        <v>0</v>
      </c>
      <c r="AO38" s="709">
        <v>0</v>
      </c>
      <c r="AP38" s="204">
        <v>0</v>
      </c>
      <c r="AQ38" s="406">
        <f t="shared" ref="AQ38:AQ42" si="37">+AR38+AS38</f>
        <v>0</v>
      </c>
      <c r="AR38" s="709">
        <v>0</v>
      </c>
      <c r="AS38" s="204">
        <v>0</v>
      </c>
      <c r="AT38" s="406">
        <f t="shared" ref="AT38:AT42" si="38">+AU38+AV38</f>
        <v>0</v>
      </c>
      <c r="AU38" s="709">
        <v>0</v>
      </c>
      <c r="AV38" s="204">
        <v>0</v>
      </c>
      <c r="AW38" s="402">
        <f t="shared" si="10"/>
        <v>0</v>
      </c>
      <c r="AX38" s="403">
        <f t="shared" si="11"/>
        <v>0</v>
      </c>
      <c r="AY38" s="403">
        <f t="shared" si="12"/>
        <v>0</v>
      </c>
    </row>
    <row r="39" spans="1:51">
      <c r="A39" s="154">
        <v>31</v>
      </c>
      <c r="B39" s="199" t="s">
        <v>1001</v>
      </c>
      <c r="C39" s="171" t="s">
        <v>754</v>
      </c>
      <c r="D39" s="171"/>
      <c r="E39" s="171" t="s">
        <v>1009</v>
      </c>
      <c r="F39" s="200" t="s">
        <v>641</v>
      </c>
      <c r="G39" s="200" t="s">
        <v>1002</v>
      </c>
      <c r="H39" s="200"/>
      <c r="I39" s="201"/>
      <c r="J39" s="406">
        <f t="shared" si="26"/>
        <v>-4420542.34</v>
      </c>
      <c r="K39" s="709">
        <v>0</v>
      </c>
      <c r="L39" s="204">
        <v>-4420542.34</v>
      </c>
      <c r="M39" s="406">
        <f t="shared" si="27"/>
        <v>-4433550.5599999996</v>
      </c>
      <c r="N39" s="709">
        <v>0</v>
      </c>
      <c r="O39" s="204">
        <v>-4433550.5599999996</v>
      </c>
      <c r="P39" s="406">
        <f t="shared" si="28"/>
        <v>-4446558.79</v>
      </c>
      <c r="Q39" s="709">
        <v>0</v>
      </c>
      <c r="R39" s="204">
        <v>-4446558.79</v>
      </c>
      <c r="S39" s="406">
        <f t="shared" si="29"/>
        <v>-4459567.03</v>
      </c>
      <c r="T39" s="709">
        <v>0</v>
      </c>
      <c r="U39" s="204">
        <v>-4459567.03</v>
      </c>
      <c r="V39" s="406">
        <f t="shared" si="30"/>
        <v>-4472575.25</v>
      </c>
      <c r="W39" s="709">
        <v>0</v>
      </c>
      <c r="X39" s="204">
        <v>-4472575.25</v>
      </c>
      <c r="Y39" s="406">
        <f t="shared" si="31"/>
        <v>-4485583.4800000004</v>
      </c>
      <c r="Z39" s="709">
        <v>0</v>
      </c>
      <c r="AA39" s="204">
        <v>-4485583.4800000004</v>
      </c>
      <c r="AB39" s="406">
        <f t="shared" si="32"/>
        <v>-4498591.7</v>
      </c>
      <c r="AC39" s="709">
        <v>0</v>
      </c>
      <c r="AD39" s="204">
        <v>-4498591.7</v>
      </c>
      <c r="AE39" s="406">
        <f t="shared" si="33"/>
        <v>-4511599.92</v>
      </c>
      <c r="AF39" s="709">
        <v>0</v>
      </c>
      <c r="AG39" s="204">
        <v>-4511599.92</v>
      </c>
      <c r="AH39" s="406">
        <f t="shared" si="34"/>
        <v>-4524608.1500000004</v>
      </c>
      <c r="AI39" s="709">
        <v>0</v>
      </c>
      <c r="AJ39" s="204">
        <v>-4524608.1500000004</v>
      </c>
      <c r="AK39" s="406">
        <f t="shared" si="35"/>
        <v>-4537616.3899999997</v>
      </c>
      <c r="AL39" s="709">
        <v>0</v>
      </c>
      <c r="AM39" s="204">
        <v>-4537616.3899999997</v>
      </c>
      <c r="AN39" s="406">
        <f t="shared" si="36"/>
        <v>-4550624.6100000003</v>
      </c>
      <c r="AO39" s="709">
        <v>0</v>
      </c>
      <c r="AP39" s="204">
        <v>-4550624.6100000003</v>
      </c>
      <c r="AQ39" s="406">
        <f t="shared" si="37"/>
        <v>-4641330.5999999996</v>
      </c>
      <c r="AR39" s="709">
        <v>0</v>
      </c>
      <c r="AS39" s="204">
        <v>-4641330.5999999996</v>
      </c>
      <c r="AT39" s="406">
        <f t="shared" si="38"/>
        <v>-4791249.5199999996</v>
      </c>
      <c r="AU39" s="709">
        <v>0</v>
      </c>
      <c r="AV39" s="204">
        <v>-4791249.5199999996</v>
      </c>
      <c r="AW39" s="402">
        <f t="shared" si="10"/>
        <v>-4514008.5341666667</v>
      </c>
      <c r="AX39" s="403">
        <f t="shared" si="11"/>
        <v>0</v>
      </c>
      <c r="AY39" s="403">
        <f t="shared" si="12"/>
        <v>-4514008.5341666667</v>
      </c>
    </row>
    <row r="40" spans="1:51">
      <c r="A40" s="154">
        <v>32</v>
      </c>
      <c r="B40" s="199" t="s">
        <v>1003</v>
      </c>
      <c r="C40" s="171" t="s">
        <v>754</v>
      </c>
      <c r="D40" s="171"/>
      <c r="E40" s="171" t="s">
        <v>1009</v>
      </c>
      <c r="F40" s="200" t="s">
        <v>642</v>
      </c>
      <c r="G40" s="200" t="s">
        <v>1004</v>
      </c>
      <c r="H40" s="200"/>
      <c r="I40" s="201"/>
      <c r="J40" s="406">
        <f t="shared" si="26"/>
        <v>-13433.67</v>
      </c>
      <c r="K40" s="709">
        <v>0</v>
      </c>
      <c r="L40" s="204">
        <v>-13433.67</v>
      </c>
      <c r="M40" s="406">
        <f t="shared" si="27"/>
        <v>-13372.05</v>
      </c>
      <c r="N40" s="709">
        <v>0</v>
      </c>
      <c r="O40" s="204">
        <v>-13372.05</v>
      </c>
      <c r="P40" s="406">
        <f t="shared" si="28"/>
        <v>-13310.43</v>
      </c>
      <c r="Q40" s="709">
        <v>0</v>
      </c>
      <c r="R40" s="204">
        <v>-13310.43</v>
      </c>
      <c r="S40" s="406">
        <f t="shared" si="29"/>
        <v>-13248.81</v>
      </c>
      <c r="T40" s="709">
        <v>0</v>
      </c>
      <c r="U40" s="204">
        <v>-13248.81</v>
      </c>
      <c r="V40" s="406">
        <f t="shared" si="30"/>
        <v>-13187.19</v>
      </c>
      <c r="W40" s="709">
        <v>0</v>
      </c>
      <c r="X40" s="204">
        <v>-13187.19</v>
      </c>
      <c r="Y40" s="406">
        <f t="shared" si="31"/>
        <v>-13125.57</v>
      </c>
      <c r="Z40" s="709">
        <v>0</v>
      </c>
      <c r="AA40" s="204">
        <v>-13125.57</v>
      </c>
      <c r="AB40" s="406">
        <f t="shared" si="32"/>
        <v>-13063.95</v>
      </c>
      <c r="AC40" s="709">
        <v>0</v>
      </c>
      <c r="AD40" s="204">
        <v>-13063.95</v>
      </c>
      <c r="AE40" s="406">
        <f t="shared" si="33"/>
        <v>-13002.33</v>
      </c>
      <c r="AF40" s="709">
        <v>0</v>
      </c>
      <c r="AG40" s="204">
        <v>-13002.33</v>
      </c>
      <c r="AH40" s="406">
        <f t="shared" si="34"/>
        <v>-12940.71</v>
      </c>
      <c r="AI40" s="709">
        <v>0</v>
      </c>
      <c r="AJ40" s="204">
        <v>-12940.71</v>
      </c>
      <c r="AK40" s="406">
        <f t="shared" si="35"/>
        <v>-12879.09</v>
      </c>
      <c r="AL40" s="709">
        <v>0</v>
      </c>
      <c r="AM40" s="204">
        <v>-12879.09</v>
      </c>
      <c r="AN40" s="406">
        <f t="shared" si="36"/>
        <v>-12817.47</v>
      </c>
      <c r="AO40" s="709">
        <v>0</v>
      </c>
      <c r="AP40" s="204">
        <v>-12817.47</v>
      </c>
      <c r="AQ40" s="406">
        <f t="shared" si="37"/>
        <v>-12755.85</v>
      </c>
      <c r="AR40" s="709">
        <v>0</v>
      </c>
      <c r="AS40" s="204">
        <v>-12755.85</v>
      </c>
      <c r="AT40" s="406">
        <f t="shared" si="38"/>
        <v>-12694.23</v>
      </c>
      <c r="AU40" s="709">
        <v>0</v>
      </c>
      <c r="AV40" s="204">
        <v>-12694.23</v>
      </c>
      <c r="AW40" s="402">
        <f t="shared" si="10"/>
        <v>-13063.950000000003</v>
      </c>
      <c r="AX40" s="403">
        <f t="shared" si="11"/>
        <v>0</v>
      </c>
      <c r="AY40" s="403">
        <f t="shared" si="12"/>
        <v>-13063.950000000003</v>
      </c>
    </row>
    <row r="41" spans="1:51">
      <c r="A41" s="154">
        <v>33</v>
      </c>
      <c r="B41" s="199" t="s">
        <v>1340</v>
      </c>
      <c r="C41" s="171" t="s">
        <v>754</v>
      </c>
      <c r="D41" s="171"/>
      <c r="E41" s="171" t="s">
        <v>1009</v>
      </c>
      <c r="F41" s="200" t="s">
        <v>469</v>
      </c>
      <c r="G41" s="200" t="s">
        <v>1345</v>
      </c>
      <c r="H41" s="200"/>
      <c r="I41" s="201"/>
      <c r="J41" s="406">
        <f t="shared" si="26"/>
        <v>59590.47</v>
      </c>
      <c r="K41" s="709">
        <v>0</v>
      </c>
      <c r="L41" s="204">
        <v>59590.47</v>
      </c>
      <c r="M41" s="406">
        <f t="shared" si="27"/>
        <v>59610.35</v>
      </c>
      <c r="N41" s="709">
        <v>0</v>
      </c>
      <c r="O41" s="204">
        <v>59610.35</v>
      </c>
      <c r="P41" s="406">
        <f t="shared" si="28"/>
        <v>59762.59</v>
      </c>
      <c r="Q41" s="709">
        <v>0</v>
      </c>
      <c r="R41" s="204">
        <v>59762.59</v>
      </c>
      <c r="S41" s="406">
        <f t="shared" si="29"/>
        <v>58840.15</v>
      </c>
      <c r="T41" s="709">
        <v>0</v>
      </c>
      <c r="U41" s="204">
        <v>58840.15</v>
      </c>
      <c r="V41" s="406">
        <f t="shared" si="30"/>
        <v>58767.57</v>
      </c>
      <c r="W41" s="709">
        <v>0</v>
      </c>
      <c r="X41" s="204">
        <v>58767.57</v>
      </c>
      <c r="Y41" s="406">
        <f t="shared" si="31"/>
        <v>58869.7</v>
      </c>
      <c r="Z41" s="709">
        <v>0</v>
      </c>
      <c r="AA41" s="204">
        <v>58869.7</v>
      </c>
      <c r="AB41" s="406">
        <f t="shared" si="32"/>
        <v>58869.7</v>
      </c>
      <c r="AC41" s="709">
        <v>0</v>
      </c>
      <c r="AD41" s="204">
        <v>58869.7</v>
      </c>
      <c r="AE41" s="406">
        <f t="shared" si="33"/>
        <v>58819.12</v>
      </c>
      <c r="AF41" s="709">
        <v>0</v>
      </c>
      <c r="AG41" s="204">
        <v>58819.12</v>
      </c>
      <c r="AH41" s="406">
        <f t="shared" si="34"/>
        <v>58888.59</v>
      </c>
      <c r="AI41" s="709">
        <v>0</v>
      </c>
      <c r="AJ41" s="204">
        <v>58888.59</v>
      </c>
      <c r="AK41" s="406">
        <f t="shared" si="35"/>
        <v>57753.95</v>
      </c>
      <c r="AL41" s="709">
        <v>0</v>
      </c>
      <c r="AM41" s="204">
        <v>57753.95</v>
      </c>
      <c r="AN41" s="406">
        <f t="shared" si="36"/>
        <v>57815.58</v>
      </c>
      <c r="AO41" s="709">
        <v>0</v>
      </c>
      <c r="AP41" s="204">
        <v>57815.58</v>
      </c>
      <c r="AQ41" s="406">
        <f t="shared" si="37"/>
        <v>57928.94</v>
      </c>
      <c r="AR41" s="709">
        <v>0</v>
      </c>
      <c r="AS41" s="204">
        <v>57928.94</v>
      </c>
      <c r="AT41" s="406">
        <f t="shared" si="38"/>
        <v>57928.94</v>
      </c>
      <c r="AU41" s="709">
        <v>0</v>
      </c>
      <c r="AV41" s="204">
        <v>57928.94</v>
      </c>
      <c r="AW41" s="402">
        <f t="shared" si="10"/>
        <v>58723.828749999993</v>
      </c>
      <c r="AX41" s="403">
        <f t="shared" si="11"/>
        <v>0</v>
      </c>
      <c r="AY41" s="403">
        <f t="shared" si="12"/>
        <v>58723.828749999993</v>
      </c>
    </row>
    <row r="42" spans="1:51">
      <c r="A42" s="154">
        <v>34</v>
      </c>
      <c r="B42" s="199" t="s">
        <v>1341</v>
      </c>
      <c r="C42" s="171" t="s">
        <v>754</v>
      </c>
      <c r="D42" s="171"/>
      <c r="E42" s="171" t="s">
        <v>1009</v>
      </c>
      <c r="F42" s="200" t="s">
        <v>469</v>
      </c>
      <c r="G42" s="200" t="s">
        <v>1346</v>
      </c>
      <c r="H42" s="200"/>
      <c r="I42" s="201"/>
      <c r="J42" s="406">
        <f t="shared" si="26"/>
        <v>-2574.25</v>
      </c>
      <c r="K42" s="709">
        <v>0</v>
      </c>
      <c r="L42" s="204">
        <v>-2574.25</v>
      </c>
      <c r="M42" s="406">
        <f t="shared" si="27"/>
        <v>-2526.58</v>
      </c>
      <c r="N42" s="709">
        <v>0</v>
      </c>
      <c r="O42" s="204">
        <v>-2526.58</v>
      </c>
      <c r="P42" s="406">
        <f t="shared" si="28"/>
        <v>-2478.91</v>
      </c>
      <c r="Q42" s="709">
        <v>0</v>
      </c>
      <c r="R42" s="204">
        <v>-2478.91</v>
      </c>
      <c r="S42" s="406">
        <f t="shared" si="29"/>
        <v>-2431.2399999999998</v>
      </c>
      <c r="T42" s="709">
        <v>0</v>
      </c>
      <c r="U42" s="204">
        <v>-2431.2399999999998</v>
      </c>
      <c r="V42" s="406">
        <f t="shared" si="30"/>
        <v>-2383.5700000000002</v>
      </c>
      <c r="W42" s="709">
        <v>0</v>
      </c>
      <c r="X42" s="204">
        <v>-2383.5700000000002</v>
      </c>
      <c r="Y42" s="406">
        <f t="shared" si="31"/>
        <v>-2335.9</v>
      </c>
      <c r="Z42" s="709">
        <v>0</v>
      </c>
      <c r="AA42" s="204">
        <v>-2335.9</v>
      </c>
      <c r="AB42" s="406">
        <f t="shared" si="32"/>
        <v>-2288.2199999999998</v>
      </c>
      <c r="AC42" s="709">
        <v>0</v>
      </c>
      <c r="AD42" s="204">
        <v>-2288.2199999999998</v>
      </c>
      <c r="AE42" s="406">
        <f t="shared" si="33"/>
        <v>-2240.5500000000002</v>
      </c>
      <c r="AF42" s="709">
        <v>0</v>
      </c>
      <c r="AG42" s="204">
        <v>-2240.5500000000002</v>
      </c>
      <c r="AH42" s="406">
        <f t="shared" si="34"/>
        <v>-2192.88</v>
      </c>
      <c r="AI42" s="709">
        <v>0</v>
      </c>
      <c r="AJ42" s="204">
        <v>-2192.88</v>
      </c>
      <c r="AK42" s="406">
        <f t="shared" si="35"/>
        <v>-2145.21</v>
      </c>
      <c r="AL42" s="709">
        <v>0</v>
      </c>
      <c r="AM42" s="204">
        <v>-2145.21</v>
      </c>
      <c r="AN42" s="406">
        <f t="shared" si="36"/>
        <v>-2097.54</v>
      </c>
      <c r="AO42" s="709">
        <v>0</v>
      </c>
      <c r="AP42" s="204">
        <v>-2097.54</v>
      </c>
      <c r="AQ42" s="406">
        <f t="shared" si="37"/>
        <v>-2049.87</v>
      </c>
      <c r="AR42" s="709">
        <v>0</v>
      </c>
      <c r="AS42" s="204">
        <v>-2049.87</v>
      </c>
      <c r="AT42" s="406">
        <f t="shared" si="38"/>
        <v>-2002.19</v>
      </c>
      <c r="AU42" s="709">
        <v>0</v>
      </c>
      <c r="AV42" s="204">
        <v>-2002.19</v>
      </c>
      <c r="AW42" s="402">
        <f t="shared" si="10"/>
        <v>-2288.2241666666664</v>
      </c>
      <c r="AX42" s="403">
        <f t="shared" si="11"/>
        <v>0</v>
      </c>
      <c r="AY42" s="403">
        <f t="shared" si="12"/>
        <v>-2288.2241666666664</v>
      </c>
    </row>
    <row r="43" spans="1:51" ht="16.2" thickBot="1">
      <c r="A43" s="154">
        <v>35</v>
      </c>
      <c r="B43" s="176"/>
      <c r="C43" s="171"/>
      <c r="D43" s="171"/>
      <c r="E43" s="171"/>
      <c r="F43" s="171"/>
      <c r="G43" s="171"/>
      <c r="H43" s="171"/>
      <c r="I43" s="172"/>
      <c r="J43" s="190">
        <f>SUM(J26:J42)</f>
        <v>-103174323.41000003</v>
      </c>
      <c r="K43" s="190">
        <f t="shared" ref="K43:M43" si="39">SUM(K26:K42)</f>
        <v>-76096889.010000005</v>
      </c>
      <c r="L43" s="190">
        <f t="shared" si="39"/>
        <v>-27077434.400000002</v>
      </c>
      <c r="M43" s="190">
        <f t="shared" si="39"/>
        <v>-103113826.47</v>
      </c>
      <c r="N43" s="190">
        <f t="shared" ref="N43" si="40">SUM(N26:N42)</f>
        <v>-74564232.609999999</v>
      </c>
      <c r="O43" s="190">
        <f t="shared" ref="O43:P43" si="41">SUM(O26:O42)</f>
        <v>-28549593.859999996</v>
      </c>
      <c r="P43" s="190">
        <f t="shared" si="41"/>
        <v>-103051684.97</v>
      </c>
      <c r="Q43" s="190">
        <f t="shared" ref="Q43" si="42">SUM(Q26:Q42)</f>
        <v>-74507195.480000004</v>
      </c>
      <c r="R43" s="190">
        <f t="shared" ref="R43:S43" si="43">SUM(R26:R42)</f>
        <v>-28544489.490000002</v>
      </c>
      <c r="S43" s="190">
        <f t="shared" si="43"/>
        <v>-103002896.50999999</v>
      </c>
      <c r="T43" s="190">
        <f t="shared" ref="T43" si="44">SUM(T26:T42)</f>
        <v>-74459433.410000011</v>
      </c>
      <c r="U43" s="190">
        <f t="shared" ref="U43:V43" si="45">SUM(U26:U42)</f>
        <v>-28543463.100000001</v>
      </c>
      <c r="V43" s="190">
        <f t="shared" si="45"/>
        <v>-102943548.42999998</v>
      </c>
      <c r="W43" s="190">
        <f t="shared" ref="W43" si="46">SUM(W26:W42)</f>
        <v>-74404336.609999985</v>
      </c>
      <c r="X43" s="190">
        <f t="shared" ref="X43:Y43" si="47">SUM(X26:X42)</f>
        <v>-28539211.82</v>
      </c>
      <c r="Y43" s="190">
        <f t="shared" si="47"/>
        <v>-102882029.57000002</v>
      </c>
      <c r="Z43" s="190">
        <f t="shared" ref="Z43" si="48">SUM(Z26:Z42)</f>
        <v>-76158658.930000007</v>
      </c>
      <c r="AA43" s="190">
        <f t="shared" ref="AA43:AB43" si="49">SUM(AA26:AA42)</f>
        <v>-26723370.639999997</v>
      </c>
      <c r="AB43" s="190">
        <f t="shared" si="49"/>
        <v>-102821779.62000003</v>
      </c>
      <c r="AC43" s="190">
        <f t="shared" ref="AC43" si="50">SUM(AC26:AC42)</f>
        <v>-76101451.520000011</v>
      </c>
      <c r="AD43" s="190">
        <f t="shared" ref="AD43:AE43" si="51">SUM(AD26:AD42)</f>
        <v>-26720328.099999998</v>
      </c>
      <c r="AE43" s="190">
        <f t="shared" si="51"/>
        <v>-102762158.17000003</v>
      </c>
      <c r="AF43" s="190">
        <f t="shared" ref="AF43" si="52">SUM(AF26:AF42)</f>
        <v>-76044244.12000002</v>
      </c>
      <c r="AG43" s="190">
        <f t="shared" ref="AG43:AH43" si="53">SUM(AG26:AG42)</f>
        <v>-26717914.049999997</v>
      </c>
      <c r="AH43" s="190">
        <f t="shared" si="53"/>
        <v>-102701045.06</v>
      </c>
      <c r="AI43" s="190">
        <f t="shared" ref="AI43" si="54">SUM(AI26:AI42)</f>
        <v>-75987036.719999999</v>
      </c>
      <c r="AJ43" s="190">
        <f t="shared" ref="AJ43:AK43" si="55">SUM(AJ26:AJ42)</f>
        <v>-26714008.339999996</v>
      </c>
      <c r="AK43" s="190">
        <f t="shared" si="55"/>
        <v>-102654893.3</v>
      </c>
      <c r="AL43" s="190">
        <f t="shared" ref="AL43" si="56">SUM(AL26:AL42)</f>
        <v>-75940902.049999997</v>
      </c>
      <c r="AM43" s="190">
        <f t="shared" ref="AM43:AN43" si="57">SUM(AM26:AM42)</f>
        <v>-26713991.249999996</v>
      </c>
      <c r="AN43" s="190">
        <f t="shared" si="57"/>
        <v>-102593877.55000003</v>
      </c>
      <c r="AO43" s="190">
        <f t="shared" ref="AO43" si="58">SUM(AO26:AO42)</f>
        <v>-75883694.650000006</v>
      </c>
      <c r="AP43" s="190">
        <f t="shared" ref="AP43:AQ43" si="59">SUM(AP26:AP42)</f>
        <v>-26710182.899999999</v>
      </c>
      <c r="AQ43" s="190">
        <f t="shared" si="59"/>
        <v>-103562261.98000002</v>
      </c>
      <c r="AR43" s="190">
        <f t="shared" ref="AR43" si="60">SUM(AR26:AR42)</f>
        <v>-76564459.489999995</v>
      </c>
      <c r="AS43" s="190">
        <f t="shared" ref="AS43:AT43" si="61">SUM(AS26:AS42)</f>
        <v>-26997802.489999995</v>
      </c>
      <c r="AT43" s="190">
        <f t="shared" si="61"/>
        <v>-105143322.19000001</v>
      </c>
      <c r="AU43" s="190">
        <f t="shared" ref="AU43" si="62">SUM(AU26:AU42)</f>
        <v>-77673011.209999993</v>
      </c>
      <c r="AV43" s="190">
        <f t="shared" ref="AV43" si="63">SUM(AV26:AV42)</f>
        <v>-27470310.979999997</v>
      </c>
      <c r="AW43" s="407">
        <f>SUM(AW25:AW42)</f>
        <v>-103020735.36916667</v>
      </c>
      <c r="AX43" s="505">
        <f>SUM(AX25:AX42)</f>
        <v>-75625049.641666636</v>
      </c>
      <c r="AY43" s="408">
        <f>SUM(AY25:AY42)</f>
        <v>-27395685.727499995</v>
      </c>
    </row>
    <row r="44" spans="1:51" s="24" customFormat="1" ht="17.399999999999999" thickTop="1" thickBot="1">
      <c r="A44" s="717">
        <v>30</v>
      </c>
      <c r="B44" s="481" t="s">
        <v>1018</v>
      </c>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482"/>
      <c r="AS44" s="482"/>
      <c r="AT44" s="482"/>
      <c r="AU44" s="482"/>
      <c r="AV44" s="482"/>
      <c r="AW44" s="482"/>
      <c r="AX44" s="482"/>
      <c r="AY44" s="482"/>
    </row>
    <row r="45" spans="1:51" s="24" customFormat="1">
      <c r="A45" s="717">
        <v>31</v>
      </c>
      <c r="B45" s="24" t="s">
        <v>1397</v>
      </c>
      <c r="C45" s="482" t="s">
        <v>754</v>
      </c>
      <c r="E45" s="482"/>
      <c r="F45" s="483">
        <v>1900</v>
      </c>
      <c r="G45" s="483" t="s">
        <v>1010</v>
      </c>
      <c r="H45" s="482"/>
      <c r="I45" s="482"/>
      <c r="J45" s="484">
        <v>-7249.34</v>
      </c>
      <c r="K45" s="485"/>
      <c r="L45" s="486"/>
      <c r="M45" s="485">
        <v>-7165.15</v>
      </c>
      <c r="N45" s="485"/>
      <c r="O45" s="486"/>
      <c r="P45" s="485">
        <v>-7080.94</v>
      </c>
      <c r="Q45" s="485"/>
      <c r="R45" s="486"/>
      <c r="S45" s="485">
        <v>-6996.75</v>
      </c>
      <c r="T45" s="485"/>
      <c r="U45" s="486"/>
      <c r="V45" s="485">
        <v>-6912.56</v>
      </c>
      <c r="W45" s="485"/>
      <c r="X45" s="486"/>
      <c r="Y45" s="485">
        <v>-6828.37</v>
      </c>
      <c r="Z45" s="485"/>
      <c r="AA45" s="486"/>
      <c r="AB45" s="485">
        <v>-6744.18</v>
      </c>
      <c r="AC45" s="485"/>
      <c r="AD45" s="486"/>
      <c r="AE45" s="485">
        <v>-6659.99</v>
      </c>
      <c r="AF45" s="485"/>
      <c r="AG45" s="486"/>
      <c r="AH45" s="485">
        <v>-6575.8</v>
      </c>
      <c r="AI45" s="485"/>
      <c r="AJ45" s="486"/>
      <c r="AK45" s="485">
        <v>-6491.61</v>
      </c>
      <c r="AL45" s="485"/>
      <c r="AM45" s="486"/>
      <c r="AN45" s="485">
        <v>-6407.42</v>
      </c>
      <c r="AO45" s="485"/>
      <c r="AP45" s="486"/>
      <c r="AQ45" s="485">
        <v>-6323.23</v>
      </c>
      <c r="AR45" s="485"/>
      <c r="AS45" s="486"/>
      <c r="AT45" s="485">
        <v>-6239.04</v>
      </c>
      <c r="AU45" s="485"/>
      <c r="AV45" s="486"/>
      <c r="AW45" s="487">
        <f t="shared" ref="AW45:AW72" si="64">+(AT45+J45+(M45+P45+S45+V45+Y45+AB45+AE45+AH45+AK45+AN45+AQ45)*2)/24</f>
        <v>-6744.1824999999999</v>
      </c>
      <c r="AX45" s="482"/>
      <c r="AY45" s="482"/>
    </row>
    <row r="46" spans="1:51" s="24" customFormat="1">
      <c r="A46" s="717">
        <v>32</v>
      </c>
      <c r="B46" s="24" t="s">
        <v>1398</v>
      </c>
      <c r="C46" s="482" t="s">
        <v>754</v>
      </c>
      <c r="E46" s="482"/>
      <c r="F46" s="483" t="s">
        <v>469</v>
      </c>
      <c r="G46" s="483" t="s">
        <v>1011</v>
      </c>
      <c r="H46" s="482"/>
      <c r="I46" s="482"/>
      <c r="J46" s="488">
        <v>2574.23</v>
      </c>
      <c r="K46" s="489"/>
      <c r="L46" s="490"/>
      <c r="M46" s="489">
        <v>2526.5500000000002</v>
      </c>
      <c r="N46" s="489"/>
      <c r="O46" s="490"/>
      <c r="P46" s="489">
        <v>2478.9</v>
      </c>
      <c r="Q46" s="489"/>
      <c r="R46" s="490"/>
      <c r="S46" s="489">
        <v>2431.23</v>
      </c>
      <c r="T46" s="489"/>
      <c r="U46" s="490"/>
      <c r="V46" s="489">
        <v>2383.5700000000002</v>
      </c>
      <c r="W46" s="489"/>
      <c r="X46" s="490"/>
      <c r="Y46" s="489">
        <v>2335.9</v>
      </c>
      <c r="Z46" s="489"/>
      <c r="AA46" s="490"/>
      <c r="AB46" s="489">
        <v>2288.2199999999998</v>
      </c>
      <c r="AC46" s="489"/>
      <c r="AD46" s="490"/>
      <c r="AE46" s="489">
        <v>2240.5700000000002</v>
      </c>
      <c r="AF46" s="489"/>
      <c r="AG46" s="490"/>
      <c r="AH46" s="489">
        <v>2192.91</v>
      </c>
      <c r="AI46" s="489"/>
      <c r="AJ46" s="490"/>
      <c r="AK46" s="489">
        <v>2145.2199999999998</v>
      </c>
      <c r="AL46" s="489"/>
      <c r="AM46" s="490"/>
      <c r="AN46" s="489">
        <v>2097.56</v>
      </c>
      <c r="AO46" s="489"/>
      <c r="AP46" s="490"/>
      <c r="AQ46" s="489">
        <v>2049.87</v>
      </c>
      <c r="AR46" s="489"/>
      <c r="AS46" s="490"/>
      <c r="AT46" s="489">
        <v>2002.16</v>
      </c>
      <c r="AU46" s="489"/>
      <c r="AV46" s="490"/>
      <c r="AW46" s="491">
        <f t="shared" si="64"/>
        <v>2288.2245833333332</v>
      </c>
      <c r="AX46" s="482"/>
      <c r="AY46" s="482"/>
    </row>
    <row r="47" spans="1:51" s="24" customFormat="1">
      <c r="A47" s="154">
        <v>34</v>
      </c>
      <c r="B47" s="24" t="s">
        <v>1399</v>
      </c>
      <c r="C47" s="482" t="s">
        <v>754</v>
      </c>
      <c r="E47" s="482"/>
      <c r="F47" s="483" t="s">
        <v>469</v>
      </c>
      <c r="G47" s="483" t="s">
        <v>1012</v>
      </c>
      <c r="H47" s="482"/>
      <c r="I47" s="482"/>
      <c r="J47" s="488">
        <v>1007436.65</v>
      </c>
      <c r="K47" s="489"/>
      <c r="L47" s="490"/>
      <c r="M47" s="489">
        <v>1007188.66</v>
      </c>
      <c r="N47" s="489"/>
      <c r="O47" s="490"/>
      <c r="P47" s="489">
        <v>1005952.68</v>
      </c>
      <c r="Q47" s="489"/>
      <c r="R47" s="490"/>
      <c r="S47" s="489">
        <v>1003898.25</v>
      </c>
      <c r="T47" s="489"/>
      <c r="U47" s="490"/>
      <c r="V47" s="489">
        <v>1001032.56</v>
      </c>
      <c r="W47" s="489"/>
      <c r="X47" s="490"/>
      <c r="Y47" s="489">
        <v>418897.9</v>
      </c>
      <c r="Z47" s="489"/>
      <c r="AA47" s="490"/>
      <c r="AB47" s="489">
        <v>408252.29</v>
      </c>
      <c r="AC47" s="489"/>
      <c r="AD47" s="490"/>
      <c r="AE47" s="489">
        <v>407353.09</v>
      </c>
      <c r="AF47" s="489"/>
      <c r="AG47" s="490"/>
      <c r="AH47" s="489">
        <v>405581.88</v>
      </c>
      <c r="AI47" s="489"/>
      <c r="AJ47" s="490"/>
      <c r="AK47" s="489">
        <v>404369.91999999998</v>
      </c>
      <c r="AL47" s="489"/>
      <c r="AM47" s="490"/>
      <c r="AN47" s="489">
        <v>401034.88</v>
      </c>
      <c r="AO47" s="489"/>
      <c r="AP47" s="490"/>
      <c r="AQ47" s="489">
        <v>399699.02</v>
      </c>
      <c r="AR47" s="489"/>
      <c r="AS47" s="490"/>
      <c r="AT47" s="489">
        <v>329517.43</v>
      </c>
      <c r="AU47" s="489"/>
      <c r="AV47" s="490"/>
      <c r="AW47" s="491">
        <f t="shared" si="64"/>
        <v>627644.84749999992</v>
      </c>
      <c r="AX47" s="482"/>
      <c r="AY47" s="482"/>
    </row>
    <row r="48" spans="1:51" s="24" customFormat="1">
      <c r="A48" s="154">
        <v>35</v>
      </c>
      <c r="B48" s="24" t="s">
        <v>1400</v>
      </c>
      <c r="C48" s="482" t="s">
        <v>754</v>
      </c>
      <c r="E48" s="482"/>
      <c r="F48" s="483" t="s">
        <v>469</v>
      </c>
      <c r="G48" s="483" t="s">
        <v>200</v>
      </c>
      <c r="H48" s="482"/>
      <c r="I48" s="482"/>
      <c r="J48" s="488">
        <v>145396.82</v>
      </c>
      <c r="K48" s="489"/>
      <c r="L48" s="490"/>
      <c r="M48" s="489">
        <v>148421.38</v>
      </c>
      <c r="N48" s="489"/>
      <c r="O48" s="490"/>
      <c r="P48" s="489">
        <v>128771.35</v>
      </c>
      <c r="Q48" s="489"/>
      <c r="R48" s="490"/>
      <c r="S48" s="489">
        <v>129857.41</v>
      </c>
      <c r="T48" s="489"/>
      <c r="U48" s="490"/>
      <c r="V48" s="489">
        <v>112857.27</v>
      </c>
      <c r="W48" s="489"/>
      <c r="X48" s="490"/>
      <c r="Y48" s="489">
        <v>114490.48</v>
      </c>
      <c r="Z48" s="489"/>
      <c r="AA48" s="490"/>
      <c r="AB48" s="489">
        <v>117214.76</v>
      </c>
      <c r="AC48" s="489"/>
      <c r="AD48" s="490"/>
      <c r="AE48" s="489">
        <v>119154.55</v>
      </c>
      <c r="AF48" s="489"/>
      <c r="AG48" s="490"/>
      <c r="AH48" s="489">
        <v>121273.61</v>
      </c>
      <c r="AI48" s="489"/>
      <c r="AJ48" s="490"/>
      <c r="AK48" s="489">
        <v>120858.67</v>
      </c>
      <c r="AL48" s="489"/>
      <c r="AM48" s="490"/>
      <c r="AN48" s="489">
        <v>120291.11</v>
      </c>
      <c r="AO48" s="489"/>
      <c r="AP48" s="490"/>
      <c r="AQ48" s="489">
        <v>100655.08</v>
      </c>
      <c r="AR48" s="489"/>
      <c r="AS48" s="490"/>
      <c r="AT48" s="489">
        <v>152233.85999999999</v>
      </c>
      <c r="AU48" s="489"/>
      <c r="AV48" s="490"/>
      <c r="AW48" s="491">
        <f t="shared" si="64"/>
        <v>123555.08416666668</v>
      </c>
      <c r="AX48" s="482"/>
      <c r="AY48" s="482"/>
    </row>
    <row r="49" spans="1:51" s="24" customFormat="1">
      <c r="A49" s="154">
        <v>36</v>
      </c>
      <c r="B49" s="24" t="s">
        <v>1401</v>
      </c>
      <c r="C49" s="482" t="s">
        <v>754</v>
      </c>
      <c r="E49" s="482"/>
      <c r="F49" s="483" t="s">
        <v>469</v>
      </c>
      <c r="G49" s="483" t="s">
        <v>1013</v>
      </c>
      <c r="H49" s="482"/>
      <c r="I49" s="482"/>
      <c r="J49" s="488">
        <v>-82824.95</v>
      </c>
      <c r="K49" s="489"/>
      <c r="L49" s="490"/>
      <c r="M49" s="489">
        <v>-81863.039999999994</v>
      </c>
      <c r="N49" s="489"/>
      <c r="O49" s="490"/>
      <c r="P49" s="489">
        <v>-80901.16</v>
      </c>
      <c r="Q49" s="489"/>
      <c r="R49" s="490"/>
      <c r="S49" s="489">
        <v>-79939.23</v>
      </c>
      <c r="T49" s="489"/>
      <c r="U49" s="490"/>
      <c r="V49" s="489">
        <v>-78977.33</v>
      </c>
      <c r="W49" s="489"/>
      <c r="X49" s="490"/>
      <c r="Y49" s="489">
        <v>-78015.429999999993</v>
      </c>
      <c r="Z49" s="489"/>
      <c r="AA49" s="490"/>
      <c r="AB49" s="489">
        <v>-77053.539999999994</v>
      </c>
      <c r="AC49" s="489"/>
      <c r="AD49" s="490"/>
      <c r="AE49" s="489">
        <v>-76091.649999999994</v>
      </c>
      <c r="AF49" s="489"/>
      <c r="AG49" s="490"/>
      <c r="AH49" s="489">
        <v>-75129.75</v>
      </c>
      <c r="AI49" s="489"/>
      <c r="AJ49" s="490"/>
      <c r="AK49" s="489">
        <v>-74167.83</v>
      </c>
      <c r="AL49" s="489"/>
      <c r="AM49" s="490"/>
      <c r="AN49" s="489">
        <v>-73205.919999999998</v>
      </c>
      <c r="AO49" s="489"/>
      <c r="AP49" s="490"/>
      <c r="AQ49" s="489">
        <v>-72244.02</v>
      </c>
      <c r="AR49" s="489"/>
      <c r="AS49" s="490"/>
      <c r="AT49" s="489">
        <v>-71282.13</v>
      </c>
      <c r="AU49" s="489"/>
      <c r="AV49" s="490"/>
      <c r="AW49" s="491">
        <f t="shared" si="64"/>
        <v>-77053.536666666667</v>
      </c>
      <c r="AX49" s="482"/>
      <c r="AY49" s="482"/>
    </row>
    <row r="50" spans="1:51" s="24" customFormat="1">
      <c r="A50" s="154">
        <v>37</v>
      </c>
      <c r="B50" s="24" t="s">
        <v>1402</v>
      </c>
      <c r="C50" s="482" t="s">
        <v>754</v>
      </c>
      <c r="E50" s="482"/>
      <c r="F50" s="483" t="s">
        <v>469</v>
      </c>
      <c r="G50" s="483" t="s">
        <v>1014</v>
      </c>
      <c r="H50" s="482"/>
      <c r="I50" s="482"/>
      <c r="J50" s="488">
        <v>-314153.82</v>
      </c>
      <c r="K50" s="489"/>
      <c r="L50" s="490"/>
      <c r="M50" s="489">
        <v>-310487.56</v>
      </c>
      <c r="N50" s="489"/>
      <c r="O50" s="490"/>
      <c r="P50" s="489">
        <v>-306821.32</v>
      </c>
      <c r="Q50" s="489"/>
      <c r="R50" s="490"/>
      <c r="S50" s="489">
        <v>-303155.03999999998</v>
      </c>
      <c r="T50" s="489"/>
      <c r="U50" s="490"/>
      <c r="V50" s="489">
        <v>-299488.8</v>
      </c>
      <c r="W50" s="489"/>
      <c r="X50" s="490"/>
      <c r="Y50" s="489">
        <v>-295822.51</v>
      </c>
      <c r="Z50" s="489"/>
      <c r="AA50" s="490"/>
      <c r="AB50" s="489">
        <v>-292156.31</v>
      </c>
      <c r="AC50" s="489"/>
      <c r="AD50" s="490"/>
      <c r="AE50" s="489">
        <v>-288490.09000000003</v>
      </c>
      <c r="AF50" s="489"/>
      <c r="AG50" s="490"/>
      <c r="AH50" s="489">
        <v>-284823.81</v>
      </c>
      <c r="AI50" s="489"/>
      <c r="AJ50" s="490"/>
      <c r="AK50" s="489">
        <v>-281157.56</v>
      </c>
      <c r="AL50" s="489"/>
      <c r="AM50" s="490"/>
      <c r="AN50" s="489">
        <v>-277491.31</v>
      </c>
      <c r="AO50" s="489"/>
      <c r="AP50" s="490"/>
      <c r="AQ50" s="489">
        <v>-273824.98</v>
      </c>
      <c r="AR50" s="489"/>
      <c r="AS50" s="490"/>
      <c r="AT50" s="489">
        <v>-270158.8</v>
      </c>
      <c r="AU50" s="489"/>
      <c r="AV50" s="490"/>
      <c r="AW50" s="491">
        <f t="shared" si="64"/>
        <v>-292156.3</v>
      </c>
      <c r="AX50" s="482"/>
      <c r="AY50" s="482"/>
    </row>
    <row r="51" spans="1:51" s="24" customFormat="1">
      <c r="A51" s="154">
        <v>39</v>
      </c>
      <c r="B51" s="24" t="s">
        <v>1403</v>
      </c>
      <c r="C51" s="482" t="s">
        <v>754</v>
      </c>
      <c r="E51" s="482"/>
      <c r="F51" s="483" t="s">
        <v>469</v>
      </c>
      <c r="G51" s="483" t="s">
        <v>1015</v>
      </c>
      <c r="H51" s="482"/>
      <c r="I51" s="482"/>
      <c r="J51" s="488">
        <v>11510145.4</v>
      </c>
      <c r="K51" s="489"/>
      <c r="L51" s="490"/>
      <c r="M51" s="489">
        <v>11507312.039999999</v>
      </c>
      <c r="N51" s="489"/>
      <c r="O51" s="490"/>
      <c r="P51" s="489">
        <v>11493190.75</v>
      </c>
      <c r="Q51" s="489"/>
      <c r="R51" s="490"/>
      <c r="S51" s="489">
        <v>11469718.529999999</v>
      </c>
      <c r="T51" s="489"/>
      <c r="U51" s="490"/>
      <c r="V51" s="489">
        <v>11436977.539999999</v>
      </c>
      <c r="W51" s="489"/>
      <c r="X51" s="490"/>
      <c r="Y51" s="489">
        <v>4785984.6900000004</v>
      </c>
      <c r="Z51" s="489"/>
      <c r="AA51" s="490"/>
      <c r="AB51" s="489">
        <v>4664356.68</v>
      </c>
      <c r="AC51" s="489"/>
      <c r="AD51" s="490"/>
      <c r="AE51" s="489">
        <v>4654083.1500000004</v>
      </c>
      <c r="AF51" s="489"/>
      <c r="AG51" s="490"/>
      <c r="AH51" s="489">
        <v>4633846.72</v>
      </c>
      <c r="AI51" s="489"/>
      <c r="AJ51" s="490"/>
      <c r="AK51" s="489">
        <v>4619999.8499999996</v>
      </c>
      <c r="AL51" s="489"/>
      <c r="AM51" s="490"/>
      <c r="AN51" s="489">
        <v>4581896.46</v>
      </c>
      <c r="AO51" s="489"/>
      <c r="AP51" s="490"/>
      <c r="AQ51" s="489">
        <v>4566634.12</v>
      </c>
      <c r="AR51" s="489"/>
      <c r="AS51" s="490"/>
      <c r="AT51" s="489">
        <v>3764796.5</v>
      </c>
      <c r="AU51" s="489"/>
      <c r="AV51" s="490"/>
      <c r="AW51" s="491">
        <f t="shared" si="64"/>
        <v>7170955.9566666661</v>
      </c>
      <c r="AX51" s="482"/>
      <c r="AY51" s="482"/>
    </row>
    <row r="52" spans="1:51" s="24" customFormat="1">
      <c r="A52" s="154">
        <v>40</v>
      </c>
      <c r="B52" s="24" t="s">
        <v>1404</v>
      </c>
      <c r="C52" s="482" t="s">
        <v>754</v>
      </c>
      <c r="E52" s="482"/>
      <c r="F52" s="483" t="s">
        <v>469</v>
      </c>
      <c r="G52" s="483" t="s">
        <v>1165</v>
      </c>
      <c r="H52" s="482"/>
      <c r="I52" s="482"/>
      <c r="J52" s="492">
        <v>1661184.9</v>
      </c>
      <c r="K52" s="489"/>
      <c r="L52" s="490"/>
      <c r="M52" s="492">
        <v>1695741.01</v>
      </c>
      <c r="N52" s="489"/>
      <c r="O52" s="490"/>
      <c r="P52" s="492">
        <v>1471236.01</v>
      </c>
      <c r="Q52" s="489"/>
      <c r="R52" s="490"/>
      <c r="S52" s="492">
        <v>1483644.41</v>
      </c>
      <c r="T52" s="489"/>
      <c r="U52" s="490"/>
      <c r="V52" s="492">
        <v>1289414.67</v>
      </c>
      <c r="W52" s="489"/>
      <c r="X52" s="490"/>
      <c r="Y52" s="492">
        <v>1308074.3700000001</v>
      </c>
      <c r="Z52" s="489"/>
      <c r="AA52" s="490"/>
      <c r="AB52" s="492">
        <v>1339199.76</v>
      </c>
      <c r="AC52" s="489"/>
      <c r="AD52" s="490"/>
      <c r="AE52" s="492">
        <v>1361362.4</v>
      </c>
      <c r="AF52" s="489"/>
      <c r="AG52" s="490"/>
      <c r="AH52" s="492">
        <v>1385573.15</v>
      </c>
      <c r="AI52" s="489"/>
      <c r="AJ52" s="490"/>
      <c r="AK52" s="492">
        <v>1380832.33</v>
      </c>
      <c r="AL52" s="489"/>
      <c r="AM52" s="490"/>
      <c r="AN52" s="492">
        <v>1374347.93</v>
      </c>
      <c r="AO52" s="489"/>
      <c r="AP52" s="490"/>
      <c r="AQ52" s="492">
        <v>1150002.48</v>
      </c>
      <c r="AR52" s="489"/>
      <c r="AS52" s="490"/>
      <c r="AT52" s="492">
        <v>1739299.2</v>
      </c>
      <c r="AU52" s="489"/>
      <c r="AV52" s="489"/>
      <c r="AW52" s="493">
        <f t="shared" si="64"/>
        <v>1411639.2141666666</v>
      </c>
      <c r="AX52" s="482"/>
      <c r="AY52" s="482"/>
    </row>
    <row r="53" spans="1:51" s="24" customFormat="1">
      <c r="A53" s="154">
        <v>41</v>
      </c>
      <c r="C53" s="482"/>
      <c r="E53" s="482"/>
      <c r="F53" s="482"/>
      <c r="G53" s="482"/>
      <c r="H53" s="482"/>
      <c r="I53" s="482"/>
      <c r="J53" s="488">
        <f>SUM(J45:J52)</f>
        <v>13922509.890000001</v>
      </c>
      <c r="K53" s="489"/>
      <c r="L53" s="490"/>
      <c r="M53" s="489">
        <f>SUM(M45:M52)</f>
        <v>13961673.889999999</v>
      </c>
      <c r="N53" s="489"/>
      <c r="O53" s="489"/>
      <c r="P53" s="489">
        <f>SUM(P45:P52)</f>
        <v>13706826.27</v>
      </c>
      <c r="Q53" s="489"/>
      <c r="R53" s="489"/>
      <c r="S53" s="489">
        <f>SUM(S45:S52)</f>
        <v>13699458.809999999</v>
      </c>
      <c r="T53" s="489"/>
      <c r="U53" s="489"/>
      <c r="V53" s="489">
        <f>SUM(V45:V52)</f>
        <v>13457286.92</v>
      </c>
      <c r="W53" s="489"/>
      <c r="X53" s="489"/>
      <c r="Y53" s="489">
        <f>SUM(Y45:Y52)</f>
        <v>6249117.0300000003</v>
      </c>
      <c r="Z53" s="489"/>
      <c r="AA53" s="489"/>
      <c r="AB53" s="489">
        <f>SUM(AB45:AB52)</f>
        <v>6155357.6799999997</v>
      </c>
      <c r="AC53" s="489"/>
      <c r="AD53" s="489"/>
      <c r="AE53" s="489">
        <f>SUM(AE45:AE52)</f>
        <v>6172952.0300000012</v>
      </c>
      <c r="AF53" s="489"/>
      <c r="AG53" s="489"/>
      <c r="AH53" s="489">
        <f>SUM(AH45:AH52)</f>
        <v>6181938.9100000001</v>
      </c>
      <c r="AI53" s="489"/>
      <c r="AJ53" s="489"/>
      <c r="AK53" s="489">
        <f>SUM(AK45:AK52)</f>
        <v>6166388.9899999993</v>
      </c>
      <c r="AL53" s="489"/>
      <c r="AM53" s="489"/>
      <c r="AN53" s="489">
        <f>SUM(AN45:AN52)</f>
        <v>6122563.29</v>
      </c>
      <c r="AO53" s="489"/>
      <c r="AP53" s="489"/>
      <c r="AQ53" s="489">
        <f>SUM(AQ45:AQ52)</f>
        <v>5866648.3399999999</v>
      </c>
      <c r="AR53" s="489"/>
      <c r="AS53" s="489"/>
      <c r="AT53" s="489">
        <f>SUM(AT45:AT52)</f>
        <v>5640169.1799999997</v>
      </c>
      <c r="AU53" s="489"/>
      <c r="AV53" s="489"/>
      <c r="AW53" s="491">
        <f t="shared" si="64"/>
        <v>8960129.3079166654</v>
      </c>
      <c r="AX53" s="482"/>
      <c r="AY53" s="482"/>
    </row>
    <row r="54" spans="1:51" s="24" customFormat="1">
      <c r="A54" s="154">
        <v>42</v>
      </c>
      <c r="C54" s="482"/>
      <c r="E54" s="482"/>
      <c r="F54" s="482"/>
      <c r="G54" s="482"/>
      <c r="H54" s="482"/>
      <c r="I54" s="482"/>
      <c r="J54" s="488"/>
      <c r="K54" s="489"/>
      <c r="L54" s="490"/>
      <c r="M54" s="489"/>
      <c r="N54" s="489"/>
      <c r="O54" s="490"/>
      <c r="P54" s="489"/>
      <c r="Q54" s="489"/>
      <c r="R54" s="490"/>
      <c r="S54" s="489"/>
      <c r="T54" s="489"/>
      <c r="U54" s="490"/>
      <c r="V54" s="489"/>
      <c r="W54" s="489"/>
      <c r="X54" s="490"/>
      <c r="Y54" s="489"/>
      <c r="Z54" s="489"/>
      <c r="AA54" s="490"/>
      <c r="AB54" s="489"/>
      <c r="AC54" s="489"/>
      <c r="AD54" s="490"/>
      <c r="AE54" s="489"/>
      <c r="AF54" s="489"/>
      <c r="AG54" s="490"/>
      <c r="AH54" s="489"/>
      <c r="AI54" s="489"/>
      <c r="AJ54" s="490"/>
      <c r="AK54" s="489"/>
      <c r="AL54" s="489"/>
      <c r="AM54" s="490"/>
      <c r="AN54" s="489"/>
      <c r="AO54" s="489"/>
      <c r="AP54" s="490"/>
      <c r="AQ54" s="489"/>
      <c r="AR54" s="489"/>
      <c r="AS54" s="490"/>
      <c r="AT54" s="489"/>
      <c r="AU54" s="489"/>
      <c r="AV54" s="490"/>
      <c r="AW54" s="491"/>
      <c r="AX54" s="482"/>
      <c r="AY54" s="482"/>
    </row>
    <row r="55" spans="1:51" s="24" customFormat="1">
      <c r="A55" s="154">
        <v>43</v>
      </c>
      <c r="B55" s="24" t="s">
        <v>1397</v>
      </c>
      <c r="C55" s="482" t="s">
        <v>754</v>
      </c>
      <c r="E55" s="482"/>
      <c r="F55" s="482" t="s">
        <v>641</v>
      </c>
      <c r="G55" s="482" t="s">
        <v>1010</v>
      </c>
      <c r="H55" s="482"/>
      <c r="I55" s="482"/>
      <c r="J55" s="488">
        <v>895436.16</v>
      </c>
      <c r="K55" s="489"/>
      <c r="L55" s="490"/>
      <c r="M55" s="489">
        <v>891841.56</v>
      </c>
      <c r="N55" s="489"/>
      <c r="O55" s="490"/>
      <c r="P55" s="489">
        <v>888246.94</v>
      </c>
      <c r="Q55" s="489"/>
      <c r="R55" s="490"/>
      <c r="S55" s="489">
        <v>884652.33</v>
      </c>
      <c r="T55" s="489"/>
      <c r="U55" s="490"/>
      <c r="V55" s="489">
        <v>881057.7</v>
      </c>
      <c r="W55" s="489"/>
      <c r="X55" s="490"/>
      <c r="Y55" s="489">
        <v>877463.1</v>
      </c>
      <c r="Z55" s="489"/>
      <c r="AA55" s="490"/>
      <c r="AB55" s="489">
        <v>873868.48</v>
      </c>
      <c r="AC55" s="489"/>
      <c r="AD55" s="490"/>
      <c r="AE55" s="489">
        <v>870273.95</v>
      </c>
      <c r="AF55" s="489"/>
      <c r="AG55" s="490"/>
      <c r="AH55" s="489">
        <v>866679.33</v>
      </c>
      <c r="AI55" s="489"/>
      <c r="AJ55" s="490"/>
      <c r="AK55" s="489">
        <v>863084.72</v>
      </c>
      <c r="AL55" s="489"/>
      <c r="AM55" s="490"/>
      <c r="AN55" s="489">
        <v>859490.1</v>
      </c>
      <c r="AO55" s="489"/>
      <c r="AP55" s="490"/>
      <c r="AQ55" s="489">
        <v>855502.51</v>
      </c>
      <c r="AR55" s="489"/>
      <c r="AS55" s="490"/>
      <c r="AT55" s="489">
        <v>850011.25</v>
      </c>
      <c r="AU55" s="489"/>
      <c r="AV55" s="490"/>
      <c r="AW55" s="491">
        <f t="shared" si="64"/>
        <v>873740.36874999991</v>
      </c>
      <c r="AX55" s="482"/>
      <c r="AY55" s="482"/>
    </row>
    <row r="56" spans="1:51" s="24" customFormat="1">
      <c r="A56" s="154">
        <v>44</v>
      </c>
      <c r="B56" s="24" t="s">
        <v>1398</v>
      </c>
      <c r="C56" s="482" t="s">
        <v>754</v>
      </c>
      <c r="E56" s="482"/>
      <c r="F56" s="482" t="s">
        <v>641</v>
      </c>
      <c r="G56" s="482" t="s">
        <v>1011</v>
      </c>
      <c r="H56" s="482"/>
      <c r="I56" s="482"/>
      <c r="J56" s="488">
        <v>-798533.89</v>
      </c>
      <c r="K56" s="489"/>
      <c r="L56" s="490"/>
      <c r="M56" s="489">
        <v>-793515.04</v>
      </c>
      <c r="N56" s="489"/>
      <c r="O56" s="490"/>
      <c r="P56" s="489">
        <v>-788496.17</v>
      </c>
      <c r="Q56" s="489"/>
      <c r="R56" s="490"/>
      <c r="S56" s="489">
        <v>-783477.27</v>
      </c>
      <c r="T56" s="489"/>
      <c r="U56" s="490"/>
      <c r="V56" s="489">
        <v>-778458.43</v>
      </c>
      <c r="W56" s="489"/>
      <c r="X56" s="490"/>
      <c r="Y56" s="489">
        <v>-773439.56</v>
      </c>
      <c r="Z56" s="489"/>
      <c r="AA56" s="490"/>
      <c r="AB56" s="489">
        <v>-768420.69</v>
      </c>
      <c r="AC56" s="489"/>
      <c r="AD56" s="490"/>
      <c r="AE56" s="489">
        <v>-763401.51</v>
      </c>
      <c r="AF56" s="489"/>
      <c r="AG56" s="490"/>
      <c r="AH56" s="489">
        <v>-758382.62</v>
      </c>
      <c r="AI56" s="489"/>
      <c r="AJ56" s="490"/>
      <c r="AK56" s="489">
        <v>-753363.76</v>
      </c>
      <c r="AL56" s="489"/>
      <c r="AM56" s="490"/>
      <c r="AN56" s="489">
        <v>-748344.91</v>
      </c>
      <c r="AO56" s="489"/>
      <c r="AP56" s="490"/>
      <c r="AQ56" s="489">
        <v>-751585.57</v>
      </c>
      <c r="AR56" s="489"/>
      <c r="AS56" s="490"/>
      <c r="AT56" s="489">
        <v>-748372.32</v>
      </c>
      <c r="AU56" s="489"/>
      <c r="AV56" s="490"/>
      <c r="AW56" s="491">
        <f t="shared" si="64"/>
        <v>-769528.21958333335</v>
      </c>
      <c r="AX56" s="482"/>
      <c r="AY56" s="482"/>
    </row>
    <row r="57" spans="1:51" s="24" customFormat="1">
      <c r="A57" s="154">
        <v>46</v>
      </c>
      <c r="B57" s="24" t="s">
        <v>1399</v>
      </c>
      <c r="C57" s="482" t="s">
        <v>754</v>
      </c>
      <c r="E57" s="482"/>
      <c r="F57" s="482" t="s">
        <v>641</v>
      </c>
      <c r="G57" s="482" t="s">
        <v>1012</v>
      </c>
      <c r="H57" s="482"/>
      <c r="I57" s="482"/>
      <c r="J57" s="488">
        <v>492728.47</v>
      </c>
      <c r="K57" s="489"/>
      <c r="L57" s="490"/>
      <c r="M57" s="489">
        <v>491067.3</v>
      </c>
      <c r="N57" s="489"/>
      <c r="O57" s="490"/>
      <c r="P57" s="489">
        <v>491190.19</v>
      </c>
      <c r="Q57" s="489"/>
      <c r="R57" s="490"/>
      <c r="S57" s="489">
        <v>494874.48</v>
      </c>
      <c r="T57" s="489"/>
      <c r="U57" s="490"/>
      <c r="V57" s="489">
        <v>495326.42</v>
      </c>
      <c r="W57" s="489"/>
      <c r="X57" s="490"/>
      <c r="Y57" s="489">
        <v>494892.02</v>
      </c>
      <c r="Z57" s="489"/>
      <c r="AA57" s="490"/>
      <c r="AB57" s="489">
        <v>494416.3</v>
      </c>
      <c r="AC57" s="489"/>
      <c r="AD57" s="490"/>
      <c r="AE57" s="489">
        <v>494046.33</v>
      </c>
      <c r="AF57" s="489"/>
      <c r="AG57" s="490"/>
      <c r="AH57" s="489">
        <v>499096.44</v>
      </c>
      <c r="AI57" s="489"/>
      <c r="AJ57" s="490"/>
      <c r="AK57" s="489">
        <v>500831.95</v>
      </c>
      <c r="AL57" s="489"/>
      <c r="AM57" s="490"/>
      <c r="AN57" s="489">
        <v>501238.35</v>
      </c>
      <c r="AO57" s="489"/>
      <c r="AP57" s="490"/>
      <c r="AQ57" s="489">
        <v>428206.76</v>
      </c>
      <c r="AR57" s="489"/>
      <c r="AS57" s="490"/>
      <c r="AT57" s="489">
        <v>505732.86</v>
      </c>
      <c r="AU57" s="489"/>
      <c r="AV57" s="490"/>
      <c r="AW57" s="491">
        <f t="shared" si="64"/>
        <v>490368.1004166666</v>
      </c>
      <c r="AX57" s="482"/>
      <c r="AY57" s="482"/>
    </row>
    <row r="58" spans="1:51" s="24" customFormat="1">
      <c r="A58" s="154">
        <v>47</v>
      </c>
      <c r="B58" s="24" t="s">
        <v>1400</v>
      </c>
      <c r="C58" s="482" t="s">
        <v>754</v>
      </c>
      <c r="E58" s="482"/>
      <c r="F58" s="482" t="s">
        <v>641</v>
      </c>
      <c r="G58" s="482" t="s">
        <v>200</v>
      </c>
      <c r="H58" s="482"/>
      <c r="I58" s="482"/>
      <c r="J58" s="488">
        <v>0</v>
      </c>
      <c r="K58" s="489"/>
      <c r="L58" s="490"/>
      <c r="M58" s="489">
        <v>0</v>
      </c>
      <c r="N58" s="489"/>
      <c r="O58" s="490"/>
      <c r="P58" s="489">
        <v>0</v>
      </c>
      <c r="Q58" s="489"/>
      <c r="R58" s="490"/>
      <c r="S58" s="489">
        <v>0</v>
      </c>
      <c r="T58" s="489"/>
      <c r="U58" s="490"/>
      <c r="V58" s="489">
        <v>0</v>
      </c>
      <c r="W58" s="489"/>
      <c r="X58" s="490"/>
      <c r="Y58" s="489">
        <v>0</v>
      </c>
      <c r="Z58" s="489"/>
      <c r="AA58" s="490"/>
      <c r="AB58" s="489">
        <v>0</v>
      </c>
      <c r="AC58" s="489"/>
      <c r="AD58" s="490"/>
      <c r="AE58" s="489">
        <v>0</v>
      </c>
      <c r="AF58" s="489"/>
      <c r="AG58" s="490"/>
      <c r="AH58" s="489">
        <v>0</v>
      </c>
      <c r="AI58" s="489"/>
      <c r="AJ58" s="490"/>
      <c r="AK58" s="489">
        <v>0</v>
      </c>
      <c r="AL58" s="489"/>
      <c r="AM58" s="490"/>
      <c r="AN58" s="489">
        <v>0</v>
      </c>
      <c r="AO58" s="489"/>
      <c r="AP58" s="490"/>
      <c r="AQ58" s="489">
        <v>0</v>
      </c>
      <c r="AR58" s="489"/>
      <c r="AS58" s="490"/>
      <c r="AT58" s="489">
        <v>0</v>
      </c>
      <c r="AU58" s="489"/>
      <c r="AV58" s="490"/>
      <c r="AW58" s="491">
        <f t="shared" si="64"/>
        <v>0</v>
      </c>
      <c r="AX58" s="482"/>
      <c r="AY58" s="482"/>
    </row>
    <row r="59" spans="1:51" s="24" customFormat="1">
      <c r="A59" s="154">
        <v>48</v>
      </c>
      <c r="B59" s="24" t="s">
        <v>1401</v>
      </c>
      <c r="C59" s="482" t="s">
        <v>754</v>
      </c>
      <c r="E59" s="482"/>
      <c r="F59" s="482" t="s">
        <v>641</v>
      </c>
      <c r="G59" s="482" t="s">
        <v>1013</v>
      </c>
      <c r="H59" s="482"/>
      <c r="I59" s="482"/>
      <c r="J59" s="488">
        <v>10230519.77</v>
      </c>
      <c r="K59" s="489"/>
      <c r="L59" s="490"/>
      <c r="M59" s="489">
        <v>10189450.65</v>
      </c>
      <c r="N59" s="489"/>
      <c r="O59" s="490"/>
      <c r="P59" s="489">
        <v>10148381.529999999</v>
      </c>
      <c r="Q59" s="489"/>
      <c r="R59" s="490"/>
      <c r="S59" s="489">
        <v>10107312.4</v>
      </c>
      <c r="T59" s="489"/>
      <c r="U59" s="490"/>
      <c r="V59" s="489">
        <v>10066243.27</v>
      </c>
      <c r="W59" s="489"/>
      <c r="X59" s="490"/>
      <c r="Y59" s="489">
        <v>10025174.17</v>
      </c>
      <c r="Z59" s="489"/>
      <c r="AA59" s="490"/>
      <c r="AB59" s="489">
        <v>9984105.0199999996</v>
      </c>
      <c r="AC59" s="489"/>
      <c r="AD59" s="490"/>
      <c r="AE59" s="489">
        <v>9943036.9100000001</v>
      </c>
      <c r="AF59" s="489"/>
      <c r="AG59" s="490"/>
      <c r="AH59" s="489">
        <v>9901967.7899999991</v>
      </c>
      <c r="AI59" s="489"/>
      <c r="AJ59" s="490"/>
      <c r="AK59" s="489">
        <v>9860898.6600000001</v>
      </c>
      <c r="AL59" s="489"/>
      <c r="AM59" s="490"/>
      <c r="AN59" s="489">
        <v>9819829.5399999991</v>
      </c>
      <c r="AO59" s="489"/>
      <c r="AP59" s="490"/>
      <c r="AQ59" s="489">
        <v>9774270.3900000006</v>
      </c>
      <c r="AR59" s="489"/>
      <c r="AS59" s="490"/>
      <c r="AT59" s="489">
        <v>9711531.8900000006</v>
      </c>
      <c r="AU59" s="489"/>
      <c r="AV59" s="490"/>
      <c r="AW59" s="491">
        <f t="shared" si="64"/>
        <v>9982641.3466666639</v>
      </c>
      <c r="AX59" s="482"/>
      <c r="AY59" s="482"/>
    </row>
    <row r="60" spans="1:51" s="24" customFormat="1">
      <c r="A60" s="154">
        <v>49</v>
      </c>
      <c r="B60" s="24" t="s">
        <v>1402</v>
      </c>
      <c r="C60" s="482" t="s">
        <v>754</v>
      </c>
      <c r="E60" s="482"/>
      <c r="F60" s="482" t="s">
        <v>641</v>
      </c>
      <c r="G60" s="482" t="s">
        <v>1014</v>
      </c>
      <c r="H60" s="482"/>
      <c r="I60" s="482"/>
      <c r="J60" s="488">
        <v>39297042.920000002</v>
      </c>
      <c r="K60" s="489"/>
      <c r="L60" s="490"/>
      <c r="M60" s="489">
        <v>39137349.799999997</v>
      </c>
      <c r="N60" s="489"/>
      <c r="O60" s="490"/>
      <c r="P60" s="489">
        <v>38977656.649999999</v>
      </c>
      <c r="Q60" s="489"/>
      <c r="R60" s="490"/>
      <c r="S60" s="489">
        <v>38817963.509999998</v>
      </c>
      <c r="T60" s="489"/>
      <c r="U60" s="490"/>
      <c r="V60" s="489">
        <v>38658270.439999998</v>
      </c>
      <c r="W60" s="489"/>
      <c r="X60" s="490"/>
      <c r="Y60" s="489">
        <v>38498577.340000004</v>
      </c>
      <c r="Z60" s="489"/>
      <c r="AA60" s="490"/>
      <c r="AB60" s="489">
        <v>38338884.200000003</v>
      </c>
      <c r="AC60" s="489"/>
      <c r="AD60" s="490"/>
      <c r="AE60" s="489">
        <v>38179194.590000004</v>
      </c>
      <c r="AF60" s="489"/>
      <c r="AG60" s="490"/>
      <c r="AH60" s="489">
        <v>38019501.460000001</v>
      </c>
      <c r="AI60" s="489"/>
      <c r="AJ60" s="490"/>
      <c r="AK60" s="489">
        <v>37859808.329999998</v>
      </c>
      <c r="AL60" s="489"/>
      <c r="AM60" s="490"/>
      <c r="AN60" s="489">
        <v>37700115.229999997</v>
      </c>
      <c r="AO60" s="489"/>
      <c r="AP60" s="490"/>
      <c r="AQ60" s="489">
        <v>37530125.719999999</v>
      </c>
      <c r="AR60" s="489"/>
      <c r="AS60" s="490"/>
      <c r="AT60" s="489">
        <v>37290719.920000002</v>
      </c>
      <c r="AU60" s="489"/>
      <c r="AV60" s="490"/>
      <c r="AW60" s="491">
        <f t="shared" si="64"/>
        <v>38334277.390833333</v>
      </c>
      <c r="AX60" s="482"/>
      <c r="AY60" s="482"/>
    </row>
    <row r="61" spans="1:51" s="24" customFormat="1">
      <c r="A61" s="154">
        <v>51</v>
      </c>
      <c r="B61" s="24" t="s">
        <v>1403</v>
      </c>
      <c r="C61" s="482" t="s">
        <v>754</v>
      </c>
      <c r="E61" s="482"/>
      <c r="F61" s="482" t="s">
        <v>641</v>
      </c>
      <c r="G61" s="482" t="s">
        <v>1015</v>
      </c>
      <c r="H61" s="482"/>
      <c r="I61" s="482"/>
      <c r="J61" s="488">
        <v>347877.73</v>
      </c>
      <c r="K61" s="489"/>
      <c r="L61" s="490"/>
      <c r="M61" s="489">
        <v>328898.68</v>
      </c>
      <c r="N61" s="489"/>
      <c r="O61" s="490"/>
      <c r="P61" s="489">
        <v>330302.68</v>
      </c>
      <c r="Q61" s="489"/>
      <c r="R61" s="490"/>
      <c r="S61" s="489">
        <v>372396.35</v>
      </c>
      <c r="T61" s="489"/>
      <c r="U61" s="490"/>
      <c r="V61" s="489">
        <v>377559.63</v>
      </c>
      <c r="W61" s="489"/>
      <c r="X61" s="490"/>
      <c r="Y61" s="489">
        <v>372596.72</v>
      </c>
      <c r="Z61" s="489"/>
      <c r="AA61" s="490"/>
      <c r="AB61" s="489">
        <v>367161.58</v>
      </c>
      <c r="AC61" s="489"/>
      <c r="AD61" s="490"/>
      <c r="AE61" s="489">
        <v>362934.5</v>
      </c>
      <c r="AF61" s="489"/>
      <c r="AG61" s="490"/>
      <c r="AH61" s="489">
        <v>420633.06</v>
      </c>
      <c r="AI61" s="489"/>
      <c r="AJ61" s="490"/>
      <c r="AK61" s="489">
        <v>440461.47</v>
      </c>
      <c r="AL61" s="489"/>
      <c r="AM61" s="490"/>
      <c r="AN61" s="489">
        <v>445104.75</v>
      </c>
      <c r="AO61" s="489"/>
      <c r="AP61" s="490"/>
      <c r="AQ61" s="489">
        <v>-389294.49</v>
      </c>
      <c r="AR61" s="489"/>
      <c r="AS61" s="490"/>
      <c r="AT61" s="489">
        <v>496455.14</v>
      </c>
      <c r="AU61" s="489"/>
      <c r="AV61" s="490"/>
      <c r="AW61" s="491">
        <f t="shared" si="64"/>
        <v>320910.11374999996</v>
      </c>
      <c r="AX61" s="482"/>
      <c r="AY61" s="482"/>
    </row>
    <row r="62" spans="1:51" s="24" customFormat="1">
      <c r="A62" s="154">
        <v>52</v>
      </c>
      <c r="B62" s="24" t="s">
        <v>1404</v>
      </c>
      <c r="C62" s="482" t="s">
        <v>754</v>
      </c>
      <c r="E62" s="482"/>
      <c r="F62" s="482" t="s">
        <v>641</v>
      </c>
      <c r="G62" s="482" t="s">
        <v>1165</v>
      </c>
      <c r="H62" s="482"/>
      <c r="I62" s="482"/>
      <c r="J62" s="492">
        <v>0</v>
      </c>
      <c r="K62" s="489"/>
      <c r="L62" s="490"/>
      <c r="M62" s="488">
        <v>0</v>
      </c>
      <c r="N62" s="489"/>
      <c r="O62" s="490"/>
      <c r="P62" s="492">
        <v>0</v>
      </c>
      <c r="Q62" s="489"/>
      <c r="R62" s="490"/>
      <c r="S62" s="492">
        <v>0</v>
      </c>
      <c r="T62" s="489"/>
      <c r="U62" s="490"/>
      <c r="V62" s="492">
        <v>0</v>
      </c>
      <c r="W62" s="489"/>
      <c r="X62" s="490"/>
      <c r="Y62" s="492">
        <v>0</v>
      </c>
      <c r="Z62" s="489"/>
      <c r="AA62" s="490"/>
      <c r="AB62" s="492">
        <v>0</v>
      </c>
      <c r="AC62" s="489"/>
      <c r="AD62" s="490"/>
      <c r="AE62" s="492">
        <v>0</v>
      </c>
      <c r="AF62" s="489"/>
      <c r="AG62" s="490"/>
      <c r="AH62" s="492">
        <v>0</v>
      </c>
      <c r="AI62" s="489"/>
      <c r="AJ62" s="490"/>
      <c r="AK62" s="492">
        <v>0</v>
      </c>
      <c r="AL62" s="489"/>
      <c r="AM62" s="490"/>
      <c r="AN62" s="492">
        <v>0</v>
      </c>
      <c r="AO62" s="489"/>
      <c r="AP62" s="490"/>
      <c r="AQ62" s="492">
        <v>0</v>
      </c>
      <c r="AR62" s="489"/>
      <c r="AS62" s="490"/>
      <c r="AT62" s="492">
        <v>0</v>
      </c>
      <c r="AU62" s="489"/>
      <c r="AV62" s="490"/>
      <c r="AW62" s="494">
        <f t="shared" si="64"/>
        <v>0</v>
      </c>
      <c r="AX62" s="482"/>
      <c r="AY62" s="482"/>
    </row>
    <row r="63" spans="1:51" s="24" customFormat="1">
      <c r="A63" s="154">
        <v>53</v>
      </c>
      <c r="C63" s="482"/>
      <c r="E63" s="482"/>
      <c r="F63" s="482"/>
      <c r="G63" s="482"/>
      <c r="H63" s="482"/>
      <c r="I63" s="482"/>
      <c r="J63" s="488">
        <f>SUM(J55:J62)</f>
        <v>50465071.159999996</v>
      </c>
      <c r="K63" s="489"/>
      <c r="L63" s="489"/>
      <c r="M63" s="495">
        <f>SUM(M55:M62)</f>
        <v>50245092.949999996</v>
      </c>
      <c r="N63" s="489"/>
      <c r="O63" s="489"/>
      <c r="P63" s="489">
        <f>SUM(P55:P62)</f>
        <v>50047281.82</v>
      </c>
      <c r="Q63" s="489"/>
      <c r="R63" s="489"/>
      <c r="S63" s="489">
        <f>SUM(S55:S62)</f>
        <v>49893721.799999997</v>
      </c>
      <c r="T63" s="489"/>
      <c r="U63" s="489"/>
      <c r="V63" s="489">
        <f>SUM(V55:V62)</f>
        <v>49699999.030000001</v>
      </c>
      <c r="W63" s="489"/>
      <c r="X63" s="489"/>
      <c r="Y63" s="489">
        <f>SUM(Y55:Y62)</f>
        <v>49495263.790000007</v>
      </c>
      <c r="Z63" s="489"/>
      <c r="AA63" s="489"/>
      <c r="AB63" s="489">
        <f>SUM(AB55:AB62)</f>
        <v>49290014.890000001</v>
      </c>
      <c r="AC63" s="489"/>
      <c r="AD63" s="489"/>
      <c r="AE63" s="489">
        <f>SUM(AE55:AE62)</f>
        <v>49086084.770000003</v>
      </c>
      <c r="AF63" s="489"/>
      <c r="AG63" s="489"/>
      <c r="AH63" s="489">
        <f>SUM(AH55:AH62)</f>
        <v>48949495.460000001</v>
      </c>
      <c r="AI63" s="489"/>
      <c r="AJ63" s="489"/>
      <c r="AK63" s="489">
        <f>SUM(AK55:AK62)</f>
        <v>48771721.369999997</v>
      </c>
      <c r="AL63" s="489"/>
      <c r="AM63" s="489"/>
      <c r="AN63" s="489">
        <f>SUM(AN55:AN62)</f>
        <v>48577433.059999995</v>
      </c>
      <c r="AO63" s="489"/>
      <c r="AP63" s="489"/>
      <c r="AQ63" s="489">
        <f>SUM(AQ55:AQ62)</f>
        <v>47447225.32</v>
      </c>
      <c r="AR63" s="489"/>
      <c r="AS63" s="489"/>
      <c r="AT63" s="489">
        <f>SUM(AT55:AT62)</f>
        <v>48106078.740000002</v>
      </c>
      <c r="AU63" s="489"/>
      <c r="AV63" s="489"/>
      <c r="AW63" s="491">
        <f>SUM(AW55:AW62)</f>
        <v>49232409.100833334</v>
      </c>
      <c r="AX63" s="482"/>
      <c r="AY63" s="482"/>
    </row>
    <row r="64" spans="1:51" s="24" customFormat="1">
      <c r="A64" s="154">
        <v>54</v>
      </c>
      <c r="C64" s="482"/>
      <c r="E64" s="482"/>
      <c r="F64" s="482"/>
      <c r="G64" s="482"/>
      <c r="H64" s="482"/>
      <c r="I64" s="482"/>
      <c r="J64" s="488"/>
      <c r="K64" s="489"/>
      <c r="L64" s="490"/>
      <c r="M64" s="489"/>
      <c r="N64" s="489"/>
      <c r="O64" s="490"/>
      <c r="P64" s="489"/>
      <c r="Q64" s="489"/>
      <c r="R64" s="490"/>
      <c r="S64" s="489"/>
      <c r="T64" s="489"/>
      <c r="U64" s="490"/>
      <c r="V64" s="489"/>
      <c r="W64" s="489"/>
      <c r="X64" s="490"/>
      <c r="Y64" s="489"/>
      <c r="Z64" s="489"/>
      <c r="AA64" s="490"/>
      <c r="AB64" s="489"/>
      <c r="AC64" s="489"/>
      <c r="AD64" s="490"/>
      <c r="AE64" s="489"/>
      <c r="AF64" s="489"/>
      <c r="AG64" s="490"/>
      <c r="AH64" s="489"/>
      <c r="AI64" s="489"/>
      <c r="AJ64" s="490"/>
      <c r="AK64" s="489"/>
      <c r="AL64" s="489"/>
      <c r="AM64" s="490"/>
      <c r="AN64" s="489"/>
      <c r="AO64" s="489"/>
      <c r="AP64" s="490"/>
      <c r="AQ64" s="489"/>
      <c r="AR64" s="489"/>
      <c r="AS64" s="490"/>
      <c r="AT64" s="489"/>
      <c r="AU64" s="489"/>
      <c r="AV64" s="490"/>
      <c r="AW64" s="491"/>
      <c r="AX64" s="482"/>
      <c r="AY64" s="482"/>
    </row>
    <row r="65" spans="1:51" s="24" customFormat="1">
      <c r="A65" s="154">
        <v>55</v>
      </c>
      <c r="B65" s="24" t="s">
        <v>1397</v>
      </c>
      <c r="C65" s="482" t="s">
        <v>754</v>
      </c>
      <c r="E65" s="482"/>
      <c r="F65" s="482" t="s">
        <v>642</v>
      </c>
      <c r="G65" s="482" t="s">
        <v>1010</v>
      </c>
      <c r="H65" s="482"/>
      <c r="I65" s="489"/>
      <c r="J65" s="488">
        <v>167522.1</v>
      </c>
      <c r="K65" s="489"/>
      <c r="L65" s="490"/>
      <c r="M65" s="489">
        <v>165691.44</v>
      </c>
      <c r="N65" s="489"/>
      <c r="O65" s="490"/>
      <c r="P65" s="489">
        <v>163860.78</v>
      </c>
      <c r="Q65" s="489"/>
      <c r="R65" s="490"/>
      <c r="S65" s="489">
        <v>162030.10999999999</v>
      </c>
      <c r="T65" s="489"/>
      <c r="U65" s="490"/>
      <c r="V65" s="489">
        <v>160199.45000000001</v>
      </c>
      <c r="W65" s="489"/>
      <c r="X65" s="490"/>
      <c r="Y65" s="489">
        <v>158368.76999999999</v>
      </c>
      <c r="Z65" s="489"/>
      <c r="AA65" s="490"/>
      <c r="AB65" s="489">
        <v>156538.10999999999</v>
      </c>
      <c r="AC65" s="489"/>
      <c r="AD65" s="490"/>
      <c r="AE65" s="489">
        <v>154707.46</v>
      </c>
      <c r="AF65" s="489"/>
      <c r="AG65" s="490"/>
      <c r="AH65" s="489">
        <v>152876.79</v>
      </c>
      <c r="AI65" s="489"/>
      <c r="AJ65" s="490"/>
      <c r="AK65" s="489">
        <v>151046.13</v>
      </c>
      <c r="AL65" s="489"/>
      <c r="AM65" s="490"/>
      <c r="AN65" s="489">
        <v>149215.47</v>
      </c>
      <c r="AO65" s="489"/>
      <c r="AP65" s="490"/>
      <c r="AQ65" s="489">
        <v>147384.79999999999</v>
      </c>
      <c r="AR65" s="489"/>
      <c r="AS65" s="490"/>
      <c r="AT65" s="489">
        <v>145554.14000000001</v>
      </c>
      <c r="AU65" s="489"/>
      <c r="AV65" s="490"/>
      <c r="AW65" s="491">
        <f t="shared" si="64"/>
        <v>156538.11916666667</v>
      </c>
      <c r="AX65" s="482"/>
      <c r="AY65" s="482"/>
    </row>
    <row r="66" spans="1:51" s="24" customFormat="1">
      <c r="A66" s="154">
        <v>56</v>
      </c>
      <c r="B66" s="24" t="s">
        <v>1398</v>
      </c>
      <c r="C66" s="482" t="s">
        <v>754</v>
      </c>
      <c r="E66" s="482"/>
      <c r="F66" s="482" t="s">
        <v>642</v>
      </c>
      <c r="G66" s="482" t="s">
        <v>1011</v>
      </c>
      <c r="H66" s="482"/>
      <c r="I66" s="489"/>
      <c r="J66" s="488">
        <v>-94506.66</v>
      </c>
      <c r="K66" s="489"/>
      <c r="L66" s="490"/>
      <c r="M66" s="489">
        <v>-92537.75</v>
      </c>
      <c r="N66" s="489"/>
      <c r="O66" s="490"/>
      <c r="P66" s="489">
        <v>-90568.86</v>
      </c>
      <c r="Q66" s="489"/>
      <c r="R66" s="490"/>
      <c r="S66" s="489">
        <v>-88599.98</v>
      </c>
      <c r="T66" s="489"/>
      <c r="U66" s="490"/>
      <c r="V66" s="489">
        <v>-86631.06</v>
      </c>
      <c r="W66" s="489"/>
      <c r="X66" s="490"/>
      <c r="Y66" s="489">
        <v>-84662.19</v>
      </c>
      <c r="Z66" s="489"/>
      <c r="AA66" s="490"/>
      <c r="AB66" s="489">
        <v>-82693.31</v>
      </c>
      <c r="AC66" s="489"/>
      <c r="AD66" s="490"/>
      <c r="AE66" s="489">
        <v>-80724.41</v>
      </c>
      <c r="AF66" s="489"/>
      <c r="AG66" s="490"/>
      <c r="AH66" s="489">
        <v>-78755.520000000004</v>
      </c>
      <c r="AI66" s="489"/>
      <c r="AJ66" s="490"/>
      <c r="AK66" s="489">
        <v>-76786.63</v>
      </c>
      <c r="AL66" s="489"/>
      <c r="AM66" s="490"/>
      <c r="AN66" s="489">
        <v>-74817.77</v>
      </c>
      <c r="AO66" s="489"/>
      <c r="AP66" s="490"/>
      <c r="AQ66" s="489">
        <v>-72848.850000000006</v>
      </c>
      <c r="AR66" s="489"/>
      <c r="AS66" s="490"/>
      <c r="AT66" s="489">
        <v>-70879.97</v>
      </c>
      <c r="AU66" s="489"/>
      <c r="AV66" s="490"/>
      <c r="AW66" s="491">
        <f t="shared" si="64"/>
        <v>-82693.303750000006</v>
      </c>
      <c r="AX66" s="482"/>
      <c r="AY66" s="482"/>
    </row>
    <row r="67" spans="1:51" s="24" customFormat="1">
      <c r="A67" s="154">
        <v>58</v>
      </c>
      <c r="B67" s="24" t="s">
        <v>1399</v>
      </c>
      <c r="C67" s="482" t="s">
        <v>754</v>
      </c>
      <c r="E67" s="482"/>
      <c r="F67" s="482" t="s">
        <v>642</v>
      </c>
      <c r="G67" s="482" t="s">
        <v>1012</v>
      </c>
      <c r="H67" s="482"/>
      <c r="I67" s="489"/>
      <c r="J67" s="488">
        <v>-3065780.91</v>
      </c>
      <c r="K67" s="489"/>
      <c r="L67" s="490"/>
      <c r="M67" s="489">
        <v>-3181548.37</v>
      </c>
      <c r="N67" s="489"/>
      <c r="O67" s="490"/>
      <c r="P67" s="489">
        <v>-3564694.16</v>
      </c>
      <c r="Q67" s="489"/>
      <c r="R67" s="490"/>
      <c r="S67" s="489">
        <v>-3952969.04</v>
      </c>
      <c r="T67" s="489"/>
      <c r="U67" s="490"/>
      <c r="V67" s="489">
        <v>-3937409.17</v>
      </c>
      <c r="W67" s="489"/>
      <c r="X67" s="490"/>
      <c r="Y67" s="489">
        <v>-3324360.74</v>
      </c>
      <c r="Z67" s="489"/>
      <c r="AA67" s="490"/>
      <c r="AB67" s="489">
        <v>-3364355.18</v>
      </c>
      <c r="AC67" s="489"/>
      <c r="AD67" s="490"/>
      <c r="AE67" s="489">
        <v>-3430173.01</v>
      </c>
      <c r="AF67" s="489"/>
      <c r="AG67" s="490"/>
      <c r="AH67" s="489">
        <v>-3503736.18</v>
      </c>
      <c r="AI67" s="489"/>
      <c r="AJ67" s="490"/>
      <c r="AK67" s="489">
        <v>-3380958.09</v>
      </c>
      <c r="AL67" s="489"/>
      <c r="AM67" s="490"/>
      <c r="AN67" s="489">
        <v>-3390779.09</v>
      </c>
      <c r="AO67" s="489"/>
      <c r="AP67" s="490"/>
      <c r="AQ67" s="489">
        <v>-3320611.22</v>
      </c>
      <c r="AR67" s="489"/>
      <c r="AS67" s="490"/>
      <c r="AT67" s="489">
        <v>-3272468.91</v>
      </c>
      <c r="AU67" s="489"/>
      <c r="AV67" s="490"/>
      <c r="AW67" s="491">
        <f t="shared" si="64"/>
        <v>-3460059.9299999997</v>
      </c>
      <c r="AX67" s="482"/>
      <c r="AY67" s="482"/>
    </row>
    <row r="68" spans="1:51" s="24" customFormat="1">
      <c r="A68" s="154">
        <v>59</v>
      </c>
      <c r="B68" s="24" t="s">
        <v>1400</v>
      </c>
      <c r="C68" s="482" t="s">
        <v>754</v>
      </c>
      <c r="E68" s="482"/>
      <c r="F68" s="482" t="s">
        <v>642</v>
      </c>
      <c r="G68" s="482" t="s">
        <v>200</v>
      </c>
      <c r="H68" s="482"/>
      <c r="I68" s="489"/>
      <c r="J68" s="488">
        <v>0</v>
      </c>
      <c r="K68" s="489"/>
      <c r="L68" s="490"/>
      <c r="M68" s="489">
        <v>0</v>
      </c>
      <c r="N68" s="489"/>
      <c r="O68" s="490"/>
      <c r="P68" s="489">
        <v>0</v>
      </c>
      <c r="Q68" s="489"/>
      <c r="R68" s="490"/>
      <c r="S68" s="489">
        <v>0</v>
      </c>
      <c r="T68" s="489"/>
      <c r="U68" s="490"/>
      <c r="V68" s="489">
        <v>0</v>
      </c>
      <c r="W68" s="489"/>
      <c r="X68" s="490"/>
      <c r="Y68" s="489">
        <v>0</v>
      </c>
      <c r="Z68" s="489"/>
      <c r="AA68" s="490"/>
      <c r="AB68" s="489">
        <v>0</v>
      </c>
      <c r="AC68" s="489"/>
      <c r="AD68" s="490"/>
      <c r="AE68" s="489">
        <v>0</v>
      </c>
      <c r="AF68" s="489"/>
      <c r="AG68" s="490"/>
      <c r="AH68" s="489">
        <v>0</v>
      </c>
      <c r="AI68" s="489"/>
      <c r="AJ68" s="490"/>
      <c r="AK68" s="489">
        <v>0</v>
      </c>
      <c r="AL68" s="489"/>
      <c r="AM68" s="490"/>
      <c r="AN68" s="489">
        <v>0</v>
      </c>
      <c r="AO68" s="489"/>
      <c r="AP68" s="490"/>
      <c r="AQ68" s="489">
        <v>0</v>
      </c>
      <c r="AR68" s="489"/>
      <c r="AS68" s="490"/>
      <c r="AT68" s="489">
        <v>0</v>
      </c>
      <c r="AU68" s="489"/>
      <c r="AV68" s="490"/>
      <c r="AW68" s="491">
        <f t="shared" si="64"/>
        <v>0</v>
      </c>
      <c r="AX68" s="482"/>
      <c r="AY68" s="482"/>
    </row>
    <row r="69" spans="1:51" s="24" customFormat="1">
      <c r="A69" s="154">
        <v>60</v>
      </c>
      <c r="B69" s="24" t="s">
        <v>1401</v>
      </c>
      <c r="C69" s="482" t="s">
        <v>754</v>
      </c>
      <c r="E69" s="482"/>
      <c r="F69" s="482" t="s">
        <v>642</v>
      </c>
      <c r="G69" s="482" t="s">
        <v>1013</v>
      </c>
      <c r="H69" s="482"/>
      <c r="I69" s="489"/>
      <c r="J69" s="488">
        <v>1913970.3</v>
      </c>
      <c r="K69" s="489"/>
      <c r="L69" s="490"/>
      <c r="M69" s="489">
        <v>1893054.62</v>
      </c>
      <c r="N69" s="489"/>
      <c r="O69" s="489"/>
      <c r="P69" s="488">
        <v>1872138.94</v>
      </c>
      <c r="Q69" s="489"/>
      <c r="R69" s="490"/>
      <c r="S69" s="489">
        <v>1851223.29</v>
      </c>
      <c r="T69" s="489"/>
      <c r="U69" s="490"/>
      <c r="V69" s="489">
        <v>1830307.64</v>
      </c>
      <c r="W69" s="489"/>
      <c r="X69" s="490"/>
      <c r="Y69" s="489">
        <v>1809391.99</v>
      </c>
      <c r="Z69" s="489"/>
      <c r="AA69" s="490"/>
      <c r="AB69" s="489">
        <v>1788476.31</v>
      </c>
      <c r="AC69" s="489"/>
      <c r="AD69" s="490"/>
      <c r="AE69" s="489">
        <v>1767560.66</v>
      </c>
      <c r="AF69" s="489"/>
      <c r="AG69" s="490"/>
      <c r="AH69" s="489">
        <v>1746645</v>
      </c>
      <c r="AI69" s="489"/>
      <c r="AJ69" s="490"/>
      <c r="AK69" s="489">
        <v>1725729.32</v>
      </c>
      <c r="AL69" s="489"/>
      <c r="AM69" s="490"/>
      <c r="AN69" s="489">
        <v>1704813.64</v>
      </c>
      <c r="AO69" s="489"/>
      <c r="AP69" s="490"/>
      <c r="AQ69" s="489">
        <v>1683897.97</v>
      </c>
      <c r="AR69" s="489"/>
      <c r="AS69" s="489"/>
      <c r="AT69" s="488">
        <v>1662982.3</v>
      </c>
      <c r="AU69" s="489"/>
      <c r="AV69" s="490"/>
      <c r="AW69" s="491">
        <f t="shared" si="64"/>
        <v>1788476.3066666666</v>
      </c>
      <c r="AX69" s="482"/>
      <c r="AY69" s="482"/>
    </row>
    <row r="70" spans="1:51" s="24" customFormat="1">
      <c r="A70" s="154">
        <v>61</v>
      </c>
      <c r="B70" s="24" t="s">
        <v>1402</v>
      </c>
      <c r="C70" s="482" t="s">
        <v>754</v>
      </c>
      <c r="E70" s="482"/>
      <c r="F70" s="482" t="s">
        <v>642</v>
      </c>
      <c r="G70" s="482" t="s">
        <v>1014</v>
      </c>
      <c r="H70" s="482"/>
      <c r="I70" s="489"/>
      <c r="J70" s="488">
        <v>7294680.6500000004</v>
      </c>
      <c r="K70" s="489"/>
      <c r="L70" s="490"/>
      <c r="M70" s="489">
        <v>7214029.0300000003</v>
      </c>
      <c r="N70" s="489"/>
      <c r="O70" s="489"/>
      <c r="P70" s="488">
        <v>7133377.3700000001</v>
      </c>
      <c r="Q70" s="489"/>
      <c r="R70" s="490"/>
      <c r="S70" s="489">
        <v>7052725.7300000004</v>
      </c>
      <c r="T70" s="489"/>
      <c r="U70" s="490"/>
      <c r="V70" s="489">
        <v>6972074.0999999996</v>
      </c>
      <c r="W70" s="489"/>
      <c r="X70" s="490"/>
      <c r="Y70" s="489">
        <v>6891422.5099999998</v>
      </c>
      <c r="Z70" s="489"/>
      <c r="AA70" s="490"/>
      <c r="AB70" s="489">
        <v>6810770.9199999999</v>
      </c>
      <c r="AC70" s="489"/>
      <c r="AD70" s="490"/>
      <c r="AE70" s="489">
        <v>6730119.3099999996</v>
      </c>
      <c r="AF70" s="489"/>
      <c r="AG70" s="490"/>
      <c r="AH70" s="489">
        <v>6649467.6600000001</v>
      </c>
      <c r="AI70" s="489"/>
      <c r="AJ70" s="490"/>
      <c r="AK70" s="489">
        <v>6568816.04</v>
      </c>
      <c r="AL70" s="489"/>
      <c r="AM70" s="490"/>
      <c r="AN70" s="489">
        <v>6488164.3399999999</v>
      </c>
      <c r="AO70" s="489"/>
      <c r="AP70" s="490"/>
      <c r="AQ70" s="489">
        <v>6407512.7000000002</v>
      </c>
      <c r="AR70" s="489"/>
      <c r="AS70" s="489"/>
      <c r="AT70" s="488">
        <v>6326861.0300000003</v>
      </c>
      <c r="AU70" s="489"/>
      <c r="AV70" s="490"/>
      <c r="AW70" s="491">
        <f t="shared" si="64"/>
        <v>6810770.8791666673</v>
      </c>
      <c r="AX70" s="482"/>
      <c r="AY70" s="482"/>
    </row>
    <row r="71" spans="1:51" s="24" customFormat="1">
      <c r="A71" s="154">
        <v>63</v>
      </c>
      <c r="B71" s="24" t="s">
        <v>1403</v>
      </c>
      <c r="C71" s="482" t="s">
        <v>754</v>
      </c>
      <c r="E71" s="482"/>
      <c r="F71" s="482" t="s">
        <v>642</v>
      </c>
      <c r="G71" s="482" t="s">
        <v>1015</v>
      </c>
      <c r="H71" s="482"/>
      <c r="I71" s="489"/>
      <c r="J71" s="488">
        <v>-40255923.640000001</v>
      </c>
      <c r="K71" s="489"/>
      <c r="L71" s="490"/>
      <c r="M71" s="489">
        <v>-41475441.259999998</v>
      </c>
      <c r="N71" s="489"/>
      <c r="O71" s="490"/>
      <c r="P71" s="489">
        <v>-45749804.460000001</v>
      </c>
      <c r="Q71" s="489"/>
      <c r="R71" s="490"/>
      <c r="S71" s="489">
        <v>-50082768.520000003</v>
      </c>
      <c r="T71" s="489"/>
      <c r="U71" s="490"/>
      <c r="V71" s="489">
        <v>-49801847.409999996</v>
      </c>
      <c r="W71" s="489"/>
      <c r="X71" s="490"/>
      <c r="Y71" s="489">
        <v>-42694512.810000002</v>
      </c>
      <c r="Z71" s="489"/>
      <c r="AA71" s="490"/>
      <c r="AB71" s="489">
        <v>-43048310.259999998</v>
      </c>
      <c r="AC71" s="489"/>
      <c r="AD71" s="490"/>
      <c r="AE71" s="489">
        <v>-43697144.140000001</v>
      </c>
      <c r="AF71" s="489"/>
      <c r="AG71" s="490"/>
      <c r="AH71" s="489">
        <v>-44434469.880000003</v>
      </c>
      <c r="AI71" s="489"/>
      <c r="AJ71" s="490"/>
      <c r="AK71" s="489">
        <v>-42928561.740000002</v>
      </c>
      <c r="AL71" s="489"/>
      <c r="AM71" s="490"/>
      <c r="AN71" s="489">
        <v>-42937621.810000002</v>
      </c>
      <c r="AO71" s="489"/>
      <c r="AP71" s="490"/>
      <c r="AQ71" s="489">
        <v>-42032794.729999997</v>
      </c>
      <c r="AR71" s="489"/>
      <c r="AS71" s="489"/>
      <c r="AT71" s="488">
        <v>-41379613.530000001</v>
      </c>
      <c r="AU71" s="489"/>
      <c r="AV71" s="490"/>
      <c r="AW71" s="491">
        <f t="shared" si="64"/>
        <v>-44141753.800416671</v>
      </c>
      <c r="AX71" s="482"/>
      <c r="AY71" s="482"/>
    </row>
    <row r="72" spans="1:51" s="24" customFormat="1" ht="16.2" thickBot="1">
      <c r="A72" s="154">
        <v>64</v>
      </c>
      <c r="B72" s="24" t="s">
        <v>1404</v>
      </c>
      <c r="C72" s="482" t="s">
        <v>754</v>
      </c>
      <c r="E72" s="482"/>
      <c r="F72" s="482" t="s">
        <v>642</v>
      </c>
      <c r="G72" s="482" t="s">
        <v>1165</v>
      </c>
      <c r="H72" s="482"/>
      <c r="I72" s="489"/>
      <c r="J72" s="488">
        <v>0</v>
      </c>
      <c r="K72" s="489"/>
      <c r="L72" s="490"/>
      <c r="M72" s="488">
        <v>0</v>
      </c>
      <c r="N72" s="489"/>
      <c r="O72" s="490"/>
      <c r="P72" s="488">
        <v>0</v>
      </c>
      <c r="Q72" s="489"/>
      <c r="R72" s="490"/>
      <c r="S72" s="488">
        <v>0</v>
      </c>
      <c r="T72" s="489"/>
      <c r="U72" s="490"/>
      <c r="V72" s="488">
        <v>0</v>
      </c>
      <c r="W72" s="489"/>
      <c r="X72" s="490"/>
      <c r="Y72" s="488">
        <v>0</v>
      </c>
      <c r="Z72" s="489"/>
      <c r="AA72" s="490"/>
      <c r="AB72" s="488">
        <v>0</v>
      </c>
      <c r="AC72" s="489"/>
      <c r="AD72" s="490"/>
      <c r="AE72" s="488">
        <v>0</v>
      </c>
      <c r="AF72" s="489"/>
      <c r="AG72" s="490"/>
      <c r="AH72" s="488">
        <v>0</v>
      </c>
      <c r="AI72" s="489"/>
      <c r="AJ72" s="490"/>
      <c r="AK72" s="488">
        <v>0</v>
      </c>
      <c r="AL72" s="489"/>
      <c r="AM72" s="490"/>
      <c r="AN72" s="488">
        <v>0</v>
      </c>
      <c r="AO72" s="489"/>
      <c r="AP72" s="490"/>
      <c r="AQ72" s="488">
        <v>0</v>
      </c>
      <c r="AR72" s="489"/>
      <c r="AS72" s="490"/>
      <c r="AT72" s="488">
        <v>0</v>
      </c>
      <c r="AU72" s="489"/>
      <c r="AV72" s="490"/>
      <c r="AW72" s="491">
        <f t="shared" si="64"/>
        <v>0</v>
      </c>
      <c r="AX72" s="482"/>
      <c r="AY72" s="482"/>
    </row>
    <row r="73" spans="1:51" s="24" customFormat="1">
      <c r="A73" s="154">
        <v>65</v>
      </c>
      <c r="C73" s="482"/>
      <c r="E73" s="482"/>
      <c r="F73" s="482"/>
      <c r="G73" s="482"/>
      <c r="H73" s="482"/>
      <c r="I73" s="482"/>
      <c r="J73" s="496">
        <f>SUM(J65:J72)</f>
        <v>-34040038.159999996</v>
      </c>
      <c r="K73" s="489"/>
      <c r="L73" s="489"/>
      <c r="M73" s="496">
        <f>SUM(M65:M72)</f>
        <v>-35476752.289999999</v>
      </c>
      <c r="N73" s="489"/>
      <c r="O73" s="489"/>
      <c r="P73" s="496">
        <f>SUM(P65:P72)</f>
        <v>-40235690.390000001</v>
      </c>
      <c r="Q73" s="489"/>
      <c r="R73" s="489"/>
      <c r="S73" s="496">
        <f>SUM(S65:S72)</f>
        <v>-45058358.410000004</v>
      </c>
      <c r="T73" s="489"/>
      <c r="U73" s="489"/>
      <c r="V73" s="496">
        <f>SUM(V65:V72)</f>
        <v>-44863306.449999996</v>
      </c>
      <c r="W73" s="489"/>
      <c r="X73" s="489"/>
      <c r="Y73" s="496">
        <f>SUM(Y65:Y72)</f>
        <v>-37244352.469999999</v>
      </c>
      <c r="Z73" s="489"/>
      <c r="AA73" s="489"/>
      <c r="AB73" s="496">
        <f>SUM(AB65:AB72)</f>
        <v>-37739573.409999996</v>
      </c>
      <c r="AC73" s="489"/>
      <c r="AD73" s="489"/>
      <c r="AE73" s="496">
        <f>SUM(AE65:AE72)</f>
        <v>-38555654.130000003</v>
      </c>
      <c r="AF73" s="489"/>
      <c r="AG73" s="489"/>
      <c r="AH73" s="496">
        <v>-2162554.64</v>
      </c>
      <c r="AI73" s="489"/>
      <c r="AJ73" s="489"/>
      <c r="AK73" s="496">
        <v>-2157345.3199999998</v>
      </c>
      <c r="AL73" s="489"/>
      <c r="AM73" s="489"/>
      <c r="AN73" s="496">
        <v>-2157203.5499999998</v>
      </c>
      <c r="AO73" s="489"/>
      <c r="AP73" s="489"/>
      <c r="AQ73" s="496">
        <v>-2157061.7999999998</v>
      </c>
      <c r="AR73" s="489"/>
      <c r="AS73" s="489"/>
      <c r="AT73" s="496">
        <f>SUM(AT65:AT72)</f>
        <v>-36587564.939999998</v>
      </c>
      <c r="AU73" s="489"/>
      <c r="AV73" s="489"/>
      <c r="AW73" s="497">
        <f>SUM(AW65:AW72)</f>
        <v>-38928721.729166672</v>
      </c>
      <c r="AX73" s="482"/>
      <c r="AY73" s="482"/>
    </row>
    <row r="74" spans="1:51" s="24" customFormat="1">
      <c r="A74" s="154">
        <v>66</v>
      </c>
      <c r="B74" s="482"/>
      <c r="C74" s="482"/>
      <c r="D74" s="482"/>
      <c r="E74" s="482"/>
      <c r="F74" s="482"/>
      <c r="G74" s="482"/>
      <c r="H74" s="482"/>
      <c r="I74" s="482"/>
      <c r="J74" s="498"/>
      <c r="K74" s="489"/>
      <c r="L74" s="489"/>
      <c r="M74" s="498"/>
      <c r="N74" s="489"/>
      <c r="O74" s="489"/>
      <c r="P74" s="498"/>
      <c r="Q74" s="489"/>
      <c r="R74" s="489"/>
      <c r="S74" s="498"/>
      <c r="T74" s="489"/>
      <c r="U74" s="489"/>
      <c r="V74" s="498"/>
      <c r="W74" s="489"/>
      <c r="X74" s="489"/>
      <c r="Y74" s="498"/>
      <c r="Z74" s="489"/>
      <c r="AA74" s="489"/>
      <c r="AB74" s="498"/>
      <c r="AC74" s="489"/>
      <c r="AD74" s="489"/>
      <c r="AE74" s="498"/>
      <c r="AF74" s="489"/>
      <c r="AG74" s="489"/>
      <c r="AH74" s="498"/>
      <c r="AI74" s="489"/>
      <c r="AJ74" s="489"/>
      <c r="AK74" s="498"/>
      <c r="AL74" s="489"/>
      <c r="AM74" s="489"/>
      <c r="AN74" s="498"/>
      <c r="AO74" s="489"/>
      <c r="AP74" s="489"/>
      <c r="AQ74" s="498"/>
      <c r="AR74" s="489"/>
      <c r="AS74" s="489"/>
      <c r="AT74" s="498"/>
      <c r="AU74" s="489"/>
      <c r="AV74" s="489"/>
      <c r="AW74" s="498"/>
      <c r="AX74" s="482"/>
      <c r="AY74" s="482"/>
    </row>
    <row r="75" spans="1:51" s="24" customFormat="1">
      <c r="A75" s="154">
        <v>67</v>
      </c>
      <c r="B75" s="482"/>
      <c r="C75" s="482"/>
      <c r="D75" s="482"/>
      <c r="E75" s="482"/>
      <c r="F75" s="482"/>
      <c r="G75" s="482"/>
      <c r="H75" s="482"/>
      <c r="I75" s="482"/>
      <c r="J75" s="499">
        <f>+J43+J53+J63+J73</f>
        <v>-72826780.520000026</v>
      </c>
      <c r="K75" s="500"/>
      <c r="L75" s="500"/>
      <c r="M75" s="499">
        <f>+M43+M53+M63+M73</f>
        <v>-74383811.920000002</v>
      </c>
      <c r="N75" s="500"/>
      <c r="O75" s="500"/>
      <c r="P75" s="499">
        <f>+P43+P53+P63+P73</f>
        <v>-79533267.270000011</v>
      </c>
      <c r="Q75" s="500"/>
      <c r="R75" s="500"/>
      <c r="S75" s="499">
        <f>+S43+S53+S63+S73</f>
        <v>-84468074.310000002</v>
      </c>
      <c r="T75" s="500"/>
      <c r="U75" s="500"/>
      <c r="V75" s="499">
        <f>+V43+V53+V63+V73</f>
        <v>-84649568.929999977</v>
      </c>
      <c r="W75" s="500"/>
      <c r="X75" s="500"/>
      <c r="Y75" s="499">
        <f>+Y43+Y53+Y63+Y73</f>
        <v>-84382001.220000014</v>
      </c>
      <c r="Z75" s="500"/>
      <c r="AA75" s="500"/>
      <c r="AB75" s="499">
        <f>+AB43+AB53+AB63+AB73</f>
        <v>-85115980.460000023</v>
      </c>
      <c r="AC75" s="500"/>
      <c r="AD75" s="500"/>
      <c r="AE75" s="499">
        <f>+AE43+AE53+AE63+AE73</f>
        <v>-86058775.50000003</v>
      </c>
      <c r="AF75" s="500"/>
      <c r="AG75" s="500"/>
      <c r="AH75" s="499">
        <f>+AH43+AH53+AH63+AH73</f>
        <v>-49732165.330000006</v>
      </c>
      <c r="AI75" s="500"/>
      <c r="AJ75" s="500"/>
      <c r="AK75" s="499">
        <f>+AK43+AK53+AK63+AK73</f>
        <v>-49874128.260000005</v>
      </c>
      <c r="AL75" s="500"/>
      <c r="AM75" s="500"/>
      <c r="AN75" s="499">
        <f>+AN43+AN53+AN63+AN73</f>
        <v>-50051084.750000022</v>
      </c>
      <c r="AO75" s="500"/>
      <c r="AP75" s="500"/>
      <c r="AQ75" s="499">
        <f>+AQ43+AQ53+AQ63+AQ73</f>
        <v>-52405450.120000012</v>
      </c>
      <c r="AR75" s="500"/>
      <c r="AS75" s="500"/>
      <c r="AT75" s="499">
        <f>+AT43+AT53+AT63+AT73</f>
        <v>-87984639.210000008</v>
      </c>
      <c r="AU75" s="500"/>
      <c r="AV75" s="500"/>
      <c r="AW75" s="499">
        <f>+AW43+AW53+AW63+AW73</f>
        <v>-83756918.689583331</v>
      </c>
      <c r="AX75" s="482"/>
      <c r="AY75" s="482"/>
    </row>
    <row r="76" spans="1:51" s="24" customFormat="1" ht="16.2" thickBot="1">
      <c r="A76" s="154">
        <v>68</v>
      </c>
      <c r="B76" s="482"/>
      <c r="C76" s="482"/>
      <c r="D76" s="482"/>
      <c r="E76" s="482"/>
      <c r="F76" s="482"/>
      <c r="G76" s="482"/>
      <c r="H76" s="482"/>
      <c r="I76" s="482"/>
      <c r="J76" s="498"/>
      <c r="K76" s="489"/>
      <c r="L76" s="489"/>
      <c r="M76" s="498"/>
      <c r="N76" s="489"/>
      <c r="O76" s="489"/>
      <c r="P76" s="498"/>
      <c r="Q76" s="489"/>
      <c r="R76" s="489"/>
      <c r="S76" s="498"/>
      <c r="T76" s="489"/>
      <c r="U76" s="489"/>
      <c r="V76" s="498"/>
      <c r="W76" s="489"/>
      <c r="X76" s="489"/>
      <c r="Y76" s="498"/>
      <c r="Z76" s="489"/>
      <c r="AA76" s="489"/>
      <c r="AB76" s="498"/>
      <c r="AC76" s="489"/>
      <c r="AD76" s="489"/>
      <c r="AE76" s="498"/>
      <c r="AF76" s="489"/>
      <c r="AG76" s="489"/>
      <c r="AH76" s="498"/>
      <c r="AI76" s="489"/>
      <c r="AJ76" s="489"/>
      <c r="AK76" s="498"/>
      <c r="AL76" s="489"/>
      <c r="AM76" s="489"/>
      <c r="AN76" s="498"/>
      <c r="AO76" s="489"/>
      <c r="AP76" s="490"/>
      <c r="AQ76" s="490"/>
      <c r="AR76" s="489"/>
      <c r="AS76" s="489"/>
      <c r="AT76" s="498"/>
      <c r="AU76" s="489"/>
      <c r="AV76" s="489"/>
      <c r="AW76" s="498"/>
      <c r="AX76" s="482"/>
      <c r="AY76" s="482"/>
    </row>
    <row r="77" spans="1:51" s="24" customFormat="1">
      <c r="A77" s="154">
        <v>69</v>
      </c>
      <c r="B77" s="887" t="s">
        <v>1097</v>
      </c>
      <c r="C77" s="888"/>
      <c r="D77" s="888"/>
      <c r="E77" s="889"/>
      <c r="F77" s="482"/>
      <c r="G77" s="482" t="s">
        <v>1407</v>
      </c>
      <c r="H77" s="482"/>
      <c r="I77" s="482"/>
      <c r="J77" s="498">
        <f>+J36+J53+J32+J37+J41+J42</f>
        <v>14974511.890000002</v>
      </c>
      <c r="K77" s="488"/>
      <c r="L77" s="489"/>
      <c r="M77" s="488">
        <f t="shared" ref="M77" si="65">+M36+M53+M32+M37+M41+M42</f>
        <v>15010304.319999998</v>
      </c>
      <c r="N77" s="489"/>
      <c r="O77" s="489"/>
      <c r="P77" s="498">
        <f t="shared" ref="P77:V77" si="66">+P36+P53+P32+P37+P41+P42</f>
        <v>14753729.689999999</v>
      </c>
      <c r="Q77" s="489"/>
      <c r="R77" s="490"/>
      <c r="S77" s="498">
        <f t="shared" si="66"/>
        <v>14731282.199999999</v>
      </c>
      <c r="T77" s="489"/>
      <c r="U77" s="490"/>
      <c r="V77" s="498">
        <f t="shared" si="66"/>
        <v>14484589.879999999</v>
      </c>
      <c r="W77" s="489"/>
      <c r="X77" s="490"/>
      <c r="Y77" s="498">
        <f>+Y36+Y53+Y32+Y37+Y41+Y42+Y33+Y34</f>
        <v>7274070.3499999996</v>
      </c>
      <c r="Z77" s="489"/>
      <c r="AA77" s="490"/>
      <c r="AB77" s="498">
        <f>+AB36+AB53+AB32+AB37+AB41+AB42+AB33+AB34</f>
        <v>7176692.4299999997</v>
      </c>
      <c r="AC77" s="489"/>
      <c r="AD77" s="490"/>
      <c r="AE77" s="498">
        <f>+AE36+AE53+AE32+AE37+AE41+AE42+AE33+AE34</f>
        <v>7190039.7200000007</v>
      </c>
      <c r="AF77" s="489"/>
      <c r="AG77" s="490"/>
      <c r="AH77" s="498">
        <f>+AH36+AH53+AH32+AH37+AH41+AH42+AH33+AH34</f>
        <v>7196271.21</v>
      </c>
      <c r="AI77" s="498"/>
      <c r="AJ77" s="498"/>
      <c r="AK77" s="498">
        <f>+AK36+AK53+AK32+AK37+AK41+AK42+AK33+AK34</f>
        <v>7163004.5599999987</v>
      </c>
      <c r="AL77" s="488"/>
      <c r="AM77" s="490"/>
      <c r="AN77" s="490">
        <f>+AN36+AN53+AN32+AN37+AN41+AN42+AN33+AN34</f>
        <v>7116326.0999999996</v>
      </c>
      <c r="AO77" s="488"/>
      <c r="AP77" s="490"/>
      <c r="AQ77" s="490">
        <f>+AQ36+AQ53+AQ32+AQ37+AQ41+AQ42+AQ33+AQ34</f>
        <v>6858201.0999999996</v>
      </c>
      <c r="AR77" s="498"/>
      <c r="AS77" s="498"/>
      <c r="AT77" s="498">
        <f>+AT36+AT53+AT32+AT37+AT41+AT42+AT33+AT34</f>
        <v>6628103.3699999992</v>
      </c>
      <c r="AU77" s="488"/>
      <c r="AV77" s="490"/>
      <c r="AW77" s="490">
        <f>+AW36+AW53+AW32+AW37+AW41+AW42+AW33+AW34</f>
        <v>9979651.5991666634</v>
      </c>
      <c r="AX77" s="482"/>
      <c r="AY77" s="482"/>
    </row>
    <row r="78" spans="1:51" s="24" customFormat="1">
      <c r="A78" s="154">
        <v>70</v>
      </c>
      <c r="B78" s="890"/>
      <c r="C78" s="891"/>
      <c r="D78" s="891"/>
      <c r="E78" s="892"/>
      <c r="F78" s="482"/>
      <c r="G78" s="482" t="s">
        <v>1016</v>
      </c>
      <c r="H78" s="482"/>
      <c r="I78" s="482"/>
      <c r="J78" s="498">
        <f>+J26+J63+J39</f>
        <v>-53594338.570000008</v>
      </c>
      <c r="K78" s="488"/>
      <c r="L78" s="489"/>
      <c r="M78" s="488">
        <f t="shared" ref="M78" si="67">+M26+M63+M39</f>
        <v>-53751213.93</v>
      </c>
      <c r="N78" s="489"/>
      <c r="O78" s="490"/>
      <c r="P78" s="498">
        <f t="shared" ref="P78:V78" si="68">+P26+P63+P39</f>
        <v>-53885922.209999993</v>
      </c>
      <c r="Q78" s="489"/>
      <c r="R78" s="490"/>
      <c r="S78" s="498">
        <f t="shared" si="68"/>
        <v>-53976379.390000001</v>
      </c>
      <c r="T78" s="489"/>
      <c r="U78" s="490"/>
      <c r="V78" s="498">
        <f t="shared" si="68"/>
        <v>-54106999.309999987</v>
      </c>
      <c r="W78" s="489"/>
      <c r="X78" s="490"/>
      <c r="Y78" s="498">
        <f>+Y26+Y63+Y39+Y27+Y28</f>
        <v>-54248631.710000016</v>
      </c>
      <c r="Z78" s="489"/>
      <c r="AA78" s="490"/>
      <c r="AB78" s="498">
        <f>+AB26+AB63+AB39+AB27+AB28</f>
        <v>-54390777.750000022</v>
      </c>
      <c r="AC78" s="489"/>
      <c r="AD78" s="490"/>
      <c r="AE78" s="498">
        <f>+AE26+AE63+AE39+AE27+AE28</f>
        <v>-54531605.020000018</v>
      </c>
      <c r="AF78" s="489"/>
      <c r="AG78" s="490"/>
      <c r="AH78" s="498">
        <f>+AH26+AH63+AH39+AH27+AH28</f>
        <v>-54605091.49000001</v>
      </c>
      <c r="AI78" s="498"/>
      <c r="AJ78" s="498"/>
      <c r="AK78" s="498">
        <f>+AK26+AK63+AK39+AK27+AK28</f>
        <v>-54719762.740000024</v>
      </c>
      <c r="AL78" s="488"/>
      <c r="AM78" s="490"/>
      <c r="AN78" s="490">
        <f>+AN26+AN63+AN39+AN27+AN28</f>
        <v>-54850948.200000025</v>
      </c>
      <c r="AO78" s="488"/>
      <c r="AP78" s="490"/>
      <c r="AQ78" s="490">
        <f>+AQ26+AQ63+AQ39+AQ27+AQ28</f>
        <v>-56948095.980000019</v>
      </c>
      <c r="AR78" s="498"/>
      <c r="AS78" s="498"/>
      <c r="AT78" s="498">
        <f>+AT26+AT63+AT39+AT27+AT28</f>
        <v>-57867449.850000009</v>
      </c>
      <c r="AU78" s="488"/>
      <c r="AV78" s="490"/>
      <c r="AW78" s="490">
        <f>+AW26+AW63+AW39+AW27+AW28</f>
        <v>-54645526.828333333</v>
      </c>
      <c r="AX78" s="482"/>
      <c r="AY78" s="482"/>
    </row>
    <row r="79" spans="1:51" s="24" customFormat="1">
      <c r="A79" s="154">
        <v>71</v>
      </c>
      <c r="B79" s="890"/>
      <c r="C79" s="891"/>
      <c r="D79" s="891"/>
      <c r="E79" s="892"/>
      <c r="F79" s="482"/>
      <c r="G79" s="482" t="s">
        <v>1017</v>
      </c>
      <c r="H79" s="482"/>
      <c r="I79" s="482"/>
      <c r="J79" s="720">
        <f>+J73+J29+J40</f>
        <v>-34206953.839999996</v>
      </c>
      <c r="K79" s="720"/>
      <c r="L79" s="721"/>
      <c r="M79" s="720">
        <f t="shared" ref="M79" si="69">+M73+M29+M40</f>
        <v>-35642902.309999995</v>
      </c>
      <c r="N79" s="501"/>
      <c r="O79" s="490"/>
      <c r="P79" s="719">
        <f t="shared" ref="P79:V79" si="70">+P73+P29+P40</f>
        <v>-40401074.75</v>
      </c>
      <c r="Q79" s="720"/>
      <c r="R79" s="721"/>
      <c r="S79" s="719">
        <f t="shared" si="70"/>
        <v>-45222977.120000005</v>
      </c>
      <c r="T79" s="489"/>
      <c r="U79" s="721"/>
      <c r="V79" s="719">
        <f t="shared" si="70"/>
        <v>-45027159.499999993</v>
      </c>
      <c r="W79" s="720"/>
      <c r="X79" s="490"/>
      <c r="Y79" s="719">
        <f>+Y73+Y29+Y40+Y31+Y30</f>
        <v>-37407439.859999999</v>
      </c>
      <c r="Z79" s="720"/>
      <c r="AA79" s="490"/>
      <c r="AB79" s="719">
        <f>+AB73+AB29+AB40+AB30+AB31</f>
        <v>-37901895.140000001</v>
      </c>
      <c r="AC79" s="720"/>
      <c r="AD79" s="721"/>
      <c r="AE79" s="719">
        <f>+AE73+AE29+AE40+AE30+AE31</f>
        <v>-38717210.199999996</v>
      </c>
      <c r="AF79" s="720"/>
      <c r="AG79" s="490"/>
      <c r="AH79" s="719">
        <f>+AH73+AH29+AH40+AH30+AH31</f>
        <v>-2323345.0500000003</v>
      </c>
      <c r="AI79" s="719"/>
      <c r="AJ79" s="719"/>
      <c r="AK79" s="719">
        <f>+AK73+AK29+AK40+AK30+AK31</f>
        <v>-2317370.0799999996</v>
      </c>
      <c r="AL79" s="720"/>
      <c r="AM79" s="721"/>
      <c r="AN79" s="721">
        <f>+AN73+AN29+AN40+AN30+AN31</f>
        <v>-2316462.65</v>
      </c>
      <c r="AO79" s="720"/>
      <c r="AP79" s="490"/>
      <c r="AQ79" s="721">
        <f>+AQ73+AQ29+AQ40+AQ30+AQ31</f>
        <v>-2315555.2399999998</v>
      </c>
      <c r="AR79" s="719"/>
      <c r="AS79" s="719"/>
      <c r="AT79" s="719">
        <f>+AT73+AT29+AT40+AT30+AT31</f>
        <v>-36745292.729999997</v>
      </c>
      <c r="AU79" s="720"/>
      <c r="AV79" s="490"/>
      <c r="AW79" s="721">
        <f>+AW73+AW29+AW40+AW31+AW30</f>
        <v>-39091043.460416675</v>
      </c>
      <c r="AX79" s="482"/>
      <c r="AY79" s="482"/>
    </row>
    <row r="80" spans="1:51" s="24" customFormat="1" ht="16.2" thickBot="1">
      <c r="A80" s="154">
        <v>72</v>
      </c>
      <c r="B80" s="890"/>
      <c r="C80" s="891"/>
      <c r="D80" s="891"/>
      <c r="E80" s="892"/>
      <c r="F80" s="482"/>
      <c r="G80" s="482"/>
      <c r="H80" s="482"/>
      <c r="I80" s="482"/>
      <c r="J80" s="718">
        <f>+J77+J78+J79</f>
        <v>-72826780.520000011</v>
      </c>
      <c r="K80" s="503"/>
      <c r="L80" s="503"/>
      <c r="M80" s="502">
        <f t="shared" ref="M80:AT80" si="71">+M77+M78+M79</f>
        <v>-74383811.919999987</v>
      </c>
      <c r="N80" s="503"/>
      <c r="O80" s="723"/>
      <c r="P80" s="722">
        <f t="shared" si="71"/>
        <v>-79533267.269999996</v>
      </c>
      <c r="Q80" s="503"/>
      <c r="R80" s="503"/>
      <c r="S80" s="502">
        <f t="shared" si="71"/>
        <v>-84468074.310000002</v>
      </c>
      <c r="T80" s="724"/>
      <c r="U80" s="503"/>
      <c r="V80" s="502">
        <f t="shared" si="71"/>
        <v>-84649568.929999977</v>
      </c>
      <c r="W80" s="503"/>
      <c r="X80" s="723"/>
      <c r="Y80" s="502">
        <f t="shared" si="71"/>
        <v>-84382001.220000014</v>
      </c>
      <c r="Z80" s="503"/>
      <c r="AA80" s="723"/>
      <c r="AB80" s="502">
        <f t="shared" si="71"/>
        <v>-85115980.460000023</v>
      </c>
      <c r="AC80" s="503"/>
      <c r="AD80" s="503"/>
      <c r="AE80" s="502">
        <f t="shared" si="71"/>
        <v>-86058775.500000015</v>
      </c>
      <c r="AF80" s="503"/>
      <c r="AG80" s="723"/>
      <c r="AH80" s="502">
        <f t="shared" si="71"/>
        <v>-49732165.330000006</v>
      </c>
      <c r="AI80" s="503"/>
      <c r="AJ80" s="503"/>
      <c r="AK80" s="502">
        <f t="shared" si="71"/>
        <v>-49874128.26000002</v>
      </c>
      <c r="AL80" s="503"/>
      <c r="AM80" s="503"/>
      <c r="AN80" s="502">
        <f t="shared" si="71"/>
        <v>-50051084.750000022</v>
      </c>
      <c r="AO80" s="503"/>
      <c r="AP80" s="723"/>
      <c r="AQ80" s="502">
        <f t="shared" si="71"/>
        <v>-52405450.12000002</v>
      </c>
      <c r="AR80" s="503"/>
      <c r="AS80" s="503"/>
      <c r="AT80" s="502">
        <f t="shared" si="71"/>
        <v>-87984639.210000008</v>
      </c>
      <c r="AU80" s="503"/>
      <c r="AV80" s="723"/>
      <c r="AW80" s="722">
        <f>+AW78+AW79+AW77</f>
        <v>-83756918.689583346</v>
      </c>
      <c r="AX80" s="482"/>
      <c r="AY80" s="482"/>
    </row>
    <row r="81" spans="2:51">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row>
    <row r="82" spans="2:51">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row>
    <row r="83" spans="2:51">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row>
    <row r="84" spans="2:51">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row>
    <row r="85" spans="2:51">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row>
    <row r="86" spans="2:51">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row>
    <row r="87" spans="2:51">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row>
    <row r="88" spans="2:51">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row>
  </sheetData>
  <mergeCells count="35">
    <mergeCell ref="F3:J3"/>
    <mergeCell ref="E4:K4"/>
    <mergeCell ref="F5:J5"/>
    <mergeCell ref="F13:I13"/>
    <mergeCell ref="E1:K1"/>
    <mergeCell ref="F2:J2"/>
    <mergeCell ref="B77:E80"/>
    <mergeCell ref="B16:I16"/>
    <mergeCell ref="B25:I25"/>
    <mergeCell ref="B9:E13"/>
    <mergeCell ref="F9:I9"/>
    <mergeCell ref="F10:I10"/>
    <mergeCell ref="F11:I11"/>
    <mergeCell ref="F12:I12"/>
    <mergeCell ref="AX24:BD25"/>
    <mergeCell ref="R1:U1"/>
    <mergeCell ref="R2:U2"/>
    <mergeCell ref="R3:U3"/>
    <mergeCell ref="R4:U4"/>
    <mergeCell ref="R5:U5"/>
    <mergeCell ref="AK1:AO1"/>
    <mergeCell ref="AK2:AO2"/>
    <mergeCell ref="AB1:AJ1"/>
    <mergeCell ref="AB2:AJ2"/>
    <mergeCell ref="AB3:AJ3"/>
    <mergeCell ref="AK3:AO3"/>
    <mergeCell ref="AK4:AO4"/>
    <mergeCell ref="AK5:AO5"/>
    <mergeCell ref="AB4:AJ4"/>
    <mergeCell ref="AB5:AJ5"/>
    <mergeCell ref="AP1:AY1"/>
    <mergeCell ref="AP2:AY2"/>
    <mergeCell ref="AP3:AY3"/>
    <mergeCell ref="AP4:AY4"/>
    <mergeCell ref="AP5:AY5"/>
  </mergeCells>
  <phoneticPr fontId="142" type="noConversion"/>
  <printOptions horizontalCentered="1"/>
  <pageMargins left="0.7" right="0.7" top="0.75" bottom="0.75" header="0.3" footer="0.3"/>
  <pageSetup paperSize="17" scale="49" orientation="landscape" r:id="rId1"/>
  <headerFooter scaleWithDoc="0" alignWithMargins="0">
    <oddHeader>&amp;RPage &amp;P of &amp;N</oddHeader>
    <oddFooter>&amp;LElectronic Tab Name:&amp;A</oddFooter>
  </headerFooter>
  <rowBreaks count="1" manualBreakCount="1">
    <brk id="43" max="16383" man="1"/>
  </rowBreaks>
  <colBreaks count="3" manualBreakCount="3">
    <brk id="15" max="1048575" man="1"/>
    <brk id="27" max="1048575" man="1"/>
    <brk id="3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B1:N17"/>
  <sheetViews>
    <sheetView view="pageBreakPreview" zoomScaleNormal="100" zoomScaleSheetLayoutView="100" workbookViewId="0">
      <selection activeCell="H14" sqref="H14"/>
    </sheetView>
  </sheetViews>
  <sheetFormatPr defaultColWidth="9.109375" defaultRowHeight="15.6"/>
  <cols>
    <col min="1" max="1" width="1.44140625" style="4" customWidth="1"/>
    <col min="2" max="2" width="2.5546875" style="4" customWidth="1"/>
    <col min="3" max="3" width="10.5546875" style="6" bestFit="1" customWidth="1"/>
    <col min="4" max="4" width="43" style="4" bestFit="1" customWidth="1"/>
    <col min="5" max="5" width="4.109375" style="4" customWidth="1"/>
    <col min="6" max="6" width="17.5546875" style="4" bestFit="1" customWidth="1"/>
    <col min="7" max="7" width="6" style="4" customWidth="1"/>
    <col min="8" max="8" width="10.109375" style="4" bestFit="1" customWidth="1"/>
    <col min="9" max="9" width="5.109375" style="4" customWidth="1"/>
    <col min="10" max="10" width="13.6640625" style="4" bestFit="1" customWidth="1"/>
    <col min="11" max="13" width="9.109375" style="4"/>
    <col min="14" max="14" width="13.88671875" style="4" bestFit="1" customWidth="1"/>
    <col min="15" max="16384" width="9.109375" style="4"/>
  </cols>
  <sheetData>
    <row r="1" spans="2:14">
      <c r="B1" s="207"/>
      <c r="C1" s="866" t="s">
        <v>60</v>
      </c>
      <c r="D1" s="866"/>
      <c r="E1" s="866"/>
      <c r="F1" s="866"/>
      <c r="G1" s="866"/>
      <c r="H1" s="866"/>
      <c r="I1" s="866"/>
      <c r="J1" s="866"/>
      <c r="K1" s="208"/>
      <c r="L1" s="209"/>
      <c r="M1" s="208"/>
    </row>
    <row r="2" spans="2:14">
      <c r="B2" s="207"/>
      <c r="C2" s="866" t="s">
        <v>1863</v>
      </c>
      <c r="D2" s="866"/>
      <c r="E2" s="866"/>
      <c r="F2" s="866"/>
      <c r="G2" s="866"/>
      <c r="H2" s="866"/>
      <c r="I2" s="866"/>
      <c r="J2" s="866"/>
      <c r="K2" s="210"/>
      <c r="L2" s="210"/>
      <c r="M2" s="210"/>
    </row>
    <row r="3" spans="2:14">
      <c r="B3" s="207"/>
      <c r="C3" s="866" t="s">
        <v>1387</v>
      </c>
      <c r="D3" s="866"/>
      <c r="E3" s="866"/>
      <c r="F3" s="866"/>
      <c r="G3" s="866"/>
      <c r="H3" s="866"/>
      <c r="I3" s="866"/>
      <c r="J3" s="866"/>
      <c r="K3" s="210"/>
      <c r="L3" s="210"/>
      <c r="M3" s="210"/>
    </row>
    <row r="4" spans="2:14">
      <c r="B4" s="207"/>
      <c r="C4" s="866" t="s">
        <v>722</v>
      </c>
      <c r="D4" s="866"/>
      <c r="E4" s="866"/>
      <c r="F4" s="866"/>
      <c r="G4" s="866"/>
      <c r="H4" s="866"/>
      <c r="I4" s="866"/>
      <c r="J4" s="866"/>
      <c r="K4" s="211"/>
      <c r="L4" s="211"/>
      <c r="M4" s="211"/>
    </row>
    <row r="5" spans="2:14">
      <c r="B5" s="207"/>
      <c r="C5" s="866" t="s">
        <v>1862</v>
      </c>
      <c r="D5" s="866"/>
      <c r="E5" s="866"/>
      <c r="F5" s="866"/>
      <c r="G5" s="866"/>
      <c r="H5" s="866"/>
      <c r="I5" s="866"/>
      <c r="J5" s="866"/>
      <c r="K5" s="212"/>
      <c r="L5" s="212"/>
      <c r="M5" s="212"/>
    </row>
    <row r="6" spans="2:14">
      <c r="E6" s="909"/>
      <c r="F6" s="909"/>
      <c r="G6" s="909"/>
      <c r="H6" s="909"/>
      <c r="I6" s="909"/>
      <c r="J6" s="909"/>
    </row>
    <row r="7" spans="2:14">
      <c r="B7" s="213"/>
      <c r="C7" s="214"/>
      <c r="D7" s="213"/>
      <c r="E7" s="208"/>
      <c r="F7" s="208"/>
      <c r="G7" s="208"/>
      <c r="H7" s="208"/>
      <c r="I7" s="208"/>
      <c r="J7" s="208"/>
      <c r="K7" s="213"/>
      <c r="L7" s="213"/>
      <c r="M7" s="207"/>
    </row>
    <row r="8" spans="2:14" s="6" customFormat="1">
      <c r="B8" s="215"/>
      <c r="C8" s="216" t="s">
        <v>47</v>
      </c>
      <c r="D8" s="216" t="s">
        <v>803</v>
      </c>
      <c r="E8" s="216"/>
      <c r="F8" s="216" t="s">
        <v>801</v>
      </c>
      <c r="G8" s="216"/>
      <c r="H8" s="216" t="s">
        <v>804</v>
      </c>
      <c r="I8" s="216"/>
      <c r="J8" s="216" t="s">
        <v>805</v>
      </c>
      <c r="K8" s="215"/>
      <c r="L8" s="217"/>
      <c r="M8" s="216"/>
    </row>
    <row r="9" spans="2:14">
      <c r="B9" s="213"/>
      <c r="C9" s="218" t="s">
        <v>799</v>
      </c>
      <c r="D9" s="219" t="s">
        <v>48</v>
      </c>
      <c r="E9" s="220"/>
      <c r="F9" s="220" t="s">
        <v>49</v>
      </c>
      <c r="G9" s="220"/>
      <c r="H9" s="221" t="s">
        <v>50</v>
      </c>
      <c r="I9" s="221"/>
      <c r="J9" s="222" t="s">
        <v>51</v>
      </c>
      <c r="K9" s="213"/>
      <c r="L9" s="213"/>
      <c r="M9" s="207"/>
    </row>
    <row r="10" spans="2:14">
      <c r="B10" s="213"/>
      <c r="C10" s="206"/>
      <c r="D10" s="223"/>
      <c r="E10" s="223"/>
      <c r="F10" s="223"/>
      <c r="G10" s="223"/>
      <c r="H10" s="223"/>
      <c r="I10" s="223"/>
      <c r="J10" s="224" t="s">
        <v>50</v>
      </c>
      <c r="K10" s="213"/>
      <c r="L10" s="213"/>
      <c r="M10" s="207"/>
    </row>
    <row r="11" spans="2:14">
      <c r="C11" s="206">
        <v>1</v>
      </c>
      <c r="D11" s="225" t="s">
        <v>52</v>
      </c>
      <c r="E11" s="223"/>
      <c r="F11" s="817">
        <v>0.496</v>
      </c>
      <c r="G11" s="227"/>
      <c r="H11" s="228">
        <v>4.7446000000000002E-2</v>
      </c>
      <c r="I11" s="229"/>
      <c r="J11" s="230">
        <f>ROUND(+F11*H11,5)</f>
        <v>2.3529999999999999E-2</v>
      </c>
      <c r="K11" s="213"/>
      <c r="L11" s="231"/>
      <c r="M11" s="207"/>
      <c r="N11" s="232"/>
    </row>
    <row r="12" spans="2:14">
      <c r="C12" s="206">
        <v>2</v>
      </c>
      <c r="D12" s="225" t="s">
        <v>53</v>
      </c>
      <c r="E12" s="223"/>
      <c r="F12" s="226">
        <v>0</v>
      </c>
      <c r="G12" s="227"/>
      <c r="H12" s="228">
        <v>0</v>
      </c>
      <c r="I12" s="229"/>
      <c r="J12" s="230">
        <f>ROUND(+F12*H12,5)</f>
        <v>0</v>
      </c>
      <c r="K12" s="213"/>
      <c r="L12" s="231"/>
      <c r="M12" s="207"/>
    </row>
    <row r="13" spans="2:14">
      <c r="C13" s="206">
        <v>3</v>
      </c>
      <c r="D13" s="225" t="s">
        <v>54</v>
      </c>
      <c r="E13" s="223"/>
      <c r="F13" s="817">
        <v>0.504</v>
      </c>
      <c r="G13" s="227"/>
      <c r="H13" s="228">
        <v>0.10299999999999999</v>
      </c>
      <c r="I13" s="229"/>
      <c r="J13" s="230">
        <f>ROUND(+F13*H13,5)</f>
        <v>5.1909999999999998E-2</v>
      </c>
      <c r="K13" s="213"/>
      <c r="L13" s="231"/>
      <c r="M13" s="207"/>
    </row>
    <row r="14" spans="2:14" ht="16.2" thickBot="1">
      <c r="B14" s="213"/>
      <c r="C14" s="206">
        <v>4</v>
      </c>
      <c r="D14" s="225" t="s">
        <v>55</v>
      </c>
      <c r="E14" s="223"/>
      <c r="F14" s="233">
        <f>SUM(F11:F13)</f>
        <v>1</v>
      </c>
      <c r="G14" s="227"/>
      <c r="H14" s="227"/>
      <c r="I14" s="229"/>
      <c r="J14" s="234">
        <f>SUM(J11:J13)</f>
        <v>7.5439999999999993E-2</v>
      </c>
      <c r="K14" s="213"/>
      <c r="L14" s="213"/>
      <c r="M14" s="207"/>
    </row>
    <row r="15" spans="2:14" ht="16.2" thickTop="1">
      <c r="B15" s="213"/>
      <c r="C15" s="235"/>
      <c r="D15" s="236"/>
      <c r="E15" s="236"/>
      <c r="F15" s="236"/>
      <c r="G15" s="236"/>
      <c r="H15" s="236"/>
      <c r="I15" s="236"/>
      <c r="J15" s="237"/>
      <c r="K15" s="213"/>
      <c r="L15" s="213"/>
      <c r="M15" s="207"/>
    </row>
    <row r="16" spans="2:14">
      <c r="B16" s="213"/>
      <c r="C16" s="215"/>
      <c r="D16" s="213"/>
      <c r="E16" s="213"/>
      <c r="F16" s="213"/>
      <c r="G16" s="213"/>
      <c r="H16" s="213"/>
      <c r="I16" s="213"/>
      <c r="J16" s="213"/>
      <c r="K16" s="213"/>
      <c r="L16" s="213"/>
      <c r="M16" s="207"/>
    </row>
    <row r="17" spans="2:12">
      <c r="B17" s="207"/>
      <c r="C17" s="216"/>
      <c r="D17" s="213" t="s">
        <v>1099</v>
      </c>
      <c r="E17" s="213"/>
      <c r="F17" s="213"/>
      <c r="G17" s="213"/>
      <c r="H17" s="213"/>
      <c r="I17" s="213"/>
      <c r="J17" s="207"/>
      <c r="K17" s="207"/>
      <c r="L17" s="207"/>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U71"/>
  <sheetViews>
    <sheetView view="pageBreakPreview" zoomScaleNormal="75" zoomScaleSheetLayoutView="100" workbookViewId="0">
      <selection activeCell="G24" sqref="F24:G24"/>
    </sheetView>
  </sheetViews>
  <sheetFormatPr defaultColWidth="17.88671875" defaultRowHeight="13.2"/>
  <cols>
    <col min="1" max="1" width="7.88671875" style="311" bestFit="1" customWidth="1"/>
    <col min="2" max="2" width="17.6640625" style="267" customWidth="1"/>
    <col min="3" max="3" width="11.33203125" style="267" bestFit="1" customWidth="1"/>
    <col min="4" max="4" width="8.6640625" style="267" customWidth="1"/>
    <col min="5" max="5" width="10.44140625" style="267" customWidth="1"/>
    <col min="6" max="6" width="22.44140625" style="267" customWidth="1"/>
    <col min="7" max="7" width="15.109375" style="267" customWidth="1"/>
    <col min="8" max="9" width="15.44140625" style="267" bestFit="1" customWidth="1"/>
    <col min="10" max="10" width="8.33203125" style="267" bestFit="1" customWidth="1"/>
    <col min="11" max="11" width="15.5546875" style="267" bestFit="1" customWidth="1"/>
    <col min="12" max="13" width="11.6640625" style="267" bestFit="1" customWidth="1"/>
    <col min="14" max="14" width="14" style="267" bestFit="1" customWidth="1"/>
    <col min="15" max="15" width="10.88671875" style="267" bestFit="1" customWidth="1"/>
    <col min="16" max="16" width="12" style="267" bestFit="1" customWidth="1"/>
    <col min="17" max="17" width="10.44140625" style="267" bestFit="1" customWidth="1"/>
    <col min="18" max="18" width="13.44140625" style="267" customWidth="1"/>
    <col min="19" max="19" width="15.109375" style="267" customWidth="1"/>
    <col min="20" max="20" width="26.5546875" style="267" customWidth="1"/>
    <col min="21" max="16384" width="17.88671875" style="267"/>
  </cols>
  <sheetData>
    <row r="1" spans="1:20" s="268" customFormat="1" ht="15.6">
      <c r="A1" s="434"/>
      <c r="H1" s="866" t="s">
        <v>60</v>
      </c>
      <c r="I1" s="866"/>
      <c r="J1" s="866"/>
      <c r="K1" s="866"/>
      <c r="L1" s="866"/>
      <c r="M1" s="866"/>
      <c r="N1" s="866"/>
      <c r="O1" s="866"/>
      <c r="P1" s="866"/>
    </row>
    <row r="2" spans="1:20" s="268" customFormat="1" ht="15.6">
      <c r="A2" s="434"/>
      <c r="H2" s="866" t="s">
        <v>1863</v>
      </c>
      <c r="I2" s="866"/>
      <c r="J2" s="866"/>
      <c r="K2" s="866"/>
      <c r="L2" s="866"/>
      <c r="M2" s="866"/>
      <c r="N2" s="866"/>
      <c r="O2" s="866"/>
      <c r="P2" s="866"/>
    </row>
    <row r="3" spans="1:20" s="268" customFormat="1" ht="15.6">
      <c r="A3" s="434"/>
      <c r="B3" s="435"/>
      <c r="H3" s="866" t="s">
        <v>1388</v>
      </c>
      <c r="I3" s="866"/>
      <c r="J3" s="866"/>
      <c r="K3" s="866"/>
      <c r="L3" s="866"/>
      <c r="M3" s="866"/>
      <c r="N3" s="866"/>
      <c r="O3" s="866"/>
      <c r="P3" s="866"/>
    </row>
    <row r="4" spans="1:20" s="268" customFormat="1" ht="15.6">
      <c r="A4" s="434"/>
      <c r="H4" s="866" t="s">
        <v>1107</v>
      </c>
      <c r="I4" s="866"/>
      <c r="J4" s="866"/>
      <c r="K4" s="866"/>
      <c r="L4" s="866"/>
      <c r="M4" s="866"/>
      <c r="N4" s="866"/>
      <c r="O4" s="866"/>
      <c r="P4" s="866"/>
    </row>
    <row r="5" spans="1:20" s="268" customFormat="1" ht="15.6">
      <c r="A5" s="434"/>
      <c r="B5" s="436"/>
      <c r="H5" s="866" t="s">
        <v>1862</v>
      </c>
      <c r="I5" s="866"/>
      <c r="J5" s="866"/>
      <c r="K5" s="866"/>
      <c r="L5" s="866"/>
      <c r="M5" s="866"/>
      <c r="N5" s="866"/>
      <c r="O5" s="866"/>
      <c r="P5" s="866"/>
    </row>
    <row r="6" spans="1:20" s="434" customFormat="1" ht="15.6">
      <c r="B6" s="437" t="s">
        <v>803</v>
      </c>
      <c r="C6" s="434" t="s">
        <v>801</v>
      </c>
      <c r="D6" s="434" t="s">
        <v>802</v>
      </c>
      <c r="E6" s="434" t="s">
        <v>805</v>
      </c>
      <c r="F6" s="434" t="s">
        <v>806</v>
      </c>
      <c r="G6" s="434" t="s">
        <v>807</v>
      </c>
      <c r="H6" s="312" t="s">
        <v>808</v>
      </c>
      <c r="I6" s="312" t="s">
        <v>809</v>
      </c>
      <c r="J6" s="312" t="s">
        <v>810</v>
      </c>
      <c r="K6" s="312" t="s">
        <v>811</v>
      </c>
      <c r="L6" s="312" t="s">
        <v>812</v>
      </c>
      <c r="M6" s="312" t="s">
        <v>813</v>
      </c>
      <c r="N6" s="312" t="s">
        <v>814</v>
      </c>
      <c r="O6" s="312" t="s">
        <v>815</v>
      </c>
      <c r="P6" s="312" t="s">
        <v>816</v>
      </c>
      <c r="Q6" s="434" t="s">
        <v>1020</v>
      </c>
      <c r="R6" s="434" t="s">
        <v>1021</v>
      </c>
      <c r="S6" s="434" t="s">
        <v>1022</v>
      </c>
      <c r="T6" s="434" t="s">
        <v>1023</v>
      </c>
    </row>
    <row r="7" spans="1:20" s="268" customFormat="1" ht="14.4" thickBot="1">
      <c r="A7" s="434"/>
      <c r="B7" s="436" t="s">
        <v>1980</v>
      </c>
    </row>
    <row r="8" spans="1:20" s="268" customFormat="1">
      <c r="A8" s="434" t="s">
        <v>662</v>
      </c>
      <c r="B8" s="304"/>
      <c r="C8" s="303"/>
      <c r="D8" s="303"/>
      <c r="E8" s="302"/>
      <c r="F8" s="303"/>
      <c r="G8" s="303"/>
      <c r="H8" s="306"/>
      <c r="I8" s="306"/>
      <c r="J8" s="305"/>
      <c r="K8" s="304"/>
      <c r="L8" s="303"/>
      <c r="M8" s="303"/>
      <c r="N8" s="302"/>
      <c r="O8" s="304"/>
      <c r="P8" s="303"/>
      <c r="Q8" s="302"/>
      <c r="R8" s="304"/>
      <c r="S8" s="303"/>
      <c r="T8" s="302"/>
    </row>
    <row r="9" spans="1:20" s="268" customFormat="1">
      <c r="A9" s="434">
        <v>1</v>
      </c>
      <c r="B9" s="300" t="s">
        <v>60</v>
      </c>
      <c r="C9" s="297"/>
      <c r="D9" s="297"/>
      <c r="E9" s="296"/>
      <c r="F9" s="301" t="s">
        <v>60</v>
      </c>
      <c r="G9" s="297"/>
      <c r="H9" s="299"/>
      <c r="I9" s="299"/>
      <c r="J9" s="298"/>
      <c r="K9" s="300" t="s">
        <v>60</v>
      </c>
      <c r="L9" s="297"/>
      <c r="M9" s="297"/>
      <c r="N9" s="296"/>
      <c r="O9" s="300" t="s">
        <v>60</v>
      </c>
      <c r="P9" s="297"/>
      <c r="Q9" s="296"/>
      <c r="R9" s="300" t="s">
        <v>60</v>
      </c>
      <c r="S9" s="297"/>
      <c r="T9" s="296"/>
    </row>
    <row r="10" spans="1:20" s="268" customFormat="1" ht="15.6">
      <c r="A10" s="434">
        <v>2</v>
      </c>
      <c r="B10" s="300" t="s">
        <v>1094</v>
      </c>
      <c r="C10" s="297"/>
      <c r="D10" s="297"/>
      <c r="E10" s="296"/>
      <c r="F10" s="301" t="s">
        <v>1093</v>
      </c>
      <c r="G10" s="297"/>
      <c r="H10" s="299"/>
      <c r="I10" s="299"/>
      <c r="J10" s="298"/>
      <c r="K10" s="300" t="s">
        <v>1092</v>
      </c>
      <c r="L10" s="297"/>
      <c r="M10" s="297"/>
      <c r="N10" s="296"/>
      <c r="O10" s="300" t="s">
        <v>1091</v>
      </c>
      <c r="P10" s="297"/>
      <c r="Q10" s="296"/>
      <c r="R10" s="300" t="s">
        <v>117</v>
      </c>
      <c r="S10" s="297"/>
      <c r="T10" s="296"/>
    </row>
    <row r="11" spans="1:20" s="268" customFormat="1">
      <c r="A11" s="434">
        <v>3</v>
      </c>
      <c r="B11" s="438">
        <v>2018</v>
      </c>
      <c r="C11" s="297"/>
      <c r="D11" s="297"/>
      <c r="E11" s="296"/>
      <c r="F11" s="439">
        <f>+B11</f>
        <v>2018</v>
      </c>
      <c r="G11" s="297"/>
      <c r="H11" s="299"/>
      <c r="I11" s="299"/>
      <c r="J11" s="298"/>
      <c r="K11" s="440">
        <f>+B11</f>
        <v>2018</v>
      </c>
      <c r="L11" s="297"/>
      <c r="M11" s="297"/>
      <c r="N11" s="296"/>
      <c r="O11" s="440">
        <f>B11</f>
        <v>2018</v>
      </c>
      <c r="P11" s="297"/>
      <c r="Q11" s="296"/>
      <c r="R11" s="440">
        <f>B11</f>
        <v>2018</v>
      </c>
      <c r="S11" s="297"/>
      <c r="T11" s="296"/>
    </row>
    <row r="12" spans="1:20" s="268" customFormat="1">
      <c r="A12" s="434"/>
      <c r="B12" s="277"/>
      <c r="C12" s="276"/>
      <c r="D12" s="276"/>
      <c r="E12" s="275"/>
      <c r="F12" s="276"/>
      <c r="G12" s="276"/>
      <c r="H12" s="282"/>
      <c r="I12" s="282"/>
      <c r="J12" s="281"/>
      <c r="K12" s="277"/>
      <c r="L12" s="276"/>
      <c r="M12" s="276"/>
      <c r="N12" s="275"/>
      <c r="O12" s="277"/>
      <c r="P12" s="276"/>
      <c r="Q12" s="275"/>
      <c r="R12" s="277"/>
      <c r="S12" s="276"/>
      <c r="T12" s="275"/>
    </row>
    <row r="13" spans="1:20" s="268" customFormat="1">
      <c r="A13" s="434">
        <v>4</v>
      </c>
      <c r="B13" s="277"/>
      <c r="C13" s="276"/>
      <c r="D13" s="276"/>
      <c r="E13" s="275"/>
      <c r="F13" s="278" t="s">
        <v>1090</v>
      </c>
      <c r="G13" s="276"/>
      <c r="H13" s="294" t="s">
        <v>372</v>
      </c>
      <c r="I13" s="294" t="s">
        <v>734</v>
      </c>
      <c r="J13" s="281"/>
      <c r="K13" s="277"/>
      <c r="L13" s="276"/>
      <c r="M13" s="276"/>
      <c r="N13" s="275"/>
      <c r="O13" s="277"/>
      <c r="P13" s="276"/>
      <c r="Q13" s="275"/>
      <c r="R13" s="277"/>
      <c r="S13" s="276"/>
      <c r="T13" s="275"/>
    </row>
    <row r="14" spans="1:20" s="268" customFormat="1">
      <c r="A14" s="434">
        <v>5</v>
      </c>
      <c r="B14" s="277"/>
      <c r="C14" s="288" t="s">
        <v>372</v>
      </c>
      <c r="D14" s="288" t="s">
        <v>734</v>
      </c>
      <c r="E14" s="287" t="s">
        <v>58</v>
      </c>
      <c r="F14" s="276"/>
      <c r="G14" s="295"/>
      <c r="H14" s="294" t="s">
        <v>755</v>
      </c>
      <c r="I14" s="294" t="s">
        <v>755</v>
      </c>
      <c r="J14" s="281"/>
      <c r="K14" s="277"/>
      <c r="L14" s="276"/>
      <c r="M14" s="276"/>
      <c r="N14" s="275"/>
      <c r="O14" s="277"/>
      <c r="P14" s="290" t="s">
        <v>1089</v>
      </c>
      <c r="Q14" s="291"/>
      <c r="R14" s="284" t="s">
        <v>1088</v>
      </c>
      <c r="S14" s="276"/>
      <c r="T14" s="275"/>
    </row>
    <row r="15" spans="1:20" s="268" customFormat="1">
      <c r="A15" s="434">
        <v>6</v>
      </c>
      <c r="B15" s="277"/>
      <c r="C15" s="280"/>
      <c r="D15" s="280"/>
      <c r="E15" s="279"/>
      <c r="F15" s="276"/>
      <c r="G15" s="288" t="s">
        <v>1087</v>
      </c>
      <c r="H15" s="293" t="s">
        <v>1086</v>
      </c>
      <c r="I15" s="293" t="s">
        <v>1086</v>
      </c>
      <c r="J15" s="281"/>
      <c r="K15" s="277"/>
      <c r="L15" s="290" t="s">
        <v>372</v>
      </c>
      <c r="M15" s="290" t="s">
        <v>734</v>
      </c>
      <c r="N15" s="291"/>
      <c r="O15" s="277"/>
      <c r="P15" s="288" t="s">
        <v>1085</v>
      </c>
      <c r="Q15" s="287" t="s">
        <v>1078</v>
      </c>
      <c r="R15" s="277"/>
      <c r="S15" s="276"/>
      <c r="T15" s="275"/>
    </row>
    <row r="16" spans="1:20" s="268" customFormat="1">
      <c r="A16" s="434">
        <v>7</v>
      </c>
      <c r="B16" s="284" t="s">
        <v>1084</v>
      </c>
      <c r="C16" s="441">
        <f>Q17</f>
        <v>0.74299999999999999</v>
      </c>
      <c r="D16" s="441">
        <f>E16-C16</f>
        <v>0.25700000000000001</v>
      </c>
      <c r="E16" s="442">
        <v>1</v>
      </c>
      <c r="F16" s="276"/>
      <c r="G16" s="280"/>
      <c r="H16" s="283"/>
      <c r="I16" s="283"/>
      <c r="J16" s="281"/>
      <c r="K16" s="277"/>
      <c r="L16" s="288" t="s">
        <v>1083</v>
      </c>
      <c r="M16" s="288" t="s">
        <v>1083</v>
      </c>
      <c r="N16" s="287" t="s">
        <v>58</v>
      </c>
      <c r="O16" s="277"/>
      <c r="P16" s="280"/>
      <c r="Q16" s="279"/>
      <c r="R16" s="277"/>
      <c r="S16" s="276"/>
      <c r="T16" s="275"/>
    </row>
    <row r="17" spans="1:21" s="268" customFormat="1">
      <c r="A17" s="434">
        <v>8</v>
      </c>
      <c r="B17" s="284" t="s">
        <v>1082</v>
      </c>
      <c r="C17" s="441">
        <f>H39</f>
        <v>0.73719999999999997</v>
      </c>
      <c r="D17" s="441">
        <f>E17-C17</f>
        <v>0.26280000000000003</v>
      </c>
      <c r="E17" s="442">
        <v>1</v>
      </c>
      <c r="F17" s="276"/>
      <c r="G17" s="443">
        <v>43100</v>
      </c>
      <c r="H17" s="444">
        <v>172</v>
      </c>
      <c r="I17" s="444">
        <v>62</v>
      </c>
      <c r="J17" s="281"/>
      <c r="K17" s="277"/>
      <c r="L17" s="280"/>
      <c r="M17" s="280"/>
      <c r="N17" s="279"/>
      <c r="O17" s="284" t="s">
        <v>372</v>
      </c>
      <c r="P17" s="444">
        <f>+P62</f>
        <v>214995.91666666666</v>
      </c>
      <c r="Q17" s="442">
        <f>ROUND(P17/P21,4)</f>
        <v>0.74299999999999999</v>
      </c>
      <c r="R17" s="277"/>
      <c r="S17" s="292">
        <f>R11</f>
        <v>2018</v>
      </c>
      <c r="T17" s="291"/>
    </row>
    <row r="18" spans="1:21" s="268" customFormat="1">
      <c r="A18" s="434">
        <v>9</v>
      </c>
      <c r="B18" s="284" t="s">
        <v>1081</v>
      </c>
      <c r="C18" s="445">
        <f>L25</f>
        <v>0.77490000000000003</v>
      </c>
      <c r="D18" s="445">
        <f>E18-C18</f>
        <v>0.22509999999999997</v>
      </c>
      <c r="E18" s="446">
        <v>1</v>
      </c>
      <c r="F18" s="276"/>
      <c r="G18" s="443">
        <v>43130</v>
      </c>
      <c r="H18" s="444">
        <v>173</v>
      </c>
      <c r="I18" s="444">
        <v>62</v>
      </c>
      <c r="J18" s="281"/>
      <c r="K18" s="284" t="s">
        <v>1080</v>
      </c>
      <c r="L18" s="268">
        <v>780275999</v>
      </c>
      <c r="M18" s="268">
        <v>226716210</v>
      </c>
      <c r="N18" s="447">
        <f>SUM(L18:M18)</f>
        <v>1006992209</v>
      </c>
      <c r="O18" s="284" t="s">
        <v>734</v>
      </c>
      <c r="P18" s="448">
        <f>+Q62</f>
        <v>74376.666666666672</v>
      </c>
      <c r="Q18" s="446">
        <f>Q21-Q17</f>
        <v>0.25700000000000001</v>
      </c>
      <c r="R18" s="277"/>
      <c r="S18" s="290" t="s">
        <v>1057</v>
      </c>
      <c r="T18" s="289" t="s">
        <v>721</v>
      </c>
    </row>
    <row r="19" spans="1:21" s="268" customFormat="1">
      <c r="A19" s="434">
        <v>10</v>
      </c>
      <c r="B19" s="277"/>
      <c r="C19" s="280"/>
      <c r="D19" s="280"/>
      <c r="E19" s="279"/>
      <c r="F19" s="276"/>
      <c r="G19" s="443">
        <v>43158</v>
      </c>
      <c r="H19" s="444">
        <v>173</v>
      </c>
      <c r="I19" s="444">
        <v>60</v>
      </c>
      <c r="J19" s="281"/>
      <c r="K19" s="277"/>
      <c r="L19" s="282"/>
      <c r="M19" s="282"/>
      <c r="N19" s="281"/>
      <c r="O19" s="277"/>
      <c r="P19" s="283"/>
      <c r="Q19" s="279"/>
      <c r="R19" s="277"/>
      <c r="S19" s="288" t="s">
        <v>41</v>
      </c>
      <c r="T19" s="287" t="s">
        <v>1079</v>
      </c>
    </row>
    <row r="20" spans="1:21">
      <c r="A20" s="311">
        <v>11</v>
      </c>
      <c r="B20" s="277"/>
      <c r="C20" s="276"/>
      <c r="D20" s="276"/>
      <c r="E20" s="275"/>
      <c r="F20" s="276"/>
      <c r="G20" s="443">
        <v>43188</v>
      </c>
      <c r="H20" s="444">
        <v>173</v>
      </c>
      <c r="I20" s="444">
        <v>60</v>
      </c>
      <c r="J20" s="281"/>
      <c r="K20" s="277"/>
      <c r="L20" s="283"/>
      <c r="M20" s="283"/>
      <c r="N20" s="449"/>
      <c r="O20" s="277"/>
      <c r="P20" s="282"/>
      <c r="Q20" s="275"/>
      <c r="R20" s="277"/>
      <c r="S20" s="283"/>
      <c r="T20" s="289"/>
    </row>
    <row r="21" spans="1:21">
      <c r="A21" s="311">
        <v>12</v>
      </c>
      <c r="B21" s="284" t="s">
        <v>115</v>
      </c>
      <c r="C21" s="445">
        <f>ROUND(AVERAGE(C16:C18),4)</f>
        <v>0.75170000000000003</v>
      </c>
      <c r="D21" s="445">
        <f>AVERAGE(D16:D18)</f>
        <v>0.24829999999999999</v>
      </c>
      <c r="E21" s="446">
        <f>AVERAGE(E16:E18)</f>
        <v>1</v>
      </c>
      <c r="F21" s="276"/>
      <c r="G21" s="443">
        <v>43218</v>
      </c>
      <c r="H21" s="444">
        <v>172</v>
      </c>
      <c r="I21" s="444">
        <v>60</v>
      </c>
      <c r="J21" s="281"/>
      <c r="K21" s="277"/>
      <c r="L21" s="282"/>
      <c r="M21" s="282"/>
      <c r="N21" s="281"/>
      <c r="O21" s="284" t="s">
        <v>58</v>
      </c>
      <c r="P21" s="450">
        <f>SUM(P16:P19)</f>
        <v>289372.58333333331</v>
      </c>
      <c r="Q21" s="446">
        <v>1</v>
      </c>
      <c r="R21" s="284" t="s">
        <v>372</v>
      </c>
      <c r="S21" s="444">
        <v>302980258</v>
      </c>
      <c r="T21" s="289">
        <f>ROUND(S21/S25,4)</f>
        <v>0.75539999999999996</v>
      </c>
      <c r="U21" s="286"/>
    </row>
    <row r="22" spans="1:21">
      <c r="A22" s="311">
        <v>13</v>
      </c>
      <c r="B22" s="277"/>
      <c r="C22" s="280"/>
      <c r="D22" s="280"/>
      <c r="E22" s="279"/>
      <c r="F22" s="276"/>
      <c r="G22" s="443">
        <v>43248</v>
      </c>
      <c r="H22" s="444">
        <v>172</v>
      </c>
      <c r="I22" s="444">
        <v>59</v>
      </c>
      <c r="J22" s="281"/>
      <c r="K22" s="277"/>
      <c r="L22" s="280"/>
      <c r="M22" s="280"/>
      <c r="N22" s="279"/>
      <c r="O22" s="277"/>
      <c r="P22" s="283"/>
      <c r="Q22" s="279"/>
      <c r="R22" s="284" t="s">
        <v>734</v>
      </c>
      <c r="S22" s="444">
        <v>98079245</v>
      </c>
      <c r="T22" s="287">
        <f>T25-T21</f>
        <v>0.24460000000000004</v>
      </c>
      <c r="U22" s="286"/>
    </row>
    <row r="23" spans="1:21">
      <c r="A23" s="311">
        <v>14</v>
      </c>
      <c r="B23" s="277"/>
      <c r="C23" s="451"/>
      <c r="D23" s="276"/>
      <c r="E23" s="275"/>
      <c r="F23" s="276"/>
      <c r="G23" s="443">
        <v>43278</v>
      </c>
      <c r="H23" s="444">
        <v>179</v>
      </c>
      <c r="I23" s="444">
        <v>62</v>
      </c>
      <c r="J23" s="281"/>
      <c r="K23" s="277"/>
      <c r="L23" s="276"/>
      <c r="M23" s="276"/>
      <c r="N23" s="275"/>
      <c r="O23" s="277"/>
      <c r="P23" s="276"/>
      <c r="Q23" s="275"/>
      <c r="R23" s="277"/>
      <c r="S23" s="283"/>
      <c r="T23" s="289"/>
    </row>
    <row r="24" spans="1:21">
      <c r="A24" s="311">
        <v>15</v>
      </c>
      <c r="B24" s="277"/>
      <c r="C24" s="276"/>
      <c r="D24" s="276"/>
      <c r="E24" s="275"/>
      <c r="F24" s="276"/>
      <c r="G24" s="443">
        <v>43308</v>
      </c>
      <c r="H24" s="444">
        <v>179</v>
      </c>
      <c r="I24" s="444">
        <v>63</v>
      </c>
      <c r="J24" s="281"/>
      <c r="K24" s="277"/>
      <c r="L24" s="276"/>
      <c r="M24" s="276"/>
      <c r="N24" s="275"/>
      <c r="O24" s="277"/>
      <c r="P24" s="276"/>
      <c r="Q24" s="275"/>
      <c r="R24" s="277"/>
      <c r="S24" s="282"/>
      <c r="T24" s="291"/>
    </row>
    <row r="25" spans="1:21">
      <c r="A25" s="311">
        <v>16</v>
      </c>
      <c r="B25" s="277"/>
      <c r="C25" s="276"/>
      <c r="D25" s="276"/>
      <c r="E25" s="275"/>
      <c r="F25" s="276"/>
      <c r="G25" s="443">
        <v>43338</v>
      </c>
      <c r="H25" s="444">
        <v>177</v>
      </c>
      <c r="I25" s="444">
        <v>63</v>
      </c>
      <c r="J25" s="281"/>
      <c r="K25" s="284" t="s">
        <v>1078</v>
      </c>
      <c r="L25" s="445">
        <f>ROUND(L18/N18,4)</f>
        <v>0.77490000000000003</v>
      </c>
      <c r="M25" s="445">
        <f>N25-L25</f>
        <v>0.22509999999999997</v>
      </c>
      <c r="N25" s="446">
        <v>1</v>
      </c>
      <c r="O25" s="277"/>
      <c r="P25" s="276"/>
      <c r="Q25" s="275"/>
      <c r="R25" s="277"/>
      <c r="S25" s="450">
        <f>SUM(S20:S23)</f>
        <v>401059503</v>
      </c>
      <c r="T25" s="287">
        <v>1</v>
      </c>
    </row>
    <row r="26" spans="1:21">
      <c r="A26" s="311">
        <v>17</v>
      </c>
      <c r="B26" s="277"/>
      <c r="C26" s="276"/>
      <c r="D26" s="276"/>
      <c r="E26" s="275"/>
      <c r="F26" s="276"/>
      <c r="G26" s="443">
        <v>43368</v>
      </c>
      <c r="H26" s="444">
        <v>169</v>
      </c>
      <c r="I26" s="444">
        <v>63</v>
      </c>
      <c r="J26" s="281"/>
      <c r="K26" s="277"/>
      <c r="L26" s="280"/>
      <c r="M26" s="280"/>
      <c r="N26" s="279"/>
      <c r="O26" s="277"/>
      <c r="P26" s="276"/>
      <c r="Q26" s="275"/>
      <c r="R26" s="277"/>
      <c r="S26" s="283"/>
      <c r="T26" s="279"/>
    </row>
    <row r="27" spans="1:21">
      <c r="A27" s="311">
        <v>18</v>
      </c>
      <c r="B27" s="277"/>
      <c r="C27" s="276"/>
      <c r="D27" s="276"/>
      <c r="E27" s="275"/>
      <c r="F27" s="276"/>
      <c r="G27" s="443">
        <v>43398</v>
      </c>
      <c r="H27" s="444">
        <v>170</v>
      </c>
      <c r="I27" s="444">
        <v>63</v>
      </c>
      <c r="J27" s="281"/>
      <c r="K27" s="277"/>
      <c r="L27" s="276"/>
      <c r="M27" s="276"/>
      <c r="N27" s="275"/>
      <c r="O27" s="277"/>
      <c r="P27" s="276"/>
      <c r="Q27" s="275"/>
      <c r="R27" s="277"/>
      <c r="S27" s="282"/>
      <c r="T27" s="275"/>
    </row>
    <row r="28" spans="1:21">
      <c r="A28" s="311">
        <v>19</v>
      </c>
      <c r="B28" s="277"/>
      <c r="C28" s="276"/>
      <c r="D28" s="276"/>
      <c r="E28" s="275"/>
      <c r="F28" s="276"/>
      <c r="G28" s="443">
        <v>43428</v>
      </c>
      <c r="H28" s="444">
        <v>176</v>
      </c>
      <c r="I28" s="444">
        <v>65</v>
      </c>
      <c r="J28" s="281"/>
      <c r="K28" s="277"/>
      <c r="L28" s="285"/>
      <c r="M28" s="285"/>
      <c r="N28" s="275"/>
      <c r="O28" s="277"/>
      <c r="P28" s="276"/>
      <c r="Q28" s="275"/>
      <c r="R28" s="277"/>
      <c r="S28" s="276"/>
      <c r="T28" s="275"/>
    </row>
    <row r="29" spans="1:21">
      <c r="A29" s="311">
        <v>20</v>
      </c>
      <c r="B29" s="284" t="s">
        <v>117</v>
      </c>
      <c r="C29" s="445">
        <f>T21</f>
        <v>0.75539999999999996</v>
      </c>
      <c r="D29" s="445">
        <f>E29-C29</f>
        <v>0.24460000000000004</v>
      </c>
      <c r="E29" s="446">
        <v>1</v>
      </c>
      <c r="F29" s="276"/>
      <c r="G29" s="443">
        <v>43458</v>
      </c>
      <c r="H29" s="448">
        <v>174</v>
      </c>
      <c r="I29" s="448">
        <v>65</v>
      </c>
      <c r="J29" s="281"/>
      <c r="K29" s="284"/>
      <c r="L29" s="276"/>
      <c r="M29" s="276"/>
      <c r="N29" s="275"/>
      <c r="O29" s="277"/>
      <c r="P29" s="276"/>
      <c r="Q29" s="275"/>
      <c r="R29" s="277"/>
      <c r="S29" s="276"/>
      <c r="T29" s="275"/>
    </row>
    <row r="30" spans="1:21">
      <c r="A30" s="311">
        <v>21</v>
      </c>
      <c r="B30" s="277"/>
      <c r="C30" s="280"/>
      <c r="D30" s="280"/>
      <c r="E30" s="279"/>
      <c r="F30" s="276"/>
      <c r="G30" s="276"/>
      <c r="H30" s="283"/>
      <c r="I30" s="283" t="s">
        <v>56</v>
      </c>
      <c r="J30" s="281"/>
      <c r="K30" s="277"/>
      <c r="L30" s="276"/>
      <c r="M30" s="276"/>
      <c r="N30" s="275"/>
      <c r="O30" s="277"/>
      <c r="P30" s="276"/>
      <c r="Q30" s="275"/>
      <c r="R30" s="277"/>
      <c r="S30" s="276"/>
      <c r="T30" s="275"/>
    </row>
    <row r="31" spans="1:21">
      <c r="A31" s="311">
        <v>22</v>
      </c>
      <c r="B31" s="277"/>
      <c r="C31" s="276"/>
      <c r="D31" s="276"/>
      <c r="E31" s="275"/>
      <c r="F31" s="276"/>
      <c r="G31" s="276"/>
      <c r="H31" s="282"/>
      <c r="I31" s="282"/>
      <c r="J31" s="281"/>
      <c r="K31" s="277"/>
      <c r="L31" s="276"/>
      <c r="M31" s="276"/>
      <c r="N31" s="275"/>
      <c r="O31" s="277"/>
      <c r="P31" s="276"/>
      <c r="Q31" s="275"/>
      <c r="R31" s="277"/>
      <c r="S31" s="276"/>
      <c r="T31" s="275"/>
    </row>
    <row r="32" spans="1:21">
      <c r="A32" s="311">
        <v>23</v>
      </c>
      <c r="B32" s="277"/>
      <c r="C32" s="276"/>
      <c r="D32" s="276"/>
      <c r="E32" s="275"/>
      <c r="F32" s="276"/>
      <c r="G32" s="276"/>
      <c r="H32" s="452">
        <f>SUM(H16:H30)</f>
        <v>2259</v>
      </c>
      <c r="I32" s="452">
        <f>SUM(I16:I30)</f>
        <v>807</v>
      </c>
      <c r="J32" s="281"/>
      <c r="K32" s="277"/>
      <c r="L32" s="276"/>
      <c r="M32" s="276"/>
      <c r="N32" s="275"/>
      <c r="O32" s="277"/>
      <c r="P32" s="276"/>
      <c r="Q32" s="275"/>
      <c r="R32" s="277"/>
      <c r="S32" s="276"/>
      <c r="T32" s="275"/>
    </row>
    <row r="33" spans="1:20">
      <c r="A33" s="311">
        <v>24</v>
      </c>
      <c r="B33" s="277"/>
      <c r="C33" s="276"/>
      <c r="D33" s="276"/>
      <c r="E33" s="275"/>
      <c r="F33" s="276"/>
      <c r="G33" s="276"/>
      <c r="H33" s="282" t="s">
        <v>56</v>
      </c>
      <c r="I33" s="282" t="s">
        <v>56</v>
      </c>
      <c r="J33" s="281"/>
      <c r="K33" s="277"/>
      <c r="L33" s="276"/>
      <c r="M33" s="276"/>
      <c r="N33" s="275"/>
      <c r="O33" s="277"/>
      <c r="P33" s="276"/>
      <c r="Q33" s="275"/>
      <c r="R33" s="277"/>
      <c r="S33" s="276"/>
      <c r="T33" s="275"/>
    </row>
    <row r="34" spans="1:20">
      <c r="A34" s="311">
        <v>25</v>
      </c>
      <c r="B34" s="284"/>
      <c r="C34" s="453"/>
      <c r="D34" s="441"/>
      <c r="E34" s="442"/>
      <c r="F34" s="276"/>
      <c r="G34" s="276"/>
      <c r="H34" s="282"/>
      <c r="I34" s="282" t="s">
        <v>56</v>
      </c>
      <c r="J34" s="281"/>
      <c r="K34" s="277"/>
      <c r="L34" s="268"/>
      <c r="M34" s="276"/>
      <c r="N34" s="275"/>
      <c r="O34" s="277"/>
      <c r="P34" s="276"/>
      <c r="Q34" s="275"/>
      <c r="R34" s="277"/>
      <c r="S34" s="276"/>
      <c r="T34" s="275"/>
    </row>
    <row r="35" spans="1:20">
      <c r="A35" s="311">
        <v>26</v>
      </c>
      <c r="B35" s="277"/>
      <c r="C35" s="280"/>
      <c r="D35" s="280"/>
      <c r="E35" s="279"/>
      <c r="F35" s="278" t="s">
        <v>1077</v>
      </c>
      <c r="G35" s="276"/>
      <c r="H35" s="450">
        <f>ROUND((SUM(H18:H28)*2+H17+H29)/24,2)</f>
        <v>173.83</v>
      </c>
      <c r="I35" s="450">
        <f>ROUND((SUM(I18:I28)*2+I17+I29)/24,2)</f>
        <v>61.96</v>
      </c>
      <c r="J35" s="454">
        <f>H35+I35</f>
        <v>235.79000000000002</v>
      </c>
      <c r="K35" s="277"/>
      <c r="L35" s="276"/>
      <c r="M35" s="276"/>
      <c r="N35" s="275"/>
      <c r="O35" s="277"/>
      <c r="P35" s="276"/>
      <c r="Q35" s="275"/>
      <c r="R35" s="277"/>
      <c r="S35" s="276"/>
      <c r="T35" s="275"/>
    </row>
    <row r="36" spans="1:20">
      <c r="A36" s="311">
        <v>27</v>
      </c>
      <c r="B36" s="277"/>
      <c r="C36" s="276"/>
      <c r="D36" s="276"/>
      <c r="E36" s="275"/>
      <c r="F36" s="276"/>
      <c r="G36" s="276"/>
      <c r="H36" s="280"/>
      <c r="I36" s="280" t="s">
        <v>56</v>
      </c>
      <c r="J36" s="279"/>
      <c r="K36" s="277"/>
      <c r="L36" s="276"/>
      <c r="M36" s="276"/>
      <c r="N36" s="275"/>
      <c r="O36" s="277"/>
      <c r="P36" s="276"/>
      <c r="Q36" s="275"/>
      <c r="R36" s="277"/>
      <c r="S36" s="276"/>
      <c r="T36" s="275"/>
    </row>
    <row r="37" spans="1:20">
      <c r="A37" s="311">
        <v>28</v>
      </c>
      <c r="B37" s="277"/>
      <c r="C37" s="276"/>
      <c r="D37" s="276"/>
      <c r="E37" s="275"/>
      <c r="F37" s="276"/>
      <c r="G37" s="276"/>
      <c r="H37" s="276"/>
      <c r="I37" s="276"/>
      <c r="J37" s="275"/>
      <c r="K37" s="277"/>
      <c r="L37" s="276"/>
      <c r="M37" s="276"/>
      <c r="N37" s="275"/>
      <c r="O37" s="277"/>
      <c r="P37" s="276"/>
      <c r="Q37" s="275"/>
      <c r="R37" s="277"/>
      <c r="S37" s="276"/>
      <c r="T37" s="275"/>
    </row>
    <row r="38" spans="1:20">
      <c r="A38" s="311">
        <v>29</v>
      </c>
      <c r="B38" s="277"/>
      <c r="C38" s="276"/>
      <c r="D38" s="276"/>
      <c r="E38" s="275"/>
      <c r="F38" s="276"/>
      <c r="G38" s="276"/>
      <c r="H38" s="276"/>
      <c r="I38" s="276"/>
      <c r="J38" s="275"/>
      <c r="K38" s="277"/>
      <c r="L38" s="276"/>
      <c r="M38" s="276"/>
      <c r="N38" s="275"/>
      <c r="O38" s="277"/>
      <c r="P38" s="276"/>
      <c r="Q38" s="275"/>
      <c r="R38" s="277"/>
      <c r="S38" s="276"/>
      <c r="T38" s="275"/>
    </row>
    <row r="39" spans="1:20">
      <c r="A39" s="311">
        <v>30</v>
      </c>
      <c r="B39" s="277"/>
      <c r="C39" s="276"/>
      <c r="D39" s="276"/>
      <c r="E39" s="275"/>
      <c r="F39" s="276"/>
      <c r="G39" s="278" t="s">
        <v>1076</v>
      </c>
      <c r="H39" s="445">
        <f>ROUND(H35/J35,4)</f>
        <v>0.73719999999999997</v>
      </c>
      <c r="I39" s="445">
        <f>J39-H39</f>
        <v>0.26280000000000003</v>
      </c>
      <c r="J39" s="446">
        <v>1</v>
      </c>
      <c r="K39" s="277"/>
      <c r="L39" s="276"/>
      <c r="M39" s="276"/>
      <c r="N39" s="275"/>
      <c r="O39" s="277"/>
      <c r="P39" s="276"/>
      <c r="Q39" s="275"/>
      <c r="R39" s="277"/>
      <c r="S39" s="276"/>
      <c r="T39" s="275"/>
    </row>
    <row r="40" spans="1:20">
      <c r="A40" s="311">
        <v>31</v>
      </c>
      <c r="B40" s="277"/>
      <c r="C40" s="276"/>
      <c r="D40" s="276"/>
      <c r="E40" s="275"/>
      <c r="F40" s="276"/>
      <c r="G40" s="276"/>
      <c r="H40" s="280"/>
      <c r="I40" s="280"/>
      <c r="J40" s="279"/>
      <c r="K40" s="277"/>
      <c r="L40" s="276"/>
      <c r="M40" s="276"/>
      <c r="N40" s="275"/>
      <c r="O40" s="277"/>
      <c r="P40" s="276"/>
      <c r="Q40" s="275"/>
      <c r="R40" s="277"/>
      <c r="S40" s="276"/>
      <c r="T40" s="275"/>
    </row>
    <row r="41" spans="1:20">
      <c r="A41" s="311">
        <v>32</v>
      </c>
      <c r="B41" s="277"/>
      <c r="C41" s="276"/>
      <c r="D41" s="276"/>
      <c r="E41" s="275"/>
      <c r="F41" s="276"/>
      <c r="G41" s="276"/>
      <c r="H41" s="276"/>
      <c r="I41" s="276"/>
      <c r="J41" s="275"/>
      <c r="K41" s="277"/>
      <c r="L41" s="276"/>
      <c r="M41" s="276"/>
      <c r="N41" s="275"/>
      <c r="O41" s="277"/>
      <c r="P41" s="276"/>
      <c r="Q41" s="275"/>
      <c r="R41" s="277"/>
      <c r="S41" s="276"/>
      <c r="T41" s="275"/>
    </row>
    <row r="42" spans="1:20">
      <c r="A42" s="311">
        <v>33</v>
      </c>
      <c r="B42" s="277"/>
      <c r="C42" s="276"/>
      <c r="D42" s="276"/>
      <c r="E42" s="275"/>
      <c r="F42" s="276"/>
      <c r="G42" s="276"/>
      <c r="H42" s="276"/>
      <c r="I42" s="276"/>
      <c r="J42" s="275"/>
      <c r="K42" s="277"/>
      <c r="L42" s="276"/>
      <c r="M42" s="276"/>
      <c r="N42" s="275"/>
      <c r="O42" s="277"/>
      <c r="P42" s="276"/>
      <c r="Q42" s="275"/>
      <c r="R42" s="277"/>
      <c r="S42" s="276"/>
      <c r="T42" s="275"/>
    </row>
    <row r="43" spans="1:20">
      <c r="A43" s="311">
        <v>34</v>
      </c>
      <c r="B43" s="277"/>
      <c r="C43" s="276"/>
      <c r="D43" s="276"/>
      <c r="E43" s="275"/>
      <c r="F43" s="278" t="s">
        <v>1075</v>
      </c>
      <c r="G43" s="276"/>
      <c r="H43" s="276"/>
      <c r="I43" s="276"/>
      <c r="J43" s="275"/>
      <c r="K43" s="277"/>
      <c r="L43" s="276"/>
      <c r="M43" s="276"/>
      <c r="N43" s="275"/>
      <c r="O43" s="277"/>
      <c r="P43" s="276"/>
      <c r="Q43" s="275"/>
      <c r="R43" s="277"/>
      <c r="S43" s="276"/>
      <c r="T43" s="275"/>
    </row>
    <row r="44" spans="1:20">
      <c r="A44" s="311">
        <v>35</v>
      </c>
      <c r="B44" s="277"/>
      <c r="C44" s="276"/>
      <c r="D44" s="276"/>
      <c r="E44" s="275"/>
      <c r="F44" s="278"/>
      <c r="G44" s="276"/>
      <c r="H44" s="276"/>
      <c r="I44" s="276"/>
      <c r="J44" s="275"/>
      <c r="K44" s="277"/>
      <c r="L44" s="276"/>
      <c r="M44" s="276"/>
      <c r="N44" s="275"/>
      <c r="O44" s="277"/>
      <c r="P44" s="276"/>
      <c r="Q44" s="275"/>
      <c r="R44" s="277"/>
      <c r="S44" s="276"/>
      <c r="T44" s="275"/>
    </row>
    <row r="45" spans="1:20" ht="13.8" thickBot="1">
      <c r="A45" s="311">
        <v>36</v>
      </c>
      <c r="B45" s="273"/>
      <c r="C45" s="272"/>
      <c r="D45" s="272"/>
      <c r="E45" s="271"/>
      <c r="F45" s="274"/>
      <c r="G45" s="272"/>
      <c r="H45" s="272"/>
      <c r="I45" s="272"/>
      <c r="J45" s="271"/>
      <c r="K45" s="273"/>
      <c r="L45" s="272"/>
      <c r="M45" s="272"/>
      <c r="N45" s="271"/>
      <c r="O45" s="273"/>
      <c r="P45" s="272"/>
      <c r="Q45" s="271"/>
      <c r="R45" s="273"/>
      <c r="S45" s="272"/>
      <c r="T45" s="271"/>
    </row>
    <row r="46" spans="1:20">
      <c r="A46" s="311">
        <v>37</v>
      </c>
      <c r="B46" s="268"/>
      <c r="C46" s="268"/>
      <c r="D46" s="268"/>
      <c r="E46" s="268"/>
      <c r="F46" s="268"/>
      <c r="G46" s="268"/>
      <c r="H46" s="268"/>
      <c r="I46" s="268"/>
      <c r="J46" s="268"/>
      <c r="K46" s="268"/>
      <c r="L46" s="268"/>
      <c r="M46" s="268"/>
      <c r="N46" s="268"/>
      <c r="O46" s="268"/>
      <c r="P46" s="268"/>
      <c r="Q46" s="268"/>
      <c r="R46" s="268"/>
      <c r="S46" s="268"/>
      <c r="T46" s="268"/>
    </row>
    <row r="47" spans="1:20">
      <c r="A47" s="311">
        <v>38</v>
      </c>
      <c r="B47" s="268"/>
      <c r="C47" s="268"/>
      <c r="D47" s="268"/>
      <c r="E47" s="268"/>
      <c r="F47" s="268"/>
      <c r="G47" s="268"/>
      <c r="H47" s="268"/>
      <c r="I47" s="268"/>
      <c r="J47" s="268"/>
      <c r="K47" s="268"/>
      <c r="L47" s="268"/>
      <c r="M47" s="268"/>
      <c r="N47" s="268"/>
      <c r="O47" s="268"/>
      <c r="P47" s="268"/>
      <c r="Q47" s="268"/>
      <c r="R47" s="268"/>
      <c r="S47" s="268"/>
      <c r="T47" s="268"/>
    </row>
    <row r="48" spans="1:20" ht="15.6">
      <c r="A48" s="311">
        <v>39</v>
      </c>
      <c r="B48" s="268" t="s">
        <v>1074</v>
      </c>
      <c r="C48" s="268"/>
      <c r="D48" s="268"/>
      <c r="E48" s="268"/>
      <c r="F48" s="268"/>
      <c r="G48" s="268"/>
      <c r="H48" s="268"/>
      <c r="I48" s="268"/>
      <c r="J48" s="268"/>
      <c r="K48" s="268"/>
      <c r="L48" s="268"/>
      <c r="M48" s="268"/>
      <c r="N48" s="268"/>
      <c r="O48" s="268"/>
      <c r="P48" s="268"/>
      <c r="Q48" s="268"/>
      <c r="R48" s="268"/>
      <c r="S48" s="268"/>
      <c r="T48" s="268"/>
    </row>
    <row r="49" spans="1:20" ht="15.6">
      <c r="A49" s="311">
        <v>40</v>
      </c>
      <c r="B49" s="268" t="s">
        <v>1073</v>
      </c>
      <c r="C49" s="268"/>
      <c r="D49" s="268"/>
      <c r="E49" s="268"/>
      <c r="F49" s="268"/>
      <c r="G49" s="268"/>
      <c r="H49" s="268"/>
      <c r="I49" s="268"/>
      <c r="J49" s="268"/>
      <c r="K49" s="268"/>
      <c r="L49" s="268"/>
      <c r="M49" s="268"/>
      <c r="N49" s="268"/>
      <c r="O49" s="455">
        <v>2018</v>
      </c>
      <c r="P49" s="456" t="s">
        <v>1072</v>
      </c>
      <c r="Q49" s="456" t="s">
        <v>1071</v>
      </c>
      <c r="R49" s="456" t="s">
        <v>58</v>
      </c>
      <c r="S49" s="268"/>
      <c r="T49" s="268"/>
    </row>
    <row r="50" spans="1:20" ht="15.6">
      <c r="A50" s="311">
        <v>41</v>
      </c>
      <c r="B50" s="268" t="s">
        <v>1070</v>
      </c>
      <c r="C50" s="268"/>
      <c r="D50" s="268"/>
      <c r="E50" s="268"/>
      <c r="F50" s="268"/>
      <c r="G50" s="268"/>
      <c r="H50" s="268"/>
      <c r="I50" s="268"/>
      <c r="J50" s="268"/>
      <c r="K50" s="268"/>
      <c r="L50" s="268"/>
      <c r="M50" s="270"/>
      <c r="N50" s="270"/>
      <c r="O50" s="268" t="s">
        <v>1069</v>
      </c>
      <c r="P50" s="268">
        <v>214279</v>
      </c>
      <c r="Q50" s="268">
        <v>73776</v>
      </c>
      <c r="R50" s="268">
        <f t="shared" ref="R50:R61" si="0">SUM(P50:Q50)</f>
        <v>288055</v>
      </c>
      <c r="S50" s="268" t="s">
        <v>56</v>
      </c>
      <c r="T50" s="268"/>
    </row>
    <row r="51" spans="1:20">
      <c r="B51" s="268"/>
      <c r="C51" s="268"/>
      <c r="D51" s="268"/>
      <c r="E51" s="268"/>
      <c r="F51" s="268"/>
      <c r="G51" s="268"/>
      <c r="H51" s="268"/>
      <c r="I51" s="268"/>
      <c r="J51" s="268"/>
      <c r="K51" s="268"/>
      <c r="L51" s="268"/>
      <c r="M51" s="270"/>
      <c r="N51" s="270"/>
      <c r="O51" s="268" t="s">
        <v>1068</v>
      </c>
      <c r="P51" s="268">
        <v>214536</v>
      </c>
      <c r="Q51" s="268">
        <v>73971</v>
      </c>
      <c r="R51" s="268">
        <f t="shared" si="0"/>
        <v>288507</v>
      </c>
      <c r="S51" s="268"/>
      <c r="T51" s="268"/>
    </row>
    <row r="52" spans="1:20">
      <c r="B52" s="268"/>
      <c r="C52" s="268"/>
      <c r="D52" s="268"/>
      <c r="E52" s="268"/>
      <c r="F52" s="268"/>
      <c r="G52" s="268"/>
      <c r="H52" s="268"/>
      <c r="I52" s="268"/>
      <c r="J52" s="268"/>
      <c r="K52" s="268"/>
      <c r="L52" s="268"/>
      <c r="M52" s="270"/>
      <c r="N52" s="270"/>
      <c r="O52" s="268" t="s">
        <v>1067</v>
      </c>
      <c r="P52" s="268">
        <v>214618</v>
      </c>
      <c r="Q52" s="268">
        <v>74033</v>
      </c>
      <c r="R52" s="268">
        <f t="shared" si="0"/>
        <v>288651</v>
      </c>
      <c r="S52" s="268"/>
      <c r="T52" s="268"/>
    </row>
    <row r="53" spans="1:20">
      <c r="B53" s="268"/>
      <c r="C53" s="268"/>
      <c r="D53" s="268"/>
      <c r="E53" s="268"/>
      <c r="F53" s="268"/>
      <c r="G53" s="268"/>
      <c r="H53" s="268"/>
      <c r="I53" s="268"/>
      <c r="J53" s="268"/>
      <c r="K53" s="268"/>
      <c r="L53" s="268"/>
      <c r="M53" s="270"/>
      <c r="N53" s="270"/>
      <c r="O53" s="268" t="s">
        <v>1066</v>
      </c>
      <c r="P53" s="268">
        <v>214470</v>
      </c>
      <c r="Q53" s="268">
        <v>74085</v>
      </c>
      <c r="R53" s="268">
        <f t="shared" si="0"/>
        <v>288555</v>
      </c>
      <c r="S53" s="268"/>
      <c r="T53" s="268"/>
    </row>
    <row r="54" spans="1:20">
      <c r="B54" s="268"/>
      <c r="C54" s="268"/>
      <c r="D54" s="268"/>
      <c r="E54" s="268"/>
      <c r="F54" s="268"/>
      <c r="G54" s="268"/>
      <c r="H54" s="268"/>
      <c r="I54" s="268"/>
      <c r="J54" s="268"/>
      <c r="K54" s="268"/>
      <c r="L54" s="268"/>
      <c r="M54" s="270"/>
      <c r="N54" s="270"/>
      <c r="O54" s="268" t="s">
        <v>1065</v>
      </c>
      <c r="P54" s="268">
        <v>214194</v>
      </c>
      <c r="Q54" s="268">
        <v>74048</v>
      </c>
      <c r="R54" s="268">
        <f t="shared" si="0"/>
        <v>288242</v>
      </c>
      <c r="S54" s="268"/>
      <c r="T54" s="268"/>
    </row>
    <row r="55" spans="1:20">
      <c r="B55" s="268"/>
      <c r="C55" s="268"/>
      <c r="D55" s="268"/>
      <c r="E55" s="268"/>
      <c r="F55" s="268"/>
      <c r="G55" s="268"/>
      <c r="H55" s="268"/>
      <c r="I55" s="268"/>
      <c r="J55" s="268"/>
      <c r="K55" s="268"/>
      <c r="L55" s="268"/>
      <c r="M55" s="270"/>
      <c r="N55" s="270"/>
      <c r="O55" s="268" t="s">
        <v>1064</v>
      </c>
      <c r="P55" s="268">
        <v>214055</v>
      </c>
      <c r="Q55" s="268">
        <v>74097</v>
      </c>
      <c r="R55" s="268">
        <f t="shared" si="0"/>
        <v>288152</v>
      </c>
      <c r="S55" s="268"/>
      <c r="T55" s="268"/>
    </row>
    <row r="56" spans="1:20">
      <c r="B56" s="268"/>
      <c r="C56" s="268"/>
      <c r="D56" s="268"/>
      <c r="E56" s="268"/>
      <c r="F56" s="268"/>
      <c r="G56" s="268"/>
      <c r="H56" s="268"/>
      <c r="I56" s="268"/>
      <c r="J56" s="268"/>
      <c r="K56" s="268"/>
      <c r="L56" s="268"/>
      <c r="M56" s="270"/>
      <c r="N56" s="270"/>
      <c r="O56" s="268" t="s">
        <v>1063</v>
      </c>
      <c r="P56" s="268">
        <v>213963</v>
      </c>
      <c r="Q56" s="268">
        <v>74066</v>
      </c>
      <c r="R56" s="268">
        <f t="shared" si="0"/>
        <v>288029</v>
      </c>
      <c r="S56" s="268"/>
      <c r="T56" s="268"/>
    </row>
    <row r="57" spans="1:20">
      <c r="B57" s="268"/>
      <c r="C57" s="268"/>
      <c r="D57" s="268"/>
      <c r="E57" s="268"/>
      <c r="F57" s="268"/>
      <c r="G57" s="268"/>
      <c r="H57" s="268"/>
      <c r="I57" s="268"/>
      <c r="J57" s="268"/>
      <c r="K57" s="268"/>
      <c r="L57" s="268"/>
      <c r="M57" s="270"/>
      <c r="N57" s="270"/>
      <c r="O57" s="268" t="s">
        <v>1062</v>
      </c>
      <c r="P57" s="268">
        <v>214061</v>
      </c>
      <c r="Q57" s="268">
        <v>74072</v>
      </c>
      <c r="R57" s="268">
        <f t="shared" si="0"/>
        <v>288133</v>
      </c>
      <c r="S57" s="268"/>
      <c r="T57" s="268"/>
    </row>
    <row r="58" spans="1:20">
      <c r="B58" s="268"/>
      <c r="C58" s="268"/>
      <c r="D58" s="268"/>
      <c r="E58" s="268"/>
      <c r="F58" s="268"/>
      <c r="G58" s="268"/>
      <c r="H58" s="268"/>
      <c r="I58" s="268"/>
      <c r="J58" s="268"/>
      <c r="K58" s="268"/>
      <c r="L58" s="268"/>
      <c r="M58" s="270"/>
      <c r="N58" s="270"/>
      <c r="O58" s="268" t="s">
        <v>1061</v>
      </c>
      <c r="P58" s="268">
        <v>214655</v>
      </c>
      <c r="Q58" s="268">
        <v>74412</v>
      </c>
      <c r="R58" s="268">
        <f t="shared" si="0"/>
        <v>289067</v>
      </c>
      <c r="S58" s="268"/>
      <c r="T58" s="268"/>
    </row>
    <row r="59" spans="1:20">
      <c r="F59" s="268"/>
      <c r="G59" s="268"/>
      <c r="H59" s="268"/>
      <c r="I59" s="268"/>
      <c r="J59" s="268"/>
      <c r="K59" s="268"/>
      <c r="L59" s="268"/>
      <c r="M59" s="270"/>
      <c r="N59" s="270"/>
      <c r="O59" s="268" t="s">
        <v>1060</v>
      </c>
      <c r="P59" s="268">
        <v>216130</v>
      </c>
      <c r="Q59" s="268">
        <v>74958</v>
      </c>
      <c r="R59" s="268">
        <f t="shared" si="0"/>
        <v>291088</v>
      </c>
      <c r="S59" s="268"/>
      <c r="T59" s="268"/>
    </row>
    <row r="60" spans="1:20">
      <c r="F60" s="268"/>
      <c r="G60" s="268"/>
      <c r="H60" s="268"/>
      <c r="I60" s="268"/>
      <c r="J60" s="268"/>
      <c r="K60" s="268"/>
      <c r="L60" s="268"/>
      <c r="M60" s="270"/>
      <c r="N60" s="270"/>
      <c r="O60" s="268" t="s">
        <v>1059</v>
      </c>
      <c r="P60" s="268">
        <v>217223</v>
      </c>
      <c r="Q60" s="268">
        <v>75393</v>
      </c>
      <c r="R60" s="268">
        <f t="shared" si="0"/>
        <v>292616</v>
      </c>
      <c r="S60" s="268"/>
      <c r="T60" s="268"/>
    </row>
    <row r="61" spans="1:20">
      <c r="F61" s="268"/>
      <c r="G61" s="268"/>
      <c r="H61" s="268"/>
      <c r="I61" s="268"/>
      <c r="J61" s="268"/>
      <c r="K61" s="268"/>
      <c r="L61" s="268"/>
      <c r="M61" s="270"/>
      <c r="N61" s="270"/>
      <c r="O61" s="268" t="s">
        <v>1058</v>
      </c>
      <c r="P61" s="456">
        <v>217767</v>
      </c>
      <c r="Q61" s="456">
        <v>75609</v>
      </c>
      <c r="R61" s="268">
        <f t="shared" si="0"/>
        <v>293376</v>
      </c>
      <c r="S61" s="268"/>
      <c r="T61" s="268"/>
    </row>
    <row r="62" spans="1:20">
      <c r="F62" s="268"/>
      <c r="G62" s="268"/>
      <c r="H62" s="268"/>
      <c r="I62" s="268"/>
      <c r="J62" s="268"/>
      <c r="K62" s="268"/>
      <c r="L62" s="268"/>
      <c r="M62" s="268"/>
      <c r="N62" s="268"/>
      <c r="O62" s="268" t="s">
        <v>1057</v>
      </c>
      <c r="P62" s="268">
        <f>AVERAGE(P50:P61)</f>
        <v>214995.91666666666</v>
      </c>
      <c r="Q62" s="268">
        <f>AVERAGE(Q50:Q61)</f>
        <v>74376.666666666672</v>
      </c>
      <c r="R62" s="268"/>
      <c r="S62" s="268"/>
      <c r="T62" s="268"/>
    </row>
    <row r="63" spans="1:20">
      <c r="F63" s="268"/>
      <c r="G63" s="268"/>
      <c r="H63" s="268"/>
      <c r="I63" s="268"/>
      <c r="J63" s="268"/>
      <c r="K63" s="268"/>
      <c r="L63" s="268"/>
      <c r="M63" s="268"/>
      <c r="N63" s="268"/>
      <c r="O63" s="268"/>
      <c r="P63" s="269"/>
      <c r="Q63" s="269"/>
      <c r="R63" s="268"/>
      <c r="S63" s="268"/>
      <c r="T63" s="268"/>
    </row>
    <row r="64" spans="1:20">
      <c r="F64" s="268"/>
      <c r="G64" s="268"/>
      <c r="H64" s="268"/>
      <c r="I64" s="268"/>
      <c r="J64" s="268"/>
      <c r="K64" s="268"/>
      <c r="L64" s="268"/>
      <c r="M64" s="268"/>
      <c r="N64" s="268"/>
      <c r="O64" s="268"/>
      <c r="P64" s="268"/>
      <c r="Q64" s="268"/>
      <c r="R64" s="268"/>
      <c r="S64" s="268"/>
      <c r="T64" s="268"/>
    </row>
    <row r="65" spans="6:20">
      <c r="F65" s="268"/>
      <c r="G65" s="268"/>
      <c r="H65" s="268"/>
      <c r="I65" s="268"/>
      <c r="J65" s="268"/>
      <c r="K65" s="268"/>
      <c r="L65" s="268"/>
      <c r="M65" s="268"/>
      <c r="N65" s="268"/>
      <c r="O65" s="268"/>
      <c r="P65" s="268"/>
      <c r="Q65" s="268"/>
      <c r="R65" s="268"/>
      <c r="S65" s="268"/>
      <c r="T65" s="268"/>
    </row>
    <row r="66" spans="6:20">
      <c r="F66" s="268"/>
      <c r="G66" s="268"/>
      <c r="H66" s="268"/>
      <c r="I66" s="268"/>
      <c r="J66" s="268"/>
      <c r="K66" s="268"/>
      <c r="L66" s="268"/>
      <c r="M66" s="268"/>
      <c r="N66" s="268"/>
      <c r="O66" s="268"/>
      <c r="P66" s="268"/>
      <c r="Q66" s="268"/>
      <c r="R66" s="268"/>
      <c r="S66" s="268"/>
      <c r="T66" s="268"/>
    </row>
    <row r="67" spans="6:20">
      <c r="F67" s="268"/>
      <c r="G67" s="268"/>
      <c r="H67" s="268"/>
      <c r="I67" s="268"/>
      <c r="J67" s="268"/>
      <c r="K67" s="268"/>
      <c r="L67" s="268"/>
      <c r="M67" s="268"/>
      <c r="N67" s="268"/>
      <c r="O67" s="268"/>
      <c r="P67" s="268"/>
      <c r="Q67" s="268"/>
      <c r="R67" s="268"/>
      <c r="S67" s="268"/>
      <c r="T67" s="268"/>
    </row>
    <row r="68" spans="6:20">
      <c r="F68" s="268"/>
      <c r="G68" s="268"/>
      <c r="H68" s="268"/>
      <c r="I68" s="268"/>
      <c r="J68" s="268"/>
      <c r="K68" s="268"/>
      <c r="L68" s="268"/>
      <c r="M68" s="268"/>
      <c r="N68" s="268"/>
      <c r="O68" s="268"/>
      <c r="P68" s="268"/>
      <c r="Q68" s="268"/>
      <c r="R68" s="268"/>
      <c r="S68" s="268"/>
      <c r="T68" s="268"/>
    </row>
    <row r="69" spans="6:20">
      <c r="F69" s="268"/>
      <c r="G69" s="268"/>
      <c r="H69" s="268"/>
      <c r="I69" s="268"/>
      <c r="J69" s="268"/>
      <c r="K69" s="268"/>
      <c r="L69" s="268"/>
      <c r="M69" s="268"/>
      <c r="N69" s="268"/>
      <c r="O69" s="268"/>
      <c r="P69" s="268"/>
      <c r="Q69" s="268"/>
      <c r="R69" s="268"/>
      <c r="S69" s="268"/>
      <c r="T69" s="268"/>
    </row>
    <row r="70" spans="6:20">
      <c r="F70" s="268"/>
      <c r="G70" s="268"/>
      <c r="H70" s="268"/>
      <c r="I70" s="268"/>
      <c r="J70" s="268"/>
      <c r="K70" s="268"/>
      <c r="L70" s="268"/>
      <c r="M70" s="268"/>
      <c r="N70" s="268"/>
      <c r="O70" s="268"/>
      <c r="P70" s="268"/>
      <c r="Q70" s="268"/>
      <c r="R70" s="268"/>
      <c r="S70" s="268"/>
      <c r="T70" s="268"/>
    </row>
    <row r="71" spans="6:20">
      <c r="F71" s="268"/>
      <c r="G71" s="268"/>
      <c r="H71" s="268"/>
      <c r="I71" s="268"/>
      <c r="J71" s="268"/>
      <c r="K71" s="268"/>
      <c r="L71" s="268"/>
      <c r="M71" s="268"/>
      <c r="N71" s="268"/>
      <c r="O71" s="268"/>
      <c r="P71" s="268"/>
      <c r="Q71" s="268"/>
      <c r="R71" s="268"/>
      <c r="S71" s="268"/>
      <c r="T71" s="268"/>
    </row>
  </sheetData>
  <mergeCells count="5">
    <mergeCell ref="H1:P1"/>
    <mergeCell ref="H2:P2"/>
    <mergeCell ref="H3:P3"/>
    <mergeCell ref="H4:P4"/>
    <mergeCell ref="H5:P5"/>
  </mergeCells>
  <printOptions horizontalCentered="1"/>
  <pageMargins left="0.31" right="0.3" top="1" bottom="1" header="0.5" footer="0.5"/>
  <pageSetup scale="42"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B1:V47"/>
  <sheetViews>
    <sheetView tabSelected="1" view="pageBreakPreview" topLeftCell="D16" zoomScaleNormal="80" zoomScaleSheetLayoutView="100" workbookViewId="0">
      <selection activeCell="S36" sqref="S36"/>
    </sheetView>
  </sheetViews>
  <sheetFormatPr defaultColWidth="9.109375" defaultRowHeight="15.6"/>
  <cols>
    <col min="1" max="1" width="9.109375" style="4"/>
    <col min="2" max="2" width="3.44140625" style="4" bestFit="1" customWidth="1"/>
    <col min="3" max="3" width="35.109375" style="4" bestFit="1" customWidth="1"/>
    <col min="4" max="4" width="1" style="4" customWidth="1"/>
    <col min="5" max="5" width="13.77734375" style="4" bestFit="1" customWidth="1"/>
    <col min="6" max="6" width="1" style="4" customWidth="1"/>
    <col min="7" max="7" width="0.88671875" style="4" customWidth="1"/>
    <col min="8" max="8" width="12.88671875" style="4" bestFit="1" customWidth="1"/>
    <col min="9" max="10" width="1.33203125" style="4" customWidth="1"/>
    <col min="11" max="11" width="14" style="4" bestFit="1" customWidth="1"/>
    <col min="12" max="12" width="0.88671875" style="4" customWidth="1"/>
    <col min="13" max="13" width="1.44140625" style="4" customWidth="1"/>
    <col min="14" max="14" width="12.88671875" style="4" bestFit="1" customWidth="1"/>
    <col min="15" max="15" width="1" style="4" customWidth="1"/>
    <col min="16" max="16" width="0.88671875" style="4" customWidth="1"/>
    <col min="17" max="17" width="14.6640625" style="4" bestFit="1" customWidth="1"/>
    <col min="18" max="18" width="9.109375" style="4"/>
    <col min="19" max="19" width="11.77734375" style="4" bestFit="1" customWidth="1"/>
    <col min="20" max="20" width="28" style="4" bestFit="1" customWidth="1"/>
    <col min="21" max="21" width="7.44140625" style="4" customWidth="1"/>
    <col min="22" max="22" width="11.77734375" style="4" bestFit="1" customWidth="1"/>
    <col min="23" max="16384" width="9.109375" style="4"/>
  </cols>
  <sheetData>
    <row r="1" spans="2:22">
      <c r="B1" s="854" t="s">
        <v>113</v>
      </c>
      <c r="C1" s="854"/>
      <c r="D1" s="854"/>
      <c r="E1" s="854"/>
      <c r="F1" s="854"/>
      <c r="G1" s="854"/>
      <c r="H1" s="854"/>
      <c r="I1" s="854"/>
      <c r="J1" s="854"/>
      <c r="K1" s="854"/>
      <c r="L1" s="854"/>
      <c r="M1" s="854"/>
      <c r="N1" s="854"/>
      <c r="O1" s="854"/>
      <c r="P1" s="854"/>
      <c r="Q1" s="854"/>
    </row>
    <row r="2" spans="2:22">
      <c r="B2" s="854" t="s">
        <v>787</v>
      </c>
      <c r="C2" s="854"/>
      <c r="D2" s="854"/>
      <c r="E2" s="854"/>
      <c r="F2" s="854"/>
      <c r="G2" s="854"/>
      <c r="H2" s="854"/>
      <c r="I2" s="854"/>
      <c r="J2" s="854"/>
      <c r="K2" s="854"/>
      <c r="L2" s="854"/>
      <c r="M2" s="854"/>
      <c r="N2" s="854"/>
      <c r="O2" s="854"/>
      <c r="P2" s="854"/>
      <c r="Q2" s="854"/>
    </row>
    <row r="3" spans="2:22">
      <c r="B3" s="855" t="s">
        <v>1862</v>
      </c>
      <c r="C3" s="855"/>
      <c r="D3" s="855"/>
      <c r="E3" s="855"/>
      <c r="F3" s="855"/>
      <c r="G3" s="855"/>
      <c r="H3" s="855"/>
      <c r="I3" s="855"/>
      <c r="J3" s="855"/>
      <c r="K3" s="855"/>
      <c r="L3" s="855"/>
      <c r="M3" s="855"/>
      <c r="N3" s="855"/>
      <c r="O3" s="855"/>
      <c r="P3" s="855"/>
      <c r="Q3" s="855"/>
    </row>
    <row r="4" spans="2:22">
      <c r="B4" s="34"/>
      <c r="C4" s="34"/>
      <c r="D4" s="34"/>
      <c r="E4" s="34"/>
      <c r="F4" s="34"/>
      <c r="G4" s="34"/>
      <c r="H4" s="34"/>
      <c r="I4" s="34"/>
      <c r="J4" s="34"/>
      <c r="K4" s="34"/>
      <c r="L4" s="34"/>
      <c r="M4" s="34"/>
      <c r="N4" s="34"/>
      <c r="O4" s="34"/>
      <c r="P4" s="34"/>
      <c r="Q4" s="34"/>
    </row>
    <row r="5" spans="2:22">
      <c r="B5" s="685"/>
      <c r="C5" s="35"/>
      <c r="D5" s="36"/>
      <c r="E5" s="688">
        <v>43830</v>
      </c>
      <c r="F5" s="36"/>
      <c r="G5" s="35"/>
      <c r="H5" s="689" t="s">
        <v>77</v>
      </c>
      <c r="I5" s="36"/>
      <c r="J5" s="35"/>
      <c r="K5" s="689" t="s">
        <v>67</v>
      </c>
      <c r="L5" s="36"/>
      <c r="M5" s="35"/>
      <c r="N5" s="689" t="s">
        <v>69</v>
      </c>
      <c r="O5" s="689"/>
      <c r="P5" s="36"/>
      <c r="Q5" s="690" t="s">
        <v>2</v>
      </c>
    </row>
    <row r="6" spans="2:22">
      <c r="B6" s="686"/>
      <c r="C6" s="33"/>
      <c r="D6" s="37"/>
      <c r="E6" s="704" t="s">
        <v>0</v>
      </c>
      <c r="F6" s="37"/>
      <c r="G6" s="33"/>
      <c r="H6" s="38" t="s">
        <v>78</v>
      </c>
      <c r="I6" s="39"/>
      <c r="J6" s="40"/>
      <c r="K6" s="41" t="s">
        <v>68</v>
      </c>
      <c r="L6" s="37"/>
      <c r="M6" s="33"/>
      <c r="N6" s="38" t="s">
        <v>717</v>
      </c>
      <c r="O6" s="38"/>
      <c r="P6" s="37"/>
      <c r="Q6" s="42" t="s">
        <v>784</v>
      </c>
    </row>
    <row r="7" spans="2:22">
      <c r="B7" s="686"/>
      <c r="C7" s="33"/>
      <c r="D7" s="37"/>
      <c r="E7" s="704" t="s">
        <v>3</v>
      </c>
      <c r="F7" s="37"/>
      <c r="G7" s="33"/>
      <c r="H7" s="38" t="s">
        <v>1</v>
      </c>
      <c r="I7" s="37"/>
      <c r="J7" s="33"/>
      <c r="K7" s="38" t="s">
        <v>58</v>
      </c>
      <c r="L7" s="37"/>
      <c r="M7" s="33"/>
      <c r="N7" s="38" t="s">
        <v>70</v>
      </c>
      <c r="O7" s="38"/>
      <c r="P7" s="37"/>
      <c r="Q7" s="43" t="s">
        <v>79</v>
      </c>
    </row>
    <row r="8" spans="2:22">
      <c r="B8" s="686"/>
      <c r="C8" s="33"/>
      <c r="D8" s="37"/>
      <c r="E8" s="704" t="s">
        <v>4</v>
      </c>
      <c r="F8" s="37"/>
      <c r="G8" s="33"/>
      <c r="H8" s="38"/>
      <c r="I8" s="37"/>
      <c r="J8" s="33"/>
      <c r="K8" s="38"/>
      <c r="L8" s="37"/>
      <c r="M8" s="33"/>
      <c r="N8" s="38"/>
      <c r="O8" s="38"/>
      <c r="P8" s="37"/>
      <c r="Q8" s="43" t="s">
        <v>80</v>
      </c>
    </row>
    <row r="9" spans="2:22">
      <c r="B9" s="686"/>
      <c r="C9" s="33"/>
      <c r="D9" s="37"/>
      <c r="E9" s="704"/>
      <c r="F9" s="37"/>
      <c r="G9" s="33"/>
      <c r="H9" s="38"/>
      <c r="I9" s="37"/>
      <c r="J9" s="33"/>
      <c r="K9" s="38"/>
      <c r="L9" s="37"/>
      <c r="M9" s="33"/>
      <c r="N9" s="41"/>
      <c r="O9" s="41"/>
      <c r="P9" s="37"/>
      <c r="Q9" s="43"/>
    </row>
    <row r="10" spans="2:22">
      <c r="B10" s="686"/>
      <c r="C10" s="32" t="s">
        <v>6</v>
      </c>
      <c r="D10" s="37"/>
      <c r="E10" s="705" t="s">
        <v>5</v>
      </c>
      <c r="F10" s="37"/>
      <c r="G10" s="33"/>
      <c r="H10" s="44" t="s">
        <v>7</v>
      </c>
      <c r="I10" s="37"/>
      <c r="J10" s="33"/>
      <c r="K10" s="41" t="s">
        <v>8</v>
      </c>
      <c r="L10" s="37"/>
      <c r="M10" s="33"/>
      <c r="N10" s="44" t="s">
        <v>9</v>
      </c>
      <c r="O10" s="44"/>
      <c r="P10" s="37"/>
      <c r="Q10" s="45" t="s">
        <v>10</v>
      </c>
    </row>
    <row r="11" spans="2:22">
      <c r="B11" s="686"/>
      <c r="C11" s="33"/>
      <c r="D11" s="37"/>
      <c r="E11" s="687"/>
      <c r="F11" s="691"/>
      <c r="G11" s="692"/>
      <c r="H11" s="692"/>
      <c r="I11" s="691"/>
      <c r="J11" s="692"/>
      <c r="K11" s="692"/>
      <c r="L11" s="691"/>
      <c r="M11" s="692"/>
      <c r="N11" s="692"/>
      <c r="O11" s="692"/>
      <c r="P11" s="691"/>
      <c r="Q11" s="691"/>
    </row>
    <row r="12" spans="2:22">
      <c r="B12" s="686"/>
      <c r="C12" s="32" t="s">
        <v>11</v>
      </c>
      <c r="D12" s="37"/>
      <c r="E12" s="693"/>
      <c r="F12" s="47"/>
      <c r="G12" s="51"/>
      <c r="H12" s="560"/>
      <c r="I12" s="47"/>
      <c r="J12" s="51"/>
      <c r="K12" s="51"/>
      <c r="L12" s="37"/>
      <c r="M12" s="33"/>
      <c r="N12" s="33"/>
      <c r="O12" s="33"/>
      <c r="P12" s="37"/>
      <c r="Q12" s="37"/>
    </row>
    <row r="13" spans="2:22">
      <c r="B13" s="686">
        <v>1</v>
      </c>
      <c r="C13" s="46" t="s">
        <v>30</v>
      </c>
      <c r="D13" s="47"/>
      <c r="E13" s="694">
        <f>+'Operating Report'!G17</f>
        <v>221481599.95999998</v>
      </c>
      <c r="F13" s="561"/>
      <c r="G13" s="58"/>
      <c r="H13" s="58">
        <f>+'Exh MCP-10 - Summary of Adj'!R16</f>
        <v>14222913.450000001</v>
      </c>
      <c r="I13" s="561"/>
      <c r="J13" s="58"/>
      <c r="K13" s="562">
        <f>+E13+H13</f>
        <v>235704513.40999997</v>
      </c>
      <c r="L13" s="561"/>
      <c r="M13" s="58"/>
      <c r="N13" s="851">
        <f>+'Exh MCP-9 - Rev Req Calc'!D21-N14</f>
        <v>12003698.983529814</v>
      </c>
      <c r="O13" s="562"/>
      <c r="P13" s="561"/>
      <c r="Q13" s="930">
        <f>+K13+N13</f>
        <v>247708212.39352977</v>
      </c>
      <c r="S13" s="50"/>
      <c r="T13" s="50"/>
    </row>
    <row r="14" spans="2:22">
      <c r="B14" s="686">
        <v>2</v>
      </c>
      <c r="C14" s="46" t="s">
        <v>31</v>
      </c>
      <c r="D14" s="47"/>
      <c r="E14" s="695">
        <f>+'Operating Report'!G21</f>
        <v>24094627.940000001</v>
      </c>
      <c r="F14" s="561"/>
      <c r="G14" s="58"/>
      <c r="H14" s="58">
        <f>+'Exh MCP-10 - Summary of Adj'!R17</f>
        <v>0</v>
      </c>
      <c r="I14" s="561"/>
      <c r="J14" s="58"/>
      <c r="K14" s="562">
        <f>+E14+H14</f>
        <v>24094627.940000001</v>
      </c>
      <c r="L14" s="561"/>
      <c r="M14" s="58"/>
      <c r="N14" s="58"/>
      <c r="O14" s="58"/>
      <c r="P14" s="561"/>
      <c r="Q14" s="833">
        <f>+K14+N14</f>
        <v>24094627.940000001</v>
      </c>
      <c r="S14" s="50"/>
      <c r="T14" s="50"/>
    </row>
    <row r="15" spans="2:22">
      <c r="B15" s="686">
        <v>3</v>
      </c>
      <c r="C15" s="46" t="s">
        <v>32</v>
      </c>
      <c r="D15" s="51"/>
      <c r="E15" s="696">
        <f>+'Operating Report'!G27-'Operating Report'!G21</f>
        <v>1748761.5300000012</v>
      </c>
      <c r="F15" s="561"/>
      <c r="G15" s="58"/>
      <c r="H15" s="58">
        <f>+'Exh MCP-10 - Summary of Adj'!R18</f>
        <v>0</v>
      </c>
      <c r="I15" s="561"/>
      <c r="J15" s="58"/>
      <c r="K15" s="562">
        <f>+E15+H15</f>
        <v>1748761.5300000012</v>
      </c>
      <c r="L15" s="561"/>
      <c r="M15" s="58"/>
      <c r="N15" s="58"/>
      <c r="O15" s="58"/>
      <c r="P15" s="561"/>
      <c r="Q15" s="833">
        <f>+K15+N15</f>
        <v>1748761.5300000012</v>
      </c>
      <c r="S15" s="50"/>
      <c r="T15" s="50"/>
      <c r="V15" s="56"/>
    </row>
    <row r="16" spans="2:22">
      <c r="B16" s="686">
        <v>4</v>
      </c>
      <c r="C16" s="52" t="s">
        <v>757</v>
      </c>
      <c r="D16" s="47"/>
      <c r="E16" s="695">
        <f>SUM(E13:E15)</f>
        <v>247324989.42999998</v>
      </c>
      <c r="F16" s="561"/>
      <c r="G16" s="58"/>
      <c r="H16" s="838">
        <f>SUM(H13:H15)</f>
        <v>14222913.450000001</v>
      </c>
      <c r="I16" s="561"/>
      <c r="J16" s="58"/>
      <c r="K16" s="838">
        <f>SUM(K13:K15)</f>
        <v>261547902.87999997</v>
      </c>
      <c r="L16" s="561"/>
      <c r="M16" s="58"/>
      <c r="N16" s="852">
        <f>SUM(N13:N15)</f>
        <v>12003698.983529814</v>
      </c>
      <c r="O16" s="50"/>
      <c r="P16" s="561"/>
      <c r="Q16" s="931">
        <f>SUM(Q13:Q15)</f>
        <v>273551601.8635298</v>
      </c>
      <c r="S16" s="50"/>
      <c r="T16" s="50"/>
      <c r="V16" s="50"/>
    </row>
    <row r="17" spans="2:22">
      <c r="B17" s="686"/>
      <c r="C17" s="46"/>
      <c r="D17" s="47"/>
      <c r="E17" s="695"/>
      <c r="F17" s="561"/>
      <c r="G17" s="58"/>
      <c r="H17" s="50"/>
      <c r="I17" s="561"/>
      <c r="J17" s="58"/>
      <c r="K17" s="50"/>
      <c r="L17" s="561"/>
      <c r="M17" s="58"/>
      <c r="N17" s="50"/>
      <c r="O17" s="50"/>
      <c r="P17" s="561"/>
      <c r="Q17" s="53"/>
      <c r="S17" s="50"/>
      <c r="T17" s="50"/>
      <c r="U17" s="50"/>
      <c r="V17" s="50"/>
    </row>
    <row r="18" spans="2:22">
      <c r="B18" s="686"/>
      <c r="C18" s="46" t="s">
        <v>12</v>
      </c>
      <c r="D18" s="47"/>
      <c r="E18" s="695"/>
      <c r="F18" s="561"/>
      <c r="G18" s="58"/>
      <c r="H18" s="50"/>
      <c r="I18" s="561"/>
      <c r="J18" s="58"/>
      <c r="K18" s="50"/>
      <c r="L18" s="561"/>
      <c r="M18" s="58"/>
      <c r="N18" s="50"/>
      <c r="O18" s="50"/>
      <c r="P18" s="561"/>
      <c r="Q18" s="53"/>
      <c r="S18" s="50"/>
      <c r="T18" s="50"/>
      <c r="V18" s="50"/>
    </row>
    <row r="19" spans="2:22">
      <c r="B19" s="686">
        <v>5</v>
      </c>
      <c r="C19" s="46" t="s">
        <v>758</v>
      </c>
      <c r="D19" s="47"/>
      <c r="E19" s="695">
        <f>+'Operating Report'!G37</f>
        <v>125165839.18000001</v>
      </c>
      <c r="F19" s="561"/>
      <c r="G19" s="58"/>
      <c r="H19" s="58">
        <f>+'Exh MCP-10 - Summary of Adj'!R22</f>
        <v>0</v>
      </c>
      <c r="I19" s="561"/>
      <c r="J19" s="58"/>
      <c r="K19" s="562">
        <f>+E19+H19</f>
        <v>125165839.18000001</v>
      </c>
      <c r="L19" s="561"/>
      <c r="M19" s="58"/>
      <c r="N19" s="58"/>
      <c r="O19" s="58"/>
      <c r="P19" s="561"/>
      <c r="Q19" s="833">
        <f>+K19+N19</f>
        <v>125165839.18000001</v>
      </c>
      <c r="S19" s="50"/>
      <c r="T19" s="50"/>
    </row>
    <row r="20" spans="2:22">
      <c r="B20" s="686">
        <v>6</v>
      </c>
      <c r="C20" s="46" t="s">
        <v>759</v>
      </c>
      <c r="D20" s="47"/>
      <c r="E20" s="695">
        <f>+'Operating Report'!G53</f>
        <v>20632282.93</v>
      </c>
      <c r="F20" s="561"/>
      <c r="G20" s="58"/>
      <c r="H20" s="58">
        <f>+'Exh MCP-10 - Summary of Adj'!R23</f>
        <v>576312.45299400017</v>
      </c>
      <c r="I20" s="561"/>
      <c r="J20" s="58"/>
      <c r="K20" s="562">
        <f>+E20+H20</f>
        <v>21208595.382994</v>
      </c>
      <c r="L20" s="561"/>
      <c r="M20" s="58"/>
      <c r="N20" s="853">
        <f>+N16*('Exh MCP-4 - Conversion Factor'!C9+'Exh MCP-4 - Conversion Factor'!C10)</f>
        <v>486389.88281262806</v>
      </c>
      <c r="O20" s="58"/>
      <c r="P20" s="561"/>
      <c r="Q20" s="933">
        <f>+K20+N20</f>
        <v>21694985.265806627</v>
      </c>
      <c r="S20" s="50"/>
      <c r="T20" s="54"/>
      <c r="U20" s="822"/>
    </row>
    <row r="21" spans="2:22">
      <c r="B21" s="686">
        <v>7</v>
      </c>
      <c r="C21" s="55" t="s">
        <v>34</v>
      </c>
      <c r="D21" s="47"/>
      <c r="E21" s="695">
        <f>+'Operating Report'!G57</f>
        <v>320028.11</v>
      </c>
      <c r="F21" s="561"/>
      <c r="G21" s="58"/>
      <c r="H21" s="58">
        <f>+'Exh MCP-10 - Summary of Adj'!R24</f>
        <v>13282.7868</v>
      </c>
      <c r="I21" s="561"/>
      <c r="J21" s="58"/>
      <c r="K21" s="562">
        <f t="shared" ref="K21:K30" si="0">+E21+H21</f>
        <v>333310.89679999999</v>
      </c>
      <c r="L21" s="561"/>
      <c r="M21" s="58"/>
      <c r="N21" s="58"/>
      <c r="O21" s="58"/>
      <c r="P21" s="561"/>
      <c r="Q21" s="833">
        <f t="shared" ref="Q21:Q30" si="1">+K21+N21</f>
        <v>333310.89679999999</v>
      </c>
      <c r="S21" s="50"/>
    </row>
    <row r="22" spans="2:22">
      <c r="B22" s="686">
        <v>8</v>
      </c>
      <c r="C22" s="55" t="s">
        <v>13</v>
      </c>
      <c r="D22" s="47"/>
      <c r="E22" s="695">
        <f>+'Operating Report'!G85</f>
        <v>20414279.720000003</v>
      </c>
      <c r="F22" s="561"/>
      <c r="G22" s="58"/>
      <c r="H22" s="58">
        <f>+'Exh MCP-10 - Summary of Adj'!R25</f>
        <v>1907368.126030751</v>
      </c>
      <c r="I22" s="561"/>
      <c r="J22" s="58"/>
      <c r="K22" s="562">
        <f t="shared" si="0"/>
        <v>22321647.846030753</v>
      </c>
      <c r="L22" s="561"/>
      <c r="M22" s="58"/>
      <c r="N22" s="58"/>
      <c r="O22" s="58"/>
      <c r="P22" s="561"/>
      <c r="Q22" s="833">
        <f t="shared" si="1"/>
        <v>22321647.846030753</v>
      </c>
      <c r="S22" s="56"/>
      <c r="U22" s="56"/>
    </row>
    <row r="23" spans="2:22">
      <c r="B23" s="686">
        <v>9</v>
      </c>
      <c r="C23" s="55" t="s">
        <v>35</v>
      </c>
      <c r="D23" s="47"/>
      <c r="E23" s="695">
        <f>+'Operating Report'!G93</f>
        <v>5854250.6700000009</v>
      </c>
      <c r="F23" s="561"/>
      <c r="G23" s="58"/>
      <c r="H23" s="58">
        <f>+'Exh MCP-10 - Summary of Adj'!R26</f>
        <v>291744.97141701315</v>
      </c>
      <c r="I23" s="561"/>
      <c r="J23" s="58"/>
      <c r="K23" s="562">
        <f t="shared" si="0"/>
        <v>6145995.6414170144</v>
      </c>
      <c r="L23" s="561"/>
      <c r="M23" s="58"/>
      <c r="N23" s="853">
        <f>+N16*'Exh MCP-4 - Conversion Factor'!C8</f>
        <v>48253.469825547836</v>
      </c>
      <c r="O23" s="58"/>
      <c r="P23" s="561"/>
      <c r="Q23" s="930">
        <f t="shared" si="1"/>
        <v>6194249.1112425625</v>
      </c>
      <c r="S23" s="56"/>
      <c r="U23" s="56"/>
    </row>
    <row r="24" spans="2:22">
      <c r="B24" s="686">
        <v>10</v>
      </c>
      <c r="C24" s="55" t="s">
        <v>14</v>
      </c>
      <c r="D24" s="47"/>
      <c r="E24" s="695">
        <f>+'Operating Report'!G100</f>
        <v>7311469.46</v>
      </c>
      <c r="F24" s="561"/>
      <c r="G24" s="58"/>
      <c r="H24" s="58">
        <f>+'Exh MCP-10 - Summary of Adj'!R27</f>
        <v>57097.4784</v>
      </c>
      <c r="I24" s="561"/>
      <c r="J24" s="58"/>
      <c r="K24" s="562">
        <f t="shared" si="0"/>
        <v>7368566.9384000003</v>
      </c>
      <c r="L24" s="561"/>
      <c r="M24" s="58"/>
      <c r="N24" s="58"/>
      <c r="O24" s="58"/>
      <c r="P24" s="561"/>
      <c r="Q24" s="833">
        <f t="shared" si="1"/>
        <v>7368566.9384000003</v>
      </c>
      <c r="S24" s="56"/>
      <c r="U24" s="56"/>
    </row>
    <row r="25" spans="2:22">
      <c r="B25" s="686">
        <v>11</v>
      </c>
      <c r="C25" s="55" t="s">
        <v>15</v>
      </c>
      <c r="D25" s="47"/>
      <c r="E25" s="695">
        <f>+'Operating Report'!G107</f>
        <v>5408.6900000000005</v>
      </c>
      <c r="F25" s="561"/>
      <c r="G25" s="58"/>
      <c r="H25" s="853">
        <f>+'Exh MCP-10 - Summary of Adj'!R28</f>
        <v>-1759.1922999999999</v>
      </c>
      <c r="I25" s="561"/>
      <c r="J25" s="58"/>
      <c r="K25" s="851">
        <f t="shared" si="0"/>
        <v>3649.4977000000008</v>
      </c>
      <c r="L25" s="561"/>
      <c r="M25" s="58"/>
      <c r="N25" s="58"/>
      <c r="O25" s="58"/>
      <c r="P25" s="561"/>
      <c r="Q25" s="833">
        <f t="shared" si="1"/>
        <v>3649.4977000000008</v>
      </c>
    </row>
    <row r="26" spans="2:22">
      <c r="B26" s="686">
        <v>12</v>
      </c>
      <c r="C26" s="55" t="s">
        <v>16</v>
      </c>
      <c r="D26" s="51"/>
      <c r="E26" s="695">
        <f>+'Operating Report'!G123</f>
        <v>18950113.18</v>
      </c>
      <c r="F26" s="561"/>
      <c r="G26" s="58"/>
      <c r="H26" s="58">
        <f>+'Exh MCP-10 - Summary of Adj'!R29</f>
        <v>-550725.37722083984</v>
      </c>
      <c r="I26" s="561"/>
      <c r="J26" s="58"/>
      <c r="K26" s="562">
        <f t="shared" si="0"/>
        <v>18399387.80277916</v>
      </c>
      <c r="L26" s="561"/>
      <c r="M26" s="58"/>
      <c r="N26" s="58"/>
      <c r="O26" s="58"/>
      <c r="P26" s="561"/>
      <c r="Q26" s="833">
        <f t="shared" si="1"/>
        <v>18399387.80277916</v>
      </c>
    </row>
    <row r="27" spans="2:22">
      <c r="B27" s="686">
        <v>13</v>
      </c>
      <c r="C27" s="55" t="s">
        <v>36</v>
      </c>
      <c r="D27" s="47"/>
      <c r="E27" s="694">
        <f>+'Operating Report'!G135</f>
        <v>24915117.609999999</v>
      </c>
      <c r="F27" s="561"/>
      <c r="G27" s="58"/>
      <c r="H27" s="853">
        <f>+'Exh MCP-10 - Summary of Adj'!R30</f>
        <v>4753082.6078008721</v>
      </c>
      <c r="I27" s="561"/>
      <c r="J27" s="58"/>
      <c r="K27" s="851">
        <f t="shared" si="0"/>
        <v>29668200.217800871</v>
      </c>
      <c r="L27" s="561"/>
      <c r="M27" s="58"/>
      <c r="N27" s="58"/>
      <c r="O27" s="58"/>
      <c r="P27" s="561"/>
      <c r="Q27" s="833">
        <f t="shared" si="1"/>
        <v>29668200.217800871</v>
      </c>
    </row>
    <row r="28" spans="2:22">
      <c r="B28" s="686">
        <v>14</v>
      </c>
      <c r="C28" s="55" t="s">
        <v>37</v>
      </c>
      <c r="D28" s="47"/>
      <c r="E28" s="697"/>
      <c r="F28" s="561"/>
      <c r="G28" s="58"/>
      <c r="H28" s="58">
        <f>+'Exh MCP-10 - Summary of Adj'!R31</f>
        <v>0</v>
      </c>
      <c r="I28" s="561"/>
      <c r="J28" s="58"/>
      <c r="K28" s="562">
        <f t="shared" si="0"/>
        <v>0</v>
      </c>
      <c r="L28" s="561"/>
      <c r="M28" s="58"/>
      <c r="N28" s="58"/>
      <c r="O28" s="58"/>
      <c r="P28" s="561"/>
      <c r="Q28" s="833">
        <f t="shared" si="1"/>
        <v>0</v>
      </c>
    </row>
    <row r="29" spans="2:22">
      <c r="B29" s="686">
        <v>15</v>
      </c>
      <c r="C29" s="55" t="s">
        <v>38</v>
      </c>
      <c r="D29" s="47"/>
      <c r="E29" s="695">
        <f>+'Operating Report'!G140</f>
        <v>4176014.52</v>
      </c>
      <c r="F29" s="561"/>
      <c r="G29" s="58"/>
      <c r="H29" s="58">
        <f>+'Exh MCP-10 - Summary of Adj'!R32</f>
        <v>880629.15275874117</v>
      </c>
      <c r="I29" s="561"/>
      <c r="J29" s="58"/>
      <c r="K29" s="562">
        <f t="shared" si="0"/>
        <v>5056643.6727587413</v>
      </c>
      <c r="L29" s="561"/>
      <c r="M29" s="58"/>
      <c r="N29" s="58"/>
      <c r="O29" s="58"/>
      <c r="P29" s="561"/>
      <c r="Q29" s="833">
        <f t="shared" si="1"/>
        <v>5056643.6727587413</v>
      </c>
    </row>
    <row r="30" spans="2:22">
      <c r="B30" s="686">
        <v>16</v>
      </c>
      <c r="C30" s="55" t="s">
        <v>39</v>
      </c>
      <c r="D30" s="47"/>
      <c r="E30" s="695">
        <f>+'Operating Report'!G149</f>
        <v>-1224199.5100000019</v>
      </c>
      <c r="F30" s="561"/>
      <c r="G30" s="58"/>
      <c r="H30" s="853">
        <f>+'Exh MCP-10 - Summary of Adj'!R33</f>
        <v>1414284.1677419939</v>
      </c>
      <c r="I30" s="561"/>
      <c r="J30" s="58"/>
      <c r="K30" s="851">
        <f t="shared" si="0"/>
        <v>190084.65774199204</v>
      </c>
      <c r="L30" s="561"/>
      <c r="M30" s="58"/>
      <c r="N30" s="853">
        <f>(+N16-N20-N23)*0.21</f>
        <v>2408501.6824872438</v>
      </c>
      <c r="O30" s="58"/>
      <c r="P30" s="561"/>
      <c r="Q30" s="930">
        <f t="shared" si="1"/>
        <v>2598586.3402292356</v>
      </c>
    </row>
    <row r="31" spans="2:22" ht="16.2" thickBot="1">
      <c r="B31" s="686">
        <v>17</v>
      </c>
      <c r="C31" s="59" t="s">
        <v>40</v>
      </c>
      <c r="D31" s="37"/>
      <c r="E31" s="839">
        <f>SUM(E19:E30)</f>
        <v>226520604.56000003</v>
      </c>
      <c r="F31" s="561"/>
      <c r="G31" s="58"/>
      <c r="H31" s="927">
        <f>SUM(H19:H30)</f>
        <v>9341317.1744225305</v>
      </c>
      <c r="I31" s="561"/>
      <c r="J31" s="58"/>
      <c r="K31" s="927">
        <f>SUM(K19:K30)</f>
        <v>235861921.73442256</v>
      </c>
      <c r="L31" s="561"/>
      <c r="M31" s="58"/>
      <c r="N31" s="927">
        <f>SUM(N19:N30)</f>
        <v>2943145.0351254195</v>
      </c>
      <c r="O31" s="562"/>
      <c r="P31" s="561"/>
      <c r="Q31" s="932">
        <f>SUM(Q19:Q30)</f>
        <v>238805066.76954794</v>
      </c>
    </row>
    <row r="32" spans="2:22" ht="16.8" thickTop="1" thickBot="1">
      <c r="B32" s="686">
        <v>18</v>
      </c>
      <c r="C32" s="59" t="s">
        <v>17</v>
      </c>
      <c r="D32" s="37"/>
      <c r="E32" s="839">
        <f>+E16-E31</f>
        <v>20804384.869999945</v>
      </c>
      <c r="F32" s="561"/>
      <c r="G32" s="58"/>
      <c r="H32" s="927">
        <f>+H16-H31</f>
        <v>4881596.2755774707</v>
      </c>
      <c r="I32" s="840"/>
      <c r="J32" s="58"/>
      <c r="K32" s="927">
        <f>+K16-K31</f>
        <v>25685981.145577401</v>
      </c>
      <c r="L32" s="561"/>
      <c r="M32" s="58"/>
      <c r="N32" s="927">
        <f>+N16-N31</f>
        <v>9060553.9484043941</v>
      </c>
      <c r="O32" s="562"/>
      <c r="P32" s="561"/>
      <c r="Q32" s="932">
        <f>+Q16-Q31</f>
        <v>34746535.093981862</v>
      </c>
      <c r="S32" s="60"/>
    </row>
    <row r="33" spans="2:19" ht="16.2" thickTop="1">
      <c r="B33" s="686"/>
      <c r="C33" s="59"/>
      <c r="D33" s="37"/>
      <c r="E33" s="835"/>
      <c r="F33" s="561"/>
      <c r="G33" s="58"/>
      <c r="H33" s="562"/>
      <c r="I33" s="562"/>
      <c r="J33" s="58"/>
      <c r="K33" s="562"/>
      <c r="L33" s="561"/>
      <c r="M33" s="58"/>
      <c r="N33" s="562"/>
      <c r="O33" s="562"/>
      <c r="P33" s="561"/>
      <c r="Q33" s="833"/>
      <c r="S33" s="60"/>
    </row>
    <row r="34" spans="2:19">
      <c r="B34" s="686"/>
      <c r="C34" s="59" t="s">
        <v>41</v>
      </c>
      <c r="D34" s="47"/>
      <c r="E34" s="698"/>
      <c r="F34" s="48"/>
      <c r="G34" s="49"/>
      <c r="H34" s="49"/>
      <c r="I34" s="48"/>
      <c r="J34" s="49"/>
      <c r="K34" s="49"/>
      <c r="L34" s="48"/>
      <c r="M34" s="49"/>
      <c r="N34" s="49"/>
      <c r="O34" s="49"/>
      <c r="P34" s="48"/>
      <c r="Q34" s="61"/>
    </row>
    <row r="35" spans="2:19">
      <c r="B35" s="686">
        <v>19</v>
      </c>
      <c r="C35" s="46" t="s">
        <v>43</v>
      </c>
      <c r="D35" s="47"/>
      <c r="E35" s="694">
        <f>+'Rate Base'!D13</f>
        <v>835867891.49633491</v>
      </c>
      <c r="F35" s="561"/>
      <c r="G35" s="58"/>
      <c r="H35" s="58">
        <f>+'Exh MCP-10 - Summary of Adj'!R38</f>
        <v>97182966.528171048</v>
      </c>
      <c r="I35" s="561"/>
      <c r="J35" s="58"/>
      <c r="K35" s="562">
        <f t="shared" ref="K35:K39" si="2">+E35+H35</f>
        <v>933050858.02450597</v>
      </c>
      <c r="L35" s="561"/>
      <c r="M35" s="58"/>
      <c r="N35" s="562"/>
      <c r="O35" s="562"/>
      <c r="P35" s="561"/>
      <c r="Q35" s="833">
        <f t="shared" ref="Q35:Q39" si="3">+K35+N35</f>
        <v>933050858.02450597</v>
      </c>
    </row>
    <row r="36" spans="2:19">
      <c r="B36" s="686">
        <v>20</v>
      </c>
      <c r="C36" s="46" t="s">
        <v>44</v>
      </c>
      <c r="D36" s="47"/>
      <c r="E36" s="694">
        <f>+'Rate Base'!D14</f>
        <v>-389781047.94520426</v>
      </c>
      <c r="F36" s="561"/>
      <c r="G36" s="58"/>
      <c r="H36" s="853">
        <f>+'Exh MCP-10 - Summary of Adj'!R39</f>
        <v>-8859402.0782972015</v>
      </c>
      <c r="I36" s="561"/>
      <c r="J36" s="58"/>
      <c r="K36" s="851">
        <f t="shared" si="2"/>
        <v>-398640450.02350146</v>
      </c>
      <c r="L36" s="561"/>
      <c r="M36" s="58"/>
      <c r="N36" s="562"/>
      <c r="O36" s="562"/>
      <c r="P36" s="561"/>
      <c r="Q36" s="930">
        <f t="shared" si="3"/>
        <v>-398640450.02350146</v>
      </c>
    </row>
    <row r="37" spans="2:19">
      <c r="B37" s="686">
        <v>21</v>
      </c>
      <c r="C37" s="51" t="s">
        <v>18</v>
      </c>
      <c r="D37" s="51"/>
      <c r="E37" s="695">
        <f>+'Rate Base'!D16</f>
        <v>-3800412.8362500002</v>
      </c>
      <c r="F37" s="561"/>
      <c r="G37" s="58"/>
      <c r="H37" s="58">
        <f>+'Exh MCP-10 - Summary of Adj'!R40</f>
        <v>44862.196250000037</v>
      </c>
      <c r="I37" s="561"/>
      <c r="J37" s="58"/>
      <c r="K37" s="562">
        <f t="shared" si="2"/>
        <v>-3755550.64</v>
      </c>
      <c r="L37" s="561"/>
      <c r="M37" s="58"/>
      <c r="N37" s="562"/>
      <c r="O37" s="562"/>
      <c r="P37" s="561"/>
      <c r="Q37" s="833">
        <f t="shared" si="3"/>
        <v>-3755550.64</v>
      </c>
    </row>
    <row r="38" spans="2:19">
      <c r="B38" s="686">
        <v>22</v>
      </c>
      <c r="C38" s="51" t="s">
        <v>45</v>
      </c>
      <c r="D38" s="47"/>
      <c r="E38" s="695">
        <f>+'Rate Base'!D17</f>
        <v>-75625049.641666636</v>
      </c>
      <c r="F38" s="561"/>
      <c r="G38" s="58"/>
      <c r="H38" s="853">
        <f>+'Exh MCP-10 - Summary of Adj'!R41</f>
        <v>-2009782.5960186289</v>
      </c>
      <c r="I38" s="561"/>
      <c r="J38" s="58"/>
      <c r="K38" s="851">
        <f t="shared" si="2"/>
        <v>-77634832.237685263</v>
      </c>
      <c r="L38" s="561"/>
      <c r="M38" s="58"/>
      <c r="N38" s="562"/>
      <c r="O38" s="562"/>
      <c r="P38" s="561"/>
      <c r="Q38" s="930">
        <f t="shared" si="3"/>
        <v>-77634832.237685263</v>
      </c>
    </row>
    <row r="39" spans="2:19">
      <c r="B39" s="686">
        <v>23</v>
      </c>
      <c r="C39" s="51" t="s">
        <v>46</v>
      </c>
      <c r="D39" s="47"/>
      <c r="E39" s="695">
        <f>+' Working Capital (AMA)'!Y708</f>
        <v>7565010.5869378978</v>
      </c>
      <c r="F39" s="561"/>
      <c r="G39" s="58"/>
      <c r="H39" s="58">
        <f>+'Exh MCP-10 - Summary of Adj'!R42</f>
        <v>0</v>
      </c>
      <c r="I39" s="561"/>
      <c r="J39" s="58"/>
      <c r="K39" s="562">
        <f t="shared" si="2"/>
        <v>7565010.5869378978</v>
      </c>
      <c r="L39" s="561"/>
      <c r="M39" s="58"/>
      <c r="N39" s="562"/>
      <c r="O39" s="562"/>
      <c r="P39" s="561"/>
      <c r="Q39" s="833">
        <f t="shared" si="3"/>
        <v>7565010.5869378978</v>
      </c>
    </row>
    <row r="40" spans="2:19" ht="16.2" thickBot="1">
      <c r="B40" s="686">
        <v>24</v>
      </c>
      <c r="C40" s="59" t="s">
        <v>42</v>
      </c>
      <c r="D40" s="33"/>
      <c r="E40" s="834">
        <f>SUM(E35:E39)</f>
        <v>374226391.6601519</v>
      </c>
      <c r="F40" s="561"/>
      <c r="G40" s="58"/>
      <c r="H40" s="928">
        <f>SUM(H35:H39)</f>
        <v>86358644.050105229</v>
      </c>
      <c r="I40" s="561"/>
      <c r="J40" s="58"/>
      <c r="K40" s="928">
        <f>SUM(K35:K39)</f>
        <v>460585035.71025717</v>
      </c>
      <c r="L40" s="561"/>
      <c r="M40" s="58"/>
      <c r="N40" s="834">
        <f>SUM(N35:N39)</f>
        <v>0</v>
      </c>
      <c r="O40" s="835"/>
      <c r="P40" s="561"/>
      <c r="Q40" s="928">
        <f>SUM(Q35:Q39)</f>
        <v>460585035.71025717</v>
      </c>
    </row>
    <row r="41" spans="2:19" ht="16.2" thickTop="1">
      <c r="B41" s="686">
        <v>25</v>
      </c>
      <c r="C41" s="59" t="s">
        <v>19</v>
      </c>
      <c r="D41" s="47"/>
      <c r="E41" s="836">
        <f>+E32/E40</f>
        <v>5.5593045636645362E-2</v>
      </c>
      <c r="F41" s="47"/>
      <c r="G41" s="51"/>
      <c r="H41" s="51"/>
      <c r="I41" s="47"/>
      <c r="J41" s="51"/>
      <c r="K41" s="929">
        <f>+K32/K40</f>
        <v>5.5768162563005687E-2</v>
      </c>
      <c r="L41" s="47"/>
      <c r="M41" s="51"/>
      <c r="N41" s="837"/>
      <c r="O41" s="837"/>
      <c r="P41" s="47"/>
      <c r="Q41" s="62">
        <f>+Q32/Q40</f>
        <v>7.5440000000000132E-2</v>
      </c>
    </row>
    <row r="42" spans="2:19">
      <c r="B42" s="687"/>
      <c r="C42" s="699"/>
      <c r="D42" s="700"/>
      <c r="E42" s="701"/>
      <c r="F42" s="691"/>
      <c r="G42" s="692"/>
      <c r="H42" s="692"/>
      <c r="I42" s="691"/>
      <c r="J42" s="692"/>
      <c r="K42" s="702"/>
      <c r="L42" s="691"/>
      <c r="M42" s="692"/>
      <c r="N42" s="692"/>
      <c r="O42" s="692"/>
      <c r="P42" s="692"/>
      <c r="Q42" s="703"/>
    </row>
    <row r="43" spans="2:19">
      <c r="B43" s="34"/>
      <c r="C43" s="34"/>
      <c r="D43" s="34"/>
      <c r="E43" s="34"/>
      <c r="F43" s="34"/>
      <c r="G43" s="34"/>
      <c r="H43" s="34"/>
      <c r="I43" s="34"/>
      <c r="J43" s="34"/>
      <c r="K43" s="34"/>
      <c r="L43" s="34"/>
      <c r="M43" s="34"/>
      <c r="N43" s="34"/>
      <c r="O43" s="34"/>
      <c r="P43" s="34"/>
      <c r="Q43" s="34"/>
    </row>
    <row r="45" spans="2:19">
      <c r="N45" s="63"/>
    </row>
    <row r="47" spans="2:19">
      <c r="N47" s="57"/>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UG-200568
Exhibit _____ (MCP-8)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view="pageBreakPreview" zoomScale="60" zoomScaleNormal="100" workbookViewId="0">
      <selection activeCell="G24" sqref="F24:G24"/>
    </sheetView>
  </sheetViews>
  <sheetFormatPr defaultColWidth="9.109375" defaultRowHeight="15.6"/>
  <cols>
    <col min="1" max="16384" width="9.109375" style="4"/>
  </cols>
  <sheetData>
    <row r="1" spans="1:10">
      <c r="A1" s="866" t="s">
        <v>60</v>
      </c>
      <c r="B1" s="866"/>
      <c r="C1" s="866"/>
      <c r="D1" s="866"/>
      <c r="E1" s="866"/>
      <c r="F1" s="866"/>
      <c r="G1" s="866"/>
      <c r="H1" s="866"/>
      <c r="I1" s="866"/>
    </row>
    <row r="2" spans="1:10">
      <c r="A2" s="866" t="s">
        <v>1863</v>
      </c>
      <c r="B2" s="866"/>
      <c r="C2" s="866"/>
      <c r="D2" s="866"/>
      <c r="E2" s="866"/>
      <c r="F2" s="866"/>
      <c r="G2" s="866"/>
      <c r="H2" s="866"/>
      <c r="I2" s="866"/>
    </row>
    <row r="3" spans="1:10">
      <c r="A3" s="866" t="s">
        <v>1396</v>
      </c>
      <c r="B3" s="866"/>
      <c r="C3" s="866"/>
      <c r="D3" s="866"/>
      <c r="E3" s="866"/>
      <c r="F3" s="866"/>
      <c r="G3" s="866"/>
      <c r="H3" s="866"/>
      <c r="I3" s="866"/>
    </row>
    <row r="4" spans="1:10">
      <c r="A4" s="866"/>
      <c r="B4" s="866"/>
      <c r="C4" s="866"/>
      <c r="D4" s="866"/>
      <c r="E4" s="866"/>
      <c r="F4" s="866"/>
      <c r="G4" s="866"/>
      <c r="H4" s="866"/>
      <c r="I4" s="866"/>
    </row>
    <row r="5" spans="1:10">
      <c r="A5" s="866"/>
      <c r="B5" s="866"/>
      <c r="C5" s="866"/>
      <c r="D5" s="866"/>
      <c r="E5" s="866"/>
      <c r="F5" s="866"/>
      <c r="G5" s="866"/>
      <c r="H5" s="866"/>
      <c r="I5" s="866"/>
    </row>
    <row r="10" spans="1:10">
      <c r="G10" s="14"/>
    </row>
    <row r="13" spans="1:10">
      <c r="A13" s="870" t="s">
        <v>794</v>
      </c>
      <c r="B13" s="870"/>
      <c r="C13" s="870"/>
      <c r="D13" s="870"/>
      <c r="E13" s="870"/>
      <c r="F13" s="870"/>
      <c r="G13" s="870"/>
      <c r="H13" s="870"/>
      <c r="I13" s="870"/>
      <c r="J13" s="870"/>
    </row>
    <row r="36" spans="4:4">
      <c r="D36" s="24"/>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2"/>
  <sheetViews>
    <sheetView view="pageBreakPreview" zoomScale="106" zoomScaleNormal="100" zoomScaleSheetLayoutView="106" workbookViewId="0">
      <selection activeCell="D9" sqref="D9:D11"/>
    </sheetView>
  </sheetViews>
  <sheetFormatPr defaultRowHeight="14.4"/>
  <cols>
    <col min="1" max="1" width="6.6640625" style="616" bestFit="1" customWidth="1"/>
    <col min="2" max="2" width="24.44140625" bestFit="1" customWidth="1"/>
    <col min="3" max="3" width="3.5546875" style="647" customWidth="1"/>
    <col min="4" max="4" width="20.44140625" bestFit="1" customWidth="1"/>
    <col min="5" max="5" width="1.6640625" customWidth="1"/>
  </cols>
  <sheetData>
    <row r="1" spans="1:13" ht="15.6">
      <c r="B1" s="866" t="s">
        <v>60</v>
      </c>
      <c r="C1" s="866"/>
      <c r="D1" s="866"/>
      <c r="E1" s="866"/>
      <c r="F1" s="866"/>
      <c r="G1" s="866"/>
      <c r="H1" s="866"/>
      <c r="I1" s="3"/>
      <c r="J1" s="3"/>
      <c r="K1" s="3"/>
      <c r="L1" s="3"/>
      <c r="M1" s="3"/>
    </row>
    <row r="2" spans="1:13" ht="15.6">
      <c r="B2" s="866" t="s">
        <v>1988</v>
      </c>
      <c r="C2" s="866"/>
      <c r="D2" s="866"/>
      <c r="E2" s="866"/>
      <c r="F2" s="866"/>
      <c r="G2" s="866"/>
      <c r="H2" s="866"/>
      <c r="I2" s="3"/>
      <c r="J2" s="3"/>
      <c r="K2" s="3"/>
      <c r="L2" s="3"/>
      <c r="M2" s="3"/>
    </row>
    <row r="3" spans="1:13" ht="15.6">
      <c r="B3" s="866" t="s">
        <v>1290</v>
      </c>
      <c r="C3" s="866"/>
      <c r="D3" s="866"/>
      <c r="E3" s="866"/>
      <c r="F3" s="866"/>
      <c r="G3" s="866"/>
      <c r="H3" s="866"/>
      <c r="I3" s="3"/>
      <c r="J3" s="3"/>
      <c r="K3" s="3"/>
      <c r="L3" s="3"/>
      <c r="M3" s="3"/>
    </row>
    <row r="4" spans="1:13" ht="15.6">
      <c r="B4" s="910" t="s">
        <v>1848</v>
      </c>
      <c r="C4" s="910"/>
      <c r="D4" s="910"/>
      <c r="E4" s="910"/>
      <c r="F4" s="910"/>
      <c r="G4" s="910"/>
      <c r="H4" s="910"/>
      <c r="I4" s="646"/>
      <c r="J4" s="646"/>
      <c r="K4" s="646"/>
      <c r="L4" s="646"/>
      <c r="M4" s="646"/>
    </row>
    <row r="5" spans="1:13" ht="15.6">
      <c r="B5" s="866" t="s">
        <v>1862</v>
      </c>
      <c r="C5" s="866"/>
      <c r="D5" s="866"/>
      <c r="E5" s="866"/>
      <c r="F5" s="866"/>
      <c r="G5" s="866"/>
      <c r="H5" s="866"/>
      <c r="I5" s="3"/>
      <c r="J5" s="3"/>
      <c r="K5" s="3"/>
      <c r="L5" s="3"/>
      <c r="M5" s="3"/>
    </row>
    <row r="8" spans="1:13">
      <c r="A8" s="616" t="s">
        <v>1861</v>
      </c>
    </row>
    <row r="9" spans="1:13" ht="15.6">
      <c r="A9" s="616">
        <v>1</v>
      </c>
      <c r="B9" s="671" t="s">
        <v>1845</v>
      </c>
      <c r="C9" s="671"/>
      <c r="D9" s="842">
        <v>974913.42</v>
      </c>
      <c r="F9" s="4" t="s">
        <v>2487</v>
      </c>
      <c r="G9" s="4"/>
    </row>
    <row r="10" spans="1:13" ht="15.6">
      <c r="A10" s="616">
        <v>2</v>
      </c>
      <c r="B10" s="672" t="s">
        <v>1846</v>
      </c>
      <c r="C10" s="672"/>
      <c r="D10" s="843">
        <v>3879097.62</v>
      </c>
      <c r="F10" s="4" t="s">
        <v>2488</v>
      </c>
      <c r="G10" s="4"/>
    </row>
    <row r="11" spans="1:13" ht="16.2" thickBot="1">
      <c r="A11" s="616">
        <v>3</v>
      </c>
      <c r="B11" s="672" t="s">
        <v>1847</v>
      </c>
      <c r="C11" s="672"/>
      <c r="D11" s="844">
        <f>+D9-D10</f>
        <v>-2904184.2</v>
      </c>
      <c r="F11" s="4" t="s">
        <v>2489</v>
      </c>
      <c r="G11" s="4"/>
    </row>
    <row r="12" spans="1:13" ht="15" thickTop="1">
      <c r="B12" s="1"/>
      <c r="C12" s="1"/>
      <c r="D12" s="1"/>
    </row>
  </sheetData>
  <mergeCells count="5">
    <mergeCell ref="B1:H1"/>
    <mergeCell ref="B2:H2"/>
    <mergeCell ref="B3:H3"/>
    <mergeCell ref="B4:H4"/>
    <mergeCell ref="B5:H5"/>
  </mergeCells>
  <pageMargins left="0.7" right="0.7" top="0.75" bottom="0.75" header="0.3" footer="0.3"/>
  <pageSetup scale="94" orientation="portrait" r:id="rId1"/>
  <headerFooter scaleWithDoc="0" alignWithMargins="0">
    <oddHeader>&amp;R&amp;P of &amp;N</oddHeader>
    <oddFooter>&amp;LElectronic Tab Name: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160"/>
  <sheetViews>
    <sheetView showGridLines="0" view="pageBreakPreview" zoomScale="60" zoomScaleNormal="100" workbookViewId="0">
      <selection activeCell="G24" sqref="F24:G24"/>
    </sheetView>
  </sheetViews>
  <sheetFormatPr defaultColWidth="9.109375" defaultRowHeight="15.6"/>
  <cols>
    <col min="1" max="1" width="9.33203125" style="26" bestFit="1" customWidth="1"/>
    <col min="2" max="2" width="35.44140625" style="24" bestFit="1" customWidth="1"/>
    <col min="3" max="3" width="32.5546875" style="24" bestFit="1" customWidth="1"/>
    <col min="4" max="5" width="14" style="24" bestFit="1" customWidth="1"/>
    <col min="6" max="6" width="14.44140625" style="24" bestFit="1" customWidth="1"/>
    <col min="7" max="7" width="5.88671875" style="24" bestFit="1" customWidth="1"/>
    <col min="8" max="8" width="9.109375" style="24"/>
    <col min="9" max="16384" width="9.109375" style="4"/>
  </cols>
  <sheetData>
    <row r="1" spans="1:7">
      <c r="B1" s="911" t="s">
        <v>60</v>
      </c>
      <c r="C1" s="911"/>
      <c r="D1" s="911"/>
      <c r="E1" s="911"/>
      <c r="F1" s="911"/>
      <c r="G1" s="911"/>
    </row>
    <row r="2" spans="1:7">
      <c r="B2" s="727"/>
      <c r="C2" s="261" t="s">
        <v>2032</v>
      </c>
      <c r="D2" s="261"/>
      <c r="E2" s="261"/>
      <c r="F2" s="261"/>
      <c r="G2" s="261"/>
    </row>
    <row r="3" spans="1:7">
      <c r="B3" s="261"/>
      <c r="C3" s="261" t="s">
        <v>1284</v>
      </c>
      <c r="D3" s="261"/>
      <c r="E3" s="261"/>
      <c r="F3" s="261"/>
      <c r="G3" s="261"/>
    </row>
    <row r="4" spans="1:7">
      <c r="B4" s="911" t="s">
        <v>81</v>
      </c>
      <c r="C4" s="911"/>
      <c r="D4" s="911"/>
      <c r="E4" s="911"/>
      <c r="F4" s="911"/>
      <c r="G4" s="911"/>
    </row>
    <row r="5" spans="1:7">
      <c r="B5" s="911" t="s">
        <v>1862</v>
      </c>
      <c r="C5" s="911"/>
      <c r="D5" s="911"/>
      <c r="E5" s="911"/>
      <c r="F5" s="911"/>
      <c r="G5" s="911"/>
    </row>
    <row r="6" spans="1:7">
      <c r="B6" s="261"/>
      <c r="C6" s="261"/>
      <c r="D6" s="261"/>
      <c r="E6" s="261"/>
      <c r="F6" s="261"/>
      <c r="G6" s="261"/>
    </row>
    <row r="7" spans="1:7">
      <c r="B7" s="238" t="s">
        <v>803</v>
      </c>
      <c r="C7" s="238" t="s">
        <v>801</v>
      </c>
      <c r="D7" s="238" t="s">
        <v>802</v>
      </c>
      <c r="E7" s="238" t="s">
        <v>805</v>
      </c>
      <c r="F7" s="238" t="s">
        <v>806</v>
      </c>
      <c r="G7" s="470" t="s">
        <v>807</v>
      </c>
    </row>
    <row r="8" spans="1:7">
      <c r="B8" s="239"/>
      <c r="C8" s="239"/>
      <c r="D8" s="239"/>
      <c r="E8" s="912" t="s">
        <v>743</v>
      </c>
      <c r="F8" s="239"/>
      <c r="G8" s="239"/>
    </row>
    <row r="9" spans="1:7">
      <c r="A9" s="458" t="s">
        <v>662</v>
      </c>
      <c r="B9" s="239"/>
      <c r="C9" s="239"/>
      <c r="D9" s="238" t="s">
        <v>742</v>
      </c>
      <c r="E9" s="913"/>
      <c r="F9" s="238" t="s">
        <v>2051</v>
      </c>
      <c r="G9" s="239"/>
    </row>
    <row r="10" spans="1:7">
      <c r="A10" s="26">
        <v>1</v>
      </c>
      <c r="B10" s="240" t="s">
        <v>2037</v>
      </c>
      <c r="C10" s="240" t="s">
        <v>2038</v>
      </c>
      <c r="D10" s="260">
        <v>800</v>
      </c>
      <c r="E10" s="260"/>
      <c r="F10" s="260">
        <f>+D10</f>
        <v>800</v>
      </c>
      <c r="G10" s="240">
        <v>913</v>
      </c>
    </row>
    <row r="11" spans="1:7">
      <c r="A11" s="26">
        <v>2</v>
      </c>
      <c r="B11" s="240" t="s">
        <v>1297</v>
      </c>
      <c r="C11" s="240" t="s">
        <v>2039</v>
      </c>
      <c r="D11" s="260">
        <v>100</v>
      </c>
      <c r="E11" s="260"/>
      <c r="F11" s="260">
        <f>+D11</f>
        <v>100</v>
      </c>
      <c r="G11" s="240">
        <v>913</v>
      </c>
    </row>
    <row r="12" spans="1:7">
      <c r="A12" s="26">
        <v>3</v>
      </c>
      <c r="B12" s="240" t="s">
        <v>2040</v>
      </c>
      <c r="C12" s="240" t="s">
        <v>2041</v>
      </c>
      <c r="D12" s="260">
        <v>70</v>
      </c>
      <c r="E12" s="260"/>
      <c r="F12" s="260">
        <f>+D12</f>
        <v>70</v>
      </c>
      <c r="G12" s="240">
        <v>913</v>
      </c>
    </row>
    <row r="13" spans="1:7">
      <c r="A13" s="26">
        <v>4</v>
      </c>
      <c r="B13" s="240" t="s">
        <v>2042</v>
      </c>
      <c r="C13" s="240" t="s">
        <v>2043</v>
      </c>
      <c r="D13" s="260">
        <v>250</v>
      </c>
      <c r="E13" s="260"/>
      <c r="F13" s="260"/>
      <c r="G13" s="240">
        <v>913</v>
      </c>
    </row>
    <row r="14" spans="1:7">
      <c r="A14" s="26">
        <v>5</v>
      </c>
      <c r="B14" s="240" t="s">
        <v>2044</v>
      </c>
      <c r="C14" s="240" t="s">
        <v>2045</v>
      </c>
      <c r="D14" s="260">
        <v>100</v>
      </c>
      <c r="E14" s="260"/>
      <c r="F14" s="260"/>
      <c r="G14" s="240">
        <v>913</v>
      </c>
    </row>
    <row r="15" spans="1:7">
      <c r="A15" s="26">
        <v>6</v>
      </c>
      <c r="B15" s="240" t="s">
        <v>740</v>
      </c>
      <c r="C15" s="240" t="s">
        <v>2046</v>
      </c>
      <c r="D15" s="260">
        <v>30.12</v>
      </c>
      <c r="E15" s="260"/>
      <c r="F15" s="260"/>
      <c r="G15" s="240">
        <v>913</v>
      </c>
    </row>
    <row r="16" spans="1:7">
      <c r="A16" s="26">
        <v>7</v>
      </c>
      <c r="B16" s="240" t="s">
        <v>2047</v>
      </c>
      <c r="C16" s="240" t="s">
        <v>2048</v>
      </c>
      <c r="D16" s="260">
        <v>500</v>
      </c>
      <c r="E16" s="260"/>
      <c r="F16" s="260"/>
      <c r="G16" s="240">
        <v>913</v>
      </c>
    </row>
    <row r="17" spans="1:7">
      <c r="A17" s="26">
        <v>8</v>
      </c>
      <c r="B17" s="240" t="s">
        <v>2049</v>
      </c>
      <c r="C17" s="240" t="s">
        <v>741</v>
      </c>
      <c r="D17" s="260">
        <v>575</v>
      </c>
      <c r="E17" s="260">
        <f>+D17*'State Allocation Formulas'!$C$21</f>
        <v>432.22750000000002</v>
      </c>
      <c r="F17" s="260"/>
      <c r="G17" s="240">
        <v>913</v>
      </c>
    </row>
    <row r="18" spans="1:7">
      <c r="A18" s="26">
        <v>9</v>
      </c>
      <c r="B18" s="240" t="s">
        <v>741</v>
      </c>
      <c r="C18" s="240" t="s">
        <v>2036</v>
      </c>
      <c r="D18" s="260">
        <v>575</v>
      </c>
      <c r="E18" s="260"/>
      <c r="F18" s="260">
        <f>+D18</f>
        <v>575</v>
      </c>
      <c r="G18" s="240">
        <v>913</v>
      </c>
    </row>
    <row r="19" spans="1:7">
      <c r="A19" s="26">
        <v>10</v>
      </c>
      <c r="B19" s="240" t="s">
        <v>741</v>
      </c>
      <c r="C19" s="240" t="s">
        <v>2050</v>
      </c>
      <c r="D19" s="260">
        <v>575</v>
      </c>
      <c r="E19" s="260">
        <f>+D19*'State Allocation Formulas'!$C$21</f>
        <v>432.22750000000002</v>
      </c>
      <c r="F19" s="260"/>
      <c r="G19" s="240">
        <v>913</v>
      </c>
    </row>
    <row r="20" spans="1:7">
      <c r="A20" s="26">
        <v>11</v>
      </c>
      <c r="B20" s="240" t="s">
        <v>2049</v>
      </c>
      <c r="C20" s="240" t="s">
        <v>741</v>
      </c>
      <c r="D20" s="260">
        <v>-575</v>
      </c>
      <c r="E20" s="260">
        <f>+D20*'State Allocation Formulas'!$C$21</f>
        <v>-432.22750000000002</v>
      </c>
      <c r="F20" s="260"/>
      <c r="G20" s="240">
        <v>913</v>
      </c>
    </row>
    <row r="21" spans="1:7">
      <c r="B21" s="239"/>
      <c r="C21" s="239"/>
      <c r="D21" s="239"/>
      <c r="E21" s="239"/>
      <c r="F21" s="239"/>
      <c r="G21" s="239"/>
    </row>
    <row r="22" spans="1:7">
      <c r="A22" s="241">
        <v>12</v>
      </c>
      <c r="B22" s="239"/>
      <c r="C22" s="239"/>
      <c r="D22" s="239"/>
      <c r="E22" s="264">
        <f>SUM(E10:E20)</f>
        <v>432.22750000000002</v>
      </c>
      <c r="F22" s="264">
        <f>SUM(F10:F20)</f>
        <v>1545</v>
      </c>
      <c r="G22" s="239"/>
    </row>
    <row r="23" spans="1:7">
      <c r="A23" s="241">
        <v>13</v>
      </c>
      <c r="B23" s="239" t="s">
        <v>673</v>
      </c>
      <c r="C23" s="239"/>
      <c r="D23" s="239"/>
      <c r="E23" s="239"/>
      <c r="F23" s="264">
        <f>+F22+E22</f>
        <v>1977.2275</v>
      </c>
      <c r="G23" s="239"/>
    </row>
    <row r="24" spans="1:7">
      <c r="B24" s="239"/>
      <c r="C24" s="239"/>
      <c r="D24" s="239"/>
      <c r="E24" s="239"/>
      <c r="F24" s="239"/>
      <c r="G24" s="239"/>
    </row>
    <row r="26" spans="1:7">
      <c r="B26" s="238" t="s">
        <v>803</v>
      </c>
      <c r="C26" s="238" t="s">
        <v>801</v>
      </c>
      <c r="D26" s="238" t="s">
        <v>802</v>
      </c>
      <c r="E26" s="238" t="s">
        <v>805</v>
      </c>
      <c r="F26" s="238" t="s">
        <v>806</v>
      </c>
      <c r="G26" s="470" t="s">
        <v>807</v>
      </c>
    </row>
    <row r="27" spans="1:7">
      <c r="A27" s="458" t="s">
        <v>662</v>
      </c>
      <c r="D27" s="238" t="s">
        <v>742</v>
      </c>
      <c r="E27" s="238" t="s">
        <v>743</v>
      </c>
      <c r="F27" s="238" t="s">
        <v>2051</v>
      </c>
    </row>
    <row r="28" spans="1:7">
      <c r="A28" s="26">
        <v>14</v>
      </c>
      <c r="B28" s="240" t="s">
        <v>1297</v>
      </c>
      <c r="C28" s="240">
        <v>43466</v>
      </c>
      <c r="D28" s="260">
        <v>250</v>
      </c>
      <c r="E28" s="260"/>
      <c r="F28" s="260">
        <f>+D28</f>
        <v>250</v>
      </c>
      <c r="G28" s="240">
        <v>930.1</v>
      </c>
    </row>
    <row r="29" spans="1:7">
      <c r="A29" s="26">
        <v>15</v>
      </c>
      <c r="B29" s="240" t="s">
        <v>1297</v>
      </c>
      <c r="C29" s="240">
        <v>43497</v>
      </c>
      <c r="D29" s="260">
        <v>250</v>
      </c>
      <c r="E29" s="260"/>
      <c r="F29" s="260">
        <f t="shared" ref="F29:F39" si="0">+D29</f>
        <v>250</v>
      </c>
      <c r="G29" s="240">
        <v>930.1</v>
      </c>
    </row>
    <row r="30" spans="1:7">
      <c r="A30" s="26">
        <v>16</v>
      </c>
      <c r="B30" s="240" t="s">
        <v>1297</v>
      </c>
      <c r="C30" s="240" t="s">
        <v>2060</v>
      </c>
      <c r="D30" s="260">
        <v>250</v>
      </c>
      <c r="E30" s="260"/>
      <c r="F30" s="260">
        <f t="shared" si="0"/>
        <v>250</v>
      </c>
      <c r="G30" s="240">
        <v>930.1</v>
      </c>
    </row>
    <row r="31" spans="1:7">
      <c r="A31" s="26">
        <v>17</v>
      </c>
      <c r="B31" s="240" t="s">
        <v>671</v>
      </c>
      <c r="C31" s="240" t="s">
        <v>2061</v>
      </c>
      <c r="D31" s="260">
        <v>250</v>
      </c>
      <c r="E31" s="260"/>
      <c r="F31" s="260">
        <f t="shared" si="0"/>
        <v>250</v>
      </c>
      <c r="G31" s="240">
        <v>930.1</v>
      </c>
    </row>
    <row r="32" spans="1:7">
      <c r="A32" s="26">
        <v>18</v>
      </c>
      <c r="B32" s="240" t="s">
        <v>2062</v>
      </c>
      <c r="C32" s="240" t="s">
        <v>2063</v>
      </c>
      <c r="D32" s="260">
        <v>250</v>
      </c>
      <c r="E32" s="260"/>
      <c r="F32" s="260">
        <f t="shared" si="0"/>
        <v>250</v>
      </c>
      <c r="G32" s="240">
        <v>930.1</v>
      </c>
    </row>
    <row r="33" spans="1:7">
      <c r="A33" s="26">
        <v>19</v>
      </c>
      <c r="B33" s="240" t="s">
        <v>672</v>
      </c>
      <c r="C33" s="240" t="s">
        <v>2064</v>
      </c>
      <c r="D33" s="260">
        <v>200</v>
      </c>
      <c r="E33" s="260"/>
      <c r="F33" s="260">
        <f t="shared" si="0"/>
        <v>200</v>
      </c>
      <c r="G33" s="240">
        <v>930.1</v>
      </c>
    </row>
    <row r="34" spans="1:7">
      <c r="A34" s="26">
        <v>20</v>
      </c>
      <c r="B34" s="240" t="s">
        <v>2065</v>
      </c>
      <c r="C34" s="240" t="s">
        <v>2066</v>
      </c>
      <c r="D34" s="260">
        <v>150</v>
      </c>
      <c r="E34" s="260"/>
      <c r="F34" s="260">
        <f t="shared" si="0"/>
        <v>150</v>
      </c>
      <c r="G34" s="240">
        <v>930.1</v>
      </c>
    </row>
    <row r="35" spans="1:7">
      <c r="A35" s="26">
        <v>21</v>
      </c>
      <c r="B35" s="240" t="s">
        <v>1298</v>
      </c>
      <c r="C35" s="240" t="s">
        <v>2067</v>
      </c>
      <c r="D35" s="260">
        <v>250</v>
      </c>
      <c r="E35" s="260"/>
      <c r="F35" s="260">
        <f t="shared" si="0"/>
        <v>250</v>
      </c>
      <c r="G35" s="240">
        <v>930.1</v>
      </c>
    </row>
    <row r="36" spans="1:7">
      <c r="A36" s="26">
        <v>22</v>
      </c>
      <c r="B36" s="240" t="s">
        <v>670</v>
      </c>
      <c r="C36" s="240" t="s">
        <v>2068</v>
      </c>
      <c r="D36" s="260">
        <v>260</v>
      </c>
      <c r="E36" s="260"/>
      <c r="F36" s="260">
        <f t="shared" si="0"/>
        <v>260</v>
      </c>
      <c r="G36" s="240">
        <v>930.1</v>
      </c>
    </row>
    <row r="37" spans="1:7">
      <c r="A37" s="26">
        <v>23</v>
      </c>
      <c r="B37" s="240" t="s">
        <v>1299</v>
      </c>
      <c r="C37" s="240" t="s">
        <v>2069</v>
      </c>
      <c r="D37" s="260">
        <v>200</v>
      </c>
      <c r="E37" s="260"/>
      <c r="F37" s="260">
        <f t="shared" si="0"/>
        <v>200</v>
      </c>
      <c r="G37" s="240">
        <v>930.1</v>
      </c>
    </row>
    <row r="38" spans="1:7">
      <c r="A38" s="26">
        <v>24</v>
      </c>
      <c r="B38" s="240" t="s">
        <v>2070</v>
      </c>
      <c r="C38" s="240" t="s">
        <v>2071</v>
      </c>
      <c r="D38" s="260">
        <v>65</v>
      </c>
      <c r="E38" s="260"/>
      <c r="F38" s="260">
        <f t="shared" si="0"/>
        <v>65</v>
      </c>
      <c r="G38" s="240">
        <v>930.1</v>
      </c>
    </row>
    <row r="39" spans="1:7">
      <c r="A39" s="26">
        <v>25</v>
      </c>
      <c r="B39" s="240" t="s">
        <v>2070</v>
      </c>
      <c r="C39" s="240" t="s">
        <v>2072</v>
      </c>
      <c r="D39" s="260">
        <v>65</v>
      </c>
      <c r="E39" s="260"/>
      <c r="F39" s="260">
        <f t="shared" si="0"/>
        <v>65</v>
      </c>
      <c r="G39" s="240">
        <v>930.1</v>
      </c>
    </row>
    <row r="40" spans="1:7">
      <c r="A40" s="26">
        <v>26</v>
      </c>
      <c r="B40" s="240" t="s">
        <v>1300</v>
      </c>
      <c r="C40" s="240" t="s">
        <v>2073</v>
      </c>
      <c r="D40" s="260">
        <v>975</v>
      </c>
      <c r="E40" s="260"/>
      <c r="F40" s="260"/>
      <c r="G40" s="240">
        <v>930.1</v>
      </c>
    </row>
    <row r="41" spans="1:7">
      <c r="A41" s="26">
        <v>27</v>
      </c>
      <c r="B41" s="240" t="s">
        <v>744</v>
      </c>
      <c r="C41" s="240" t="s">
        <v>1301</v>
      </c>
      <c r="D41" s="260">
        <v>72</v>
      </c>
      <c r="E41" s="260"/>
      <c r="F41" s="260"/>
      <c r="G41" s="240">
        <v>930.1</v>
      </c>
    </row>
    <row r="42" spans="1:7">
      <c r="A42" s="26">
        <v>28</v>
      </c>
      <c r="B42" s="240" t="s">
        <v>744</v>
      </c>
      <c r="C42" s="240" t="s">
        <v>2057</v>
      </c>
      <c r="D42" s="260">
        <v>72</v>
      </c>
      <c r="E42" s="260"/>
      <c r="F42" s="260"/>
      <c r="G42" s="240">
        <v>930.1</v>
      </c>
    </row>
    <row r="43" spans="1:7">
      <c r="A43" s="26">
        <v>29</v>
      </c>
      <c r="B43" s="240" t="s">
        <v>2054</v>
      </c>
      <c r="C43" s="240" t="s">
        <v>2074</v>
      </c>
      <c r="D43" s="260">
        <v>47.77</v>
      </c>
      <c r="E43" s="260"/>
      <c r="F43" s="260"/>
      <c r="G43" s="240">
        <v>930.1</v>
      </c>
    </row>
    <row r="44" spans="1:7">
      <c r="A44" s="26">
        <v>30</v>
      </c>
      <c r="B44" s="240" t="s">
        <v>2054</v>
      </c>
      <c r="C44" s="240" t="s">
        <v>2075</v>
      </c>
      <c r="D44" s="260">
        <v>173.67</v>
      </c>
      <c r="E44" s="260"/>
      <c r="F44" s="260"/>
      <c r="G44" s="240">
        <v>930.1</v>
      </c>
    </row>
    <row r="45" spans="1:7">
      <c r="A45" s="26">
        <v>31</v>
      </c>
      <c r="B45" s="240" t="s">
        <v>744</v>
      </c>
      <c r="C45" s="240" t="s">
        <v>2057</v>
      </c>
      <c r="D45" s="260">
        <v>72</v>
      </c>
      <c r="E45" s="260"/>
      <c r="F45" s="260"/>
      <c r="G45" s="240">
        <v>930.1</v>
      </c>
    </row>
    <row r="46" spans="1:7">
      <c r="A46" s="26">
        <v>32</v>
      </c>
      <c r="B46" s="240" t="s">
        <v>744</v>
      </c>
      <c r="C46" s="240" t="s">
        <v>2052</v>
      </c>
      <c r="D46" s="260">
        <v>73</v>
      </c>
      <c r="E46" s="260"/>
      <c r="F46" s="260"/>
      <c r="G46" s="240">
        <v>930.1</v>
      </c>
    </row>
    <row r="47" spans="1:7">
      <c r="A47" s="26">
        <v>33</v>
      </c>
      <c r="B47" s="240" t="s">
        <v>744</v>
      </c>
      <c r="C47" s="240" t="s">
        <v>2053</v>
      </c>
      <c r="D47" s="260">
        <v>73</v>
      </c>
      <c r="E47" s="260"/>
      <c r="F47" s="260"/>
      <c r="G47" s="240">
        <v>930.1</v>
      </c>
    </row>
    <row r="48" spans="1:7">
      <c r="A48" s="26">
        <v>34</v>
      </c>
      <c r="B48" s="240" t="s">
        <v>2054</v>
      </c>
      <c r="C48" s="240" t="s">
        <v>2055</v>
      </c>
      <c r="D48" s="260">
        <v>125</v>
      </c>
      <c r="E48" s="260"/>
      <c r="F48" s="260"/>
      <c r="G48" s="240">
        <v>930.1</v>
      </c>
    </row>
    <row r="49" spans="1:7">
      <c r="A49" s="26">
        <v>35</v>
      </c>
      <c r="B49" s="240" t="s">
        <v>744</v>
      </c>
      <c r="C49" s="240" t="s">
        <v>2056</v>
      </c>
      <c r="D49" s="260">
        <v>73</v>
      </c>
      <c r="E49" s="260"/>
      <c r="F49" s="260"/>
      <c r="G49" s="240">
        <v>930.1</v>
      </c>
    </row>
    <row r="50" spans="1:7">
      <c r="A50" s="26">
        <v>36</v>
      </c>
      <c r="B50" s="240" t="s">
        <v>744</v>
      </c>
      <c r="C50" s="240" t="s">
        <v>2057</v>
      </c>
      <c r="D50" s="260">
        <v>73</v>
      </c>
      <c r="E50" s="260"/>
      <c r="F50" s="260"/>
      <c r="G50" s="240">
        <v>930.1</v>
      </c>
    </row>
    <row r="51" spans="1:7">
      <c r="A51" s="26">
        <v>37</v>
      </c>
      <c r="B51" s="240" t="s">
        <v>744</v>
      </c>
      <c r="C51" s="240" t="s">
        <v>2057</v>
      </c>
      <c r="D51" s="260">
        <v>73</v>
      </c>
      <c r="E51" s="260"/>
      <c r="F51" s="260"/>
      <c r="G51" s="240">
        <v>930.1</v>
      </c>
    </row>
    <row r="52" spans="1:7">
      <c r="A52" s="26">
        <v>38</v>
      </c>
      <c r="B52" s="240" t="s">
        <v>2076</v>
      </c>
      <c r="C52" s="240" t="s">
        <v>2077</v>
      </c>
      <c r="D52" s="260">
        <v>74.5</v>
      </c>
      <c r="E52" s="260">
        <f>+D52*'State Allocation Formulas'!$C$21</f>
        <v>56.001650000000005</v>
      </c>
      <c r="F52" s="260"/>
      <c r="G52" s="240">
        <v>930.1</v>
      </c>
    </row>
    <row r="53" spans="1:7">
      <c r="A53" s="26">
        <v>39</v>
      </c>
      <c r="B53" s="240" t="s">
        <v>2078</v>
      </c>
      <c r="C53" s="240" t="s">
        <v>2079</v>
      </c>
      <c r="D53" s="260">
        <v>149</v>
      </c>
      <c r="E53" s="260">
        <f>+D53*'State Allocation Formulas'!$C$21</f>
        <v>112.00330000000001</v>
      </c>
      <c r="F53" s="260"/>
      <c r="G53" s="240">
        <v>930.1</v>
      </c>
    </row>
    <row r="54" spans="1:7">
      <c r="A54" s="26">
        <v>40</v>
      </c>
      <c r="B54" s="240" t="s">
        <v>2078</v>
      </c>
      <c r="C54" s="240" t="s">
        <v>2080</v>
      </c>
      <c r="D54" s="260">
        <v>745</v>
      </c>
      <c r="E54" s="260">
        <f>+D54*'State Allocation Formulas'!$C$21</f>
        <v>560.01650000000006</v>
      </c>
      <c r="F54" s="260"/>
      <c r="G54" s="240">
        <v>930.1</v>
      </c>
    </row>
    <row r="55" spans="1:7">
      <c r="A55" s="26">
        <v>41</v>
      </c>
      <c r="B55" s="240" t="s">
        <v>2078</v>
      </c>
      <c r="C55" s="240" t="s">
        <v>2081</v>
      </c>
      <c r="D55" s="260">
        <v>149</v>
      </c>
      <c r="E55" s="260">
        <f>+D55*'State Allocation Formulas'!$C$21</f>
        <v>112.00330000000001</v>
      </c>
      <c r="F55" s="260"/>
      <c r="G55" s="240">
        <v>930.1</v>
      </c>
    </row>
    <row r="56" spans="1:7">
      <c r="A56" s="26">
        <v>42</v>
      </c>
      <c r="B56" s="240" t="s">
        <v>2078</v>
      </c>
      <c r="C56" s="240" t="s">
        <v>2082</v>
      </c>
      <c r="D56" s="260">
        <v>44.7</v>
      </c>
      <c r="E56" s="260">
        <f>+D56*'State Allocation Formulas'!$C$21</f>
        <v>33.600990000000003</v>
      </c>
      <c r="F56" s="260"/>
      <c r="G56" s="240">
        <v>930.1</v>
      </c>
    </row>
    <row r="57" spans="1:7">
      <c r="A57" s="26">
        <v>43</v>
      </c>
      <c r="B57" s="240" t="s">
        <v>2078</v>
      </c>
      <c r="C57" s="240" t="s">
        <v>2083</v>
      </c>
      <c r="D57" s="260">
        <v>149</v>
      </c>
      <c r="E57" s="260">
        <f>+D57*'State Allocation Formulas'!$C$21</f>
        <v>112.00330000000001</v>
      </c>
      <c r="F57" s="260"/>
      <c r="G57" s="240">
        <v>930.1</v>
      </c>
    </row>
    <row r="58" spans="1:7">
      <c r="A58" s="26">
        <v>44</v>
      </c>
      <c r="B58" s="240" t="s">
        <v>2078</v>
      </c>
      <c r="C58" s="240" t="s">
        <v>2084</v>
      </c>
      <c r="D58" s="260">
        <v>2724.09</v>
      </c>
      <c r="E58" s="260">
        <f>+D58*'State Allocation Formulas'!$C$21</f>
        <v>2047.6984530000002</v>
      </c>
      <c r="F58" s="260"/>
      <c r="G58" s="240">
        <v>930.1</v>
      </c>
    </row>
    <row r="59" spans="1:7">
      <c r="A59" s="26">
        <v>45</v>
      </c>
      <c r="B59" s="240" t="s">
        <v>2078</v>
      </c>
      <c r="C59" s="240" t="s">
        <v>2085</v>
      </c>
      <c r="D59" s="260">
        <v>74.5</v>
      </c>
      <c r="E59" s="260">
        <f>+D59*'State Allocation Formulas'!$C$21</f>
        <v>56.001650000000005</v>
      </c>
      <c r="F59" s="260"/>
      <c r="G59" s="240">
        <v>930.1</v>
      </c>
    </row>
    <row r="60" spans="1:7">
      <c r="A60" s="26">
        <v>46</v>
      </c>
      <c r="B60" s="240" t="s">
        <v>2078</v>
      </c>
      <c r="C60" s="240" t="s">
        <v>2085</v>
      </c>
      <c r="D60" s="260">
        <v>74.5</v>
      </c>
      <c r="E60" s="260">
        <f>+D60*'State Allocation Formulas'!$C$21</f>
        <v>56.001650000000005</v>
      </c>
      <c r="F60" s="260"/>
      <c r="G60" s="240">
        <v>930.1</v>
      </c>
    </row>
    <row r="61" spans="1:7">
      <c r="A61" s="26">
        <v>47</v>
      </c>
      <c r="B61" s="240" t="s">
        <v>2078</v>
      </c>
      <c r="C61" s="240" t="s">
        <v>2085</v>
      </c>
      <c r="D61" s="260">
        <v>74.5</v>
      </c>
      <c r="E61" s="260">
        <f>+D61*'State Allocation Formulas'!$C$21</f>
        <v>56.001650000000005</v>
      </c>
      <c r="F61" s="260"/>
      <c r="G61" s="240">
        <v>930.1</v>
      </c>
    </row>
    <row r="62" spans="1:7">
      <c r="A62" s="26">
        <v>48</v>
      </c>
      <c r="B62" s="240" t="s">
        <v>2078</v>
      </c>
      <c r="C62" s="240" t="s">
        <v>2085</v>
      </c>
      <c r="D62" s="260">
        <v>149</v>
      </c>
      <c r="E62" s="260">
        <f>+D62*'State Allocation Formulas'!$C$21</f>
        <v>112.00330000000001</v>
      </c>
      <c r="F62" s="260"/>
      <c r="G62" s="240">
        <v>930.1</v>
      </c>
    </row>
    <row r="63" spans="1:7">
      <c r="A63" s="26">
        <v>49</v>
      </c>
      <c r="B63" s="240" t="s">
        <v>2078</v>
      </c>
      <c r="C63" s="240" t="s">
        <v>2086</v>
      </c>
      <c r="D63" s="260">
        <v>36.5</v>
      </c>
      <c r="E63" s="260">
        <f>+D63*'State Allocation Formulas'!$C$21</f>
        <v>27.437050000000003</v>
      </c>
      <c r="F63" s="260"/>
      <c r="G63" s="240">
        <v>930.1</v>
      </c>
    </row>
    <row r="64" spans="1:7">
      <c r="A64" s="26">
        <v>50</v>
      </c>
      <c r="B64" s="240" t="s">
        <v>2078</v>
      </c>
      <c r="C64" s="240" t="s">
        <v>2087</v>
      </c>
      <c r="D64" s="260">
        <v>219</v>
      </c>
      <c r="E64" s="260">
        <f>+D64*'State Allocation Formulas'!$C$21</f>
        <v>164.6223</v>
      </c>
      <c r="F64" s="260"/>
      <c r="G64" s="240">
        <v>930.1</v>
      </c>
    </row>
    <row r="65" spans="1:7">
      <c r="A65" s="26">
        <v>51</v>
      </c>
      <c r="B65" s="240" t="s">
        <v>2088</v>
      </c>
      <c r="C65" s="240" t="s">
        <v>2089</v>
      </c>
      <c r="D65" s="260">
        <v>148.26</v>
      </c>
      <c r="E65" s="260">
        <f>+D65*'State Allocation Formulas'!$C$21</f>
        <v>111.447042</v>
      </c>
      <c r="F65" s="260"/>
      <c r="G65" s="240">
        <v>930.1</v>
      </c>
    </row>
    <row r="66" spans="1:7">
      <c r="A66" s="26">
        <v>52</v>
      </c>
      <c r="B66" s="240" t="s">
        <v>2090</v>
      </c>
      <c r="C66" s="240" t="s">
        <v>2091</v>
      </c>
      <c r="D66" s="260">
        <v>298</v>
      </c>
      <c r="E66" s="260">
        <f>+D66*'State Allocation Formulas'!$C$21</f>
        <v>224.00660000000002</v>
      </c>
      <c r="F66" s="260"/>
      <c r="G66" s="240">
        <v>930.1</v>
      </c>
    </row>
    <row r="67" spans="1:7">
      <c r="A67" s="26">
        <v>53</v>
      </c>
      <c r="B67" s="240" t="s">
        <v>2092</v>
      </c>
      <c r="C67" s="240" t="s">
        <v>2093</v>
      </c>
      <c r="D67" s="260">
        <v>334.14</v>
      </c>
      <c r="E67" s="260">
        <f>+D67*'State Allocation Formulas'!$C$21</f>
        <v>251.17303799999999</v>
      </c>
      <c r="F67" s="260"/>
      <c r="G67" s="240">
        <v>930.1</v>
      </c>
    </row>
    <row r="68" spans="1:7">
      <c r="A68" s="26">
        <v>54</v>
      </c>
      <c r="B68" s="240" t="s">
        <v>2094</v>
      </c>
      <c r="C68" s="240" t="s">
        <v>2095</v>
      </c>
      <c r="D68" s="260">
        <v>35.020000000000003</v>
      </c>
      <c r="E68" s="260">
        <f>+D68*'State Allocation Formulas'!$C$21</f>
        <v>26.324534000000003</v>
      </c>
      <c r="F68" s="260"/>
      <c r="G68" s="240">
        <v>930.1</v>
      </c>
    </row>
    <row r="69" spans="1:7">
      <c r="A69" s="26">
        <v>55</v>
      </c>
      <c r="B69" s="240" t="s">
        <v>2096</v>
      </c>
      <c r="C69" s="240" t="s">
        <v>2097</v>
      </c>
      <c r="D69" s="260">
        <v>97.59</v>
      </c>
      <c r="E69" s="260">
        <f>+D69*'State Allocation Formulas'!$C$21</f>
        <v>73.35840300000001</v>
      </c>
      <c r="F69" s="260"/>
      <c r="G69" s="240">
        <v>930.1</v>
      </c>
    </row>
    <row r="70" spans="1:7">
      <c r="A70" s="26">
        <v>56</v>
      </c>
      <c r="B70" s="240" t="s">
        <v>2098</v>
      </c>
      <c r="C70" s="240" t="s">
        <v>2099</v>
      </c>
      <c r="D70" s="260">
        <v>47.68</v>
      </c>
      <c r="E70" s="260">
        <f>+D70*'State Allocation Formulas'!$C$21</f>
        <v>35.841056000000002</v>
      </c>
      <c r="F70" s="260"/>
      <c r="G70" s="240">
        <v>930.1</v>
      </c>
    </row>
    <row r="71" spans="1:7">
      <c r="A71" s="26">
        <v>57</v>
      </c>
      <c r="B71" s="240" t="s">
        <v>2100</v>
      </c>
      <c r="C71" s="240" t="s">
        <v>2101</v>
      </c>
      <c r="D71" s="260">
        <v>331.09</v>
      </c>
      <c r="E71" s="260">
        <f>+D71*'State Allocation Formulas'!$C$21</f>
        <v>248.88035299999999</v>
      </c>
      <c r="F71" s="260"/>
      <c r="G71" s="240">
        <v>930.1</v>
      </c>
    </row>
    <row r="72" spans="1:7">
      <c r="A72" s="26">
        <v>58</v>
      </c>
      <c r="B72" s="240" t="s">
        <v>2100</v>
      </c>
      <c r="C72" s="240" t="s">
        <v>2101</v>
      </c>
      <c r="D72" s="260">
        <v>165.55</v>
      </c>
      <c r="E72" s="260">
        <f>+D72*'State Allocation Formulas'!$C$21</f>
        <v>124.44393500000001</v>
      </c>
      <c r="F72" s="260"/>
      <c r="G72" s="240">
        <v>930.1</v>
      </c>
    </row>
    <row r="73" spans="1:7">
      <c r="A73" s="26">
        <v>59</v>
      </c>
      <c r="B73" s="240" t="s">
        <v>2102</v>
      </c>
      <c r="C73" s="240" t="s">
        <v>2097</v>
      </c>
      <c r="D73" s="260">
        <v>351.5</v>
      </c>
      <c r="E73" s="260">
        <f>+D73*'State Allocation Formulas'!$C$21</f>
        <v>264.22255000000001</v>
      </c>
      <c r="F73" s="260"/>
      <c r="G73" s="240">
        <v>930.1</v>
      </c>
    </row>
    <row r="74" spans="1:7">
      <c r="A74" s="26">
        <v>60</v>
      </c>
      <c r="B74" s="240" t="s">
        <v>2103</v>
      </c>
      <c r="C74" s="240" t="s">
        <v>2104</v>
      </c>
      <c r="D74" s="260">
        <v>89.4</v>
      </c>
      <c r="E74" s="260">
        <f>+D74*'State Allocation Formulas'!$C$21</f>
        <v>67.201980000000006</v>
      </c>
      <c r="F74" s="260"/>
      <c r="G74" s="240">
        <v>930.1</v>
      </c>
    </row>
    <row r="75" spans="1:7">
      <c r="A75" s="26">
        <v>61</v>
      </c>
      <c r="B75" s="240" t="s">
        <v>2105</v>
      </c>
      <c r="C75" s="240" t="s">
        <v>2106</v>
      </c>
      <c r="D75" s="260">
        <v>640.70000000000005</v>
      </c>
      <c r="E75" s="260">
        <f>+D75*'State Allocation Formulas'!$C$21</f>
        <v>481.61419000000006</v>
      </c>
      <c r="F75" s="260"/>
      <c r="G75" s="240">
        <v>930.1</v>
      </c>
    </row>
    <row r="76" spans="1:7">
      <c r="A76" s="26">
        <v>62</v>
      </c>
      <c r="B76" s="240" t="s">
        <v>2107</v>
      </c>
      <c r="C76" s="240" t="s">
        <v>2099</v>
      </c>
      <c r="D76" s="260">
        <v>47.68</v>
      </c>
      <c r="E76" s="260">
        <f>+D76*'State Allocation Formulas'!$C$21</f>
        <v>35.841056000000002</v>
      </c>
      <c r="F76" s="260"/>
      <c r="G76" s="240">
        <v>930.1</v>
      </c>
    </row>
    <row r="77" spans="1:7">
      <c r="A77" s="26">
        <v>63</v>
      </c>
      <c r="B77" s="240" t="s">
        <v>2108</v>
      </c>
      <c r="C77" s="240" t="s">
        <v>2109</v>
      </c>
      <c r="D77" s="260">
        <v>36.5</v>
      </c>
      <c r="E77" s="260">
        <f>+D77*'State Allocation Formulas'!$C$21</f>
        <v>27.437050000000003</v>
      </c>
      <c r="F77" s="260"/>
      <c r="G77" s="240">
        <v>930.1</v>
      </c>
    </row>
    <row r="78" spans="1:7">
      <c r="A78" s="26">
        <v>64</v>
      </c>
      <c r="B78" s="240" t="s">
        <v>2110</v>
      </c>
      <c r="C78" s="240" t="s">
        <v>2091</v>
      </c>
      <c r="D78" s="260">
        <v>74.5</v>
      </c>
      <c r="E78" s="260">
        <f>+D78*'State Allocation Formulas'!$C$21</f>
        <v>56.001650000000005</v>
      </c>
      <c r="F78" s="260"/>
      <c r="G78" s="240">
        <v>930.1</v>
      </c>
    </row>
    <row r="79" spans="1:7">
      <c r="A79" s="26">
        <v>65</v>
      </c>
      <c r="B79" s="240" t="s">
        <v>2111</v>
      </c>
      <c r="C79" s="240" t="s">
        <v>2112</v>
      </c>
      <c r="D79" s="260">
        <v>71.52</v>
      </c>
      <c r="E79" s="260">
        <f>+D79*'State Allocation Formulas'!$C$21</f>
        <v>53.761583999999999</v>
      </c>
      <c r="F79" s="260"/>
      <c r="G79" s="240">
        <v>930.1</v>
      </c>
    </row>
    <row r="80" spans="1:7">
      <c r="A80" s="26">
        <v>66</v>
      </c>
      <c r="B80" s="240" t="s">
        <v>2113</v>
      </c>
      <c r="C80" s="240" t="s">
        <v>2114</v>
      </c>
      <c r="D80" s="260">
        <v>372.5</v>
      </c>
      <c r="E80" s="260">
        <f>+D80*'State Allocation Formulas'!$C$21</f>
        <v>280.00825000000003</v>
      </c>
      <c r="F80" s="260"/>
      <c r="G80" s="240">
        <v>930.1</v>
      </c>
    </row>
    <row r="81" spans="1:7">
      <c r="A81" s="26">
        <v>67</v>
      </c>
      <c r="B81" s="240" t="s">
        <v>2115</v>
      </c>
      <c r="C81" s="240" t="s">
        <v>2101</v>
      </c>
      <c r="D81" s="260">
        <v>324.44</v>
      </c>
      <c r="E81" s="260">
        <f>+D81*'State Allocation Formulas'!$C$21</f>
        <v>243.88154800000001</v>
      </c>
      <c r="F81" s="260"/>
      <c r="G81" s="240">
        <v>930.1</v>
      </c>
    </row>
    <row r="82" spans="1:7">
      <c r="A82" s="26">
        <v>68</v>
      </c>
      <c r="B82" s="240" t="s">
        <v>2115</v>
      </c>
      <c r="C82" s="240" t="s">
        <v>2101</v>
      </c>
      <c r="D82" s="260">
        <v>324.44</v>
      </c>
      <c r="E82" s="260">
        <f>+D82*'State Allocation Formulas'!$C$21</f>
        <v>243.88154800000001</v>
      </c>
      <c r="F82" s="260"/>
      <c r="G82" s="240">
        <v>930.1</v>
      </c>
    </row>
    <row r="83" spans="1:7">
      <c r="A83" s="26">
        <v>69</v>
      </c>
      <c r="B83" s="240" t="s">
        <v>2115</v>
      </c>
      <c r="C83" s="240" t="s">
        <v>2101</v>
      </c>
      <c r="D83" s="260">
        <v>324.44</v>
      </c>
      <c r="E83" s="260">
        <f>+D83*'State Allocation Formulas'!$C$21</f>
        <v>243.88154800000001</v>
      </c>
      <c r="F83" s="260"/>
      <c r="G83" s="240">
        <v>930.1</v>
      </c>
    </row>
    <row r="84" spans="1:7">
      <c r="A84" s="26">
        <v>70</v>
      </c>
      <c r="B84" s="240" t="s">
        <v>2115</v>
      </c>
      <c r="C84" s="240" t="s">
        <v>2101</v>
      </c>
      <c r="D84" s="260">
        <v>165.55</v>
      </c>
      <c r="E84" s="260">
        <f>+D84*'State Allocation Formulas'!$C$21</f>
        <v>124.44393500000001</v>
      </c>
      <c r="F84" s="260"/>
      <c r="G84" s="240">
        <v>930.1</v>
      </c>
    </row>
    <row r="85" spans="1:7">
      <c r="A85" s="26">
        <v>71</v>
      </c>
      <c r="B85" s="240" t="s">
        <v>2115</v>
      </c>
      <c r="C85" s="240" t="s">
        <v>2101</v>
      </c>
      <c r="D85" s="260">
        <v>165.56</v>
      </c>
      <c r="E85" s="260">
        <f>+D85*'State Allocation Formulas'!$C$21</f>
        <v>124.451452</v>
      </c>
      <c r="F85" s="260"/>
      <c r="G85" s="240">
        <v>930.1</v>
      </c>
    </row>
    <row r="86" spans="1:7">
      <c r="A86" s="26">
        <v>72</v>
      </c>
      <c r="B86" s="240" t="s">
        <v>2115</v>
      </c>
      <c r="C86" s="240" t="s">
        <v>2101</v>
      </c>
      <c r="D86" s="260">
        <v>632.41999999999996</v>
      </c>
      <c r="E86" s="260">
        <f>+D86*'State Allocation Formulas'!$C$21</f>
        <v>475.39011399999998</v>
      </c>
      <c r="F86" s="260"/>
      <c r="G86" s="240">
        <v>930.1</v>
      </c>
    </row>
    <row r="87" spans="1:7">
      <c r="A87" s="26">
        <v>73</v>
      </c>
      <c r="B87" s="240" t="s">
        <v>2116</v>
      </c>
      <c r="C87" s="240" t="s">
        <v>2117</v>
      </c>
      <c r="D87" s="260">
        <v>111.75</v>
      </c>
      <c r="E87" s="260">
        <f>+D87*'State Allocation Formulas'!$C$21</f>
        <v>84.002475000000004</v>
      </c>
      <c r="F87" s="260"/>
      <c r="G87" s="240">
        <v>930.1</v>
      </c>
    </row>
    <row r="88" spans="1:7">
      <c r="A88" s="26">
        <v>74</v>
      </c>
      <c r="B88" s="240" t="s">
        <v>2118</v>
      </c>
      <c r="C88" s="240" t="s">
        <v>2119</v>
      </c>
      <c r="D88" s="260">
        <v>745</v>
      </c>
      <c r="E88" s="260">
        <f>+D88*'State Allocation Formulas'!$C$21</f>
        <v>560.01650000000006</v>
      </c>
      <c r="F88" s="260"/>
      <c r="G88" s="240">
        <v>930.1</v>
      </c>
    </row>
    <row r="89" spans="1:7">
      <c r="A89" s="26">
        <v>75</v>
      </c>
      <c r="B89" s="240" t="s">
        <v>2120</v>
      </c>
      <c r="C89" s="240" t="s">
        <v>2121</v>
      </c>
      <c r="D89" s="260">
        <v>29.91</v>
      </c>
      <c r="E89" s="260">
        <f>+D89*'State Allocation Formulas'!$C$21</f>
        <v>22.483347000000002</v>
      </c>
      <c r="F89" s="260"/>
      <c r="G89" s="240">
        <v>930.1</v>
      </c>
    </row>
    <row r="90" spans="1:7">
      <c r="A90" s="26">
        <v>76</v>
      </c>
      <c r="B90" s="240" t="s">
        <v>2122</v>
      </c>
      <c r="C90" s="240" t="s">
        <v>2123</v>
      </c>
      <c r="D90" s="260">
        <v>21.83</v>
      </c>
      <c r="E90" s="260">
        <f>+D90*'State Allocation Formulas'!$C$21</f>
        <v>16.409610999999998</v>
      </c>
      <c r="F90" s="260"/>
      <c r="G90" s="240">
        <v>930.1</v>
      </c>
    </row>
    <row r="91" spans="1:7">
      <c r="A91" s="26">
        <v>77</v>
      </c>
      <c r="B91" s="240" t="s">
        <v>2124</v>
      </c>
      <c r="C91" s="240" t="s">
        <v>2099</v>
      </c>
      <c r="D91" s="260">
        <v>47.68</v>
      </c>
      <c r="E91" s="260">
        <f>+D91*'State Allocation Formulas'!$C$21</f>
        <v>35.841056000000002</v>
      </c>
      <c r="F91" s="260"/>
      <c r="G91" s="240">
        <v>930.1</v>
      </c>
    </row>
    <row r="92" spans="1:7">
      <c r="A92" s="26">
        <v>78</v>
      </c>
      <c r="B92" s="240" t="s">
        <v>2125</v>
      </c>
      <c r="C92" s="240" t="s">
        <v>2126</v>
      </c>
      <c r="D92" s="260">
        <v>372.5</v>
      </c>
      <c r="E92" s="260">
        <f>+D92*'State Allocation Formulas'!$C$21</f>
        <v>280.00825000000003</v>
      </c>
      <c r="F92" s="260"/>
      <c r="G92" s="240">
        <v>930.1</v>
      </c>
    </row>
    <row r="93" spans="1:7">
      <c r="A93" s="26">
        <v>79</v>
      </c>
      <c r="B93" s="240" t="s">
        <v>2127</v>
      </c>
      <c r="C93" s="240" t="s">
        <v>2128</v>
      </c>
      <c r="D93" s="260">
        <v>149</v>
      </c>
      <c r="E93" s="260">
        <f>+D93*'State Allocation Formulas'!$C$21</f>
        <v>112.00330000000001</v>
      </c>
      <c r="F93" s="260"/>
      <c r="G93" s="240">
        <v>930.1</v>
      </c>
    </row>
    <row r="94" spans="1:7">
      <c r="A94" s="26">
        <v>80</v>
      </c>
      <c r="B94" s="240" t="s">
        <v>2129</v>
      </c>
      <c r="C94" s="240" t="s">
        <v>2130</v>
      </c>
      <c r="D94" s="260">
        <v>149</v>
      </c>
      <c r="E94" s="260">
        <f>+D94*'State Allocation Formulas'!$C$21</f>
        <v>112.00330000000001</v>
      </c>
      <c r="F94" s="260"/>
      <c r="G94" s="240">
        <v>930.1</v>
      </c>
    </row>
    <row r="95" spans="1:7">
      <c r="A95" s="26">
        <v>81</v>
      </c>
      <c r="B95" s="240" t="s">
        <v>2131</v>
      </c>
      <c r="C95" s="240" t="s">
        <v>2089</v>
      </c>
      <c r="D95" s="260">
        <v>161.66999999999999</v>
      </c>
      <c r="E95" s="260">
        <f>+D95*'State Allocation Formulas'!$C$21</f>
        <v>121.527339</v>
      </c>
      <c r="F95" s="260"/>
      <c r="G95" s="240">
        <v>930.1</v>
      </c>
    </row>
    <row r="96" spans="1:7">
      <c r="A96" s="26">
        <v>82</v>
      </c>
      <c r="B96" s="240" t="s">
        <v>2132</v>
      </c>
      <c r="C96" s="240" t="s">
        <v>2099</v>
      </c>
      <c r="D96" s="260">
        <v>47.68</v>
      </c>
      <c r="E96" s="260">
        <f>+D96*'State Allocation Formulas'!$C$21</f>
        <v>35.841056000000002</v>
      </c>
      <c r="F96" s="260"/>
      <c r="G96" s="240">
        <v>930.1</v>
      </c>
    </row>
    <row r="97" spans="1:7">
      <c r="A97" s="26">
        <v>83</v>
      </c>
      <c r="B97" s="240" t="s">
        <v>2132</v>
      </c>
      <c r="C97" s="240" t="s">
        <v>2133</v>
      </c>
      <c r="D97" s="260">
        <v>73</v>
      </c>
      <c r="E97" s="260">
        <f>+D97*'State Allocation Formulas'!$C$21</f>
        <v>54.874100000000006</v>
      </c>
      <c r="F97" s="260"/>
      <c r="G97" s="240">
        <v>930.1</v>
      </c>
    </row>
    <row r="98" spans="1:7">
      <c r="A98" s="26">
        <v>84</v>
      </c>
      <c r="B98" s="240" t="s">
        <v>2132</v>
      </c>
      <c r="C98" s="240" t="s">
        <v>2134</v>
      </c>
      <c r="D98" s="260">
        <v>219</v>
      </c>
      <c r="E98" s="260">
        <f>+D98*'State Allocation Formulas'!$C$21</f>
        <v>164.6223</v>
      </c>
      <c r="F98" s="260"/>
      <c r="G98" s="240">
        <v>930.1</v>
      </c>
    </row>
    <row r="99" spans="1:7">
      <c r="A99" s="26">
        <v>85</v>
      </c>
      <c r="B99" s="240" t="s">
        <v>2135</v>
      </c>
      <c r="C99" s="240" t="s">
        <v>2135</v>
      </c>
      <c r="D99" s="260">
        <v>745</v>
      </c>
      <c r="E99" s="260">
        <f>+D99*'State Allocation Formulas'!$C$21</f>
        <v>560.01650000000006</v>
      </c>
      <c r="F99" s="260"/>
      <c r="G99" s="240">
        <v>930.1</v>
      </c>
    </row>
    <row r="100" spans="1:7">
      <c r="A100" s="26">
        <v>86</v>
      </c>
      <c r="B100" s="240" t="s">
        <v>2136</v>
      </c>
      <c r="C100" s="240" t="s">
        <v>2097</v>
      </c>
      <c r="D100" s="260">
        <v>164.21</v>
      </c>
      <c r="E100" s="260">
        <f>+D100*'State Allocation Formulas'!$C$21</f>
        <v>123.43665700000001</v>
      </c>
      <c r="F100" s="260"/>
      <c r="G100" s="240">
        <v>930.1</v>
      </c>
    </row>
    <row r="101" spans="1:7">
      <c r="A101" s="26">
        <v>87</v>
      </c>
      <c r="B101" s="240" t="s">
        <v>2137</v>
      </c>
      <c r="C101" s="240" t="s">
        <v>2097</v>
      </c>
      <c r="D101" s="260">
        <v>250.59</v>
      </c>
      <c r="E101" s="260">
        <f>+D101*'State Allocation Formulas'!$C$21</f>
        <v>188.368503</v>
      </c>
      <c r="F101" s="260"/>
      <c r="G101" s="240">
        <v>930.1</v>
      </c>
    </row>
    <row r="102" spans="1:7">
      <c r="A102" s="26">
        <v>88</v>
      </c>
      <c r="B102" s="240" t="s">
        <v>2138</v>
      </c>
      <c r="C102" s="240" t="s">
        <v>2097</v>
      </c>
      <c r="D102" s="260">
        <v>348.74</v>
      </c>
      <c r="E102" s="260">
        <f>+D102*'State Allocation Formulas'!$C$21</f>
        <v>262.14785800000004</v>
      </c>
      <c r="F102" s="260"/>
      <c r="G102" s="240">
        <v>930.1</v>
      </c>
    </row>
    <row r="103" spans="1:7">
      <c r="A103" s="26">
        <v>89</v>
      </c>
      <c r="B103" s="240" t="s">
        <v>2139</v>
      </c>
      <c r="C103" s="240" t="s">
        <v>2140</v>
      </c>
      <c r="D103" s="260">
        <v>37.25</v>
      </c>
      <c r="E103" s="260">
        <f>+D103*'State Allocation Formulas'!$C$21</f>
        <v>28.000825000000003</v>
      </c>
      <c r="F103" s="260"/>
      <c r="G103" s="240">
        <v>930.1</v>
      </c>
    </row>
    <row r="104" spans="1:7">
      <c r="A104" s="26">
        <v>90</v>
      </c>
      <c r="B104" s="240" t="s">
        <v>2141</v>
      </c>
      <c r="C104" s="240" t="s">
        <v>2101</v>
      </c>
      <c r="D104" s="260">
        <v>324.44</v>
      </c>
      <c r="E104" s="260">
        <f>+D104*'State Allocation Formulas'!$C$21</f>
        <v>243.88154800000001</v>
      </c>
      <c r="F104" s="260"/>
      <c r="G104" s="240">
        <v>930.1</v>
      </c>
    </row>
    <row r="105" spans="1:7">
      <c r="A105" s="26">
        <v>91</v>
      </c>
      <c r="B105" s="240" t="s">
        <v>2142</v>
      </c>
      <c r="C105" s="240" t="s">
        <v>2143</v>
      </c>
      <c r="D105" s="260">
        <v>43.8</v>
      </c>
      <c r="E105" s="260">
        <f>+D105*'State Allocation Formulas'!$C$21</f>
        <v>32.924459999999996</v>
      </c>
      <c r="F105" s="260"/>
      <c r="G105" s="240">
        <v>930.1</v>
      </c>
    </row>
    <row r="106" spans="1:7">
      <c r="A106" s="26">
        <v>92</v>
      </c>
      <c r="B106" s="240" t="s">
        <v>2144</v>
      </c>
      <c r="C106" s="240" t="s">
        <v>2145</v>
      </c>
      <c r="D106" s="260">
        <v>36.5</v>
      </c>
      <c r="E106" s="260">
        <f>+D106*'State Allocation Formulas'!$C$21</f>
        <v>27.437050000000003</v>
      </c>
      <c r="F106" s="260"/>
      <c r="G106" s="240">
        <v>930.1</v>
      </c>
    </row>
    <row r="107" spans="1:7">
      <c r="A107" s="26">
        <v>93</v>
      </c>
      <c r="B107" s="240" t="s">
        <v>2146</v>
      </c>
      <c r="C107" s="240" t="s">
        <v>2147</v>
      </c>
      <c r="D107" s="260">
        <v>365</v>
      </c>
      <c r="E107" s="260">
        <f>+D107*'State Allocation Formulas'!$C$21</f>
        <v>274.37049999999999</v>
      </c>
      <c r="F107" s="260"/>
      <c r="G107" s="240">
        <v>930.1</v>
      </c>
    </row>
    <row r="108" spans="1:7">
      <c r="A108" s="26">
        <v>94</v>
      </c>
      <c r="B108" s="240" t="s">
        <v>2148</v>
      </c>
      <c r="C108" s="240" t="s">
        <v>2149</v>
      </c>
      <c r="D108" s="260">
        <v>197.1</v>
      </c>
      <c r="E108" s="260">
        <f>+D108*'State Allocation Formulas'!$C$21</f>
        <v>148.16006999999999</v>
      </c>
      <c r="F108" s="260"/>
      <c r="G108" s="240">
        <v>930.1</v>
      </c>
    </row>
    <row r="109" spans="1:7">
      <c r="A109" s="26">
        <v>95</v>
      </c>
      <c r="B109" s="240" t="s">
        <v>2150</v>
      </c>
      <c r="C109" s="240" t="s">
        <v>2097</v>
      </c>
      <c r="D109" s="260">
        <v>328.06</v>
      </c>
      <c r="E109" s="260">
        <f>+D109*'State Allocation Formulas'!$C$21</f>
        <v>246.60270200000002</v>
      </c>
      <c r="F109" s="260"/>
      <c r="G109" s="240">
        <v>930.1</v>
      </c>
    </row>
    <row r="110" spans="1:7">
      <c r="A110" s="26">
        <v>96</v>
      </c>
      <c r="B110" s="240" t="s">
        <v>2151</v>
      </c>
      <c r="C110" s="240" t="s">
        <v>2097</v>
      </c>
      <c r="D110" s="260">
        <v>639.72</v>
      </c>
      <c r="E110" s="260">
        <f>+D110*'State Allocation Formulas'!$C$21</f>
        <v>480.87752400000005</v>
      </c>
      <c r="F110" s="260"/>
      <c r="G110" s="240">
        <v>930.1</v>
      </c>
    </row>
    <row r="111" spans="1:7">
      <c r="A111" s="26">
        <v>97</v>
      </c>
      <c r="B111" s="240" t="s">
        <v>2152</v>
      </c>
      <c r="C111" s="240" t="s">
        <v>2097</v>
      </c>
      <c r="D111" s="260">
        <v>718.61</v>
      </c>
      <c r="E111" s="260">
        <f>+D111*'State Allocation Formulas'!$C$21</f>
        <v>540.17913700000008</v>
      </c>
      <c r="F111" s="260"/>
      <c r="G111" s="240">
        <v>930.1</v>
      </c>
    </row>
    <row r="112" spans="1:7">
      <c r="A112" s="26">
        <v>98</v>
      </c>
      <c r="B112" s="240" t="s">
        <v>2153</v>
      </c>
      <c r="C112" s="240" t="s">
        <v>2117</v>
      </c>
      <c r="D112" s="260">
        <v>292</v>
      </c>
      <c r="E112" s="260">
        <f>+D112*'State Allocation Formulas'!$C$21</f>
        <v>219.49640000000002</v>
      </c>
      <c r="F112" s="260"/>
      <c r="G112" s="240">
        <v>930.1</v>
      </c>
    </row>
    <row r="113" spans="1:7">
      <c r="A113" s="26">
        <v>99</v>
      </c>
      <c r="B113" s="240" t="s">
        <v>2154</v>
      </c>
      <c r="C113" s="240" t="s">
        <v>2155</v>
      </c>
      <c r="D113" s="260">
        <v>73</v>
      </c>
      <c r="E113" s="260">
        <f>+D113*'State Allocation Formulas'!$C$21</f>
        <v>54.874100000000006</v>
      </c>
      <c r="F113" s="260"/>
      <c r="G113" s="240">
        <v>930.1</v>
      </c>
    </row>
    <row r="114" spans="1:7">
      <c r="A114" s="26">
        <v>100</v>
      </c>
      <c r="B114" s="240" t="s">
        <v>2156</v>
      </c>
      <c r="C114" s="240" t="s">
        <v>2157</v>
      </c>
      <c r="D114" s="260">
        <v>2336</v>
      </c>
      <c r="E114" s="260">
        <f>+D114*'State Allocation Formulas'!$C$21</f>
        <v>1755.9712000000002</v>
      </c>
      <c r="F114" s="260"/>
      <c r="G114" s="240">
        <v>930.1</v>
      </c>
    </row>
    <row r="115" spans="1:7">
      <c r="A115" s="26">
        <v>101</v>
      </c>
      <c r="B115" s="240" t="s">
        <v>2158</v>
      </c>
      <c r="C115" s="240" t="s">
        <v>2159</v>
      </c>
      <c r="D115" s="260">
        <v>0</v>
      </c>
      <c r="E115" s="260">
        <f>+D115*'State Allocation Formulas'!$C$21</f>
        <v>0</v>
      </c>
      <c r="F115" s="260"/>
      <c r="G115" s="240">
        <v>930.1</v>
      </c>
    </row>
    <row r="116" spans="1:7">
      <c r="A116" s="26">
        <v>102</v>
      </c>
      <c r="B116" s="240" t="s">
        <v>2160</v>
      </c>
      <c r="C116" s="240" t="s">
        <v>2117</v>
      </c>
      <c r="D116" s="260">
        <v>547.5</v>
      </c>
      <c r="E116" s="260">
        <f>+D116*'State Allocation Formulas'!$C$21</f>
        <v>411.55575000000005</v>
      </c>
      <c r="F116" s="260"/>
      <c r="G116" s="240">
        <v>930.1</v>
      </c>
    </row>
    <row r="117" spans="1:7">
      <c r="A117" s="26">
        <v>103</v>
      </c>
      <c r="B117" s="240" t="s">
        <v>2160</v>
      </c>
      <c r="C117" s="240" t="s">
        <v>2117</v>
      </c>
      <c r="D117" s="260">
        <v>547.5</v>
      </c>
      <c r="E117" s="260">
        <f>+D117*'State Allocation Formulas'!$C$21</f>
        <v>411.55575000000005</v>
      </c>
      <c r="F117" s="260"/>
      <c r="G117" s="240">
        <v>930.1</v>
      </c>
    </row>
    <row r="118" spans="1:7">
      <c r="A118" s="26">
        <v>104</v>
      </c>
      <c r="B118" s="240" t="s">
        <v>2161</v>
      </c>
      <c r="C118" s="240" t="s">
        <v>2162</v>
      </c>
      <c r="D118" s="260">
        <v>-3.49</v>
      </c>
      <c r="E118" s="260">
        <f>+D118*'State Allocation Formulas'!$C$21</f>
        <v>-2.6234330000000003</v>
      </c>
      <c r="F118" s="260"/>
      <c r="G118" s="240">
        <v>930.1</v>
      </c>
    </row>
    <row r="119" spans="1:7">
      <c r="A119" s="26">
        <v>105</v>
      </c>
      <c r="B119" s="240" t="s">
        <v>2163</v>
      </c>
      <c r="C119" s="240" t="s">
        <v>2162</v>
      </c>
      <c r="D119" s="260">
        <v>-4.5999999999999996</v>
      </c>
      <c r="E119" s="260">
        <f>+D119*'State Allocation Formulas'!$C$21</f>
        <v>-3.4578199999999999</v>
      </c>
      <c r="F119" s="260"/>
      <c r="G119" s="240">
        <v>930.1</v>
      </c>
    </row>
    <row r="120" spans="1:7">
      <c r="A120" s="26">
        <v>106</v>
      </c>
      <c r="B120" s="240" t="s">
        <v>2164</v>
      </c>
      <c r="C120" s="240" t="s">
        <v>2157</v>
      </c>
      <c r="D120" s="260">
        <v>95.63</v>
      </c>
      <c r="E120" s="260">
        <f>+D120*'State Allocation Formulas'!$C$21</f>
        <v>71.885070999999996</v>
      </c>
      <c r="F120" s="260"/>
      <c r="G120" s="240">
        <v>930.1</v>
      </c>
    </row>
    <row r="121" spans="1:7">
      <c r="A121" s="26">
        <v>107</v>
      </c>
      <c r="B121" s="240" t="s">
        <v>2165</v>
      </c>
      <c r="C121" s="240" t="s">
        <v>2091</v>
      </c>
      <c r="D121" s="260">
        <v>18.25</v>
      </c>
      <c r="E121" s="260">
        <f>+D121*'State Allocation Formulas'!$C$21</f>
        <v>13.718525000000001</v>
      </c>
      <c r="F121" s="260"/>
      <c r="G121" s="240">
        <v>930.1</v>
      </c>
    </row>
    <row r="122" spans="1:7">
      <c r="A122" s="26">
        <v>108</v>
      </c>
      <c r="B122" s="240" t="s">
        <v>2166</v>
      </c>
      <c r="C122" s="240" t="s">
        <v>2099</v>
      </c>
      <c r="D122" s="260">
        <v>280.32</v>
      </c>
      <c r="E122" s="260">
        <f>+D122*'State Allocation Formulas'!$C$21</f>
        <v>210.716544</v>
      </c>
      <c r="F122" s="260"/>
      <c r="G122" s="240">
        <v>930.1</v>
      </c>
    </row>
    <row r="123" spans="1:7">
      <c r="A123" s="26">
        <v>109</v>
      </c>
      <c r="B123" s="240" t="s">
        <v>2167</v>
      </c>
      <c r="C123" s="240" t="s">
        <v>2168</v>
      </c>
      <c r="D123" s="260">
        <v>37.81</v>
      </c>
      <c r="E123" s="260">
        <f>+D123*'State Allocation Formulas'!$C$21</f>
        <v>28.421777000000002</v>
      </c>
      <c r="F123" s="260"/>
      <c r="G123" s="240">
        <v>930.1</v>
      </c>
    </row>
    <row r="124" spans="1:7">
      <c r="A124" s="26">
        <v>110</v>
      </c>
      <c r="B124" s="240" t="s">
        <v>2169</v>
      </c>
      <c r="C124" s="240" t="s">
        <v>2112</v>
      </c>
      <c r="D124" s="260">
        <v>70.08</v>
      </c>
      <c r="E124" s="260">
        <f>+D124*'State Allocation Formulas'!$C$21</f>
        <v>52.679136</v>
      </c>
      <c r="F124" s="260"/>
      <c r="G124" s="240">
        <v>930.1</v>
      </c>
    </row>
    <row r="125" spans="1:7">
      <c r="A125" s="26">
        <v>111</v>
      </c>
      <c r="B125" s="240" t="s">
        <v>2170</v>
      </c>
      <c r="C125" s="240" t="s">
        <v>2171</v>
      </c>
      <c r="D125" s="260">
        <v>486.62</v>
      </c>
      <c r="E125" s="260">
        <f>+D125*'State Allocation Formulas'!$C$21</f>
        <v>365.79225400000001</v>
      </c>
      <c r="F125" s="260"/>
      <c r="G125" s="240">
        <v>930.1</v>
      </c>
    </row>
    <row r="126" spans="1:7">
      <c r="A126" s="26">
        <v>112</v>
      </c>
      <c r="B126" s="240" t="s">
        <v>2172</v>
      </c>
      <c r="C126" s="240" t="s">
        <v>2173</v>
      </c>
      <c r="D126" s="260">
        <v>36.5</v>
      </c>
      <c r="E126" s="260">
        <f>+D126*'State Allocation Formulas'!$C$21</f>
        <v>27.437050000000003</v>
      </c>
      <c r="F126" s="260"/>
      <c r="G126" s="240">
        <v>930.1</v>
      </c>
    </row>
    <row r="127" spans="1:7">
      <c r="A127" s="26">
        <v>113</v>
      </c>
      <c r="B127" s="240" t="s">
        <v>2174</v>
      </c>
      <c r="C127" s="240" t="s">
        <v>2175</v>
      </c>
      <c r="D127" s="260">
        <v>51.1</v>
      </c>
      <c r="E127" s="260">
        <f>+D127*'State Allocation Formulas'!$C$21</f>
        <v>38.41187</v>
      </c>
      <c r="F127" s="260"/>
      <c r="G127" s="240">
        <v>930.1</v>
      </c>
    </row>
    <row r="128" spans="1:7">
      <c r="A128" s="26">
        <v>114</v>
      </c>
      <c r="B128" s="240" t="s">
        <v>2176</v>
      </c>
      <c r="C128" s="240" t="s">
        <v>2177</v>
      </c>
      <c r="D128" s="260">
        <v>116.8</v>
      </c>
      <c r="E128" s="260">
        <f>+D128*'State Allocation Formulas'!$C$21</f>
        <v>87.798559999999995</v>
      </c>
      <c r="F128" s="260"/>
      <c r="G128" s="240">
        <v>930.1</v>
      </c>
    </row>
    <row r="129" spans="1:7">
      <c r="A129" s="26">
        <v>115</v>
      </c>
      <c r="B129" s="240" t="s">
        <v>2178</v>
      </c>
      <c r="C129" s="240" t="s">
        <v>2179</v>
      </c>
      <c r="D129" s="260">
        <v>146</v>
      </c>
      <c r="E129" s="260">
        <f>+D129*'State Allocation Formulas'!$C$21</f>
        <v>109.74820000000001</v>
      </c>
      <c r="F129" s="260"/>
      <c r="G129" s="240">
        <v>930.1</v>
      </c>
    </row>
    <row r="130" spans="1:7">
      <c r="A130" s="26">
        <v>116</v>
      </c>
      <c r="B130" s="240" t="s">
        <v>2180</v>
      </c>
      <c r="C130" s="240" t="s">
        <v>2181</v>
      </c>
      <c r="D130" s="260">
        <v>43.8</v>
      </c>
      <c r="E130" s="260">
        <f>+D130*'State Allocation Formulas'!$C$21</f>
        <v>32.924459999999996</v>
      </c>
      <c r="F130" s="260"/>
      <c r="G130" s="240">
        <v>930.1</v>
      </c>
    </row>
    <row r="131" spans="1:7">
      <c r="A131" s="26">
        <v>117</v>
      </c>
      <c r="B131" s="240" t="s">
        <v>2182</v>
      </c>
      <c r="C131" s="240" t="s">
        <v>2183</v>
      </c>
      <c r="D131" s="260">
        <v>730</v>
      </c>
      <c r="E131" s="260">
        <f>+D131*'State Allocation Formulas'!$C$21</f>
        <v>548.74099999999999</v>
      </c>
      <c r="F131" s="260"/>
      <c r="G131" s="240">
        <v>930.1</v>
      </c>
    </row>
    <row r="132" spans="1:7">
      <c r="A132" s="26">
        <v>118</v>
      </c>
      <c r="B132" s="240" t="s">
        <v>2184</v>
      </c>
      <c r="C132" s="240" t="s">
        <v>2185</v>
      </c>
      <c r="D132" s="260">
        <v>2.48</v>
      </c>
      <c r="E132" s="260">
        <f>+D132*'State Allocation Formulas'!$C$21</f>
        <v>1.8642160000000001</v>
      </c>
      <c r="F132" s="260"/>
      <c r="G132" s="240">
        <v>930.1</v>
      </c>
    </row>
    <row r="133" spans="1:7">
      <c r="A133" s="26">
        <v>119</v>
      </c>
      <c r="B133" s="240" t="s">
        <v>2184</v>
      </c>
      <c r="C133" s="240" t="s">
        <v>2185</v>
      </c>
      <c r="D133" s="260">
        <v>2.0299999999999998</v>
      </c>
      <c r="E133" s="260">
        <f>+D133*'State Allocation Formulas'!$C$21</f>
        <v>1.5259509999999998</v>
      </c>
      <c r="F133" s="260"/>
      <c r="G133" s="240">
        <v>930.1</v>
      </c>
    </row>
    <row r="134" spans="1:7">
      <c r="A134" s="26">
        <v>120</v>
      </c>
      <c r="B134" s="240" t="s">
        <v>2184</v>
      </c>
      <c r="C134" s="240" t="s">
        <v>2185</v>
      </c>
      <c r="D134" s="260">
        <v>1.87</v>
      </c>
      <c r="E134" s="260">
        <f>+D134*'State Allocation Formulas'!$C$21</f>
        <v>1.4056790000000001</v>
      </c>
      <c r="F134" s="260"/>
      <c r="G134" s="240">
        <v>930.1</v>
      </c>
    </row>
    <row r="135" spans="1:7">
      <c r="A135" s="26">
        <v>121</v>
      </c>
      <c r="B135" s="240" t="s">
        <v>2186</v>
      </c>
      <c r="C135" s="240" t="s">
        <v>2185</v>
      </c>
      <c r="D135" s="260">
        <v>1.97</v>
      </c>
      <c r="E135" s="260">
        <f>+D135*'State Allocation Formulas'!$C$21</f>
        <v>1.4808490000000001</v>
      </c>
      <c r="F135" s="260"/>
      <c r="G135" s="240">
        <v>930.1</v>
      </c>
    </row>
    <row r="136" spans="1:7">
      <c r="A136" s="26">
        <v>122</v>
      </c>
      <c r="B136" s="240" t="s">
        <v>2187</v>
      </c>
      <c r="C136" s="240" t="s">
        <v>2089</v>
      </c>
      <c r="D136" s="260">
        <v>1324.59</v>
      </c>
      <c r="E136" s="260">
        <f>+D136*'State Allocation Formulas'!$C$21</f>
        <v>995.69430299999999</v>
      </c>
      <c r="F136" s="260"/>
      <c r="G136" s="240">
        <v>930.1</v>
      </c>
    </row>
    <row r="137" spans="1:7">
      <c r="A137" s="26">
        <v>123</v>
      </c>
      <c r="B137" s="240" t="s">
        <v>2188</v>
      </c>
      <c r="C137" s="240" t="s">
        <v>2189</v>
      </c>
      <c r="D137" s="260">
        <v>14.6</v>
      </c>
      <c r="E137" s="260">
        <f>+D137*'State Allocation Formulas'!$C$21</f>
        <v>10.974819999999999</v>
      </c>
      <c r="F137" s="260"/>
      <c r="G137" s="240">
        <v>930.1</v>
      </c>
    </row>
    <row r="138" spans="1:7">
      <c r="A138" s="26">
        <v>124</v>
      </c>
      <c r="B138" s="240" t="s">
        <v>2190</v>
      </c>
      <c r="C138" s="240" t="s">
        <v>2191</v>
      </c>
      <c r="D138" s="260">
        <v>16.97</v>
      </c>
      <c r="E138" s="260">
        <f>+D138*'State Allocation Formulas'!$C$21</f>
        <v>12.756349</v>
      </c>
      <c r="F138" s="260"/>
      <c r="G138" s="240">
        <v>930.1</v>
      </c>
    </row>
    <row r="139" spans="1:7">
      <c r="A139" s="26">
        <v>125</v>
      </c>
      <c r="B139" s="240" t="s">
        <v>2190</v>
      </c>
      <c r="C139" s="240" t="s">
        <v>2191</v>
      </c>
      <c r="D139" s="260">
        <v>3.15</v>
      </c>
      <c r="E139" s="260">
        <f>+D139*'State Allocation Formulas'!$C$21</f>
        <v>2.367855</v>
      </c>
      <c r="F139" s="260"/>
      <c r="G139" s="240">
        <v>930.1</v>
      </c>
    </row>
    <row r="140" spans="1:7">
      <c r="A140" s="26">
        <v>126</v>
      </c>
      <c r="B140" s="240" t="s">
        <v>2192</v>
      </c>
      <c r="C140" s="240" t="s">
        <v>2193</v>
      </c>
      <c r="D140" s="260">
        <v>29.2</v>
      </c>
      <c r="E140" s="260">
        <f>+D140*'State Allocation Formulas'!$C$21</f>
        <v>21.949639999999999</v>
      </c>
      <c r="F140" s="260"/>
      <c r="G140" s="240">
        <v>930.1</v>
      </c>
    </row>
    <row r="141" spans="1:7">
      <c r="A141" s="26">
        <v>127</v>
      </c>
      <c r="B141" s="240" t="s">
        <v>2194</v>
      </c>
      <c r="C141" s="240" t="s">
        <v>2195</v>
      </c>
      <c r="D141" s="260">
        <v>245.28</v>
      </c>
      <c r="E141" s="260">
        <f>+D141*'State Allocation Formulas'!$C$21</f>
        <v>184.37697600000001</v>
      </c>
      <c r="F141" s="260"/>
      <c r="G141" s="240">
        <v>930.1</v>
      </c>
    </row>
    <row r="142" spans="1:7">
      <c r="A142" s="26">
        <v>128</v>
      </c>
      <c r="B142" s="240" t="s">
        <v>2196</v>
      </c>
      <c r="C142" s="240" t="s">
        <v>2191</v>
      </c>
      <c r="D142" s="260">
        <v>100.86</v>
      </c>
      <c r="E142" s="260">
        <f>+D142*'State Allocation Formulas'!$C$21</f>
        <v>75.816462000000001</v>
      </c>
      <c r="F142" s="260"/>
      <c r="G142" s="240">
        <v>930.1</v>
      </c>
    </row>
    <row r="143" spans="1:7">
      <c r="A143" s="26">
        <v>129</v>
      </c>
      <c r="B143" s="240" t="s">
        <v>2197</v>
      </c>
      <c r="C143" s="240" t="s">
        <v>2198</v>
      </c>
      <c r="D143" s="260">
        <v>327.04000000000002</v>
      </c>
      <c r="E143" s="260">
        <f>+D143*'State Allocation Formulas'!$C$21</f>
        <v>245.83596800000004</v>
      </c>
      <c r="F143" s="260"/>
      <c r="G143" s="240">
        <v>930.1</v>
      </c>
    </row>
    <row r="144" spans="1:7">
      <c r="A144" s="26">
        <v>130</v>
      </c>
      <c r="B144" s="240" t="s">
        <v>2199</v>
      </c>
      <c r="C144" s="240" t="s">
        <v>2191</v>
      </c>
      <c r="D144" s="260">
        <v>49.46</v>
      </c>
      <c r="E144" s="260">
        <f>+D144*'State Allocation Formulas'!$C$21</f>
        <v>37.179082000000001</v>
      </c>
      <c r="F144" s="260"/>
      <c r="G144" s="240">
        <v>930.1</v>
      </c>
    </row>
    <row r="145" spans="1:7">
      <c r="A145" s="26">
        <v>131</v>
      </c>
      <c r="B145" s="240" t="s">
        <v>2200</v>
      </c>
      <c r="C145" s="240" t="s">
        <v>2201</v>
      </c>
      <c r="D145" s="260">
        <v>146</v>
      </c>
      <c r="E145" s="260">
        <f>+D145*'State Allocation Formulas'!$C$21</f>
        <v>109.74820000000001</v>
      </c>
      <c r="F145" s="260"/>
      <c r="G145" s="240">
        <v>930.1</v>
      </c>
    </row>
    <row r="146" spans="1:7">
      <c r="A146" s="26">
        <v>132</v>
      </c>
      <c r="B146" s="240" t="s">
        <v>2202</v>
      </c>
      <c r="C146" s="240" t="s">
        <v>2203</v>
      </c>
      <c r="D146" s="260">
        <v>730</v>
      </c>
      <c r="E146" s="260">
        <f>+D146*'State Allocation Formulas'!$C$21</f>
        <v>548.74099999999999</v>
      </c>
      <c r="F146" s="260"/>
      <c r="G146" s="240">
        <v>930.1</v>
      </c>
    </row>
    <row r="147" spans="1:7">
      <c r="A147" s="26">
        <v>133</v>
      </c>
      <c r="B147" s="240" t="s">
        <v>2204</v>
      </c>
      <c r="C147" s="240" t="s">
        <v>2205</v>
      </c>
      <c r="D147" s="260">
        <v>378.83</v>
      </c>
      <c r="E147" s="260">
        <f>+D147*'State Allocation Formulas'!$C$21</f>
        <v>284.76651099999998</v>
      </c>
      <c r="F147" s="260"/>
      <c r="G147" s="240">
        <v>930.1</v>
      </c>
    </row>
    <row r="148" spans="1:7">
      <c r="A148" s="26">
        <v>134</v>
      </c>
      <c r="B148" s="240" t="s">
        <v>2206</v>
      </c>
      <c r="C148" s="240" t="s">
        <v>2207</v>
      </c>
      <c r="D148" s="260">
        <v>2920</v>
      </c>
      <c r="E148" s="260">
        <f>+D148*'State Allocation Formulas'!$C$21</f>
        <v>2194.9639999999999</v>
      </c>
      <c r="F148" s="260"/>
      <c r="G148" s="240">
        <v>930.1</v>
      </c>
    </row>
    <row r="149" spans="1:7">
      <c r="A149" s="26">
        <v>135</v>
      </c>
      <c r="B149" s="240" t="s">
        <v>2208</v>
      </c>
      <c r="C149" s="240" t="s">
        <v>2101</v>
      </c>
      <c r="D149" s="260">
        <v>324.44</v>
      </c>
      <c r="E149" s="260">
        <f>+D149*'State Allocation Formulas'!$C$21</f>
        <v>243.88154800000001</v>
      </c>
      <c r="F149" s="260"/>
      <c r="G149" s="240">
        <v>930.1</v>
      </c>
    </row>
    <row r="150" spans="1:7">
      <c r="A150" s="26">
        <v>136</v>
      </c>
      <c r="B150" s="240" t="s">
        <v>2209</v>
      </c>
      <c r="C150" s="240" t="s">
        <v>2097</v>
      </c>
      <c r="D150" s="260">
        <v>410.27</v>
      </c>
      <c r="E150" s="260">
        <f>+D150*'State Allocation Formulas'!$C$21</f>
        <v>308.39995900000002</v>
      </c>
      <c r="F150" s="260"/>
      <c r="G150" s="240">
        <v>930.1</v>
      </c>
    </row>
    <row r="151" spans="1:7">
      <c r="A151" s="26">
        <v>137</v>
      </c>
      <c r="B151" s="240" t="s">
        <v>2209</v>
      </c>
      <c r="C151" s="240" t="s">
        <v>2097</v>
      </c>
      <c r="D151" s="260">
        <v>717.05</v>
      </c>
      <c r="E151" s="260">
        <f>+D151*'State Allocation Formulas'!$C$21</f>
        <v>539.006485</v>
      </c>
      <c r="F151" s="260"/>
      <c r="G151" s="240">
        <v>930.1</v>
      </c>
    </row>
    <row r="152" spans="1:7">
      <c r="A152" s="26">
        <v>138</v>
      </c>
      <c r="B152" s="240" t="s">
        <v>2210</v>
      </c>
      <c r="C152" s="240" t="s">
        <v>2097</v>
      </c>
      <c r="D152" s="260">
        <v>109.35</v>
      </c>
      <c r="E152" s="260">
        <f>+D152*'State Allocation Formulas'!$C$21</f>
        <v>82.198395000000005</v>
      </c>
      <c r="F152" s="260"/>
      <c r="G152" s="240">
        <v>930.1</v>
      </c>
    </row>
    <row r="153" spans="1:7">
      <c r="A153" s="26">
        <v>139</v>
      </c>
      <c r="B153" s="240" t="s">
        <v>2210</v>
      </c>
      <c r="C153" s="240" t="s">
        <v>2097</v>
      </c>
      <c r="D153" s="260">
        <v>416.91</v>
      </c>
      <c r="E153" s="260">
        <f>+D153*'State Allocation Formulas'!$C$21</f>
        <v>313.39124700000002</v>
      </c>
      <c r="F153" s="260"/>
      <c r="G153" s="240">
        <v>930.1</v>
      </c>
    </row>
    <row r="154" spans="1:7">
      <c r="A154" s="26">
        <v>140</v>
      </c>
      <c r="B154" s="240" t="s">
        <v>2211</v>
      </c>
      <c r="C154" s="240" t="s">
        <v>2097</v>
      </c>
      <c r="D154" s="260">
        <v>175.75</v>
      </c>
      <c r="E154" s="260">
        <f>+D154*'State Allocation Formulas'!$C$21</f>
        <v>132.11127500000001</v>
      </c>
      <c r="F154" s="260"/>
      <c r="G154" s="240">
        <v>930.1</v>
      </c>
    </row>
    <row r="155" spans="1:7">
      <c r="A155" s="26">
        <v>141</v>
      </c>
      <c r="B155" s="240" t="s">
        <v>2212</v>
      </c>
      <c r="C155" s="240" t="s">
        <v>2213</v>
      </c>
      <c r="D155" s="260">
        <v>146</v>
      </c>
      <c r="E155" s="260">
        <f>+D155*'State Allocation Formulas'!$C$21</f>
        <v>109.74820000000001</v>
      </c>
      <c r="F155" s="260"/>
      <c r="G155" s="240">
        <v>930.1</v>
      </c>
    </row>
    <row r="156" spans="1:7">
      <c r="A156" s="26">
        <v>142</v>
      </c>
      <c r="B156" s="240" t="s">
        <v>2214</v>
      </c>
      <c r="C156" s="240" t="s">
        <v>2097</v>
      </c>
      <c r="D156" s="260">
        <v>314</v>
      </c>
      <c r="E156" s="260">
        <f>+D156*'State Allocation Formulas'!$C$21</f>
        <v>236.03380000000001</v>
      </c>
      <c r="F156" s="260"/>
      <c r="G156" s="240">
        <v>930.1</v>
      </c>
    </row>
    <row r="157" spans="1:7">
      <c r="A157" s="26">
        <v>143</v>
      </c>
      <c r="B157" s="240" t="s">
        <v>2058</v>
      </c>
      <c r="C157" s="240" t="s">
        <v>2059</v>
      </c>
      <c r="D157" s="260">
        <v>84.71</v>
      </c>
      <c r="E157" s="260">
        <f>+D157*'State Allocation Formulas'!$C$21</f>
        <v>63.676507000000001</v>
      </c>
      <c r="F157" s="260"/>
      <c r="G157" s="240">
        <v>930.1</v>
      </c>
    </row>
    <row r="159" spans="1:7">
      <c r="A159" s="241">
        <v>144</v>
      </c>
      <c r="E159" s="394">
        <f>SUM(E28:E157)</f>
        <v>23274.466148000007</v>
      </c>
      <c r="F159" s="394">
        <f>SUM(F28:F157)</f>
        <v>2440</v>
      </c>
    </row>
    <row r="160" spans="1:7">
      <c r="A160" s="241">
        <v>145</v>
      </c>
      <c r="B160" s="24" t="s">
        <v>674</v>
      </c>
      <c r="F160" s="394">
        <f>+E159+F159</f>
        <v>25714.466148000007</v>
      </c>
    </row>
  </sheetData>
  <mergeCells count="4">
    <mergeCell ref="B1:G1"/>
    <mergeCell ref="B4:G4"/>
    <mergeCell ref="B5:G5"/>
    <mergeCell ref="E8:E9"/>
  </mergeCells>
  <printOptions horizontalCentered="1"/>
  <pageMargins left="0.7" right="0.7" top="0.75" bottom="0.75" header="0.3" footer="0.3"/>
  <pageSetup scale="50" orientation="portrait" r:id="rId1"/>
  <headerFooter scaleWithDoc="0" alignWithMargins="0">
    <oddHeader>&amp;RPage &amp;P of &amp;N</oddHeader>
    <oddFooter>&amp;LElectronic Tab Name:&amp;A</oddFooter>
  </headerFooter>
  <rowBreaks count="1" manualBreakCount="1">
    <brk id="83"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4"/>
  <sheetViews>
    <sheetView view="pageBreakPreview" topLeftCell="A14" zoomScale="118" zoomScaleNormal="100" zoomScaleSheetLayoutView="118" workbookViewId="0">
      <selection activeCell="G31" sqref="G31"/>
    </sheetView>
  </sheetViews>
  <sheetFormatPr defaultRowHeight="14.4"/>
  <cols>
    <col min="1" max="1" width="9.33203125" style="647" bestFit="1" customWidth="1"/>
    <col min="8" max="8" width="19.88671875" bestFit="1" customWidth="1"/>
    <col min="12" max="12" width="14.33203125" bestFit="1" customWidth="1"/>
    <col min="15" max="15" width="10.109375" bestFit="1" customWidth="1"/>
  </cols>
  <sheetData>
    <row r="1" spans="1:16" ht="15.6">
      <c r="B1" s="4"/>
      <c r="C1" s="870"/>
      <c r="D1" s="870"/>
      <c r="E1" s="870"/>
      <c r="F1" s="870"/>
      <c r="G1" s="870"/>
      <c r="H1" s="870"/>
      <c r="I1" s="4"/>
      <c r="J1" s="4"/>
      <c r="K1" s="4"/>
      <c r="L1" s="4"/>
      <c r="M1" s="4"/>
    </row>
    <row r="2" spans="1:16" ht="15.6">
      <c r="A2" s="866" t="s">
        <v>60</v>
      </c>
      <c r="B2" s="866"/>
      <c r="C2" s="866"/>
      <c r="D2" s="866"/>
      <c r="E2" s="866"/>
      <c r="F2" s="866"/>
      <c r="G2" s="866"/>
      <c r="H2" s="866"/>
      <c r="I2" s="866"/>
      <c r="J2" s="3"/>
      <c r="K2" s="3"/>
      <c r="L2" s="3"/>
      <c r="M2" s="3"/>
    </row>
    <row r="3" spans="1:16" ht="15.6">
      <c r="A3" s="866" t="s">
        <v>1863</v>
      </c>
      <c r="B3" s="866"/>
      <c r="C3" s="866"/>
      <c r="D3" s="866"/>
      <c r="E3" s="866"/>
      <c r="F3" s="866"/>
      <c r="G3" s="866"/>
      <c r="H3" s="866"/>
      <c r="I3" s="866"/>
      <c r="J3" s="3"/>
      <c r="K3" s="3"/>
      <c r="L3" s="3"/>
      <c r="M3" s="3"/>
    </row>
    <row r="4" spans="1:16" ht="15.6">
      <c r="A4" s="866" t="s">
        <v>1285</v>
      </c>
      <c r="B4" s="866"/>
      <c r="C4" s="866"/>
      <c r="D4" s="866"/>
      <c r="E4" s="866"/>
      <c r="F4" s="866"/>
      <c r="G4" s="866"/>
      <c r="H4" s="866"/>
      <c r="I4" s="866"/>
      <c r="J4" s="3"/>
      <c r="K4" s="3"/>
      <c r="L4" s="3"/>
      <c r="M4" s="3"/>
    </row>
    <row r="5" spans="1:16" ht="15.6">
      <c r="A5" s="910" t="s">
        <v>1858</v>
      </c>
      <c r="B5" s="910"/>
      <c r="C5" s="910"/>
      <c r="D5" s="910"/>
      <c r="E5" s="910"/>
      <c r="F5" s="910"/>
      <c r="G5" s="910"/>
      <c r="H5" s="910"/>
      <c r="I5" s="910"/>
      <c r="J5" s="646"/>
      <c r="K5" s="646"/>
      <c r="L5" s="646"/>
      <c r="M5" s="646"/>
    </row>
    <row r="6" spans="1:16" ht="15.6">
      <c r="A6" s="866" t="s">
        <v>1862</v>
      </c>
      <c r="B6" s="866"/>
      <c r="C6" s="866"/>
      <c r="D6" s="866"/>
      <c r="E6" s="866"/>
      <c r="F6" s="866"/>
      <c r="G6" s="866"/>
      <c r="H6" s="866"/>
      <c r="I6" s="866"/>
      <c r="J6" s="3"/>
      <c r="K6" s="3"/>
      <c r="L6" s="3"/>
      <c r="M6" s="3"/>
    </row>
    <row r="7" spans="1:16" s="647" customFormat="1" ht="15.6">
      <c r="B7" s="4"/>
      <c r="C7" s="666"/>
      <c r="D7" s="666"/>
      <c r="E7" s="666"/>
      <c r="F7" s="666"/>
      <c r="G7" s="666"/>
      <c r="H7" s="666"/>
      <c r="I7" s="666"/>
      <c r="J7" s="666"/>
      <c r="K7" s="666"/>
      <c r="L7" s="666"/>
      <c r="M7" s="666"/>
    </row>
    <row r="8" spans="1:16">
      <c r="C8" s="670"/>
      <c r="D8" s="670"/>
      <c r="E8" s="670"/>
      <c r="F8" s="670"/>
      <c r="G8" s="647"/>
      <c r="H8" s="647"/>
      <c r="I8" s="647"/>
      <c r="J8" s="647"/>
    </row>
    <row r="9" spans="1:16" ht="15.6">
      <c r="A9" s="458" t="s">
        <v>662</v>
      </c>
      <c r="B9" s="4"/>
      <c r="C9" s="4"/>
      <c r="D9" s="4"/>
      <c r="E9" s="4"/>
      <c r="F9" s="4"/>
      <c r="G9" s="4"/>
      <c r="H9" s="4"/>
      <c r="I9" s="4"/>
      <c r="J9" s="4"/>
      <c r="K9" s="4"/>
      <c r="L9" s="4"/>
      <c r="M9" s="4"/>
      <c r="N9" s="4"/>
      <c r="O9" s="4"/>
      <c r="P9" s="4"/>
    </row>
    <row r="10" spans="1:16" ht="27" customHeight="1">
      <c r="A10" s="26">
        <v>1</v>
      </c>
      <c r="B10" s="914" t="s">
        <v>1860</v>
      </c>
      <c r="C10" s="914"/>
      <c r="D10" s="914"/>
      <c r="E10" s="914"/>
      <c r="F10" s="914"/>
      <c r="G10" s="914"/>
      <c r="H10" s="4"/>
      <c r="I10" s="4"/>
      <c r="J10" s="4"/>
      <c r="K10" s="4"/>
      <c r="L10" s="4"/>
      <c r="M10" s="4"/>
      <c r="N10" s="4"/>
      <c r="O10" s="4"/>
      <c r="P10" s="4"/>
    </row>
    <row r="11" spans="1:16" ht="15.6">
      <c r="A11" s="26">
        <v>2</v>
      </c>
      <c r="B11" s="4"/>
      <c r="C11" s="915" t="s">
        <v>2490</v>
      </c>
      <c r="D11" s="915"/>
      <c r="E11" s="915"/>
      <c r="F11" s="915"/>
      <c r="G11" s="915"/>
      <c r="H11" s="798">
        <v>109752998.33</v>
      </c>
      <c r="I11" s="4"/>
      <c r="J11" s="4"/>
      <c r="K11" s="4"/>
      <c r="M11" s="4"/>
      <c r="N11" s="4"/>
      <c r="O11" s="4"/>
      <c r="P11" s="4"/>
    </row>
    <row r="12" spans="1:16" ht="15.6">
      <c r="A12" s="26">
        <v>3</v>
      </c>
      <c r="B12" s="4"/>
      <c r="C12" s="4"/>
      <c r="D12" s="4"/>
      <c r="E12" s="4"/>
      <c r="F12" s="4"/>
      <c r="G12" s="4"/>
      <c r="H12" s="799"/>
      <c r="I12" s="4"/>
      <c r="J12" s="4"/>
      <c r="K12" s="4"/>
      <c r="M12" s="4"/>
      <c r="N12" s="4"/>
      <c r="O12" s="4"/>
      <c r="P12" s="4"/>
    </row>
    <row r="13" spans="1:16" ht="15.6">
      <c r="A13" s="26">
        <v>4</v>
      </c>
      <c r="B13" s="4" t="s">
        <v>1859</v>
      </c>
      <c r="C13" s="4"/>
      <c r="D13" s="4"/>
      <c r="E13" s="4"/>
      <c r="F13" s="4"/>
      <c r="G13" s="4"/>
      <c r="H13" s="799"/>
      <c r="I13" s="4"/>
      <c r="J13" s="4"/>
      <c r="K13" s="4"/>
      <c r="M13" s="4"/>
      <c r="N13" s="4"/>
      <c r="O13" s="4"/>
      <c r="P13" s="4"/>
    </row>
    <row r="14" spans="1:16" ht="16.2" thickBot="1">
      <c r="A14" s="26">
        <v>5</v>
      </c>
      <c r="B14" s="4"/>
      <c r="C14" s="4" t="s">
        <v>2494</v>
      </c>
      <c r="D14" s="4"/>
      <c r="E14" s="4"/>
      <c r="F14" s="4"/>
      <c r="G14" s="4"/>
      <c r="H14" s="800">
        <v>-98705687.879999995</v>
      </c>
      <c r="I14" s="4"/>
      <c r="J14" s="4"/>
      <c r="K14" s="4"/>
      <c r="M14" s="4"/>
      <c r="N14" s="4"/>
      <c r="O14" s="4"/>
      <c r="P14" s="4"/>
    </row>
    <row r="15" spans="1:16" ht="15.6">
      <c r="A15" s="26">
        <v>6</v>
      </c>
      <c r="B15" s="4"/>
      <c r="C15" s="4"/>
      <c r="D15" s="4"/>
      <c r="E15" s="4"/>
      <c r="F15" s="4"/>
      <c r="G15" s="4"/>
      <c r="H15" s="799"/>
      <c r="I15" s="4"/>
      <c r="J15" s="4"/>
      <c r="K15" s="4"/>
      <c r="M15" s="4"/>
      <c r="N15" s="4"/>
      <c r="O15" s="4"/>
      <c r="P15" s="4"/>
    </row>
    <row r="16" spans="1:16" ht="15.6">
      <c r="A16" s="26">
        <v>7</v>
      </c>
      <c r="B16" s="4" t="s">
        <v>1843</v>
      </c>
      <c r="C16" s="4"/>
      <c r="D16" s="4"/>
      <c r="E16" s="4"/>
      <c r="F16" s="4"/>
      <c r="G16" s="4"/>
      <c r="H16" s="799">
        <f>+H11+H14</f>
        <v>11047310.450000003</v>
      </c>
      <c r="I16" s="4"/>
      <c r="J16" s="4"/>
      <c r="K16" s="4"/>
      <c r="M16" s="4"/>
      <c r="N16" s="4"/>
      <c r="O16" s="4"/>
      <c r="P16" s="4"/>
    </row>
    <row r="17" spans="1:16" ht="15.6">
      <c r="A17" s="26">
        <v>8</v>
      </c>
      <c r="B17" s="4"/>
      <c r="C17" s="4"/>
      <c r="D17" s="4"/>
      <c r="E17" s="4"/>
      <c r="F17" s="4"/>
      <c r="G17" s="4"/>
      <c r="H17" s="799"/>
      <c r="I17" s="4"/>
      <c r="J17" s="4"/>
      <c r="K17" s="4"/>
      <c r="M17" s="4"/>
      <c r="N17" s="4"/>
      <c r="O17" s="4"/>
      <c r="P17" s="4"/>
    </row>
    <row r="18" spans="1:16" ht="15.6">
      <c r="A18" s="26">
        <v>9</v>
      </c>
      <c r="B18" s="4" t="s">
        <v>2393</v>
      </c>
      <c r="C18" s="4"/>
      <c r="D18" s="4"/>
      <c r="E18" s="4"/>
      <c r="F18" s="4"/>
      <c r="G18" s="4"/>
      <c r="H18" s="799"/>
      <c r="I18" s="4"/>
      <c r="J18" s="4"/>
      <c r="K18" s="4"/>
      <c r="M18" s="4"/>
      <c r="N18" s="4"/>
      <c r="O18" s="4"/>
      <c r="P18" s="4"/>
    </row>
    <row r="19" spans="1:16" ht="16.2" thickBot="1">
      <c r="A19" s="26">
        <v>10</v>
      </c>
      <c r="B19" s="4"/>
      <c r="C19" s="4" t="s">
        <v>2491</v>
      </c>
      <c r="D19" s="4"/>
      <c r="E19" s="4"/>
      <c r="F19" s="4"/>
      <c r="G19" s="4"/>
      <c r="H19" s="800">
        <v>4221975.1100000003</v>
      </c>
      <c r="I19" s="4"/>
      <c r="J19" s="4"/>
      <c r="K19" s="4"/>
      <c r="M19" s="4"/>
      <c r="N19" s="4"/>
      <c r="O19" s="4"/>
      <c r="P19" s="4"/>
    </row>
    <row r="20" spans="1:16" ht="15.6">
      <c r="A20" s="26">
        <v>11</v>
      </c>
      <c r="B20" s="4"/>
      <c r="C20" s="4"/>
      <c r="D20" s="4"/>
      <c r="E20" s="4"/>
      <c r="F20" s="4"/>
      <c r="G20" s="4"/>
      <c r="H20" s="799"/>
      <c r="I20" s="4"/>
      <c r="J20" s="4"/>
      <c r="K20" s="4"/>
      <c r="M20" s="4"/>
      <c r="N20" s="4"/>
      <c r="O20" s="4"/>
      <c r="P20" s="4"/>
    </row>
    <row r="21" spans="1:16" ht="15.6">
      <c r="A21" s="26">
        <v>12</v>
      </c>
      <c r="B21" s="4" t="s">
        <v>95</v>
      </c>
      <c r="C21" s="4"/>
      <c r="D21" s="4"/>
      <c r="E21" s="4"/>
      <c r="F21" s="4"/>
      <c r="G21" s="4"/>
      <c r="H21" s="799">
        <f>+H16+H19</f>
        <v>15269285.560000002</v>
      </c>
      <c r="I21" s="4"/>
      <c r="J21" s="4"/>
      <c r="K21" s="4"/>
      <c r="M21" s="4"/>
      <c r="N21" s="4"/>
      <c r="O21" s="4"/>
      <c r="P21" s="4"/>
    </row>
    <row r="22" spans="1:16" ht="15.6">
      <c r="A22" s="26">
        <v>13</v>
      </c>
      <c r="B22" s="4" t="s">
        <v>2394</v>
      </c>
      <c r="C22" s="4"/>
      <c r="D22" s="4"/>
      <c r="E22" s="4"/>
      <c r="F22" s="4"/>
      <c r="G22" s="4"/>
      <c r="H22" s="799"/>
      <c r="I22" s="4"/>
      <c r="J22" s="4"/>
      <c r="K22" s="4"/>
      <c r="M22" s="4"/>
      <c r="N22" s="4"/>
      <c r="O22" s="4"/>
      <c r="P22" s="4"/>
    </row>
    <row r="23" spans="1:16" ht="15.6">
      <c r="A23" s="26">
        <v>14</v>
      </c>
      <c r="C23" s="4" t="s">
        <v>2492</v>
      </c>
      <c r="D23" s="4"/>
      <c r="E23" s="4"/>
      <c r="F23" s="4"/>
      <c r="G23" s="4"/>
      <c r="H23" s="819">
        <v>-338287.4</v>
      </c>
      <c r="I23" s="4"/>
      <c r="J23" s="4"/>
      <c r="K23" s="4"/>
      <c r="M23" s="4"/>
      <c r="N23" s="4"/>
      <c r="O23" s="4"/>
      <c r="P23" s="4"/>
    </row>
    <row r="24" spans="1:16" ht="15.6">
      <c r="A24" s="26">
        <v>15</v>
      </c>
      <c r="B24" s="4" t="s">
        <v>2476</v>
      </c>
      <c r="C24" s="4"/>
      <c r="D24" s="4"/>
      <c r="E24" s="4"/>
      <c r="F24" s="4"/>
      <c r="G24" s="4"/>
      <c r="H24" s="799"/>
      <c r="I24" s="4"/>
      <c r="J24" s="4"/>
      <c r="K24" s="4"/>
      <c r="M24" s="4"/>
      <c r="N24" s="4"/>
      <c r="O24" s="4"/>
      <c r="P24" s="4"/>
    </row>
    <row r="25" spans="1:16" s="647" customFormat="1" ht="16.2" thickBot="1">
      <c r="A25" s="26"/>
      <c r="B25" s="4"/>
      <c r="C25" s="4" t="s">
        <v>2493</v>
      </c>
      <c r="D25" s="4"/>
      <c r="E25" s="4"/>
      <c r="F25" s="4"/>
      <c r="G25" s="4"/>
      <c r="H25" s="845">
        <v>-8222.34</v>
      </c>
      <c r="I25" s="4"/>
      <c r="J25" s="4"/>
      <c r="K25" s="4"/>
      <c r="M25" s="4"/>
      <c r="N25" s="4"/>
      <c r="O25" s="4"/>
      <c r="P25" s="4"/>
    </row>
    <row r="26" spans="1:16" s="647" customFormat="1" ht="15.6">
      <c r="A26" s="26"/>
      <c r="B26" s="4"/>
      <c r="C26" s="4"/>
      <c r="D26" s="4"/>
      <c r="E26" s="4"/>
      <c r="F26" s="4"/>
      <c r="G26" s="4"/>
      <c r="H26" s="265"/>
      <c r="I26" s="4"/>
      <c r="J26" s="4"/>
      <c r="K26" s="4"/>
      <c r="M26" s="4"/>
      <c r="N26" s="4"/>
      <c r="O26" s="4"/>
      <c r="P26" s="4"/>
    </row>
    <row r="27" spans="1:16" ht="16.2" thickBot="1">
      <c r="A27" s="26">
        <v>16</v>
      </c>
      <c r="B27" s="4" t="s">
        <v>2227</v>
      </c>
      <c r="C27" s="4"/>
      <c r="D27" s="4"/>
      <c r="E27" s="4"/>
      <c r="F27" s="4"/>
      <c r="G27" s="4"/>
      <c r="H27" s="846">
        <f>+H21+H23+H25</f>
        <v>14922775.820000002</v>
      </c>
      <c r="I27" s="4"/>
      <c r="J27" s="4"/>
      <c r="K27" s="4"/>
      <c r="M27" s="4"/>
      <c r="N27" s="4"/>
      <c r="O27" s="4"/>
      <c r="P27" s="4"/>
    </row>
    <row r="28" spans="1:16" ht="16.2" thickTop="1">
      <c r="A28" s="26"/>
      <c r="B28" s="4"/>
      <c r="C28" s="4"/>
      <c r="D28" s="4"/>
      <c r="E28" s="4"/>
      <c r="F28" s="4"/>
      <c r="G28" s="4"/>
      <c r="H28" s="4"/>
      <c r="I28" s="4"/>
      <c r="J28" s="4"/>
      <c r="K28" s="4"/>
      <c r="L28" s="157"/>
      <c r="M28" s="4"/>
      <c r="N28" s="4"/>
      <c r="O28" s="4"/>
      <c r="P28" s="4"/>
    </row>
    <row r="29" spans="1:16" ht="15.6">
      <c r="A29" s="4"/>
      <c r="B29" s="4"/>
      <c r="C29" s="4"/>
      <c r="D29" s="4"/>
      <c r="E29" s="4"/>
      <c r="F29" s="4"/>
      <c r="G29" s="4"/>
      <c r="H29" s="4"/>
      <c r="I29" s="4"/>
      <c r="J29" s="4"/>
      <c r="K29" s="4"/>
      <c r="L29" s="157"/>
      <c r="M29" s="4"/>
      <c r="N29" s="4"/>
      <c r="O29" s="4"/>
      <c r="P29" s="4"/>
    </row>
    <row r="30" spans="1:16" ht="15.6">
      <c r="A30" s="4"/>
      <c r="B30" s="4"/>
      <c r="C30" s="4"/>
      <c r="D30" s="4"/>
      <c r="E30" s="4"/>
      <c r="F30" s="4"/>
      <c r="G30" s="4"/>
      <c r="H30" s="4"/>
      <c r="I30" s="4"/>
      <c r="J30" s="4"/>
      <c r="K30" s="4"/>
      <c r="L30" s="4"/>
      <c r="M30" s="4"/>
      <c r="N30" s="4"/>
      <c r="O30" s="4"/>
      <c r="P30" s="4"/>
    </row>
    <row r="31" spans="1:16" ht="15.6">
      <c r="A31" s="4"/>
      <c r="B31" s="4"/>
      <c r="C31" s="4"/>
      <c r="D31" s="4"/>
      <c r="E31" s="4"/>
      <c r="F31" s="4"/>
      <c r="G31" s="4"/>
      <c r="H31" s="4"/>
      <c r="I31" s="4"/>
      <c r="J31" s="4"/>
      <c r="K31" s="4"/>
      <c r="L31" s="4"/>
      <c r="M31" s="4"/>
      <c r="N31" s="4"/>
      <c r="O31" s="4"/>
      <c r="P31" s="4"/>
    </row>
    <row r="32" spans="1:16" ht="15.6">
      <c r="A32" s="4"/>
      <c r="B32" s="4"/>
      <c r="C32" s="4"/>
      <c r="D32" s="4"/>
      <c r="E32" s="4"/>
      <c r="F32" s="4"/>
      <c r="G32" s="4"/>
      <c r="H32" s="4"/>
      <c r="I32" s="4"/>
      <c r="J32" s="4"/>
      <c r="K32" s="4"/>
      <c r="L32" s="4"/>
      <c r="M32" s="4"/>
      <c r="N32" s="4"/>
      <c r="O32" s="4"/>
      <c r="P32" s="4"/>
    </row>
    <row r="33" spans="1:16" ht="15.6">
      <c r="A33" s="4"/>
      <c r="B33" s="4"/>
      <c r="C33" s="4"/>
      <c r="D33" s="4"/>
      <c r="E33" s="4"/>
      <c r="F33" s="4"/>
      <c r="G33" s="4"/>
      <c r="H33" s="4"/>
      <c r="I33" s="4"/>
      <c r="J33" s="4"/>
      <c r="K33" s="4"/>
      <c r="L33" s="4"/>
      <c r="M33" s="4"/>
      <c r="N33" s="4"/>
      <c r="O33" s="4"/>
      <c r="P33" s="4"/>
    </row>
    <row r="34" spans="1:16" ht="15.6">
      <c r="A34" s="4"/>
      <c r="B34" s="4"/>
      <c r="C34" s="4"/>
      <c r="D34" s="4"/>
      <c r="E34" s="4"/>
      <c r="F34" s="4"/>
      <c r="G34" s="4"/>
      <c r="H34" s="4"/>
      <c r="I34" s="4"/>
      <c r="J34" s="4"/>
      <c r="K34" s="4"/>
      <c r="L34" s="4"/>
      <c r="M34" s="4"/>
      <c r="N34" s="4"/>
      <c r="O34" s="4"/>
      <c r="P34"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2"/>
  <sheetViews>
    <sheetView view="pageBreakPreview" zoomScale="112" zoomScaleNormal="100" zoomScaleSheetLayoutView="112" workbookViewId="0">
      <selection activeCell="I11" sqref="I11"/>
    </sheetView>
  </sheetViews>
  <sheetFormatPr defaultRowHeight="14.4"/>
  <cols>
    <col min="4" max="4" width="15" customWidth="1"/>
    <col min="5" max="5" width="2.5546875" style="647" customWidth="1"/>
    <col min="6" max="6" width="14.33203125" bestFit="1" customWidth="1"/>
    <col min="7" max="7" width="1.5546875" style="647" customWidth="1"/>
    <col min="8" max="8" width="12.5546875" bestFit="1" customWidth="1"/>
  </cols>
  <sheetData>
    <row r="1" spans="1:13" ht="15.6">
      <c r="A1" s="866" t="s">
        <v>60</v>
      </c>
      <c r="B1" s="866"/>
      <c r="C1" s="866"/>
      <c r="D1" s="866"/>
      <c r="E1" s="866"/>
      <c r="F1" s="866"/>
      <c r="G1" s="3"/>
      <c r="H1" s="3"/>
      <c r="I1" s="3"/>
      <c r="J1" s="3"/>
      <c r="K1" s="3"/>
      <c r="L1" s="3"/>
      <c r="M1" s="3"/>
    </row>
    <row r="2" spans="1:13" ht="15.6">
      <c r="A2" s="866" t="s">
        <v>1863</v>
      </c>
      <c r="B2" s="866"/>
      <c r="C2" s="866"/>
      <c r="D2" s="866"/>
      <c r="E2" s="866"/>
      <c r="F2" s="866"/>
      <c r="G2" s="3"/>
      <c r="H2" s="3"/>
      <c r="I2" s="3"/>
      <c r="J2" s="3"/>
      <c r="K2" s="3"/>
      <c r="L2" s="3"/>
      <c r="M2" s="3"/>
    </row>
    <row r="3" spans="1:13" ht="15.6">
      <c r="A3" s="866" t="s">
        <v>1286</v>
      </c>
      <c r="B3" s="866"/>
      <c r="C3" s="866"/>
      <c r="D3" s="866"/>
      <c r="E3" s="866"/>
      <c r="F3" s="866"/>
      <c r="G3" s="3"/>
      <c r="H3" s="3"/>
      <c r="I3" s="3"/>
      <c r="J3" s="3"/>
      <c r="K3" s="3"/>
      <c r="L3" s="3"/>
      <c r="M3" s="3"/>
    </row>
    <row r="4" spans="1:13" ht="15.6">
      <c r="A4" s="910" t="s">
        <v>1849</v>
      </c>
      <c r="B4" s="910"/>
      <c r="C4" s="910"/>
      <c r="D4" s="910"/>
      <c r="E4" s="910"/>
      <c r="F4" s="910"/>
      <c r="G4" s="646"/>
      <c r="H4" s="646"/>
      <c r="I4" s="646"/>
      <c r="J4" s="646"/>
      <c r="K4" s="646"/>
      <c r="L4" s="646"/>
      <c r="M4" s="646"/>
    </row>
    <row r="5" spans="1:13" ht="15.6">
      <c r="A5" s="866" t="s">
        <v>1862</v>
      </c>
      <c r="B5" s="866"/>
      <c r="C5" s="866"/>
      <c r="D5" s="866"/>
      <c r="E5" s="866"/>
      <c r="F5" s="866"/>
      <c r="G5" s="3"/>
      <c r="H5" s="3"/>
      <c r="I5" s="3"/>
      <c r="J5" s="3"/>
      <c r="K5" s="3"/>
      <c r="L5" s="3"/>
      <c r="M5" s="3"/>
    </row>
    <row r="8" spans="1:13">
      <c r="A8" s="916" t="s">
        <v>1849</v>
      </c>
      <c r="B8" s="916"/>
      <c r="C8" s="916"/>
      <c r="D8" s="916"/>
    </row>
    <row r="9" spans="1:13" s="647" customFormat="1">
      <c r="A9" s="818"/>
      <c r="B9" s="818" t="s">
        <v>2495</v>
      </c>
      <c r="C9" s="776"/>
      <c r="D9" s="776"/>
      <c r="E9" s="413"/>
      <c r="F9" s="781">
        <v>-134104.12</v>
      </c>
    </row>
    <row r="10" spans="1:13" s="647" customFormat="1">
      <c r="A10" s="818"/>
      <c r="B10" t="s">
        <v>2496</v>
      </c>
      <c r="C10" s="776"/>
      <c r="D10" s="776"/>
      <c r="E10" s="413"/>
      <c r="F10" s="781">
        <v>1057398.73</v>
      </c>
    </row>
    <row r="11" spans="1:13" ht="15" thickBot="1">
      <c r="C11" s="413"/>
      <c r="D11" s="413"/>
      <c r="E11" s="776"/>
      <c r="F11" s="848">
        <f>+F9+F10</f>
        <v>923294.61</v>
      </c>
      <c r="G11" s="673"/>
    </row>
    <row r="12" spans="1:13" ht="1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S58"/>
  <sheetViews>
    <sheetView view="pageBreakPreview" topLeftCell="C29" zoomScale="90" zoomScaleNormal="100" zoomScaleSheetLayoutView="90" workbookViewId="0">
      <selection activeCell="H58" sqref="H58"/>
    </sheetView>
  </sheetViews>
  <sheetFormatPr defaultColWidth="9.109375" defaultRowHeight="14.4"/>
  <cols>
    <col min="1" max="1" width="38.88671875" style="413" bestFit="1" customWidth="1"/>
    <col min="2" max="2" width="16.109375" style="413" bestFit="1" customWidth="1"/>
    <col min="3" max="3" width="16.88671875" style="413" bestFit="1" customWidth="1"/>
    <col min="4" max="4" width="19.33203125" style="617" bestFit="1" customWidth="1"/>
    <col min="5" max="5" width="16.109375" style="413" bestFit="1" customWidth="1"/>
    <col min="6" max="6" width="13.88671875" style="413" bestFit="1" customWidth="1"/>
    <col min="7" max="7" width="12.88671875" style="413" bestFit="1" customWidth="1"/>
    <col min="8" max="8" width="14.5546875" style="413" bestFit="1" customWidth="1"/>
    <col min="9" max="9" width="11.44140625" style="413" bestFit="1" customWidth="1"/>
    <col min="10" max="10" width="12.88671875" style="413" bestFit="1" customWidth="1"/>
    <col min="11" max="11" width="14.5546875" style="413" bestFit="1" customWidth="1"/>
    <col min="12" max="12" width="15" style="413" bestFit="1" customWidth="1"/>
    <col min="13" max="13" width="9.109375" style="413"/>
    <col min="14" max="14" width="35.77734375" style="413" bestFit="1" customWidth="1"/>
    <col min="15" max="15" width="10.33203125" style="413" bestFit="1" customWidth="1"/>
    <col min="16" max="16384" width="9.109375" style="413"/>
  </cols>
  <sheetData>
    <row r="1" spans="1:19" ht="15.6">
      <c r="A1" s="866" t="s">
        <v>60</v>
      </c>
      <c r="B1" s="866"/>
      <c r="C1" s="866"/>
      <c r="D1" s="866"/>
      <c r="E1" s="866"/>
      <c r="F1" s="866"/>
      <c r="G1" s="866"/>
      <c r="H1" s="866"/>
      <c r="I1" s="866"/>
      <c r="J1" s="866"/>
      <c r="K1" s="866"/>
      <c r="L1" s="866"/>
      <c r="M1" s="866"/>
    </row>
    <row r="2" spans="1:19" ht="15.6">
      <c r="A2" s="866" t="s">
        <v>1863</v>
      </c>
      <c r="B2" s="866"/>
      <c r="C2" s="866"/>
      <c r="D2" s="866"/>
      <c r="E2" s="866"/>
      <c r="F2" s="866"/>
      <c r="G2" s="866"/>
      <c r="H2" s="866"/>
      <c r="I2" s="866"/>
      <c r="J2" s="866"/>
      <c r="K2" s="866"/>
      <c r="L2" s="866"/>
      <c r="M2" s="866"/>
    </row>
    <row r="3" spans="1:19" ht="15.6">
      <c r="A3" s="866" t="s">
        <v>1389</v>
      </c>
      <c r="B3" s="866"/>
      <c r="C3" s="866"/>
      <c r="D3" s="866"/>
      <c r="E3" s="866"/>
      <c r="F3" s="866"/>
      <c r="G3" s="866"/>
      <c r="H3" s="866"/>
      <c r="I3" s="866"/>
      <c r="J3" s="866"/>
      <c r="K3" s="866"/>
      <c r="L3" s="866"/>
      <c r="M3" s="866"/>
    </row>
    <row r="4" spans="1:19" ht="15.6">
      <c r="A4" s="910" t="s">
        <v>1857</v>
      </c>
      <c r="B4" s="910"/>
      <c r="C4" s="910"/>
      <c r="D4" s="910"/>
      <c r="E4" s="910"/>
      <c r="F4" s="910"/>
      <c r="G4" s="910"/>
      <c r="H4" s="910"/>
      <c r="I4" s="910"/>
      <c r="J4" s="910"/>
      <c r="K4" s="910"/>
      <c r="L4" s="910"/>
      <c r="M4" s="910"/>
    </row>
    <row r="5" spans="1:19" ht="15.6">
      <c r="A5" s="866" t="s">
        <v>1862</v>
      </c>
      <c r="B5" s="866"/>
      <c r="C5" s="866"/>
      <c r="D5" s="866"/>
      <c r="E5" s="866"/>
      <c r="F5" s="866"/>
      <c r="G5" s="866"/>
      <c r="H5" s="866"/>
      <c r="I5" s="866"/>
      <c r="J5" s="866"/>
      <c r="K5" s="866"/>
      <c r="L5" s="866"/>
      <c r="M5" s="866"/>
    </row>
    <row r="6" spans="1:19">
      <c r="C6" s="762"/>
      <c r="D6" s="413"/>
      <c r="E6" s="762"/>
      <c r="F6" s="762"/>
      <c r="G6" s="763"/>
      <c r="I6" s="617"/>
      <c r="J6" s="617"/>
    </row>
    <row r="7" spans="1:19">
      <c r="A7" s="764" t="s">
        <v>2355</v>
      </c>
      <c r="B7" s="619"/>
      <c r="C7" s="762"/>
      <c r="D7" s="618"/>
      <c r="E7" s="762"/>
      <c r="F7" s="762"/>
      <c r="G7" s="763"/>
      <c r="I7" s="617"/>
      <c r="J7" s="617"/>
    </row>
    <row r="8" spans="1:19">
      <c r="A8" s="764" t="s">
        <v>2356</v>
      </c>
      <c r="B8" s="765"/>
      <c r="C8" s="762"/>
      <c r="D8" s="618"/>
      <c r="E8" s="762"/>
      <c r="F8" s="766" t="s">
        <v>2357</v>
      </c>
      <c r="G8" s="763"/>
      <c r="I8" s="617"/>
      <c r="J8" s="617"/>
    </row>
    <row r="9" spans="1:19">
      <c r="A9" s="764"/>
      <c r="B9" s="767">
        <v>43831</v>
      </c>
      <c r="C9" s="762"/>
      <c r="D9" s="765" t="s">
        <v>2357</v>
      </c>
      <c r="E9" s="762"/>
      <c r="F9" s="766" t="s">
        <v>2358</v>
      </c>
      <c r="G9" s="763"/>
      <c r="I9" s="766" t="s">
        <v>1117</v>
      </c>
      <c r="J9" s="766" t="s">
        <v>2359</v>
      </c>
      <c r="K9" s="766" t="s">
        <v>2360</v>
      </c>
    </row>
    <row r="10" spans="1:19">
      <c r="A10" s="766" t="s">
        <v>2361</v>
      </c>
      <c r="B10" s="765" t="s">
        <v>2362</v>
      </c>
      <c r="C10" s="766" t="s">
        <v>1117</v>
      </c>
      <c r="D10" s="765" t="s">
        <v>2363</v>
      </c>
      <c r="E10" s="766" t="s">
        <v>2359</v>
      </c>
      <c r="F10" s="766" t="s">
        <v>2359</v>
      </c>
      <c r="G10" s="766" t="s">
        <v>2364</v>
      </c>
      <c r="H10" s="766" t="s">
        <v>2365</v>
      </c>
      <c r="I10" s="766" t="s">
        <v>2366</v>
      </c>
      <c r="J10" s="766" t="s">
        <v>2366</v>
      </c>
      <c r="K10" s="766" t="s">
        <v>2367</v>
      </c>
    </row>
    <row r="11" spans="1:19">
      <c r="A11" s="768" t="s">
        <v>77</v>
      </c>
      <c r="B11" s="769" t="s">
        <v>2368</v>
      </c>
      <c r="C11" s="768" t="s">
        <v>2369</v>
      </c>
      <c r="D11" s="769" t="s">
        <v>2361</v>
      </c>
      <c r="E11" s="768" t="s">
        <v>2369</v>
      </c>
      <c r="F11" s="768" t="s">
        <v>2369</v>
      </c>
      <c r="G11" s="768" t="s">
        <v>1843</v>
      </c>
      <c r="H11" s="768" t="s">
        <v>1843</v>
      </c>
      <c r="I11" s="768" t="s">
        <v>2370</v>
      </c>
      <c r="J11" s="768" t="s">
        <v>2371</v>
      </c>
      <c r="K11" s="768" t="s">
        <v>62</v>
      </c>
      <c r="L11" s="768" t="s">
        <v>2372</v>
      </c>
      <c r="O11" s="821" t="s">
        <v>2501</v>
      </c>
      <c r="P11" s="821" t="s">
        <v>2502</v>
      </c>
      <c r="R11" s="821" t="s">
        <v>2498</v>
      </c>
    </row>
    <row r="12" spans="1:19">
      <c r="A12" s="770" t="s">
        <v>2373</v>
      </c>
      <c r="B12" s="771">
        <v>114308.06999999998</v>
      </c>
      <c r="C12" s="772">
        <v>0</v>
      </c>
      <c r="D12" s="771">
        <v>0</v>
      </c>
      <c r="E12" s="772">
        <v>0</v>
      </c>
      <c r="F12" s="773">
        <f>IF(E12=0%, D12, (B12+K12)*E12/12)</f>
        <v>0</v>
      </c>
      <c r="G12" s="774">
        <v>0</v>
      </c>
      <c r="H12" s="620">
        <v>0</v>
      </c>
      <c r="I12" s="617"/>
      <c r="J12" s="617"/>
      <c r="L12" s="775">
        <f>F12*12</f>
        <v>0</v>
      </c>
      <c r="N12" s="413" t="s">
        <v>2373</v>
      </c>
      <c r="O12" s="820">
        <v>0</v>
      </c>
      <c r="P12" s="820" t="str">
        <f>IF(O12=E12, "Y", "N")</f>
        <v>Y</v>
      </c>
      <c r="Q12" s="413" t="str">
        <f>IF(R12=O12, "Y", "N")</f>
        <v>Y</v>
      </c>
      <c r="R12" s="820">
        <v>0</v>
      </c>
      <c r="S12" s="849"/>
    </row>
    <row r="13" spans="1:19">
      <c r="A13" s="770" t="s">
        <v>1463</v>
      </c>
      <c r="B13" s="771">
        <v>138157.95000000001</v>
      </c>
      <c r="C13" s="772">
        <v>0</v>
      </c>
      <c r="D13" s="771">
        <v>0</v>
      </c>
      <c r="E13" s="772">
        <v>0</v>
      </c>
      <c r="F13" s="773">
        <f>IF(E13=0%, D13, (B13+K13)*E13/12)</f>
        <v>0</v>
      </c>
      <c r="G13" s="774">
        <v>0</v>
      </c>
      <c r="H13" s="620">
        <v>0</v>
      </c>
      <c r="I13" s="617"/>
      <c r="J13" s="617"/>
      <c r="L13" s="775">
        <f t="shared" ref="L13:L53" si="0">F13*12</f>
        <v>0</v>
      </c>
      <c r="N13" s="413" t="s">
        <v>1463</v>
      </c>
      <c r="O13" s="820">
        <v>0</v>
      </c>
      <c r="P13" s="820" t="str">
        <f t="shared" ref="P13:P53" si="1">IF(O13=E13, "Y", "N")</f>
        <v>Y</v>
      </c>
      <c r="Q13" s="413" t="str">
        <f t="shared" ref="Q13:Q53" si="2">IF(R13=O13, "Y", "N")</f>
        <v>Y</v>
      </c>
      <c r="R13" s="820">
        <v>0</v>
      </c>
      <c r="S13" s="849"/>
    </row>
    <row r="14" spans="1:19">
      <c r="A14" s="770" t="s">
        <v>1464</v>
      </c>
      <c r="B14" s="771">
        <v>33240966.090000004</v>
      </c>
      <c r="C14" s="772">
        <v>0</v>
      </c>
      <c r="D14" s="771">
        <v>219439.28</v>
      </c>
      <c r="E14" s="772">
        <v>0</v>
      </c>
      <c r="F14" s="773">
        <f>IF(E14=0%, D14, (B14+K14)*E14/12)</f>
        <v>219439.28</v>
      </c>
      <c r="G14" s="774">
        <f>+F14-D14</f>
        <v>0</v>
      </c>
      <c r="H14" s="620">
        <v>0</v>
      </c>
      <c r="I14" s="617"/>
      <c r="J14" s="617"/>
      <c r="L14" s="775">
        <f t="shared" si="0"/>
        <v>2633271.36</v>
      </c>
      <c r="N14" s="413" t="s">
        <v>1464</v>
      </c>
      <c r="O14" s="820">
        <v>0</v>
      </c>
      <c r="P14" s="820" t="str">
        <f t="shared" si="1"/>
        <v>Y</v>
      </c>
      <c r="Q14" s="413" t="str">
        <f t="shared" si="2"/>
        <v>Y</v>
      </c>
      <c r="R14" s="820">
        <v>0</v>
      </c>
      <c r="S14" s="849"/>
    </row>
    <row r="15" spans="1:19">
      <c r="A15" s="770" t="s">
        <v>1465</v>
      </c>
      <c r="B15" s="771">
        <v>211404.97</v>
      </c>
      <c r="C15" s="772">
        <v>0</v>
      </c>
      <c r="D15" s="771">
        <v>0</v>
      </c>
      <c r="E15" s="772">
        <v>0</v>
      </c>
      <c r="F15" s="773">
        <f t="shared" ref="F15:F33" si="3">IF(E15=0%, D15, (B15+K15)*E15/12)</f>
        <v>0</v>
      </c>
      <c r="G15" s="774">
        <f t="shared" ref="G15:G53" si="4">+F15-D15</f>
        <v>0</v>
      </c>
      <c r="H15" s="620">
        <v>0</v>
      </c>
      <c r="I15" s="617"/>
      <c r="J15" s="617"/>
      <c r="L15" s="775">
        <f t="shared" si="0"/>
        <v>0</v>
      </c>
      <c r="N15" s="413" t="s">
        <v>1465</v>
      </c>
      <c r="O15" s="820">
        <v>0</v>
      </c>
      <c r="P15" s="820" t="str">
        <f t="shared" si="1"/>
        <v>Y</v>
      </c>
      <c r="Q15" s="413" t="str">
        <f t="shared" si="2"/>
        <v>Y</v>
      </c>
      <c r="R15" s="820">
        <v>0</v>
      </c>
      <c r="S15" s="849"/>
    </row>
    <row r="16" spans="1:19">
      <c r="A16" s="770" t="s">
        <v>1466</v>
      </c>
      <c r="B16" s="771">
        <v>1018396.75</v>
      </c>
      <c r="C16" s="772">
        <v>1.5800000000000002E-2</v>
      </c>
      <c r="D16" s="771">
        <v>1340.8899999999999</v>
      </c>
      <c r="E16" s="772">
        <v>6.5000000000000006E-3</v>
      </c>
      <c r="F16" s="773">
        <f t="shared" si="3"/>
        <v>551.63157291666664</v>
      </c>
      <c r="G16" s="774">
        <f t="shared" si="4"/>
        <v>-789.25842708333323</v>
      </c>
      <c r="H16" s="620">
        <f>+G16*12</f>
        <v>-9471.1011249999992</v>
      </c>
      <c r="I16" s="617"/>
      <c r="J16" s="617"/>
      <c r="L16" s="775">
        <f t="shared" si="0"/>
        <v>6619.5788749999992</v>
      </c>
      <c r="N16" s="413" t="s">
        <v>1466</v>
      </c>
      <c r="O16" s="820">
        <v>6.5000000000000006E-3</v>
      </c>
      <c r="P16" s="820" t="str">
        <f t="shared" si="1"/>
        <v>Y</v>
      </c>
      <c r="Q16" s="413" t="str">
        <f t="shared" si="2"/>
        <v>Y</v>
      </c>
      <c r="R16" s="820">
        <v>6.4999999999999997E-3</v>
      </c>
      <c r="S16" s="849"/>
    </row>
    <row r="17" spans="1:19">
      <c r="A17" s="770" t="s">
        <v>1467</v>
      </c>
      <c r="B17" s="771">
        <v>15900055.620000001</v>
      </c>
      <c r="C17" s="772">
        <v>1.8200000000000001E-2</v>
      </c>
      <c r="D17" s="771">
        <v>24115.08</v>
      </c>
      <c r="E17" s="772">
        <v>1.4999999999999999E-2</v>
      </c>
      <c r="F17" s="773">
        <f t="shared" si="3"/>
        <v>19875.069525000003</v>
      </c>
      <c r="G17" s="774">
        <f t="shared" si="4"/>
        <v>-4240.0104749999991</v>
      </c>
      <c r="H17" s="620">
        <f t="shared" ref="H17:H53" si="5">+G17*12</f>
        <v>-50880.12569999999</v>
      </c>
      <c r="I17" s="617"/>
      <c r="J17" s="617"/>
      <c r="L17" s="775">
        <f t="shared" si="0"/>
        <v>238500.83430000005</v>
      </c>
      <c r="N17" s="413" t="s">
        <v>1467</v>
      </c>
      <c r="O17" s="820">
        <v>1.4999999999999999E-2</v>
      </c>
      <c r="P17" s="820" t="str">
        <f t="shared" si="1"/>
        <v>Y</v>
      </c>
      <c r="Q17" s="413" t="str">
        <f t="shared" si="2"/>
        <v>Y</v>
      </c>
      <c r="R17" s="820">
        <v>1.4999999999999999E-2</v>
      </c>
      <c r="S17" s="849"/>
    </row>
    <row r="18" spans="1:19">
      <c r="A18" s="770" t="s">
        <v>1468</v>
      </c>
      <c r="B18" s="771">
        <v>144661.09999999998</v>
      </c>
      <c r="C18" s="772">
        <v>4.1000000000000003E-3</v>
      </c>
      <c r="D18" s="771">
        <v>49.43</v>
      </c>
      <c r="E18" s="772">
        <v>4.5999999999999999E-2</v>
      </c>
      <c r="F18" s="773">
        <f t="shared" si="3"/>
        <v>554.53421666666657</v>
      </c>
      <c r="G18" s="774">
        <f t="shared" si="4"/>
        <v>505.10421666666656</v>
      </c>
      <c r="H18" s="620">
        <f t="shared" si="5"/>
        <v>6061.2505999999985</v>
      </c>
      <c r="I18" s="617"/>
      <c r="J18" s="617"/>
      <c r="L18" s="775">
        <f t="shared" si="0"/>
        <v>6654.4105999999992</v>
      </c>
      <c r="N18" s="413" t="s">
        <v>1468</v>
      </c>
      <c r="O18" s="820">
        <v>4.5999999999999999E-2</v>
      </c>
      <c r="P18" s="820" t="str">
        <f t="shared" si="1"/>
        <v>Y</v>
      </c>
      <c r="Q18" s="413" t="str">
        <f t="shared" si="2"/>
        <v>Y</v>
      </c>
      <c r="R18" s="820">
        <v>4.5999999999999999E-2</v>
      </c>
      <c r="S18" s="849"/>
    </row>
    <row r="19" spans="1:19">
      <c r="A19" s="770" t="s">
        <v>1470</v>
      </c>
      <c r="B19" s="771">
        <v>388301.94999999995</v>
      </c>
      <c r="C19" s="772">
        <v>0</v>
      </c>
      <c r="D19" s="771">
        <v>0</v>
      </c>
      <c r="E19" s="772">
        <v>0</v>
      </c>
      <c r="F19" s="773"/>
      <c r="G19" s="774">
        <f t="shared" si="4"/>
        <v>0</v>
      </c>
      <c r="H19" s="620">
        <f t="shared" si="5"/>
        <v>0</v>
      </c>
      <c r="I19" s="617"/>
      <c r="J19" s="617"/>
      <c r="K19" s="617"/>
      <c r="L19" s="775">
        <f t="shared" si="0"/>
        <v>0</v>
      </c>
      <c r="N19" s="413" t="s">
        <v>1470</v>
      </c>
      <c r="O19" s="820">
        <v>0</v>
      </c>
      <c r="P19" s="820" t="str">
        <f t="shared" si="1"/>
        <v>Y</v>
      </c>
      <c r="Q19" s="413" t="str">
        <f t="shared" si="2"/>
        <v>Y</v>
      </c>
      <c r="R19" s="820">
        <v>0</v>
      </c>
      <c r="S19" s="849"/>
    </row>
    <row r="20" spans="1:19">
      <c r="A20" s="770" t="s">
        <v>1469</v>
      </c>
      <c r="B20" s="771">
        <v>1922322.92</v>
      </c>
      <c r="C20" s="772">
        <v>1.8800000000000001E-2</v>
      </c>
      <c r="D20" s="771">
        <v>3011.6400000000003</v>
      </c>
      <c r="E20" s="772">
        <v>1.6399999999999998E-2</v>
      </c>
      <c r="F20" s="773">
        <f t="shared" si="3"/>
        <v>2627.174657333333</v>
      </c>
      <c r="G20" s="774">
        <f t="shared" si="4"/>
        <v>-384.46534266666731</v>
      </c>
      <c r="H20" s="620">
        <f t="shared" si="5"/>
        <v>-4613.5841120000077</v>
      </c>
      <c r="I20" s="617"/>
      <c r="J20" s="617"/>
      <c r="K20" s="776"/>
      <c r="L20" s="775">
        <f t="shared" si="0"/>
        <v>31526.095887999996</v>
      </c>
      <c r="N20" s="413" t="s">
        <v>1469</v>
      </c>
      <c r="O20" s="820">
        <v>1.6399999999999998E-2</v>
      </c>
      <c r="P20" s="820" t="str">
        <f t="shared" si="1"/>
        <v>Y</v>
      </c>
      <c r="Q20" s="413" t="str">
        <f t="shared" si="2"/>
        <v>Y</v>
      </c>
      <c r="R20" s="820">
        <v>1.6400000000000001E-2</v>
      </c>
      <c r="S20" s="849"/>
    </row>
    <row r="21" spans="1:19">
      <c r="A21" s="770" t="s">
        <v>1471</v>
      </c>
      <c r="B21" s="771">
        <v>1019863.1399999999</v>
      </c>
      <c r="C21" s="772">
        <v>1.2200000000000001E-2</v>
      </c>
      <c r="D21" s="771">
        <v>1036.3500000000001</v>
      </c>
      <c r="E21" s="959">
        <v>8.3999999999999995E-3</v>
      </c>
      <c r="F21" s="963">
        <f t="shared" si="3"/>
        <v>713.90419799999984</v>
      </c>
      <c r="G21" s="964">
        <f t="shared" si="4"/>
        <v>-322.4458020000003</v>
      </c>
      <c r="H21" s="965">
        <f t="shared" si="5"/>
        <v>-3869.3496240000036</v>
      </c>
      <c r="I21" s="617"/>
      <c r="J21" s="617"/>
      <c r="K21" s="617"/>
      <c r="L21" s="966">
        <f t="shared" si="0"/>
        <v>8566.8503759999985</v>
      </c>
      <c r="N21" s="413" t="s">
        <v>1471</v>
      </c>
      <c r="O21" s="820">
        <v>8.3999999999999995E-3</v>
      </c>
      <c r="P21" s="820" t="str">
        <f t="shared" si="1"/>
        <v>Y</v>
      </c>
      <c r="Q21" s="413" t="str">
        <f t="shared" si="2"/>
        <v>N</v>
      </c>
      <c r="R21" s="820">
        <v>7.1999999999999998E-3</v>
      </c>
      <c r="S21" s="849"/>
    </row>
    <row r="22" spans="1:19">
      <c r="A22" s="770" t="s">
        <v>1472</v>
      </c>
      <c r="B22" s="771">
        <v>159069534.16</v>
      </c>
      <c r="C22" s="772">
        <v>1.2500000000000001E-2</v>
      </c>
      <c r="D22" s="771">
        <v>165697.43</v>
      </c>
      <c r="E22" s="959">
        <v>1.52E-2</v>
      </c>
      <c r="F22" s="963">
        <f t="shared" si="3"/>
        <v>201488.07660266667</v>
      </c>
      <c r="G22" s="964">
        <f t="shared" si="4"/>
        <v>35790.646602666675</v>
      </c>
      <c r="H22" s="965">
        <f t="shared" si="5"/>
        <v>429487.7592320001</v>
      </c>
      <c r="I22" s="617"/>
      <c r="J22" s="617"/>
      <c r="K22" s="617"/>
      <c r="L22" s="966">
        <f t="shared" si="0"/>
        <v>2417856.9192320001</v>
      </c>
      <c r="N22" s="413" t="s">
        <v>1472</v>
      </c>
      <c r="O22" s="820">
        <v>1.52E-2</v>
      </c>
      <c r="P22" s="820" t="str">
        <f t="shared" si="1"/>
        <v>Y</v>
      </c>
      <c r="Q22" s="413" t="str">
        <f t="shared" si="2"/>
        <v>N</v>
      </c>
      <c r="R22" s="820">
        <v>1.3899999999999999E-2</v>
      </c>
      <c r="S22" s="849"/>
    </row>
    <row r="23" spans="1:19">
      <c r="A23" s="770" t="s">
        <v>1473</v>
      </c>
      <c r="B23" s="771">
        <v>151836907.29000002</v>
      </c>
      <c r="C23" s="772">
        <v>4.1300000000000003E-2</v>
      </c>
      <c r="D23" s="771">
        <v>522572.02</v>
      </c>
      <c r="E23" s="959">
        <v>2.81E-2</v>
      </c>
      <c r="F23" s="963">
        <f t="shared" si="3"/>
        <v>355551.42457075004</v>
      </c>
      <c r="G23" s="964">
        <f t="shared" si="4"/>
        <v>-167020.59542924998</v>
      </c>
      <c r="H23" s="965">
        <f t="shared" si="5"/>
        <v>-2004247.1451509998</v>
      </c>
      <c r="I23" s="617"/>
      <c r="J23" s="617"/>
      <c r="K23" s="617"/>
      <c r="L23" s="966">
        <f t="shared" si="0"/>
        <v>4266617.0948490007</v>
      </c>
      <c r="N23" s="413" t="s">
        <v>1473</v>
      </c>
      <c r="O23" s="820">
        <v>2.81E-2</v>
      </c>
      <c r="P23" s="820" t="str">
        <f t="shared" si="1"/>
        <v>Y</v>
      </c>
      <c r="Q23" s="413" t="str">
        <f t="shared" si="2"/>
        <v>N</v>
      </c>
      <c r="R23" s="820">
        <v>3.15E-2</v>
      </c>
      <c r="S23" s="849"/>
    </row>
    <row r="24" spans="1:19">
      <c r="A24" s="770" t="s">
        <v>1474</v>
      </c>
      <c r="B24" s="771">
        <v>118986847.07000001</v>
      </c>
      <c r="C24" s="772">
        <v>2.1999999999999999E-2</v>
      </c>
      <c r="D24" s="771">
        <v>218142.55000000002</v>
      </c>
      <c r="E24" s="959">
        <v>3.56E-2</v>
      </c>
      <c r="F24" s="963">
        <f t="shared" si="3"/>
        <v>352994.31297433336</v>
      </c>
      <c r="G24" s="964">
        <f t="shared" si="4"/>
        <v>134851.76297433334</v>
      </c>
      <c r="H24" s="965">
        <f t="shared" si="5"/>
        <v>1618221.1556919999</v>
      </c>
      <c r="I24" s="617"/>
      <c r="J24" s="617"/>
      <c r="K24" s="617"/>
      <c r="L24" s="966">
        <f t="shared" si="0"/>
        <v>4235931.7556920005</v>
      </c>
      <c r="N24" s="413" t="s">
        <v>1474</v>
      </c>
      <c r="O24" s="820">
        <v>3.56E-2</v>
      </c>
      <c r="P24" s="820" t="str">
        <f t="shared" si="1"/>
        <v>Y</v>
      </c>
      <c r="Q24" s="413" t="str">
        <f t="shared" si="2"/>
        <v>N</v>
      </c>
      <c r="R24" s="820">
        <v>2.9499999999999998E-2</v>
      </c>
      <c r="S24" s="849"/>
    </row>
    <row r="25" spans="1:19">
      <c r="A25" s="770" t="s">
        <v>1497</v>
      </c>
      <c r="B25" s="771">
        <v>2097766.77</v>
      </c>
      <c r="C25" s="772">
        <v>1.78E-2</v>
      </c>
      <c r="D25" s="771">
        <v>3111.69</v>
      </c>
      <c r="E25" s="772">
        <v>1.72E-2</v>
      </c>
      <c r="F25" s="773">
        <f t="shared" si="3"/>
        <v>3006.7990370000002</v>
      </c>
      <c r="G25" s="774">
        <f t="shared" si="4"/>
        <v>-104.89096299999983</v>
      </c>
      <c r="H25" s="620">
        <f t="shared" si="5"/>
        <v>-1258.6915559999979</v>
      </c>
      <c r="I25" s="617"/>
      <c r="J25" s="617"/>
      <c r="K25" s="617"/>
      <c r="L25" s="775">
        <f t="shared" si="0"/>
        <v>36081.588444000001</v>
      </c>
      <c r="N25" s="413" t="s">
        <v>1497</v>
      </c>
      <c r="O25" s="820">
        <v>1.72E-2</v>
      </c>
      <c r="P25" s="820" t="str">
        <f t="shared" si="1"/>
        <v>Y</v>
      </c>
      <c r="Q25" s="413" t="str">
        <f t="shared" si="2"/>
        <v>Y</v>
      </c>
      <c r="R25" s="820">
        <v>1.72E-2</v>
      </c>
      <c r="S25" s="849"/>
    </row>
    <row r="26" spans="1:19">
      <c r="A26" s="770" t="s">
        <v>2374</v>
      </c>
      <c r="B26" s="771">
        <v>25599862.800000001</v>
      </c>
      <c r="C26" s="772">
        <v>1.9199999999999998E-2</v>
      </c>
      <c r="D26" s="771">
        <v>40959.78</v>
      </c>
      <c r="E26" s="772">
        <v>1.9699999999999999E-2</v>
      </c>
      <c r="F26" s="773">
        <f t="shared" si="3"/>
        <v>42026.441429999999</v>
      </c>
      <c r="G26" s="774">
        <f t="shared" si="4"/>
        <v>1066.6614300000001</v>
      </c>
      <c r="H26" s="620">
        <f t="shared" si="5"/>
        <v>12799.937160000001</v>
      </c>
      <c r="I26" s="617"/>
      <c r="J26" s="617"/>
      <c r="K26" s="617"/>
      <c r="L26" s="775">
        <f t="shared" si="0"/>
        <v>504317.29715999996</v>
      </c>
      <c r="N26" s="413" t="s">
        <v>2374</v>
      </c>
      <c r="O26" s="820">
        <v>1.9699999999999999E-2</v>
      </c>
      <c r="P26" s="820" t="str">
        <f t="shared" si="1"/>
        <v>Y</v>
      </c>
      <c r="Q26" s="413" t="str">
        <f t="shared" si="2"/>
        <v>Y</v>
      </c>
      <c r="R26" s="820">
        <v>1.9699999999999999E-2</v>
      </c>
      <c r="S26" s="849"/>
    </row>
    <row r="27" spans="1:19">
      <c r="A27" s="770" t="s">
        <v>1475</v>
      </c>
      <c r="B27" s="771">
        <v>146616703.03999999</v>
      </c>
      <c r="C27" s="772">
        <v>3.8800000000000001E-2</v>
      </c>
      <c r="D27" s="771">
        <v>474060.68</v>
      </c>
      <c r="E27" s="959">
        <v>3.3599999999999998E-2</v>
      </c>
      <c r="F27" s="963">
        <f t="shared" si="3"/>
        <v>410526.76851199992</v>
      </c>
      <c r="G27" s="964">
        <f t="shared" si="4"/>
        <v>-63533.911488000071</v>
      </c>
      <c r="H27" s="965">
        <f t="shared" si="5"/>
        <v>-762406.93785600085</v>
      </c>
      <c r="I27" s="617"/>
      <c r="J27" s="617"/>
      <c r="K27" s="617"/>
      <c r="L27" s="966">
        <f t="shared" si="0"/>
        <v>4926321.2221439993</v>
      </c>
      <c r="N27" s="413" t="s">
        <v>1475</v>
      </c>
      <c r="O27" s="820">
        <v>3.3599999999999998E-2</v>
      </c>
      <c r="P27" s="820" t="str">
        <f t="shared" si="1"/>
        <v>Y</v>
      </c>
      <c r="Q27" s="413" t="str">
        <f t="shared" si="2"/>
        <v>N</v>
      </c>
      <c r="R27" s="820">
        <v>4.2599999999999999E-2</v>
      </c>
      <c r="S27" s="849"/>
    </row>
    <row r="28" spans="1:19">
      <c r="A28" s="770" t="s">
        <v>1476</v>
      </c>
      <c r="B28" s="771">
        <v>62126401.860000007</v>
      </c>
      <c r="C28" s="772">
        <v>3.3299999999999996E-2</v>
      </c>
      <c r="D28" s="771">
        <v>172400.76</v>
      </c>
      <c r="E28" s="772">
        <v>3.4700000000000002E-2</v>
      </c>
      <c r="F28" s="773">
        <f t="shared" si="3"/>
        <v>179648.84537850003</v>
      </c>
      <c r="G28" s="774">
        <f t="shared" si="4"/>
        <v>7248.0853785000218</v>
      </c>
      <c r="H28" s="620">
        <f t="shared" si="5"/>
        <v>86977.024542000261</v>
      </c>
      <c r="I28" s="617"/>
      <c r="J28" s="617"/>
      <c r="L28" s="775">
        <f t="shared" si="0"/>
        <v>2155786.1445420003</v>
      </c>
      <c r="N28" s="413" t="s">
        <v>1476</v>
      </c>
      <c r="O28" s="820">
        <v>3.4700000000000002E-2</v>
      </c>
      <c r="P28" s="820" t="str">
        <f t="shared" si="1"/>
        <v>Y</v>
      </c>
      <c r="Q28" s="413" t="str">
        <f t="shared" si="2"/>
        <v>Y</v>
      </c>
      <c r="R28" s="820">
        <v>3.4700000000000002E-2</v>
      </c>
      <c r="S28" s="849"/>
    </row>
    <row r="29" spans="1:19">
      <c r="A29" s="770" t="s">
        <v>1477</v>
      </c>
      <c r="B29" s="771">
        <v>16022598.870000001</v>
      </c>
      <c r="C29" s="772">
        <v>6.8900000000000003E-2</v>
      </c>
      <c r="D29" s="771">
        <v>91835.459999999992</v>
      </c>
      <c r="E29" s="959">
        <v>2.6099999999999998E-2</v>
      </c>
      <c r="F29" s="963">
        <f t="shared" si="3"/>
        <v>34849.152542249998</v>
      </c>
      <c r="G29" s="964">
        <f t="shared" si="4"/>
        <v>-56986.307457749994</v>
      </c>
      <c r="H29" s="965">
        <f t="shared" si="5"/>
        <v>-683835.68949299993</v>
      </c>
      <c r="I29" s="617"/>
      <c r="J29" s="617"/>
      <c r="L29" s="966">
        <f t="shared" si="0"/>
        <v>418189.83050699998</v>
      </c>
      <c r="N29" s="413" t="s">
        <v>1477</v>
      </c>
      <c r="O29" s="820">
        <v>2.6099999999999998E-2</v>
      </c>
      <c r="P29" s="820" t="str">
        <f t="shared" si="1"/>
        <v>Y</v>
      </c>
      <c r="Q29" s="413" t="str">
        <f t="shared" si="2"/>
        <v>N</v>
      </c>
      <c r="R29" s="820">
        <v>2.7199999999999998E-2</v>
      </c>
      <c r="S29" s="849"/>
    </row>
    <row r="30" spans="1:19">
      <c r="A30" s="770" t="s">
        <v>1478</v>
      </c>
      <c r="B30" s="771">
        <v>32273846.380000003</v>
      </c>
      <c r="C30" s="772">
        <v>2.2700000000000001E-2</v>
      </c>
      <c r="D30" s="771">
        <v>60944.54</v>
      </c>
      <c r="E30" s="959">
        <v>2.6099999999999998E-2</v>
      </c>
      <c r="F30" s="963">
        <f t="shared" si="3"/>
        <v>70195.6158765</v>
      </c>
      <c r="G30" s="964">
        <f t="shared" si="4"/>
        <v>9251.0758764999991</v>
      </c>
      <c r="H30" s="965">
        <f t="shared" si="5"/>
        <v>111012.91051799999</v>
      </c>
      <c r="I30" s="617"/>
      <c r="J30" s="617"/>
      <c r="L30" s="966">
        <f t="shared" si="0"/>
        <v>842347.390518</v>
      </c>
      <c r="N30" s="413" t="s">
        <v>1478</v>
      </c>
      <c r="O30" s="820">
        <v>2.6099999999999998E-2</v>
      </c>
      <c r="P30" s="820" t="str">
        <f t="shared" si="1"/>
        <v>Y</v>
      </c>
      <c r="Q30" s="413" t="str">
        <f t="shared" si="2"/>
        <v>N</v>
      </c>
      <c r="R30" s="820">
        <v>2.7199999999999998E-2</v>
      </c>
      <c r="S30" s="849"/>
    </row>
    <row r="31" spans="1:19">
      <c r="A31" s="770" t="s">
        <v>1479</v>
      </c>
      <c r="B31" s="771">
        <v>24129820.09</v>
      </c>
      <c r="C31" s="772">
        <v>1.8599999999999998E-2</v>
      </c>
      <c r="D31" s="771">
        <v>37401.22</v>
      </c>
      <c r="E31" s="959">
        <v>2.6099999999999998E-2</v>
      </c>
      <c r="F31" s="963">
        <f t="shared" si="3"/>
        <v>52482.358695750001</v>
      </c>
      <c r="G31" s="964">
        <f t="shared" si="4"/>
        <v>15081.13869575</v>
      </c>
      <c r="H31" s="965">
        <f t="shared" si="5"/>
        <v>180973.664349</v>
      </c>
      <c r="I31" s="617"/>
      <c r="J31" s="617"/>
      <c r="L31" s="966">
        <f t="shared" si="0"/>
        <v>629788.30434899998</v>
      </c>
      <c r="N31" s="413" t="s">
        <v>1479</v>
      </c>
      <c r="O31" s="820">
        <v>2.6099999999999998E-2</v>
      </c>
      <c r="P31" s="820" t="str">
        <f t="shared" si="1"/>
        <v>Y</v>
      </c>
      <c r="Q31" s="413" t="str">
        <f t="shared" si="2"/>
        <v>N</v>
      </c>
      <c r="R31" s="820">
        <v>2.7199999999999998E-2</v>
      </c>
      <c r="S31" s="849"/>
    </row>
    <row r="32" spans="1:19">
      <c r="A32" s="770" t="s">
        <v>1480</v>
      </c>
      <c r="B32" s="771">
        <v>8559185.1400000006</v>
      </c>
      <c r="C32" s="772">
        <v>2.3199999999999998E-2</v>
      </c>
      <c r="D32" s="771">
        <v>16518.809999999998</v>
      </c>
      <c r="E32" s="959">
        <v>2.1600000000000001E-2</v>
      </c>
      <c r="F32" s="963">
        <f t="shared" si="3"/>
        <v>15406.533252000001</v>
      </c>
      <c r="G32" s="964">
        <f t="shared" si="4"/>
        <v>-1112.2767479999966</v>
      </c>
      <c r="H32" s="965">
        <f t="shared" si="5"/>
        <v>-13347.320975999959</v>
      </c>
      <c r="I32" s="617"/>
      <c r="J32" s="617"/>
      <c r="L32" s="966">
        <f t="shared" si="0"/>
        <v>184878.39902400001</v>
      </c>
      <c r="N32" s="413" t="s">
        <v>1480</v>
      </c>
      <c r="O32" s="820">
        <v>2.1600000000000001E-2</v>
      </c>
      <c r="P32" s="820" t="str">
        <f t="shared" si="1"/>
        <v>Y</v>
      </c>
      <c r="Q32" s="413" t="str">
        <f t="shared" si="2"/>
        <v>N</v>
      </c>
      <c r="R32" s="820">
        <v>2.4199999999999999E-2</v>
      </c>
      <c r="S32" s="849"/>
    </row>
    <row r="33" spans="1:19">
      <c r="A33" s="770" t="s">
        <v>1481</v>
      </c>
      <c r="B33" s="771">
        <v>9718288.5999999996</v>
      </c>
      <c r="C33" s="772">
        <v>2.18E-2</v>
      </c>
      <c r="D33" s="771">
        <v>17654.89</v>
      </c>
      <c r="E33" s="959">
        <v>1.7000000000000001E-2</v>
      </c>
      <c r="F33" s="963">
        <f t="shared" si="3"/>
        <v>13767.575516666666</v>
      </c>
      <c r="G33" s="964">
        <f t="shared" si="4"/>
        <v>-3887.3144833333336</v>
      </c>
      <c r="H33" s="965">
        <f t="shared" si="5"/>
        <v>-46647.773800000003</v>
      </c>
      <c r="I33" s="617"/>
      <c r="J33" s="617"/>
      <c r="L33" s="966">
        <f t="shared" si="0"/>
        <v>165210.9062</v>
      </c>
      <c r="N33" s="413" t="s">
        <v>1481</v>
      </c>
      <c r="O33" s="820">
        <v>1.7000000000000001E-2</v>
      </c>
      <c r="P33" s="820" t="str">
        <f t="shared" si="1"/>
        <v>Y</v>
      </c>
      <c r="Q33" s="413" t="str">
        <f t="shared" si="2"/>
        <v>N</v>
      </c>
      <c r="R33" s="820">
        <v>1.8700000000000001E-2</v>
      </c>
      <c r="S33" s="849"/>
    </row>
    <row r="34" spans="1:19">
      <c r="A34" s="770" t="s">
        <v>1482</v>
      </c>
      <c r="B34" s="771">
        <v>3267535.24</v>
      </c>
      <c r="C34" s="772">
        <v>0</v>
      </c>
      <c r="D34" s="771">
        <v>0</v>
      </c>
      <c r="E34" s="772">
        <v>0</v>
      </c>
      <c r="F34" s="773"/>
      <c r="G34" s="774">
        <f t="shared" si="4"/>
        <v>0</v>
      </c>
      <c r="H34" s="620">
        <f t="shared" si="5"/>
        <v>0</v>
      </c>
      <c r="I34" s="617"/>
      <c r="J34" s="617"/>
      <c r="L34" s="775">
        <f t="shared" si="0"/>
        <v>0</v>
      </c>
      <c r="N34" s="413" t="s">
        <v>1482</v>
      </c>
      <c r="O34" s="820">
        <v>0</v>
      </c>
      <c r="P34" s="820" t="str">
        <f t="shared" si="1"/>
        <v>Y</v>
      </c>
      <c r="Q34" s="413" t="str">
        <f t="shared" si="2"/>
        <v>Y</v>
      </c>
      <c r="R34" s="820">
        <v>0</v>
      </c>
      <c r="S34" s="849"/>
    </row>
    <row r="35" spans="1:19">
      <c r="A35" s="770" t="s">
        <v>1483</v>
      </c>
      <c r="B35" s="771">
        <v>7933.28</v>
      </c>
      <c r="C35" s="772">
        <v>0</v>
      </c>
      <c r="D35" s="771">
        <v>0</v>
      </c>
      <c r="E35" s="772">
        <v>0</v>
      </c>
      <c r="F35" s="773"/>
      <c r="G35" s="774">
        <f t="shared" si="4"/>
        <v>0</v>
      </c>
      <c r="H35" s="620">
        <f t="shared" si="5"/>
        <v>0</v>
      </c>
      <c r="L35" s="775">
        <f t="shared" si="0"/>
        <v>0</v>
      </c>
      <c r="N35" s="413" t="s">
        <v>1483</v>
      </c>
      <c r="O35" s="820">
        <v>0</v>
      </c>
      <c r="P35" s="820" t="str">
        <f t="shared" si="1"/>
        <v>Y</v>
      </c>
      <c r="Q35" s="413" t="str">
        <f t="shared" si="2"/>
        <v>Y</v>
      </c>
      <c r="R35" s="820">
        <v>0</v>
      </c>
      <c r="S35" s="849"/>
    </row>
    <row r="36" spans="1:19">
      <c r="A36" s="770" t="s">
        <v>1484</v>
      </c>
      <c r="B36" s="771">
        <v>16960355.690000001</v>
      </c>
      <c r="C36" s="772">
        <v>1.24E-2</v>
      </c>
      <c r="D36" s="771">
        <v>17518.289999999997</v>
      </c>
      <c r="E36" s="772">
        <v>1.44E-2</v>
      </c>
      <c r="F36" s="773">
        <f>IF(E36=0%, D36, (B36+K38)*E36/12)</f>
        <v>20352.426828</v>
      </c>
      <c r="G36" s="774">
        <f t="shared" si="4"/>
        <v>2834.1368280000024</v>
      </c>
      <c r="H36" s="620">
        <f t="shared" si="5"/>
        <v>34009.641936000029</v>
      </c>
      <c r="L36" s="775">
        <f t="shared" si="0"/>
        <v>244229.12193600001</v>
      </c>
      <c r="N36" s="413" t="s">
        <v>1484</v>
      </c>
      <c r="O36" s="820">
        <v>1.44E-2</v>
      </c>
      <c r="P36" s="820" t="str">
        <f t="shared" si="1"/>
        <v>Y</v>
      </c>
      <c r="Q36" s="413" t="str">
        <f t="shared" si="2"/>
        <v>Y</v>
      </c>
      <c r="R36" s="820">
        <v>1.44E-2</v>
      </c>
      <c r="S36" s="849"/>
    </row>
    <row r="37" spans="1:19">
      <c r="A37" s="770" t="s">
        <v>1487</v>
      </c>
      <c r="B37" s="771">
        <v>2626882.3000000003</v>
      </c>
      <c r="C37" s="772">
        <v>0.16239999999999999</v>
      </c>
      <c r="D37" s="771">
        <v>35493.72</v>
      </c>
      <c r="E37" s="772">
        <v>0.44020000000000004</v>
      </c>
      <c r="F37" s="773">
        <f>(B37+K37)*(E37/12)</f>
        <v>52243.020371666687</v>
      </c>
      <c r="G37" s="774">
        <f t="shared" si="4"/>
        <v>16749.300371666686</v>
      </c>
      <c r="H37" s="620">
        <f t="shared" si="5"/>
        <v>200991.60446000024</v>
      </c>
      <c r="I37" s="617">
        <v>11</v>
      </c>
      <c r="J37" s="617">
        <v>5</v>
      </c>
      <c r="K37" s="771">
        <v>-1202720</v>
      </c>
      <c r="L37" s="775">
        <f t="shared" si="0"/>
        <v>626916.24446000019</v>
      </c>
      <c r="N37" s="413" t="s">
        <v>1487</v>
      </c>
      <c r="O37" s="820">
        <v>0.44020000000000004</v>
      </c>
      <c r="P37" s="820" t="str">
        <f t="shared" si="1"/>
        <v>Y</v>
      </c>
      <c r="Q37" s="413" t="str">
        <f t="shared" si="2"/>
        <v>Y</v>
      </c>
      <c r="R37" s="820">
        <v>0.44019999999999998</v>
      </c>
      <c r="S37" s="849"/>
    </row>
    <row r="38" spans="1:19">
      <c r="A38" s="770" t="s">
        <v>1485</v>
      </c>
      <c r="B38" s="771">
        <v>233771.36000000004</v>
      </c>
      <c r="C38" s="772">
        <v>0.17369999999999999</v>
      </c>
      <c r="D38" s="771">
        <v>3381.09</v>
      </c>
      <c r="E38" s="772">
        <v>0.26369999999999999</v>
      </c>
      <c r="F38" s="773">
        <f>(B38+K38)*(E38/12)</f>
        <v>5137.1256360000007</v>
      </c>
      <c r="G38" s="774">
        <f t="shared" si="4"/>
        <v>1756.0356360000005</v>
      </c>
      <c r="H38" s="620">
        <f t="shared" si="5"/>
        <v>21072.427632000006</v>
      </c>
      <c r="I38" s="617">
        <v>15</v>
      </c>
      <c r="J38" s="617">
        <v>15</v>
      </c>
      <c r="K38" s="771">
        <v>0</v>
      </c>
      <c r="L38" s="775">
        <f t="shared" si="0"/>
        <v>61645.507632000008</v>
      </c>
      <c r="N38" s="413" t="s">
        <v>1485</v>
      </c>
      <c r="O38" s="820">
        <v>0.26369999999999999</v>
      </c>
      <c r="P38" s="820" t="str">
        <f t="shared" si="1"/>
        <v>Y</v>
      </c>
      <c r="Q38" s="413" t="str">
        <f t="shared" si="2"/>
        <v>Y</v>
      </c>
      <c r="R38" s="820">
        <v>0.26369999999999999</v>
      </c>
      <c r="S38" s="849"/>
    </row>
    <row r="39" spans="1:19">
      <c r="A39" s="770" t="s">
        <v>1486</v>
      </c>
      <c r="B39" s="771">
        <v>1410564.77</v>
      </c>
      <c r="C39" s="772">
        <v>4.9799999999999997E-2</v>
      </c>
      <c r="D39" s="771">
        <v>5847.45</v>
      </c>
      <c r="E39" s="772">
        <v>0.19</v>
      </c>
      <c r="F39" s="773">
        <f t="shared" ref="F39:F49" si="6">(B39+K39)*(E39/12)</f>
        <v>19900.232508333334</v>
      </c>
      <c r="G39" s="774">
        <f t="shared" si="4"/>
        <v>14052.782508333334</v>
      </c>
      <c r="H39" s="620">
        <f t="shared" si="5"/>
        <v>168633.39010000002</v>
      </c>
      <c r="I39" s="617">
        <v>25</v>
      </c>
      <c r="J39" s="617">
        <v>15</v>
      </c>
      <c r="K39" s="771">
        <v>-153707.98000000001</v>
      </c>
      <c r="L39" s="775">
        <f t="shared" si="0"/>
        <v>238802.79010000001</v>
      </c>
      <c r="N39" s="413" t="s">
        <v>1486</v>
      </c>
      <c r="O39" s="820">
        <v>0.19</v>
      </c>
      <c r="P39" s="820" t="str">
        <f t="shared" si="1"/>
        <v>Y</v>
      </c>
      <c r="Q39" s="413" t="str">
        <f t="shared" si="2"/>
        <v>Y</v>
      </c>
      <c r="R39" s="820">
        <v>0.19</v>
      </c>
      <c r="S39" s="849"/>
    </row>
    <row r="40" spans="1:19">
      <c r="A40" s="770" t="s">
        <v>2375</v>
      </c>
      <c r="B40" s="771">
        <v>2250897.6999999997</v>
      </c>
      <c r="C40" s="772">
        <v>0</v>
      </c>
      <c r="D40" s="771">
        <v>0</v>
      </c>
      <c r="E40" s="772">
        <v>0</v>
      </c>
      <c r="F40" s="773">
        <f t="shared" si="6"/>
        <v>0</v>
      </c>
      <c r="G40" s="774">
        <f t="shared" si="4"/>
        <v>0</v>
      </c>
      <c r="H40" s="620">
        <f t="shared" si="5"/>
        <v>0</v>
      </c>
      <c r="I40" s="617"/>
      <c r="J40" s="617"/>
      <c r="K40" s="771"/>
      <c r="L40" s="775">
        <f t="shared" si="0"/>
        <v>0</v>
      </c>
      <c r="N40" s="413" t="s">
        <v>2375</v>
      </c>
      <c r="O40" s="820">
        <v>0</v>
      </c>
      <c r="P40" s="820" t="str">
        <f t="shared" si="1"/>
        <v>Y</v>
      </c>
      <c r="Q40" s="413" t="str">
        <f t="shared" si="2"/>
        <v>Y</v>
      </c>
      <c r="R40" s="820">
        <v>0</v>
      </c>
      <c r="S40" s="849"/>
    </row>
    <row r="41" spans="1:19">
      <c r="A41" s="770" t="s">
        <v>2376</v>
      </c>
      <c r="B41" s="771">
        <v>209355.96000000002</v>
      </c>
      <c r="C41" s="772">
        <v>3.15E-2</v>
      </c>
      <c r="D41" s="771">
        <v>549.54</v>
      </c>
      <c r="E41" s="772">
        <v>2.69E-2</v>
      </c>
      <c r="F41" s="773">
        <f t="shared" si="6"/>
        <v>469.30627700000002</v>
      </c>
      <c r="G41" s="774">
        <f t="shared" si="4"/>
        <v>-80.233722999999941</v>
      </c>
      <c r="H41" s="620">
        <f t="shared" si="5"/>
        <v>-962.80467599999929</v>
      </c>
      <c r="L41" s="775">
        <f t="shared" si="0"/>
        <v>5631.6753239999998</v>
      </c>
      <c r="N41" s="413" t="s">
        <v>2376</v>
      </c>
      <c r="O41" s="820">
        <v>2.69E-2</v>
      </c>
      <c r="P41" s="820" t="str">
        <f t="shared" si="1"/>
        <v>Y</v>
      </c>
      <c r="Q41" s="413" t="str">
        <f t="shared" si="2"/>
        <v>Y</v>
      </c>
      <c r="R41" s="820">
        <v>2.69E-2</v>
      </c>
      <c r="S41" s="849"/>
    </row>
    <row r="42" spans="1:19">
      <c r="A42" s="770" t="s">
        <v>2377</v>
      </c>
      <c r="B42" s="771">
        <v>13232526.48</v>
      </c>
      <c r="C42" s="772">
        <v>6.1499999999999999E-2</v>
      </c>
      <c r="D42" s="771">
        <v>67803.55</v>
      </c>
      <c r="E42" s="772">
        <v>5.8899999999999994E-2</v>
      </c>
      <c r="F42" s="773">
        <f t="shared" si="6"/>
        <v>64949.650805999998</v>
      </c>
      <c r="G42" s="774">
        <f t="shared" si="4"/>
        <v>-2853.8991940000051</v>
      </c>
      <c r="H42" s="620">
        <f t="shared" si="5"/>
        <v>-34246.790328000061</v>
      </c>
      <c r="L42" s="775">
        <f t="shared" si="0"/>
        <v>779395.809672</v>
      </c>
      <c r="N42" s="413" t="s">
        <v>2377</v>
      </c>
      <c r="O42" s="820">
        <v>5.8899999999999994E-2</v>
      </c>
      <c r="P42" s="820" t="str">
        <f t="shared" si="1"/>
        <v>Y</v>
      </c>
      <c r="Q42" s="413" t="str">
        <f t="shared" si="2"/>
        <v>Y</v>
      </c>
      <c r="R42" s="820">
        <v>5.8900000000000001E-2</v>
      </c>
      <c r="S42" s="849"/>
    </row>
    <row r="43" spans="1:19">
      <c r="A43" s="770" t="s">
        <v>1488</v>
      </c>
      <c r="B43" s="771">
        <v>63199.69</v>
      </c>
      <c r="C43" s="772">
        <v>5.3400000000000003E-2</v>
      </c>
      <c r="D43" s="771">
        <v>280.95</v>
      </c>
      <c r="E43" s="772">
        <v>8.4000000000000005E-2</v>
      </c>
      <c r="F43" s="773">
        <f t="shared" si="6"/>
        <v>442.39783</v>
      </c>
      <c r="G43" s="774">
        <f t="shared" si="4"/>
        <v>161.44783000000001</v>
      </c>
      <c r="H43" s="620">
        <f t="shared" si="5"/>
        <v>1937.3739600000001</v>
      </c>
      <c r="I43" s="617">
        <v>33</v>
      </c>
      <c r="J43" s="617">
        <v>30</v>
      </c>
      <c r="K43" s="771">
        <v>0</v>
      </c>
      <c r="L43" s="775">
        <f t="shared" si="0"/>
        <v>5308.7739600000004</v>
      </c>
      <c r="N43" s="413" t="s">
        <v>1488</v>
      </c>
      <c r="O43" s="820">
        <v>8.4000000000000005E-2</v>
      </c>
      <c r="P43" s="820" t="str">
        <f t="shared" si="1"/>
        <v>Y</v>
      </c>
      <c r="Q43" s="413" t="str">
        <f t="shared" si="2"/>
        <v>Y</v>
      </c>
      <c r="R43" s="820">
        <v>8.4000000000000005E-2</v>
      </c>
      <c r="S43" s="849"/>
    </row>
    <row r="44" spans="1:19">
      <c r="A44" s="770" t="s">
        <v>1489</v>
      </c>
      <c r="B44" s="771">
        <v>7034460.8100000005</v>
      </c>
      <c r="C44" s="772">
        <v>3.56E-2</v>
      </c>
      <c r="D44" s="771">
        <v>20859.3</v>
      </c>
      <c r="E44" s="772">
        <v>0.1066</v>
      </c>
      <c r="F44" s="773">
        <f t="shared" si="6"/>
        <v>53716.40855966667</v>
      </c>
      <c r="G44" s="774">
        <f t="shared" si="4"/>
        <v>32857.108559666667</v>
      </c>
      <c r="H44" s="620">
        <f t="shared" si="5"/>
        <v>394285.30271600001</v>
      </c>
      <c r="I44" s="617">
        <v>31</v>
      </c>
      <c r="J44" s="617">
        <v>20</v>
      </c>
      <c r="K44" s="771">
        <v>-987585.55</v>
      </c>
      <c r="L44" s="775">
        <f t="shared" si="0"/>
        <v>644596.9027160001</v>
      </c>
      <c r="N44" s="413" t="s">
        <v>1489</v>
      </c>
      <c r="O44" s="820">
        <v>0.1066</v>
      </c>
      <c r="P44" s="820" t="str">
        <f t="shared" si="1"/>
        <v>Y</v>
      </c>
      <c r="Q44" s="413" t="str">
        <f t="shared" si="2"/>
        <v>Y</v>
      </c>
      <c r="R44" s="820">
        <v>0.1066</v>
      </c>
      <c r="S44" s="849"/>
    </row>
    <row r="45" spans="1:19">
      <c r="A45" s="770" t="s">
        <v>1498</v>
      </c>
      <c r="B45" s="771">
        <v>131231.01999999999</v>
      </c>
      <c r="C45" s="772">
        <v>1.84E-2</v>
      </c>
      <c r="D45" s="771">
        <v>201.22</v>
      </c>
      <c r="E45" s="772">
        <v>1.52E-2</v>
      </c>
      <c r="F45" s="773">
        <f t="shared" si="6"/>
        <v>166.22595866666666</v>
      </c>
      <c r="G45" s="774">
        <f t="shared" si="4"/>
        <v>-34.994041333333342</v>
      </c>
      <c r="H45" s="620">
        <f t="shared" si="5"/>
        <v>-419.92849600000011</v>
      </c>
      <c r="I45" s="617"/>
      <c r="J45" s="617"/>
      <c r="K45" s="771"/>
      <c r="L45" s="775">
        <f t="shared" si="0"/>
        <v>1994.7115039999999</v>
      </c>
      <c r="N45" s="413" t="s">
        <v>1498</v>
      </c>
      <c r="O45" s="820">
        <v>1.52E-2</v>
      </c>
      <c r="P45" s="820" t="str">
        <f t="shared" si="1"/>
        <v>Y</v>
      </c>
      <c r="Q45" s="413" t="str">
        <f t="shared" si="2"/>
        <v>Y</v>
      </c>
      <c r="R45" s="820">
        <v>1.52E-2</v>
      </c>
      <c r="S45" s="849"/>
    </row>
    <row r="46" spans="1:19">
      <c r="A46" s="770" t="s">
        <v>1490</v>
      </c>
      <c r="B46" s="771">
        <v>68747.38</v>
      </c>
      <c r="C46" s="772">
        <v>4.5999999999999999E-2</v>
      </c>
      <c r="D46" s="771">
        <v>263.14</v>
      </c>
      <c r="E46" s="772">
        <v>0.14550000000000002</v>
      </c>
      <c r="F46" s="773">
        <f t="shared" si="6"/>
        <v>461.94176625000017</v>
      </c>
      <c r="G46" s="774">
        <f t="shared" si="4"/>
        <v>198.80176625000018</v>
      </c>
      <c r="H46" s="620">
        <f t="shared" si="5"/>
        <v>2385.6211950000024</v>
      </c>
      <c r="I46" s="617">
        <v>25</v>
      </c>
      <c r="J46" s="617">
        <v>20</v>
      </c>
      <c r="K46" s="771">
        <v>-30649.09</v>
      </c>
      <c r="L46" s="775">
        <f t="shared" si="0"/>
        <v>5543.3011950000018</v>
      </c>
      <c r="N46" s="413" t="s">
        <v>1490</v>
      </c>
      <c r="O46" s="820">
        <v>0.14550000000000002</v>
      </c>
      <c r="P46" s="820" t="str">
        <f t="shared" si="1"/>
        <v>Y</v>
      </c>
      <c r="Q46" s="413" t="str">
        <f t="shared" si="2"/>
        <v>Y</v>
      </c>
      <c r="R46" s="820">
        <v>0.14549999999999999</v>
      </c>
      <c r="S46" s="849"/>
    </row>
    <row r="47" spans="1:19">
      <c r="A47" s="770" t="s">
        <v>2378</v>
      </c>
      <c r="B47" s="771">
        <v>2028370.8599999999</v>
      </c>
      <c r="C47" s="772">
        <v>5.1799999999999999E-2</v>
      </c>
      <c r="D47" s="771">
        <v>8756.2900000000009</v>
      </c>
      <c r="E47" s="772">
        <v>9.6300000000000011E-2</v>
      </c>
      <c r="F47" s="773">
        <f t="shared" si="6"/>
        <v>16277.676151500002</v>
      </c>
      <c r="G47" s="774">
        <f t="shared" si="4"/>
        <v>7521.3861515000008</v>
      </c>
      <c r="H47" s="620">
        <f t="shared" si="5"/>
        <v>90256.633818000002</v>
      </c>
      <c r="L47" s="775">
        <f t="shared" si="0"/>
        <v>195332.11381800001</v>
      </c>
      <c r="N47" s="413" t="s">
        <v>2378</v>
      </c>
      <c r="O47" s="820">
        <v>9.6300000000000011E-2</v>
      </c>
      <c r="P47" s="820" t="str">
        <f t="shared" si="1"/>
        <v>Y</v>
      </c>
      <c r="Q47" s="413" t="str">
        <f t="shared" si="2"/>
        <v>Y</v>
      </c>
      <c r="R47" s="820">
        <v>9.6299999999999997E-2</v>
      </c>
      <c r="S47" s="849"/>
    </row>
    <row r="48" spans="1:19">
      <c r="A48" s="770" t="s">
        <v>2379</v>
      </c>
      <c r="B48" s="771">
        <v>553326.53</v>
      </c>
      <c r="C48" s="772">
        <v>3.1199999999999999E-2</v>
      </c>
      <c r="D48" s="771">
        <v>1438.65</v>
      </c>
      <c r="E48" s="959">
        <v>2.6099999999999998E-2</v>
      </c>
      <c r="F48" s="963">
        <f t="shared" si="6"/>
        <v>1203.4852027499999</v>
      </c>
      <c r="G48" s="964">
        <f t="shared" si="4"/>
        <v>-235.16479725000022</v>
      </c>
      <c r="H48" s="965">
        <f t="shared" si="5"/>
        <v>-2821.9775670000026</v>
      </c>
      <c r="L48" s="966">
        <f t="shared" si="0"/>
        <v>14441.822432999998</v>
      </c>
      <c r="N48" s="413" t="s">
        <v>2379</v>
      </c>
      <c r="O48" s="820">
        <v>2.6099999999999998E-2</v>
      </c>
      <c r="P48" s="820" t="str">
        <f t="shared" si="1"/>
        <v>Y</v>
      </c>
      <c r="Q48" s="413" t="str">
        <f t="shared" si="2"/>
        <v>N</v>
      </c>
      <c r="R48" s="820">
        <v>2.9700000000000001E-2</v>
      </c>
      <c r="S48" s="849"/>
    </row>
    <row r="49" spans="1:19">
      <c r="A49" s="770" t="s">
        <v>1491</v>
      </c>
      <c r="B49" s="771">
        <v>194717.3</v>
      </c>
      <c r="C49" s="772">
        <v>4.5600000000000002E-2</v>
      </c>
      <c r="D49" s="771">
        <v>739.93</v>
      </c>
      <c r="E49" s="772">
        <v>5.3499999999999999E-2</v>
      </c>
      <c r="F49" s="773">
        <f t="shared" si="6"/>
        <v>543.53106541666659</v>
      </c>
      <c r="G49" s="774">
        <f t="shared" si="4"/>
        <v>-196.39893458333336</v>
      </c>
      <c r="H49" s="620">
        <f t="shared" si="5"/>
        <v>-2356.7872150000003</v>
      </c>
      <c r="I49" s="617" t="s">
        <v>2380</v>
      </c>
      <c r="J49" s="617">
        <v>15</v>
      </c>
      <c r="K49" s="771">
        <v>-72803.789999999994</v>
      </c>
      <c r="L49" s="775">
        <f t="shared" si="0"/>
        <v>6522.3727849999996</v>
      </c>
      <c r="N49" s="413" t="s">
        <v>1491</v>
      </c>
      <c r="O49" s="820">
        <v>5.3499999999999999E-2</v>
      </c>
      <c r="P49" s="820" t="str">
        <f t="shared" si="1"/>
        <v>Y</v>
      </c>
      <c r="Q49" s="413" t="str">
        <f t="shared" si="2"/>
        <v>Y</v>
      </c>
      <c r="R49" s="820">
        <v>5.3499999999999999E-2</v>
      </c>
      <c r="S49" s="849"/>
    </row>
    <row r="50" spans="1:19">
      <c r="A50" s="770" t="s">
        <v>1492</v>
      </c>
      <c r="B50" s="771">
        <v>939552.66999999993</v>
      </c>
      <c r="C50" s="772">
        <v>9.3700000000000006E-2</v>
      </c>
      <c r="D50" s="771">
        <v>7336.1600000000008</v>
      </c>
      <c r="E50" s="772">
        <v>6.9900000000000004E-2</v>
      </c>
      <c r="F50" s="773">
        <f>(B50+K50)*(E50/12)</f>
        <v>5472.89430275</v>
      </c>
      <c r="G50" s="774">
        <f t="shared" si="4"/>
        <v>-1863.2656972500008</v>
      </c>
      <c r="H50" s="620">
        <f t="shared" si="5"/>
        <v>-22359.18836700001</v>
      </c>
      <c r="I50" s="617">
        <v>12</v>
      </c>
      <c r="J50" s="617">
        <v>15</v>
      </c>
      <c r="K50" s="771">
        <v>0</v>
      </c>
      <c r="L50" s="775">
        <f t="shared" si="0"/>
        <v>65674.731633000003</v>
      </c>
      <c r="N50" s="413" t="s">
        <v>1492</v>
      </c>
      <c r="O50" s="820">
        <v>6.9900000000000004E-2</v>
      </c>
      <c r="P50" s="820" t="str">
        <f t="shared" si="1"/>
        <v>Y</v>
      </c>
      <c r="Q50" s="413" t="str">
        <f t="shared" si="2"/>
        <v>Y</v>
      </c>
      <c r="R50" s="820">
        <v>6.9900000000000004E-2</v>
      </c>
      <c r="S50" s="849"/>
    </row>
    <row r="51" spans="1:19">
      <c r="A51" s="770" t="s">
        <v>1493</v>
      </c>
      <c r="B51" s="771">
        <v>4114182.71</v>
      </c>
      <c r="C51" s="772">
        <v>1.2999999999999999E-3</v>
      </c>
      <c r="D51" s="771">
        <v>445.54999999999995</v>
      </c>
      <c r="E51" s="772">
        <v>5.5300000000000002E-2</v>
      </c>
      <c r="F51" s="773">
        <f>(B51+K51)*(E51/12)</f>
        <v>10602.882227583334</v>
      </c>
      <c r="G51" s="774">
        <f t="shared" si="4"/>
        <v>10157.332227583334</v>
      </c>
      <c r="H51" s="620">
        <f t="shared" si="5"/>
        <v>121887.98673100001</v>
      </c>
      <c r="I51" s="617" t="s">
        <v>2380</v>
      </c>
      <c r="J51" s="617">
        <v>15</v>
      </c>
      <c r="K51" s="771">
        <v>-1813376.44</v>
      </c>
      <c r="L51" s="775">
        <f t="shared" si="0"/>
        <v>127234.586731</v>
      </c>
      <c r="N51" s="413" t="s">
        <v>1493</v>
      </c>
      <c r="O51" s="820">
        <v>5.5300000000000002E-2</v>
      </c>
      <c r="P51" s="820" t="str">
        <f t="shared" si="1"/>
        <v>Y</v>
      </c>
      <c r="Q51" s="413" t="str">
        <f t="shared" si="2"/>
        <v>Y</v>
      </c>
      <c r="R51" s="820">
        <v>5.5300000000000002E-2</v>
      </c>
      <c r="S51" s="849"/>
    </row>
    <row r="52" spans="1:19">
      <c r="A52" s="770" t="s">
        <v>1494</v>
      </c>
      <c r="B52" s="771">
        <v>422419.49999999994</v>
      </c>
      <c r="C52" s="772">
        <v>9.1800000000000007E-2</v>
      </c>
      <c r="D52" s="771">
        <v>3230.27</v>
      </c>
      <c r="E52" s="772">
        <v>0.2162</v>
      </c>
      <c r="F52" s="773">
        <f>(B52+K52)*(E52/12)</f>
        <v>7610.5913249999994</v>
      </c>
      <c r="G52" s="774">
        <f t="shared" si="4"/>
        <v>4380.321324999999</v>
      </c>
      <c r="H52" s="620">
        <f t="shared" si="5"/>
        <v>52563.855899999988</v>
      </c>
      <c r="I52" s="617" t="s">
        <v>2380</v>
      </c>
      <c r="J52" s="617">
        <v>15</v>
      </c>
      <c r="K52" s="771">
        <v>0</v>
      </c>
      <c r="L52" s="775">
        <f t="shared" si="0"/>
        <v>91327.095899999986</v>
      </c>
      <c r="N52" s="413" t="s">
        <v>1494</v>
      </c>
      <c r="O52" s="820">
        <v>0.2162</v>
      </c>
      <c r="P52" s="820" t="str">
        <f t="shared" si="1"/>
        <v>Y</v>
      </c>
      <c r="Q52" s="413" t="str">
        <f t="shared" si="2"/>
        <v>Y</v>
      </c>
      <c r="R52" s="820">
        <v>0.2162</v>
      </c>
      <c r="S52" s="849"/>
    </row>
    <row r="53" spans="1:19">
      <c r="A53" s="770" t="s">
        <v>1495</v>
      </c>
      <c r="B53" s="771">
        <v>58988.85</v>
      </c>
      <c r="C53" s="772">
        <v>0.1051</v>
      </c>
      <c r="D53" s="771">
        <v>516.02</v>
      </c>
      <c r="E53" s="772">
        <v>4.3499999999999997E-2</v>
      </c>
      <c r="F53" s="773">
        <f>(B53+K53)*(E53/12)</f>
        <v>213.83458124999999</v>
      </c>
      <c r="G53" s="774">
        <f t="shared" si="4"/>
        <v>-302.18541875</v>
      </c>
      <c r="H53" s="620">
        <f t="shared" si="5"/>
        <v>-3626.2250249999997</v>
      </c>
      <c r="L53" s="775">
        <f t="shared" si="0"/>
        <v>2566.014975</v>
      </c>
      <c r="N53" s="413" t="s">
        <v>1495</v>
      </c>
      <c r="O53" s="820">
        <v>4.3499999999999997E-2</v>
      </c>
      <c r="P53" s="820" t="str">
        <f t="shared" si="1"/>
        <v>Y</v>
      </c>
      <c r="Q53" s="413" t="str">
        <f t="shared" si="2"/>
        <v>Y</v>
      </c>
      <c r="R53" s="820">
        <v>4.3499999999999997E-2</v>
      </c>
      <c r="S53" s="849"/>
    </row>
    <row r="54" spans="1:19">
      <c r="A54" s="764" t="s">
        <v>2381</v>
      </c>
      <c r="B54" s="777">
        <f>SUM(B12:B53)</f>
        <v>866945220.73000002</v>
      </c>
      <c r="C54" s="778"/>
      <c r="D54" s="779">
        <f>SUM(D12:D53)</f>
        <v>2244953.62</v>
      </c>
      <c r="E54" s="779"/>
      <c r="F54" s="962">
        <f>SUM(F12:F53)</f>
        <v>2235469.1299561667</v>
      </c>
      <c r="G54" s="962">
        <f>SUM(G12:G53)</f>
        <v>-9484.4900438333443</v>
      </c>
      <c r="H54" s="962">
        <f>SUM(H12:H53)</f>
        <v>-113813.88052600026</v>
      </c>
      <c r="I54" s="617"/>
      <c r="J54" s="617"/>
      <c r="L54" s="962">
        <f>F54*12</f>
        <v>26825629.559473999</v>
      </c>
    </row>
    <row r="55" spans="1:19">
      <c r="A55" s="780"/>
      <c r="B55" s="771"/>
      <c r="C55" s="762"/>
      <c r="D55" s="621" t="s">
        <v>2382</v>
      </c>
      <c r="E55" s="960">
        <f>+(D54+G54)</f>
        <v>2235469.1299561667</v>
      </c>
      <c r="F55" s="762"/>
      <c r="G55" s="763"/>
      <c r="I55" s="617"/>
      <c r="J55" s="617"/>
    </row>
    <row r="56" spans="1:19">
      <c r="C56" s="762"/>
      <c r="D56" s="617" t="s">
        <v>2372</v>
      </c>
      <c r="E56" s="960">
        <f>+E55*12</f>
        <v>26825629.559473999</v>
      </c>
      <c r="F56" s="762"/>
      <c r="G56" s="763"/>
      <c r="I56" s="617"/>
      <c r="J56" s="617"/>
      <c r="L56" s="620"/>
    </row>
    <row r="57" spans="1:19">
      <c r="C57" s="762"/>
      <c r="D57" s="617" t="s">
        <v>2383</v>
      </c>
      <c r="E57" s="781">
        <f>+'Exh MCP-8 - ROO Summary Sheet'!E27</f>
        <v>24915117.609999999</v>
      </c>
      <c r="F57" s="762"/>
      <c r="G57" s="763"/>
      <c r="I57" s="617"/>
      <c r="J57" s="617"/>
    </row>
    <row r="58" spans="1:19">
      <c r="C58" s="762"/>
      <c r="D58" s="617" t="s">
        <v>2384</v>
      </c>
      <c r="E58" s="961">
        <f>+E56-E57</f>
        <v>1910511.9494739994</v>
      </c>
      <c r="F58" s="762"/>
      <c r="G58" s="763"/>
      <c r="I58" s="617"/>
      <c r="J58" s="617"/>
    </row>
  </sheetData>
  <mergeCells count="5">
    <mergeCell ref="A1:M1"/>
    <mergeCell ref="A2:M2"/>
    <mergeCell ref="A3:M3"/>
    <mergeCell ref="A4:M4"/>
    <mergeCell ref="A5:M5"/>
  </mergeCells>
  <printOptions horizontalCentered="1"/>
  <pageMargins left="0.7" right="0.7" top="0.75" bottom="0.75" header="0.3" footer="0.3"/>
  <pageSetup scale="40"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Q121"/>
  <sheetViews>
    <sheetView view="pageBreakPreview" zoomScale="80" zoomScaleNormal="100" zoomScaleSheetLayoutView="80" workbookViewId="0">
      <pane xSplit="3" topLeftCell="D1" activePane="topRight" state="frozen"/>
      <selection activeCell="G24" sqref="F24:G24"/>
      <selection pane="topRight" activeCell="G24" sqref="F24:G24"/>
    </sheetView>
  </sheetViews>
  <sheetFormatPr defaultColWidth="9.109375" defaultRowHeight="15.6"/>
  <cols>
    <col min="1" max="1" width="10.109375" style="6" customWidth="1"/>
    <col min="2" max="2" width="43.6640625" style="4" bestFit="1" customWidth="1"/>
    <col min="3" max="3" width="9.5546875" style="4" bestFit="1" customWidth="1"/>
    <col min="4" max="4" width="16.109375" style="4" bestFit="1" customWidth="1"/>
    <col min="5" max="5" width="12.6640625" style="4" bestFit="1" customWidth="1"/>
    <col min="6" max="6" width="19" style="4" bestFit="1" customWidth="1"/>
    <col min="7" max="7" width="8.109375" style="4" bestFit="1" customWidth="1"/>
    <col min="8" max="8" width="17.5546875" style="4" customWidth="1"/>
    <col min="9" max="9" width="19" style="4" customWidth="1"/>
    <col min="10" max="10" width="13.33203125" style="4" customWidth="1"/>
    <col min="11" max="11" width="19.5546875" style="4" customWidth="1"/>
    <col min="12" max="12" width="18.44140625" style="4" customWidth="1"/>
    <col min="13" max="13" width="8.88671875" style="4" bestFit="1" customWidth="1"/>
    <col min="14" max="14" width="19" style="4" bestFit="1" customWidth="1"/>
    <col min="15" max="15" width="17.88671875" style="4" bestFit="1" customWidth="1"/>
    <col min="16" max="16" width="17.88671875" style="4" customWidth="1"/>
    <col min="17" max="17" width="22.109375" style="4" bestFit="1" customWidth="1"/>
    <col min="18" max="16384" width="9.109375" style="4"/>
  </cols>
  <sheetData>
    <row r="1" spans="1:17">
      <c r="C1" s="210"/>
      <c r="D1" s="210"/>
      <c r="E1" s="866" t="s">
        <v>60</v>
      </c>
      <c r="F1" s="866"/>
      <c r="G1" s="866"/>
      <c r="H1" s="866"/>
      <c r="I1" s="866"/>
      <c r="J1" s="866"/>
      <c r="K1" s="866"/>
      <c r="L1" s="866"/>
      <c r="N1" s="210"/>
      <c r="O1" s="210"/>
      <c r="P1" s="210"/>
      <c r="Q1" s="210"/>
    </row>
    <row r="2" spans="1:17">
      <c r="C2" s="250"/>
      <c r="D2" s="250"/>
      <c r="E2" s="866" t="s">
        <v>1863</v>
      </c>
      <c r="F2" s="866"/>
      <c r="G2" s="866"/>
      <c r="H2" s="866"/>
      <c r="I2" s="866"/>
      <c r="J2" s="866"/>
      <c r="K2" s="866"/>
      <c r="L2" s="866"/>
      <c r="N2" s="250"/>
      <c r="O2" s="250"/>
      <c r="P2" s="250"/>
      <c r="Q2" s="250"/>
    </row>
    <row r="3" spans="1:17">
      <c r="C3" s="250"/>
      <c r="D3" s="250"/>
      <c r="E3" s="866" t="s">
        <v>1302</v>
      </c>
      <c r="F3" s="866"/>
      <c r="G3" s="866"/>
      <c r="H3" s="866"/>
      <c r="I3" s="866"/>
      <c r="J3" s="866"/>
      <c r="K3" s="866"/>
      <c r="L3" s="866"/>
      <c r="N3" s="250"/>
      <c r="O3" s="250"/>
      <c r="P3" s="250"/>
      <c r="Q3" s="250"/>
    </row>
    <row r="4" spans="1:17">
      <c r="C4" s="250"/>
      <c r="D4" s="250"/>
      <c r="E4" s="866" t="s">
        <v>1855</v>
      </c>
      <c r="F4" s="866"/>
      <c r="G4" s="866"/>
      <c r="H4" s="866"/>
      <c r="I4" s="866"/>
      <c r="J4" s="866"/>
      <c r="K4" s="866"/>
      <c r="L4" s="866"/>
      <c r="N4" s="250"/>
      <c r="O4" s="250"/>
      <c r="P4" s="250"/>
      <c r="Q4" s="250"/>
    </row>
    <row r="5" spans="1:17">
      <c r="C5" s="251"/>
      <c r="D5" s="251"/>
      <c r="E5" s="866" t="s">
        <v>1862</v>
      </c>
      <c r="F5" s="866"/>
      <c r="G5" s="866"/>
      <c r="H5" s="866"/>
      <c r="I5" s="866"/>
      <c r="J5" s="866"/>
      <c r="K5" s="866"/>
      <c r="L5" s="866"/>
      <c r="N5" s="252"/>
      <c r="O5" s="252"/>
      <c r="P5" s="252"/>
      <c r="Q5" s="252"/>
    </row>
    <row r="6" spans="1:17">
      <c r="C6" s="251"/>
      <c r="D6" s="251"/>
      <c r="E6" s="251"/>
      <c r="F6" s="468"/>
      <c r="G6" s="468"/>
      <c r="H6" s="468"/>
      <c r="I6" s="468"/>
      <c r="J6" s="468"/>
      <c r="K6" s="468"/>
      <c r="L6" s="468"/>
      <c r="M6" s="30"/>
      <c r="N6" s="252"/>
      <c r="O6" s="252"/>
      <c r="P6" s="252"/>
      <c r="Q6" s="252"/>
    </row>
    <row r="7" spans="1:17" s="6" customFormat="1">
      <c r="B7" s="26" t="s">
        <v>803</v>
      </c>
      <c r="C7" s="26" t="s">
        <v>801</v>
      </c>
      <c r="D7" s="26" t="s">
        <v>802</v>
      </c>
      <c r="E7" s="26" t="s">
        <v>805</v>
      </c>
      <c r="F7" s="26" t="s">
        <v>806</v>
      </c>
      <c r="G7" s="26" t="s">
        <v>807</v>
      </c>
      <c r="H7" s="26" t="s">
        <v>808</v>
      </c>
      <c r="I7" s="253" t="s">
        <v>809</v>
      </c>
      <c r="J7" s="253" t="s">
        <v>810</v>
      </c>
      <c r="K7" s="253" t="s">
        <v>811</v>
      </c>
      <c r="L7" s="253" t="s">
        <v>812</v>
      </c>
      <c r="M7" s="253" t="s">
        <v>813</v>
      </c>
      <c r="N7" s="253" t="s">
        <v>814</v>
      </c>
      <c r="O7" s="253" t="s">
        <v>815</v>
      </c>
      <c r="P7" s="253" t="s">
        <v>816</v>
      </c>
      <c r="Q7" s="253" t="s">
        <v>1280</v>
      </c>
    </row>
    <row r="8" spans="1:17">
      <c r="B8" s="24"/>
      <c r="C8" s="24"/>
      <c r="D8" s="24" t="s">
        <v>684</v>
      </c>
      <c r="E8" s="24" t="s">
        <v>685</v>
      </c>
      <c r="F8" s="24" t="s">
        <v>686</v>
      </c>
      <c r="G8" s="26"/>
      <c r="H8" s="24" t="s">
        <v>687</v>
      </c>
      <c r="I8" s="24"/>
      <c r="J8" s="24"/>
      <c r="K8" s="24"/>
      <c r="L8" s="24"/>
      <c r="M8" s="24"/>
      <c r="N8" s="24"/>
      <c r="O8" s="24"/>
      <c r="P8" s="24" t="s">
        <v>58</v>
      </c>
      <c r="Q8" s="24" t="s">
        <v>58</v>
      </c>
    </row>
    <row r="9" spans="1:17">
      <c r="B9" s="24"/>
      <c r="C9" s="24" t="s">
        <v>82</v>
      </c>
      <c r="D9" s="26" t="s">
        <v>2215</v>
      </c>
      <c r="E9" s="24" t="s">
        <v>70</v>
      </c>
      <c r="F9" s="24" t="s">
        <v>1101</v>
      </c>
      <c r="G9" s="26" t="s">
        <v>1102</v>
      </c>
      <c r="H9" s="24" t="s">
        <v>2222</v>
      </c>
      <c r="I9" s="24" t="s">
        <v>105</v>
      </c>
      <c r="J9" s="24" t="s">
        <v>1282</v>
      </c>
      <c r="K9" s="24" t="s">
        <v>1282</v>
      </c>
      <c r="L9" s="24" t="s">
        <v>2216</v>
      </c>
      <c r="M9" s="24"/>
      <c r="N9" s="24" t="s">
        <v>2217</v>
      </c>
      <c r="O9" s="24" t="s">
        <v>2217</v>
      </c>
      <c r="P9" s="24" t="s">
        <v>1281</v>
      </c>
      <c r="Q9" s="24" t="s">
        <v>1280</v>
      </c>
    </row>
    <row r="10" spans="1:17">
      <c r="A10" s="10" t="s">
        <v>799</v>
      </c>
      <c r="B10" s="24"/>
      <c r="C10" s="24" t="s">
        <v>688</v>
      </c>
      <c r="D10" s="24" t="s">
        <v>689</v>
      </c>
      <c r="E10" s="24" t="s">
        <v>690</v>
      </c>
      <c r="F10" s="24" t="s">
        <v>691</v>
      </c>
      <c r="G10" s="24"/>
      <c r="H10" s="24" t="s">
        <v>692</v>
      </c>
      <c r="I10" s="24"/>
      <c r="J10" s="24" t="s">
        <v>1103</v>
      </c>
      <c r="K10" s="24" t="s">
        <v>70</v>
      </c>
      <c r="L10" s="24" t="s">
        <v>108</v>
      </c>
      <c r="M10" s="24"/>
      <c r="N10" s="24" t="s">
        <v>70</v>
      </c>
      <c r="O10" s="24" t="s">
        <v>108</v>
      </c>
      <c r="P10" s="24" t="s">
        <v>62</v>
      </c>
      <c r="Q10" s="24" t="s">
        <v>62</v>
      </c>
    </row>
    <row r="11" spans="1:17">
      <c r="A11" s="6">
        <v>1</v>
      </c>
      <c r="B11" s="24" t="s">
        <v>693</v>
      </c>
      <c r="C11" s="24"/>
      <c r="D11" s="386">
        <v>9796448.2300000004</v>
      </c>
      <c r="E11" s="24" t="s">
        <v>2218</v>
      </c>
      <c r="F11" s="386">
        <v>0</v>
      </c>
      <c r="G11" s="254">
        <v>0.04</v>
      </c>
      <c r="H11" s="386">
        <f>+F11*G11</f>
        <v>0</v>
      </c>
      <c r="I11" s="386">
        <f>+D11+H11</f>
        <v>9796448.2300000004</v>
      </c>
      <c r="J11" s="254">
        <f>K42/I42</f>
        <v>4.0000000000000015E-2</v>
      </c>
      <c r="K11" s="386">
        <f>+I11*J11</f>
        <v>391857.92920000019</v>
      </c>
      <c r="L11" s="386">
        <f>+I11+K11</f>
        <v>10188306.159200002</v>
      </c>
      <c r="M11" s="254">
        <f>N42/L42</f>
        <v>0.04</v>
      </c>
      <c r="N11" s="387">
        <f>+L11*M11</f>
        <v>407532.24636800005</v>
      </c>
      <c r="O11" s="387">
        <f>+L11+N11</f>
        <v>10595838.405568002</v>
      </c>
      <c r="P11" s="387">
        <f>+H11</f>
        <v>0</v>
      </c>
      <c r="Q11" s="386">
        <f>+N11+K11</f>
        <v>799390.17556800018</v>
      </c>
    </row>
    <row r="12" spans="1:17">
      <c r="A12" s="6">
        <v>2</v>
      </c>
      <c r="B12" s="24"/>
      <c r="C12" s="24"/>
      <c r="D12" s="386"/>
      <c r="E12" s="24"/>
      <c r="F12" s="386"/>
      <c r="G12" s="254"/>
      <c r="H12" s="386"/>
      <c r="I12" s="386"/>
      <c r="J12" s="254"/>
      <c r="K12" s="386"/>
      <c r="L12" s="386"/>
      <c r="M12" s="254"/>
      <c r="N12" s="387"/>
      <c r="O12" s="24"/>
      <c r="P12" s="24"/>
      <c r="Q12" s="24"/>
    </row>
    <row r="13" spans="1:17" ht="16.2" thickBot="1">
      <c r="A13" s="6">
        <v>3</v>
      </c>
      <c r="B13" s="24" t="s">
        <v>694</v>
      </c>
      <c r="C13" s="24"/>
      <c r="D13" s="388">
        <v>10155364.93</v>
      </c>
      <c r="E13" s="756" t="s">
        <v>2219</v>
      </c>
      <c r="F13" s="388">
        <f>+F66</f>
        <v>2685444.8200000008</v>
      </c>
      <c r="G13" s="389">
        <v>0.03</v>
      </c>
      <c r="H13" s="388">
        <f>+F13*G13</f>
        <v>80563.344600000026</v>
      </c>
      <c r="I13" s="388">
        <f>+D13+H13</f>
        <v>10235928.274599999</v>
      </c>
      <c r="J13" s="389">
        <v>0.03</v>
      </c>
      <c r="K13" s="388">
        <f>+I13*J13</f>
        <v>307077.84823799995</v>
      </c>
      <c r="L13" s="388">
        <f>+I13+K13</f>
        <v>10543006.122838</v>
      </c>
      <c r="M13" s="389">
        <v>0.03</v>
      </c>
      <c r="N13" s="390">
        <f>+L13*M13</f>
        <v>316290.18368513999</v>
      </c>
      <c r="O13" s="390">
        <f>+L13+N13</f>
        <v>10859296.306523141</v>
      </c>
      <c r="P13" s="390">
        <f>+H13</f>
        <v>80563.344600000026</v>
      </c>
      <c r="Q13" s="388">
        <f>+N13+K13</f>
        <v>623368.03192313993</v>
      </c>
    </row>
    <row r="14" spans="1:17">
      <c r="A14" s="6">
        <v>4</v>
      </c>
      <c r="B14" s="24"/>
      <c r="C14" s="24"/>
      <c r="D14" s="386"/>
      <c r="E14" s="24"/>
      <c r="F14" s="386"/>
      <c r="G14" s="254"/>
      <c r="H14" s="386"/>
      <c r="I14" s="386"/>
      <c r="J14" s="254"/>
      <c r="K14" s="386"/>
      <c r="L14" s="386"/>
      <c r="M14" s="254"/>
      <c r="N14" s="387"/>
      <c r="O14" s="24"/>
      <c r="P14" s="24"/>
      <c r="Q14" s="24"/>
    </row>
    <row r="15" spans="1:17" ht="16.2" thickBot="1">
      <c r="A15" s="6">
        <v>5</v>
      </c>
      <c r="B15" s="24"/>
      <c r="C15" s="24"/>
      <c r="D15" s="386">
        <f>+D13+D11</f>
        <v>19951813.16</v>
      </c>
      <c r="E15" s="24"/>
      <c r="F15" s="386">
        <f>+F13+F11</f>
        <v>2685444.8200000008</v>
      </c>
      <c r="G15" s="254"/>
      <c r="H15" s="391">
        <f>+H11+H13</f>
        <v>80563.344600000026</v>
      </c>
      <c r="I15" s="386">
        <f>+I11+I13</f>
        <v>20032376.5046</v>
      </c>
      <c r="J15" s="254"/>
      <c r="K15" s="391">
        <f>+K11+K13</f>
        <v>698935.77743800008</v>
      </c>
      <c r="L15" s="386">
        <f>+L11+L13</f>
        <v>20731312.282038003</v>
      </c>
      <c r="M15" s="24"/>
      <c r="N15" s="391">
        <f>+N11+N13</f>
        <v>723822.43005314004</v>
      </c>
      <c r="O15" s="24"/>
      <c r="P15" s="392">
        <f>+P11+P13</f>
        <v>80563.344600000026</v>
      </c>
      <c r="Q15" s="392">
        <f>+Q11+Q13</f>
        <v>1422758.2074911401</v>
      </c>
    </row>
    <row r="16" spans="1:17" ht="16.2" thickTop="1">
      <c r="A16" s="6">
        <v>6</v>
      </c>
      <c r="B16" s="24"/>
      <c r="C16" s="24"/>
      <c r="D16" s="386"/>
      <c r="E16" s="24"/>
      <c r="F16" s="386"/>
      <c r="G16" s="254"/>
      <c r="H16" s="391"/>
      <c r="I16" s="386"/>
      <c r="J16" s="254"/>
      <c r="K16" s="391"/>
      <c r="L16" s="386"/>
      <c r="M16" s="24"/>
      <c r="N16" s="391"/>
      <c r="O16" s="24"/>
      <c r="P16" s="24"/>
      <c r="Q16" s="393"/>
    </row>
    <row r="17" spans="1:17">
      <c r="A17" s="6">
        <v>7</v>
      </c>
      <c r="B17" s="24" t="s">
        <v>716</v>
      </c>
      <c r="C17" s="24"/>
      <c r="D17" s="386"/>
      <c r="E17" s="24"/>
      <c r="F17" s="386"/>
      <c r="G17" s="254"/>
      <c r="H17" s="391"/>
      <c r="I17" s="386"/>
      <c r="J17" s="254"/>
      <c r="K17" s="391"/>
      <c r="L17" s="386"/>
      <c r="M17" s="24"/>
      <c r="N17" s="391"/>
      <c r="O17" s="254">
        <v>7.6499999999999999E-2</v>
      </c>
      <c r="P17" s="393">
        <f>+P15*O17</f>
        <v>6163.0958619000021</v>
      </c>
      <c r="Q17" s="393">
        <f>+Q15*O17</f>
        <v>108841.00287307221</v>
      </c>
    </row>
    <row r="18" spans="1:17">
      <c r="A18" s="6">
        <v>8</v>
      </c>
      <c r="B18" s="24"/>
      <c r="C18" s="24"/>
      <c r="D18" s="386"/>
      <c r="E18" s="24"/>
      <c r="F18" s="24"/>
      <c r="G18" s="254"/>
      <c r="H18" s="24"/>
      <c r="I18" s="24"/>
      <c r="J18" s="24"/>
      <c r="K18" s="386"/>
      <c r="L18" s="386"/>
      <c r="M18" s="24"/>
      <c r="N18" s="387"/>
      <c r="O18" s="24"/>
      <c r="P18" s="24"/>
      <c r="Q18" s="24"/>
    </row>
    <row r="19" spans="1:17">
      <c r="A19" s="6">
        <v>9</v>
      </c>
      <c r="B19" s="24" t="s">
        <v>693</v>
      </c>
      <c r="C19" s="24"/>
      <c r="D19" s="24"/>
      <c r="E19" s="24"/>
      <c r="F19" s="24"/>
      <c r="G19" s="24"/>
      <c r="H19" s="24"/>
      <c r="I19" s="24"/>
      <c r="J19" s="24"/>
      <c r="K19" s="24"/>
      <c r="L19" s="24"/>
      <c r="M19" s="24"/>
      <c r="N19" s="24"/>
      <c r="O19" s="24"/>
      <c r="P19" s="24"/>
      <c r="Q19" s="24"/>
    </row>
    <row r="20" spans="1:17" s="24" customFormat="1">
      <c r="A20" s="26">
        <v>10</v>
      </c>
      <c r="B20" s="24" t="s">
        <v>1319</v>
      </c>
      <c r="C20" s="757" t="s">
        <v>695</v>
      </c>
      <c r="D20" s="394">
        <v>162147.76999999999</v>
      </c>
      <c r="G20" s="254"/>
      <c r="H20" s="386">
        <f t="shared" ref="H20:H41" si="0">+F20*G20</f>
        <v>0</v>
      </c>
      <c r="I20" s="386">
        <f t="shared" ref="I20:I41" si="1">+D20+H20</f>
        <v>162147.76999999999</v>
      </c>
      <c r="J20" s="254">
        <v>0.04</v>
      </c>
      <c r="K20" s="386">
        <f>+I20*J20</f>
        <v>6485.9107999999997</v>
      </c>
      <c r="L20" s="386">
        <f>+I20+K20</f>
        <v>168633.6808</v>
      </c>
      <c r="M20" s="254">
        <v>0.04</v>
      </c>
      <c r="N20" s="387">
        <f t="shared" ref="N20:N41" si="2">+L20*M20</f>
        <v>6745.3472320000001</v>
      </c>
      <c r="O20" s="386">
        <f>+N20+L20</f>
        <v>175379.028032</v>
      </c>
      <c r="P20" s="386">
        <f>+H20</f>
        <v>0</v>
      </c>
      <c r="Q20" s="386">
        <f>+N20+K20</f>
        <v>13231.258032</v>
      </c>
    </row>
    <row r="21" spans="1:17" s="24" customFormat="1">
      <c r="A21" s="6">
        <v>11</v>
      </c>
      <c r="B21" s="24" t="s">
        <v>2226</v>
      </c>
      <c r="C21" s="757">
        <v>28410</v>
      </c>
      <c r="D21" s="394">
        <v>631.48</v>
      </c>
      <c r="G21" s="254"/>
      <c r="H21" s="386">
        <f t="shared" si="0"/>
        <v>0</v>
      </c>
      <c r="I21" s="386">
        <f t="shared" si="1"/>
        <v>631.48</v>
      </c>
      <c r="J21" s="254">
        <v>0.04</v>
      </c>
      <c r="K21" s="386">
        <f>+I21*J21</f>
        <v>25.2592</v>
      </c>
      <c r="L21" s="386">
        <f t="shared" ref="L21:L41" si="3">+I21+K21</f>
        <v>656.73919999999998</v>
      </c>
      <c r="M21" s="254">
        <v>0.04</v>
      </c>
      <c r="N21" s="387">
        <f t="shared" si="2"/>
        <v>26.269568</v>
      </c>
      <c r="O21" s="386">
        <f t="shared" ref="O21:O41" si="4">+N21+L21</f>
        <v>683.00876800000003</v>
      </c>
      <c r="P21" s="386">
        <f t="shared" ref="P21:P41" si="5">+H21</f>
        <v>0</v>
      </c>
      <c r="Q21" s="386">
        <f t="shared" ref="Q21:Q41" si="6">+N21+K21</f>
        <v>51.528767999999999</v>
      </c>
    </row>
    <row r="22" spans="1:17" s="24" customFormat="1">
      <c r="A22" s="6">
        <v>12</v>
      </c>
      <c r="B22" s="24" t="s">
        <v>1318</v>
      </c>
      <c r="C22" s="757" t="s">
        <v>696</v>
      </c>
      <c r="D22" s="394">
        <v>1680934.36</v>
      </c>
      <c r="G22" s="254"/>
      <c r="H22" s="386">
        <f t="shared" si="0"/>
        <v>0</v>
      </c>
      <c r="I22" s="386">
        <f t="shared" si="1"/>
        <v>1680934.36</v>
      </c>
      <c r="J22" s="254">
        <v>0.04</v>
      </c>
      <c r="K22" s="386">
        <f t="shared" ref="K22:K24" si="7">+I22*J22</f>
        <v>67237.374400000001</v>
      </c>
      <c r="L22" s="386">
        <f t="shared" si="3"/>
        <v>1748171.7344000002</v>
      </c>
      <c r="M22" s="254">
        <v>0.04</v>
      </c>
      <c r="N22" s="387">
        <f t="shared" si="2"/>
        <v>69926.869376000002</v>
      </c>
      <c r="O22" s="386">
        <f t="shared" si="4"/>
        <v>1818098.6037760002</v>
      </c>
      <c r="P22" s="386">
        <f t="shared" si="5"/>
        <v>0</v>
      </c>
      <c r="Q22" s="386">
        <f t="shared" si="6"/>
        <v>137164.24377599999</v>
      </c>
    </row>
    <row r="23" spans="1:17" s="24" customFormat="1">
      <c r="A23" s="26">
        <v>13</v>
      </c>
      <c r="B23" s="24" t="s">
        <v>195</v>
      </c>
      <c r="C23" s="757" t="s">
        <v>697</v>
      </c>
      <c r="D23" s="394">
        <v>206774.76</v>
      </c>
      <c r="G23" s="254"/>
      <c r="H23" s="386">
        <f t="shared" si="0"/>
        <v>0</v>
      </c>
      <c r="I23" s="386">
        <f t="shared" si="1"/>
        <v>206774.76</v>
      </c>
      <c r="J23" s="254">
        <v>0.04</v>
      </c>
      <c r="K23" s="386">
        <f t="shared" si="7"/>
        <v>8270.9904000000006</v>
      </c>
      <c r="L23" s="386">
        <f t="shared" si="3"/>
        <v>215045.75040000002</v>
      </c>
      <c r="M23" s="254">
        <v>0.04</v>
      </c>
      <c r="N23" s="387">
        <f t="shared" si="2"/>
        <v>8601.8300160000017</v>
      </c>
      <c r="O23" s="386">
        <f t="shared" si="4"/>
        <v>223647.58041600001</v>
      </c>
      <c r="P23" s="386">
        <f t="shared" si="5"/>
        <v>0</v>
      </c>
      <c r="Q23" s="386">
        <f t="shared" si="6"/>
        <v>16872.820416000002</v>
      </c>
    </row>
    <row r="24" spans="1:17" s="24" customFormat="1">
      <c r="A24" s="6">
        <v>14</v>
      </c>
      <c r="B24" s="24" t="s">
        <v>1311</v>
      </c>
      <c r="C24" s="757" t="s">
        <v>698</v>
      </c>
      <c r="D24" s="394">
        <v>353792.99</v>
      </c>
      <c r="G24" s="254"/>
      <c r="H24" s="386">
        <f t="shared" si="0"/>
        <v>0</v>
      </c>
      <c r="I24" s="386">
        <f t="shared" si="1"/>
        <v>353792.99</v>
      </c>
      <c r="J24" s="254">
        <v>0.04</v>
      </c>
      <c r="K24" s="386">
        <f t="shared" si="7"/>
        <v>14151.7196</v>
      </c>
      <c r="L24" s="386">
        <f t="shared" si="3"/>
        <v>367944.7096</v>
      </c>
      <c r="M24" s="254">
        <v>0.04</v>
      </c>
      <c r="N24" s="387">
        <f t="shared" si="2"/>
        <v>14717.788383999999</v>
      </c>
      <c r="O24" s="386">
        <f t="shared" si="4"/>
        <v>382662.49798400002</v>
      </c>
      <c r="P24" s="386">
        <f t="shared" si="5"/>
        <v>0</v>
      </c>
      <c r="Q24" s="386">
        <f t="shared" si="6"/>
        <v>28869.507984</v>
      </c>
    </row>
    <row r="25" spans="1:17" s="24" customFormat="1">
      <c r="A25" s="6">
        <v>15</v>
      </c>
      <c r="B25" s="24" t="s">
        <v>1324</v>
      </c>
      <c r="C25" s="757">
        <v>28750</v>
      </c>
      <c r="D25" s="394">
        <v>367.8</v>
      </c>
      <c r="G25" s="254"/>
      <c r="H25" s="386">
        <f t="shared" si="0"/>
        <v>0</v>
      </c>
      <c r="I25" s="386">
        <f t="shared" si="1"/>
        <v>367.8</v>
      </c>
      <c r="J25" s="254">
        <v>0.04</v>
      </c>
      <c r="K25" s="386">
        <f>+I25*J25</f>
        <v>14.712000000000002</v>
      </c>
      <c r="L25" s="386">
        <f t="shared" si="3"/>
        <v>382.512</v>
      </c>
      <c r="M25" s="254">
        <v>0.04</v>
      </c>
      <c r="N25" s="387">
        <f t="shared" si="2"/>
        <v>15.30048</v>
      </c>
      <c r="O25" s="386">
        <f t="shared" si="4"/>
        <v>397.81247999999999</v>
      </c>
      <c r="P25" s="386">
        <f t="shared" si="5"/>
        <v>0</v>
      </c>
      <c r="Q25" s="386">
        <f t="shared" si="6"/>
        <v>30.012480000000004</v>
      </c>
    </row>
    <row r="26" spans="1:17" s="24" customFormat="1">
      <c r="A26" s="26">
        <v>16</v>
      </c>
      <c r="B26" s="24" t="s">
        <v>1312</v>
      </c>
      <c r="C26" s="757" t="s">
        <v>701</v>
      </c>
      <c r="D26" s="394">
        <v>415608.43</v>
      </c>
      <c r="G26" s="254"/>
      <c r="H26" s="386">
        <f t="shared" si="0"/>
        <v>0</v>
      </c>
      <c r="I26" s="386">
        <f t="shared" si="1"/>
        <v>415608.43</v>
      </c>
      <c r="J26" s="254">
        <v>0.04</v>
      </c>
      <c r="K26" s="386">
        <f t="shared" ref="K26:K41" si="8">+I26*J26</f>
        <v>16624.337200000002</v>
      </c>
      <c r="L26" s="386">
        <f t="shared" si="3"/>
        <v>432232.7672</v>
      </c>
      <c r="M26" s="254">
        <v>0.04</v>
      </c>
      <c r="N26" s="387">
        <f t="shared" si="2"/>
        <v>17289.310688000001</v>
      </c>
      <c r="O26" s="386">
        <f t="shared" si="4"/>
        <v>449522.077888</v>
      </c>
      <c r="P26" s="386">
        <f t="shared" si="5"/>
        <v>0</v>
      </c>
      <c r="Q26" s="386">
        <f t="shared" si="6"/>
        <v>33913.647888000007</v>
      </c>
    </row>
    <row r="27" spans="1:17" s="24" customFormat="1">
      <c r="A27" s="6">
        <v>17</v>
      </c>
      <c r="B27" s="24" t="s">
        <v>1320</v>
      </c>
      <c r="C27" s="757">
        <v>28850</v>
      </c>
      <c r="D27" s="394">
        <v>899501.76</v>
      </c>
      <c r="G27" s="254"/>
      <c r="H27" s="386">
        <f t="shared" si="0"/>
        <v>0</v>
      </c>
      <c r="I27" s="386">
        <f t="shared" si="1"/>
        <v>899501.76</v>
      </c>
      <c r="J27" s="254">
        <v>0.04</v>
      </c>
      <c r="K27" s="386">
        <f t="shared" si="8"/>
        <v>35980.070400000004</v>
      </c>
      <c r="L27" s="386">
        <f t="shared" si="3"/>
        <v>935481.83039999998</v>
      </c>
      <c r="M27" s="254">
        <v>0.04</v>
      </c>
      <c r="N27" s="387">
        <f t="shared" si="2"/>
        <v>37419.273216000001</v>
      </c>
      <c r="O27" s="386">
        <f t="shared" si="4"/>
        <v>972901.10361599992</v>
      </c>
      <c r="P27" s="386">
        <f t="shared" si="5"/>
        <v>0</v>
      </c>
      <c r="Q27" s="386">
        <f t="shared" si="6"/>
        <v>73399.343615999998</v>
      </c>
    </row>
    <row r="28" spans="1:17" s="24" customFormat="1">
      <c r="A28" s="6">
        <v>18</v>
      </c>
      <c r="B28" s="24" t="s">
        <v>1313</v>
      </c>
      <c r="C28" s="757" t="s">
        <v>702</v>
      </c>
      <c r="D28" s="394">
        <v>4395.5</v>
      </c>
      <c r="G28" s="254"/>
      <c r="H28" s="386">
        <f t="shared" si="0"/>
        <v>0</v>
      </c>
      <c r="I28" s="386">
        <f t="shared" si="1"/>
        <v>4395.5</v>
      </c>
      <c r="J28" s="254">
        <v>0.04</v>
      </c>
      <c r="K28" s="386">
        <f t="shared" si="8"/>
        <v>175.82</v>
      </c>
      <c r="L28" s="386">
        <f t="shared" si="3"/>
        <v>4571.32</v>
      </c>
      <c r="M28" s="254">
        <v>0.04</v>
      </c>
      <c r="N28" s="387">
        <f t="shared" si="2"/>
        <v>182.8528</v>
      </c>
      <c r="O28" s="386">
        <f t="shared" si="4"/>
        <v>4754.1727999999994</v>
      </c>
      <c r="P28" s="386">
        <f t="shared" si="5"/>
        <v>0</v>
      </c>
      <c r="Q28" s="386">
        <f t="shared" si="6"/>
        <v>358.6728</v>
      </c>
    </row>
    <row r="29" spans="1:17" s="24" customFormat="1">
      <c r="A29" s="26">
        <v>19</v>
      </c>
      <c r="B29" s="24" t="s">
        <v>2225</v>
      </c>
      <c r="C29" s="757" t="s">
        <v>2220</v>
      </c>
      <c r="D29" s="394">
        <v>3604.92</v>
      </c>
      <c r="G29" s="254"/>
      <c r="H29" s="386">
        <f t="shared" si="0"/>
        <v>0</v>
      </c>
      <c r="I29" s="386">
        <f t="shared" si="1"/>
        <v>3604.92</v>
      </c>
      <c r="J29" s="254">
        <v>0.04</v>
      </c>
      <c r="K29" s="386">
        <f t="shared" si="8"/>
        <v>144.1968</v>
      </c>
      <c r="L29" s="386">
        <f t="shared" si="3"/>
        <v>3749.1168000000002</v>
      </c>
      <c r="M29" s="254">
        <v>0.04</v>
      </c>
      <c r="N29" s="387">
        <f t="shared" si="2"/>
        <v>149.96467200000001</v>
      </c>
      <c r="O29" s="386">
        <f t="shared" si="4"/>
        <v>3899.0814720000003</v>
      </c>
      <c r="P29" s="386">
        <f t="shared" si="5"/>
        <v>0</v>
      </c>
      <c r="Q29" s="386">
        <f t="shared" si="6"/>
        <v>294.161472</v>
      </c>
    </row>
    <row r="30" spans="1:17" s="24" customFormat="1">
      <c r="A30" s="6">
        <v>20</v>
      </c>
      <c r="B30" s="24" t="s">
        <v>1314</v>
      </c>
      <c r="C30" s="757">
        <v>28890</v>
      </c>
      <c r="D30" s="394">
        <v>1386.53</v>
      </c>
      <c r="G30" s="254"/>
      <c r="H30" s="386">
        <f t="shared" si="0"/>
        <v>0</v>
      </c>
      <c r="I30" s="386">
        <f t="shared" si="1"/>
        <v>1386.53</v>
      </c>
      <c r="J30" s="254">
        <v>0.04</v>
      </c>
      <c r="K30" s="386">
        <f t="shared" si="8"/>
        <v>55.461199999999998</v>
      </c>
      <c r="L30" s="386">
        <f t="shared" si="3"/>
        <v>1441.9911999999999</v>
      </c>
      <c r="M30" s="254">
        <v>0.04</v>
      </c>
      <c r="N30" s="387">
        <f t="shared" si="2"/>
        <v>57.679648</v>
      </c>
      <c r="O30" s="386">
        <f t="shared" si="4"/>
        <v>1499.670848</v>
      </c>
      <c r="P30" s="386">
        <f t="shared" si="5"/>
        <v>0</v>
      </c>
      <c r="Q30" s="386">
        <f t="shared" si="6"/>
        <v>113.14084800000001</v>
      </c>
    </row>
    <row r="31" spans="1:17" s="24" customFormat="1">
      <c r="A31" s="6">
        <v>21</v>
      </c>
      <c r="B31" s="24" t="s">
        <v>1328</v>
      </c>
      <c r="C31" s="757" t="s">
        <v>705</v>
      </c>
      <c r="D31" s="394">
        <v>51071.97</v>
      </c>
      <c r="G31" s="254"/>
      <c r="H31" s="386">
        <f t="shared" si="0"/>
        <v>0</v>
      </c>
      <c r="I31" s="386">
        <f t="shared" si="1"/>
        <v>51071.97</v>
      </c>
      <c r="J31" s="254">
        <v>0.04</v>
      </c>
      <c r="K31" s="386">
        <f t="shared" si="8"/>
        <v>2042.8788000000002</v>
      </c>
      <c r="L31" s="386">
        <f t="shared" si="3"/>
        <v>53114.8488</v>
      </c>
      <c r="M31" s="254">
        <v>0.04</v>
      </c>
      <c r="N31" s="387">
        <f t="shared" si="2"/>
        <v>2124.5939520000002</v>
      </c>
      <c r="O31" s="386">
        <f t="shared" si="4"/>
        <v>55239.442752000003</v>
      </c>
      <c r="P31" s="386">
        <f t="shared" si="5"/>
        <v>0</v>
      </c>
      <c r="Q31" s="386">
        <f t="shared" si="6"/>
        <v>4167.4727520000006</v>
      </c>
    </row>
    <row r="32" spans="1:17" s="24" customFormat="1">
      <c r="A32" s="26">
        <v>22</v>
      </c>
      <c r="B32" s="24" t="s">
        <v>1323</v>
      </c>
      <c r="C32" s="757">
        <v>28940</v>
      </c>
      <c r="D32" s="394">
        <v>18930.04</v>
      </c>
      <c r="G32" s="254"/>
      <c r="H32" s="386">
        <f t="shared" si="0"/>
        <v>0</v>
      </c>
      <c r="I32" s="386">
        <f t="shared" si="1"/>
        <v>18930.04</v>
      </c>
      <c r="J32" s="254">
        <v>0.04</v>
      </c>
      <c r="K32" s="386">
        <f t="shared" si="8"/>
        <v>757.2016000000001</v>
      </c>
      <c r="L32" s="386">
        <f t="shared" si="3"/>
        <v>19687.241600000001</v>
      </c>
      <c r="M32" s="254">
        <v>0.04</v>
      </c>
      <c r="N32" s="387">
        <f t="shared" si="2"/>
        <v>787.48966400000006</v>
      </c>
      <c r="O32" s="386">
        <f t="shared" si="4"/>
        <v>20474.731264000002</v>
      </c>
      <c r="P32" s="386">
        <f t="shared" si="5"/>
        <v>0</v>
      </c>
      <c r="Q32" s="386">
        <f t="shared" si="6"/>
        <v>1544.691264</v>
      </c>
    </row>
    <row r="33" spans="1:17" s="24" customFormat="1">
      <c r="A33" s="6">
        <v>23</v>
      </c>
      <c r="B33" s="24" t="s">
        <v>1321</v>
      </c>
      <c r="C33" s="757">
        <v>29010</v>
      </c>
      <c r="D33" s="394">
        <v>93952.320000000007</v>
      </c>
      <c r="G33" s="254"/>
      <c r="H33" s="386">
        <f t="shared" si="0"/>
        <v>0</v>
      </c>
      <c r="I33" s="386">
        <f t="shared" si="1"/>
        <v>93952.320000000007</v>
      </c>
      <c r="J33" s="254">
        <v>0.04</v>
      </c>
      <c r="K33" s="386">
        <f t="shared" si="8"/>
        <v>3758.0928000000004</v>
      </c>
      <c r="L33" s="386">
        <f t="shared" si="3"/>
        <v>97710.412800000006</v>
      </c>
      <c r="M33" s="254">
        <v>0.04</v>
      </c>
      <c r="N33" s="387">
        <f t="shared" si="2"/>
        <v>3908.4165120000002</v>
      </c>
      <c r="O33" s="386">
        <f t="shared" si="4"/>
        <v>101618.829312</v>
      </c>
      <c r="P33" s="386">
        <f t="shared" si="5"/>
        <v>0</v>
      </c>
      <c r="Q33" s="386">
        <f t="shared" si="6"/>
        <v>7666.5093120000001</v>
      </c>
    </row>
    <row r="34" spans="1:17" s="24" customFormat="1">
      <c r="A34" s="6">
        <v>24</v>
      </c>
      <c r="B34" s="24" t="s">
        <v>1315</v>
      </c>
      <c r="C34" s="757">
        <v>29020</v>
      </c>
      <c r="D34" s="394">
        <v>91331.83</v>
      </c>
      <c r="G34" s="254"/>
      <c r="H34" s="386">
        <f t="shared" si="0"/>
        <v>0</v>
      </c>
      <c r="I34" s="386">
        <f t="shared" si="1"/>
        <v>91331.83</v>
      </c>
      <c r="J34" s="254">
        <v>0.04</v>
      </c>
      <c r="K34" s="386">
        <f t="shared" si="8"/>
        <v>3653.2732000000001</v>
      </c>
      <c r="L34" s="386">
        <f t="shared" si="3"/>
        <v>94985.103199999998</v>
      </c>
      <c r="M34" s="254">
        <v>0.04</v>
      </c>
      <c r="N34" s="387">
        <f t="shared" si="2"/>
        <v>3799.4041280000001</v>
      </c>
      <c r="O34" s="386">
        <f t="shared" si="4"/>
        <v>98784.507327999992</v>
      </c>
      <c r="P34" s="386">
        <f t="shared" si="5"/>
        <v>0</v>
      </c>
      <c r="Q34" s="386">
        <f t="shared" si="6"/>
        <v>7452.6773279999998</v>
      </c>
    </row>
    <row r="35" spans="1:17" s="24" customFormat="1">
      <c r="A35" s="26">
        <v>25</v>
      </c>
      <c r="B35" s="24" t="s">
        <v>1316</v>
      </c>
      <c r="C35" s="757" t="s">
        <v>708</v>
      </c>
      <c r="D35" s="758">
        <v>2313680.7000000002</v>
      </c>
      <c r="G35" s="254"/>
      <c r="H35" s="386">
        <f t="shared" si="0"/>
        <v>0</v>
      </c>
      <c r="I35" s="386">
        <f t="shared" si="1"/>
        <v>2313680.7000000002</v>
      </c>
      <c r="J35" s="254">
        <v>0.04</v>
      </c>
      <c r="K35" s="386">
        <f t="shared" si="8"/>
        <v>92547.228000000003</v>
      </c>
      <c r="L35" s="386">
        <f t="shared" si="3"/>
        <v>2406227.9280000003</v>
      </c>
      <c r="M35" s="254">
        <v>0.04</v>
      </c>
      <c r="N35" s="387">
        <f t="shared" si="2"/>
        <v>96249.11712000001</v>
      </c>
      <c r="O35" s="386">
        <f t="shared" si="4"/>
        <v>2502477.0451200004</v>
      </c>
      <c r="P35" s="386">
        <f t="shared" si="5"/>
        <v>0</v>
      </c>
      <c r="Q35" s="386">
        <f t="shared" si="6"/>
        <v>188796.34512000001</v>
      </c>
    </row>
    <row r="36" spans="1:17" s="24" customFormat="1">
      <c r="A36" s="6">
        <v>26</v>
      </c>
      <c r="B36" s="24" t="s">
        <v>1331</v>
      </c>
      <c r="C36" s="757">
        <v>29080</v>
      </c>
      <c r="D36" s="758">
        <v>461845.34</v>
      </c>
      <c r="G36" s="254"/>
      <c r="H36" s="386">
        <f t="shared" si="0"/>
        <v>0</v>
      </c>
      <c r="I36" s="386">
        <f t="shared" si="1"/>
        <v>461845.34</v>
      </c>
      <c r="J36" s="254">
        <v>0.04</v>
      </c>
      <c r="K36" s="386">
        <f t="shared" si="8"/>
        <v>18473.813600000001</v>
      </c>
      <c r="L36" s="386">
        <f t="shared" si="3"/>
        <v>480319.15360000002</v>
      </c>
      <c r="M36" s="254">
        <v>0.04</v>
      </c>
      <c r="N36" s="387">
        <f t="shared" si="2"/>
        <v>19212.766144000001</v>
      </c>
      <c r="O36" s="386">
        <f t="shared" si="4"/>
        <v>499531.91974400001</v>
      </c>
      <c r="P36" s="386">
        <f t="shared" si="5"/>
        <v>0</v>
      </c>
      <c r="Q36" s="386">
        <f t="shared" si="6"/>
        <v>37686.579744000002</v>
      </c>
    </row>
    <row r="37" spans="1:17" s="24" customFormat="1">
      <c r="A37" s="6">
        <v>27</v>
      </c>
      <c r="B37" s="24" t="s">
        <v>1329</v>
      </c>
      <c r="C37" s="757">
        <v>29100</v>
      </c>
      <c r="D37" s="758">
        <v>237878.66</v>
      </c>
      <c r="G37" s="254"/>
      <c r="H37" s="386">
        <f t="shared" si="0"/>
        <v>0</v>
      </c>
      <c r="I37" s="386">
        <f t="shared" si="1"/>
        <v>237878.66</v>
      </c>
      <c r="J37" s="254">
        <v>0.04</v>
      </c>
      <c r="K37" s="386">
        <f t="shared" si="8"/>
        <v>9515.1463999999996</v>
      </c>
      <c r="L37" s="386">
        <f t="shared" si="3"/>
        <v>247393.8064</v>
      </c>
      <c r="M37" s="254">
        <v>0.04</v>
      </c>
      <c r="N37" s="387">
        <f t="shared" si="2"/>
        <v>9895.7522559999998</v>
      </c>
      <c r="O37" s="386">
        <f t="shared" si="4"/>
        <v>257289.55865600001</v>
      </c>
      <c r="P37" s="386">
        <f t="shared" si="5"/>
        <v>0</v>
      </c>
      <c r="Q37" s="386">
        <f t="shared" si="6"/>
        <v>19410.898655999998</v>
      </c>
    </row>
    <row r="38" spans="1:17" s="24" customFormat="1">
      <c r="A38" s="26">
        <v>28</v>
      </c>
      <c r="B38" s="24" t="s">
        <v>2224</v>
      </c>
      <c r="C38" s="757">
        <v>29120</v>
      </c>
      <c r="D38" s="758">
        <v>2672</v>
      </c>
      <c r="G38" s="254"/>
      <c r="H38" s="386">
        <f t="shared" si="0"/>
        <v>0</v>
      </c>
      <c r="I38" s="386">
        <f t="shared" si="1"/>
        <v>2672</v>
      </c>
      <c r="J38" s="254">
        <v>0.04</v>
      </c>
      <c r="K38" s="386">
        <f t="shared" si="8"/>
        <v>106.88</v>
      </c>
      <c r="L38" s="386">
        <f t="shared" si="3"/>
        <v>2778.88</v>
      </c>
      <c r="M38" s="254">
        <v>0.04</v>
      </c>
      <c r="N38" s="387">
        <f t="shared" si="2"/>
        <v>111.15520000000001</v>
      </c>
      <c r="O38" s="386">
        <f t="shared" si="4"/>
        <v>2890.0352000000003</v>
      </c>
      <c r="P38" s="386">
        <f t="shared" si="5"/>
        <v>0</v>
      </c>
      <c r="Q38" s="386">
        <f t="shared" si="6"/>
        <v>218.0352</v>
      </c>
    </row>
    <row r="39" spans="1:17" s="24" customFormat="1">
      <c r="A39" s="6">
        <v>29</v>
      </c>
      <c r="B39" s="24" t="s">
        <v>1317</v>
      </c>
      <c r="C39" s="757" t="s">
        <v>709</v>
      </c>
      <c r="D39" s="758">
        <v>2791420.733</v>
      </c>
      <c r="G39" s="254"/>
      <c r="H39" s="386">
        <f t="shared" si="0"/>
        <v>0</v>
      </c>
      <c r="I39" s="386">
        <f t="shared" si="1"/>
        <v>2791420.733</v>
      </c>
      <c r="J39" s="254">
        <v>0.04</v>
      </c>
      <c r="K39" s="386">
        <f t="shared" si="8"/>
        <v>111656.82932</v>
      </c>
      <c r="L39" s="386">
        <f t="shared" si="3"/>
        <v>2903077.56232</v>
      </c>
      <c r="M39" s="254">
        <v>0.04</v>
      </c>
      <c r="N39" s="387">
        <f t="shared" si="2"/>
        <v>116123.1024928</v>
      </c>
      <c r="O39" s="386">
        <f t="shared" si="4"/>
        <v>3019200.6648128</v>
      </c>
      <c r="P39" s="386">
        <f t="shared" si="5"/>
        <v>0</v>
      </c>
      <c r="Q39" s="386">
        <f t="shared" si="6"/>
        <v>227779.9318128</v>
      </c>
    </row>
    <row r="40" spans="1:17" s="24" customFormat="1">
      <c r="A40" s="6">
        <v>30</v>
      </c>
      <c r="B40" s="24" t="s">
        <v>2223</v>
      </c>
      <c r="C40" s="757">
        <v>29210</v>
      </c>
      <c r="D40" s="758">
        <v>371.45</v>
      </c>
      <c r="G40" s="254"/>
      <c r="H40" s="386">
        <f t="shared" si="0"/>
        <v>0</v>
      </c>
      <c r="I40" s="386">
        <f t="shared" si="1"/>
        <v>371.45</v>
      </c>
      <c r="J40" s="254">
        <v>0.04</v>
      </c>
      <c r="K40" s="386">
        <f t="shared" si="8"/>
        <v>14.858000000000001</v>
      </c>
      <c r="L40" s="386">
        <f t="shared" si="3"/>
        <v>386.30799999999999</v>
      </c>
      <c r="M40" s="254">
        <v>0.04</v>
      </c>
      <c r="N40" s="387">
        <f t="shared" si="2"/>
        <v>15.45232</v>
      </c>
      <c r="O40" s="386">
        <f t="shared" si="4"/>
        <v>401.76031999999998</v>
      </c>
      <c r="P40" s="386">
        <f t="shared" si="5"/>
        <v>0</v>
      </c>
      <c r="Q40" s="386">
        <f t="shared" si="6"/>
        <v>30.310320000000001</v>
      </c>
    </row>
    <row r="41" spans="1:17">
      <c r="A41" s="26">
        <v>31</v>
      </c>
      <c r="B41" s="24" t="s">
        <v>1332</v>
      </c>
      <c r="C41" s="757">
        <v>29260</v>
      </c>
      <c r="D41" s="429">
        <v>4146.87</v>
      </c>
      <c r="E41" s="24"/>
      <c r="F41" s="24"/>
      <c r="G41" s="254"/>
      <c r="H41" s="386">
        <f t="shared" si="0"/>
        <v>0</v>
      </c>
      <c r="I41" s="397">
        <f t="shared" si="1"/>
        <v>4146.87</v>
      </c>
      <c r="J41" s="254">
        <v>0.04</v>
      </c>
      <c r="K41" s="386">
        <f t="shared" si="8"/>
        <v>165.87479999999999</v>
      </c>
      <c r="L41" s="386">
        <f t="shared" si="3"/>
        <v>4312.7447999999995</v>
      </c>
      <c r="M41" s="254">
        <v>0.04</v>
      </c>
      <c r="N41" s="387">
        <f t="shared" si="2"/>
        <v>172.50979199999998</v>
      </c>
      <c r="O41" s="386">
        <f t="shared" si="4"/>
        <v>4485.2545919999993</v>
      </c>
      <c r="P41" s="386">
        <f t="shared" si="5"/>
        <v>0</v>
      </c>
      <c r="Q41" s="386">
        <f t="shared" si="6"/>
        <v>338.384592</v>
      </c>
    </row>
    <row r="42" spans="1:17">
      <c r="A42" s="6">
        <v>32</v>
      </c>
      <c r="B42" s="24"/>
      <c r="C42" s="24"/>
      <c r="D42" s="395">
        <f>SUM(D20:D41)</f>
        <v>9796448.2129999977</v>
      </c>
      <c r="E42" s="24"/>
      <c r="F42" s="395">
        <f>SUM(F20:F41)</f>
        <v>0</v>
      </c>
      <c r="G42" s="24"/>
      <c r="H42" s="395">
        <f>SUM(H20:H41)</f>
        <v>0</v>
      </c>
      <c r="I42" s="395">
        <f>SUM(I20:I41)</f>
        <v>9796448.2129999977</v>
      </c>
      <c r="J42" s="24"/>
      <c r="K42" s="395">
        <f>SUM(K20:K41)</f>
        <v>391857.92852000007</v>
      </c>
      <c r="L42" s="395">
        <f>SUM(L20:L41)</f>
        <v>10188306.141519999</v>
      </c>
      <c r="M42" s="24"/>
      <c r="N42" s="395">
        <f>SUM(N20:N41)</f>
        <v>407532.24566079996</v>
      </c>
      <c r="O42" s="395">
        <f>SUM(O20:O41)</f>
        <v>10595838.3871808</v>
      </c>
      <c r="P42" s="395">
        <f>SUM(P20:P41)</f>
        <v>0</v>
      </c>
      <c r="Q42" s="395">
        <f>SUM(Q20:Q41)</f>
        <v>799390.17418080021</v>
      </c>
    </row>
    <row r="43" spans="1:17">
      <c r="A43" s="6" t="s">
        <v>799</v>
      </c>
      <c r="B43" s="24" t="s">
        <v>694</v>
      </c>
      <c r="C43" s="24"/>
      <c r="D43" s="24"/>
      <c r="E43" s="24"/>
      <c r="F43" s="24"/>
      <c r="G43" s="24"/>
      <c r="H43" s="24"/>
      <c r="I43" s="24"/>
      <c r="J43" s="24"/>
      <c r="K43" s="24"/>
      <c r="L43" s="24"/>
      <c r="M43" s="24"/>
      <c r="N43" s="24"/>
      <c r="O43" s="24"/>
      <c r="P43" s="24"/>
      <c r="Q43" s="24"/>
    </row>
    <row r="44" spans="1:17" s="24" customFormat="1">
      <c r="A44" s="26">
        <v>33</v>
      </c>
      <c r="B44" s="24" t="s">
        <v>1318</v>
      </c>
      <c r="C44" s="759">
        <v>28700</v>
      </c>
      <c r="D44" s="395">
        <v>1287.03</v>
      </c>
      <c r="F44" s="24">
        <v>0</v>
      </c>
      <c r="G44" s="254">
        <v>0.03</v>
      </c>
      <c r="H44" s="386">
        <f t="shared" ref="H44:H49" si="9">+F44*G44</f>
        <v>0</v>
      </c>
      <c r="I44" s="386">
        <f t="shared" ref="I44" si="10">+D44+H44</f>
        <v>1287.03</v>
      </c>
      <c r="J44" s="254">
        <v>0.03</v>
      </c>
      <c r="K44" s="386">
        <f t="shared" ref="K44" si="11">+I44*J44</f>
        <v>38.610900000000001</v>
      </c>
      <c r="L44" s="386">
        <f t="shared" ref="L44" si="12">+I44+K44</f>
        <v>1325.6408999999999</v>
      </c>
      <c r="M44" s="254">
        <v>0.03</v>
      </c>
      <c r="N44" s="387">
        <f t="shared" ref="N44" si="13">+L44*M44</f>
        <v>39.769226999999994</v>
      </c>
      <c r="O44" s="387">
        <f>+L44+N44</f>
        <v>1365.4101269999999</v>
      </c>
      <c r="P44" s="386">
        <f t="shared" ref="P44" si="14">+H44</f>
        <v>0</v>
      </c>
      <c r="Q44" s="386">
        <f>+N44+K44</f>
        <v>78.380126999999987</v>
      </c>
    </row>
    <row r="45" spans="1:17" s="24" customFormat="1">
      <c r="A45" s="26">
        <v>34</v>
      </c>
      <c r="B45" s="24" t="s">
        <v>195</v>
      </c>
      <c r="C45" s="759" t="s">
        <v>697</v>
      </c>
      <c r="D45" s="394">
        <v>48252.92</v>
      </c>
      <c r="F45" s="264">
        <v>19377.68</v>
      </c>
      <c r="G45" s="254">
        <v>0.03</v>
      </c>
      <c r="H45" s="386">
        <f t="shared" si="9"/>
        <v>581.33039999999994</v>
      </c>
      <c r="I45" s="386">
        <f t="shared" ref="I45:I65" si="15">+D45+H45</f>
        <v>48834.250399999997</v>
      </c>
      <c r="J45" s="254">
        <v>0.03</v>
      </c>
      <c r="K45" s="386">
        <f t="shared" ref="K45:K65" si="16">+I45*J45</f>
        <v>1465.0275119999999</v>
      </c>
      <c r="L45" s="386">
        <f t="shared" ref="L45:L64" si="17">+I45+K45</f>
        <v>50299.277911999998</v>
      </c>
      <c r="M45" s="254">
        <v>0.03</v>
      </c>
      <c r="N45" s="387">
        <f t="shared" ref="N45:N64" si="18">+L45*M45</f>
        <v>1508.9783373599998</v>
      </c>
      <c r="O45" s="387">
        <f>+L45+N45</f>
        <v>51808.256249359998</v>
      </c>
      <c r="P45" s="386">
        <f t="shared" ref="P45:P65" si="19">+H45</f>
        <v>581.33039999999994</v>
      </c>
      <c r="Q45" s="386">
        <f>+N45+K45</f>
        <v>2974.00584936</v>
      </c>
    </row>
    <row r="46" spans="1:17" s="24" customFormat="1">
      <c r="A46" s="26">
        <v>35</v>
      </c>
      <c r="B46" s="24" t="s">
        <v>1334</v>
      </c>
      <c r="C46" s="759" t="s">
        <v>710</v>
      </c>
      <c r="D46" s="394">
        <v>21804.45</v>
      </c>
      <c r="F46" s="264">
        <v>4790.26</v>
      </c>
      <c r="G46" s="254">
        <v>0.03</v>
      </c>
      <c r="H46" s="386">
        <f t="shared" si="9"/>
        <v>143.70779999999999</v>
      </c>
      <c r="I46" s="386">
        <f t="shared" si="15"/>
        <v>21948.157800000001</v>
      </c>
      <c r="J46" s="254">
        <v>0.03</v>
      </c>
      <c r="K46" s="386">
        <f t="shared" si="16"/>
        <v>658.44473400000004</v>
      </c>
      <c r="L46" s="386">
        <f t="shared" si="17"/>
        <v>22606.602534000001</v>
      </c>
      <c r="M46" s="254">
        <v>0.03</v>
      </c>
      <c r="N46" s="387">
        <f t="shared" si="18"/>
        <v>678.19807602000003</v>
      </c>
      <c r="O46" s="387">
        <f t="shared" ref="O46:O61" si="20">+L46+N46</f>
        <v>23284.80061002</v>
      </c>
      <c r="P46" s="386">
        <f t="shared" si="19"/>
        <v>143.70779999999999</v>
      </c>
      <c r="Q46" s="386">
        <f t="shared" ref="Q46:Q65" si="21">+N46+K46</f>
        <v>1336.6428100200001</v>
      </c>
    </row>
    <row r="47" spans="1:17" s="24" customFormat="1">
      <c r="A47" s="26">
        <v>36</v>
      </c>
      <c r="B47" s="24" t="str">
        <f>+B24</f>
        <v>Routine Main/Service Operation</v>
      </c>
      <c r="C47" s="759" t="s">
        <v>698</v>
      </c>
      <c r="D47" s="394">
        <v>2108300.17</v>
      </c>
      <c r="F47" s="264">
        <v>519275.66</v>
      </c>
      <c r="G47" s="254">
        <v>0.03</v>
      </c>
      <c r="H47" s="386">
        <f t="shared" si="9"/>
        <v>15578.269799999998</v>
      </c>
      <c r="I47" s="386">
        <f t="shared" si="15"/>
        <v>2123878.4397999998</v>
      </c>
      <c r="J47" s="254">
        <v>0.03</v>
      </c>
      <c r="K47" s="386">
        <f t="shared" si="16"/>
        <v>63716.353193999996</v>
      </c>
      <c r="L47" s="386">
        <f t="shared" si="17"/>
        <v>2187594.792994</v>
      </c>
      <c r="M47" s="254">
        <v>0.03</v>
      </c>
      <c r="N47" s="387">
        <f t="shared" si="18"/>
        <v>65627.843789819992</v>
      </c>
      <c r="O47" s="387">
        <f t="shared" si="20"/>
        <v>2253222.6367838201</v>
      </c>
      <c r="P47" s="386">
        <f t="shared" si="19"/>
        <v>15578.269799999998</v>
      </c>
      <c r="Q47" s="386">
        <f t="shared" si="21"/>
        <v>129344.19698381999</v>
      </c>
    </row>
    <row r="48" spans="1:17" s="24" customFormat="1">
      <c r="A48" s="26">
        <v>37</v>
      </c>
      <c r="B48" s="24" t="s">
        <v>1324</v>
      </c>
      <c r="C48" s="759" t="s">
        <v>711</v>
      </c>
      <c r="D48" s="394">
        <v>166198.94</v>
      </c>
      <c r="F48" s="264">
        <v>50169.81</v>
      </c>
      <c r="G48" s="254">
        <v>0.03</v>
      </c>
      <c r="H48" s="386">
        <f t="shared" si="9"/>
        <v>1505.0943</v>
      </c>
      <c r="I48" s="386">
        <f t="shared" si="15"/>
        <v>167704.0343</v>
      </c>
      <c r="J48" s="254">
        <v>0.03</v>
      </c>
      <c r="K48" s="386">
        <f t="shared" si="16"/>
        <v>5031.1210289999999</v>
      </c>
      <c r="L48" s="386">
        <f t="shared" si="17"/>
        <v>172735.155329</v>
      </c>
      <c r="M48" s="254">
        <v>0.03</v>
      </c>
      <c r="N48" s="387">
        <f t="shared" si="18"/>
        <v>5182.0546598700003</v>
      </c>
      <c r="O48" s="387">
        <f t="shared" si="20"/>
        <v>177917.20998886999</v>
      </c>
      <c r="P48" s="386">
        <f t="shared" si="19"/>
        <v>1505.0943</v>
      </c>
      <c r="Q48" s="386">
        <f t="shared" si="21"/>
        <v>10213.17568887</v>
      </c>
    </row>
    <row r="49" spans="1:17" s="24" customFormat="1">
      <c r="A49" s="26">
        <v>38</v>
      </c>
      <c r="B49" s="24" t="s">
        <v>1325</v>
      </c>
      <c r="C49" s="759" t="s">
        <v>712</v>
      </c>
      <c r="D49" s="394">
        <v>87276.54</v>
      </c>
      <c r="F49" s="264">
        <v>23467.43</v>
      </c>
      <c r="G49" s="254">
        <v>0.03</v>
      </c>
      <c r="H49" s="386">
        <f t="shared" si="9"/>
        <v>704.02289999999994</v>
      </c>
      <c r="I49" s="386">
        <f t="shared" si="15"/>
        <v>87980.56289999999</v>
      </c>
      <c r="J49" s="254">
        <v>0.03</v>
      </c>
      <c r="K49" s="386">
        <f t="shared" si="16"/>
        <v>2639.4168869999994</v>
      </c>
      <c r="L49" s="386">
        <f t="shared" si="17"/>
        <v>90619.979786999989</v>
      </c>
      <c r="M49" s="254">
        <v>0.03</v>
      </c>
      <c r="N49" s="387">
        <f t="shared" si="18"/>
        <v>2718.5993936099994</v>
      </c>
      <c r="O49" s="387">
        <f t="shared" si="20"/>
        <v>93338.579180609988</v>
      </c>
      <c r="P49" s="386">
        <f t="shared" si="19"/>
        <v>704.02289999999994</v>
      </c>
      <c r="Q49" s="386">
        <f t="shared" si="21"/>
        <v>5358.0162806099988</v>
      </c>
    </row>
    <row r="50" spans="1:17" s="24" customFormat="1">
      <c r="A50" s="26">
        <v>39</v>
      </c>
      <c r="B50" s="24" t="s">
        <v>1326</v>
      </c>
      <c r="C50" s="759" t="s">
        <v>699</v>
      </c>
      <c r="D50" s="394">
        <v>915293.16</v>
      </c>
      <c r="F50" s="264">
        <v>229776.52</v>
      </c>
      <c r="G50" s="254">
        <v>0.03</v>
      </c>
      <c r="H50" s="386">
        <f t="shared" ref="H50:H65" si="22">+F50*G50</f>
        <v>6893.2955999999995</v>
      </c>
      <c r="I50" s="386">
        <f t="shared" si="15"/>
        <v>922186.45559999999</v>
      </c>
      <c r="J50" s="254">
        <v>0.03</v>
      </c>
      <c r="K50" s="386">
        <f t="shared" si="16"/>
        <v>27665.593667999998</v>
      </c>
      <c r="L50" s="386">
        <f t="shared" si="17"/>
        <v>949852.04926799994</v>
      </c>
      <c r="M50" s="254">
        <v>0.03</v>
      </c>
      <c r="N50" s="387">
        <f t="shared" si="18"/>
        <v>28495.561478039996</v>
      </c>
      <c r="O50" s="387">
        <f t="shared" si="20"/>
        <v>978347.61074603989</v>
      </c>
      <c r="P50" s="386">
        <f t="shared" si="19"/>
        <v>6893.2955999999995</v>
      </c>
      <c r="Q50" s="386">
        <f t="shared" si="21"/>
        <v>56161.155146039993</v>
      </c>
    </row>
    <row r="51" spans="1:17" s="24" customFormat="1">
      <c r="A51" s="26">
        <v>40</v>
      </c>
      <c r="B51" s="24" t="s">
        <v>1327</v>
      </c>
      <c r="C51" s="759" t="s">
        <v>700</v>
      </c>
      <c r="D51" s="394">
        <v>615370.34</v>
      </c>
      <c r="F51" s="264">
        <v>179612.83</v>
      </c>
      <c r="G51" s="254">
        <v>0.03</v>
      </c>
      <c r="H51" s="386">
        <f t="shared" si="22"/>
        <v>5388.3848999999991</v>
      </c>
      <c r="I51" s="386">
        <f t="shared" si="15"/>
        <v>620758.72489999991</v>
      </c>
      <c r="J51" s="254">
        <v>0.03</v>
      </c>
      <c r="K51" s="386">
        <f t="shared" si="16"/>
        <v>18622.761746999997</v>
      </c>
      <c r="L51" s="386">
        <f t="shared" si="17"/>
        <v>639381.48664699995</v>
      </c>
      <c r="M51" s="254">
        <v>0.03</v>
      </c>
      <c r="N51" s="387">
        <f t="shared" si="18"/>
        <v>19181.444599409999</v>
      </c>
      <c r="O51" s="387">
        <f t="shared" si="20"/>
        <v>658562.93124641001</v>
      </c>
      <c r="P51" s="386">
        <f t="shared" si="19"/>
        <v>5388.3848999999991</v>
      </c>
      <c r="Q51" s="386">
        <f t="shared" si="21"/>
        <v>37804.206346409992</v>
      </c>
    </row>
    <row r="52" spans="1:17" s="24" customFormat="1">
      <c r="A52" s="26">
        <v>41</v>
      </c>
      <c r="B52" s="24" t="s">
        <v>1312</v>
      </c>
      <c r="C52" s="759" t="s">
        <v>701</v>
      </c>
      <c r="D52" s="394">
        <v>2535799.42</v>
      </c>
      <c r="F52" s="264">
        <v>706560.89</v>
      </c>
      <c r="G52" s="254">
        <v>0.03</v>
      </c>
      <c r="H52" s="386">
        <f t="shared" si="22"/>
        <v>21196.826700000001</v>
      </c>
      <c r="I52" s="386">
        <f t="shared" si="15"/>
        <v>2556996.2467</v>
      </c>
      <c r="J52" s="254">
        <v>0.03</v>
      </c>
      <c r="K52" s="386">
        <f t="shared" si="16"/>
        <v>76709.887401</v>
      </c>
      <c r="L52" s="386">
        <f t="shared" si="17"/>
        <v>2633706.1341010001</v>
      </c>
      <c r="M52" s="254">
        <v>0.03</v>
      </c>
      <c r="N52" s="387">
        <f t="shared" si="18"/>
        <v>79011.18402303</v>
      </c>
      <c r="O52" s="387">
        <f t="shared" si="20"/>
        <v>2712717.3181240303</v>
      </c>
      <c r="P52" s="386">
        <f t="shared" si="19"/>
        <v>21196.826700000001</v>
      </c>
      <c r="Q52" s="386">
        <f t="shared" si="21"/>
        <v>155721.07142403</v>
      </c>
    </row>
    <row r="53" spans="1:17" s="24" customFormat="1">
      <c r="A53" s="26">
        <v>42</v>
      </c>
      <c r="B53" s="24" t="str">
        <f>+B28</f>
        <v>Mains-Maintenance</v>
      </c>
      <c r="C53" s="759" t="s">
        <v>702</v>
      </c>
      <c r="D53" s="394">
        <v>525265.23</v>
      </c>
      <c r="F53" s="264">
        <v>126660.95</v>
      </c>
      <c r="G53" s="254">
        <v>0.03</v>
      </c>
      <c r="H53" s="386">
        <f t="shared" si="22"/>
        <v>3799.8284999999996</v>
      </c>
      <c r="I53" s="386">
        <f t="shared" si="15"/>
        <v>529065.05849999993</v>
      </c>
      <c r="J53" s="254">
        <v>0.03</v>
      </c>
      <c r="K53" s="386">
        <f t="shared" si="16"/>
        <v>15871.951754999996</v>
      </c>
      <c r="L53" s="386">
        <f t="shared" si="17"/>
        <v>544937.01025499997</v>
      </c>
      <c r="M53" s="254">
        <v>0.03</v>
      </c>
      <c r="N53" s="387">
        <f t="shared" si="18"/>
        <v>16348.110307649999</v>
      </c>
      <c r="O53" s="387">
        <f t="shared" si="20"/>
        <v>561285.12056264991</v>
      </c>
      <c r="P53" s="386">
        <f t="shared" si="19"/>
        <v>3799.8284999999996</v>
      </c>
      <c r="Q53" s="386">
        <f t="shared" si="21"/>
        <v>32220.062062649995</v>
      </c>
    </row>
    <row r="54" spans="1:17" s="24" customFormat="1">
      <c r="A54" s="26">
        <v>43</v>
      </c>
      <c r="B54" s="24" t="s">
        <v>1333</v>
      </c>
      <c r="C54" s="759" t="s">
        <v>713</v>
      </c>
      <c r="D54" s="394">
        <v>56815.88</v>
      </c>
      <c r="F54" s="264">
        <v>13653.52</v>
      </c>
      <c r="G54" s="254">
        <v>0.03</v>
      </c>
      <c r="H54" s="386">
        <f t="shared" si="22"/>
        <v>409.60559999999998</v>
      </c>
      <c r="I54" s="386">
        <f t="shared" si="15"/>
        <v>57225.4856</v>
      </c>
      <c r="J54" s="254">
        <v>0.03</v>
      </c>
      <c r="K54" s="386">
        <f t="shared" si="16"/>
        <v>1716.7645679999998</v>
      </c>
      <c r="L54" s="386">
        <f t="shared" si="17"/>
        <v>58942.250167999999</v>
      </c>
      <c r="M54" s="254">
        <v>0.03</v>
      </c>
      <c r="N54" s="387">
        <f t="shared" si="18"/>
        <v>1768.2675050399998</v>
      </c>
      <c r="O54" s="387">
        <f t="shared" si="20"/>
        <v>60710.517673039998</v>
      </c>
      <c r="P54" s="386">
        <f t="shared" si="19"/>
        <v>409.60559999999998</v>
      </c>
      <c r="Q54" s="386">
        <f t="shared" si="21"/>
        <v>3485.0320730399999</v>
      </c>
    </row>
    <row r="55" spans="1:17" s="24" customFormat="1">
      <c r="A55" s="26">
        <v>44</v>
      </c>
      <c r="B55" s="24" t="str">
        <f>+B30</f>
        <v>Station &amp; Odorizer Station</v>
      </c>
      <c r="C55" s="759" t="s">
        <v>703</v>
      </c>
      <c r="D55" s="394">
        <v>235823.44</v>
      </c>
      <c r="F55" s="264">
        <v>71401.27</v>
      </c>
      <c r="G55" s="254">
        <v>0.03</v>
      </c>
      <c r="H55" s="386">
        <f t="shared" si="22"/>
        <v>2142.0381000000002</v>
      </c>
      <c r="I55" s="386">
        <f t="shared" si="15"/>
        <v>237965.47810000001</v>
      </c>
      <c r="J55" s="254">
        <v>0.03</v>
      </c>
      <c r="K55" s="386">
        <f t="shared" si="16"/>
        <v>7138.9643429999996</v>
      </c>
      <c r="L55" s="386">
        <f t="shared" si="17"/>
        <v>245104.44244300001</v>
      </c>
      <c r="M55" s="254">
        <v>0.03</v>
      </c>
      <c r="N55" s="387">
        <f t="shared" si="18"/>
        <v>7353.13327329</v>
      </c>
      <c r="O55" s="387">
        <f t="shared" si="20"/>
        <v>252457.57571629001</v>
      </c>
      <c r="P55" s="386">
        <f t="shared" si="19"/>
        <v>2142.0381000000002</v>
      </c>
      <c r="Q55" s="386">
        <f t="shared" si="21"/>
        <v>14492.097616290001</v>
      </c>
    </row>
    <row r="56" spans="1:17" s="24" customFormat="1">
      <c r="A56" s="26">
        <v>45</v>
      </c>
      <c r="B56" s="24" t="s">
        <v>1330</v>
      </c>
      <c r="C56" s="759" t="s">
        <v>704</v>
      </c>
      <c r="D56" s="394">
        <v>25640.68</v>
      </c>
      <c r="F56" s="264">
        <v>3020.59</v>
      </c>
      <c r="G56" s="254">
        <v>0.03</v>
      </c>
      <c r="H56" s="386">
        <f t="shared" si="22"/>
        <v>90.617699999999999</v>
      </c>
      <c r="I56" s="386">
        <f t="shared" si="15"/>
        <v>25731.297699999999</v>
      </c>
      <c r="J56" s="254">
        <v>0.03</v>
      </c>
      <c r="K56" s="386">
        <f t="shared" si="16"/>
        <v>771.93893099999991</v>
      </c>
      <c r="L56" s="386">
        <f t="shared" si="17"/>
        <v>26503.236631</v>
      </c>
      <c r="M56" s="254">
        <v>0.03</v>
      </c>
      <c r="N56" s="387">
        <f t="shared" si="18"/>
        <v>795.09709893000002</v>
      </c>
      <c r="O56" s="387">
        <f t="shared" si="20"/>
        <v>27298.33372993</v>
      </c>
      <c r="P56" s="386">
        <f t="shared" si="19"/>
        <v>90.617699999999999</v>
      </c>
      <c r="Q56" s="386">
        <f t="shared" si="21"/>
        <v>1567.03602993</v>
      </c>
    </row>
    <row r="57" spans="1:17" s="24" customFormat="1">
      <c r="A57" s="26">
        <v>46</v>
      </c>
      <c r="B57" s="24" t="str">
        <f>+B31</f>
        <v>Service</v>
      </c>
      <c r="C57" s="759" t="s">
        <v>705</v>
      </c>
      <c r="D57" s="394">
        <v>793387.64</v>
      </c>
      <c r="F57" s="264">
        <v>204008.03</v>
      </c>
      <c r="G57" s="254">
        <v>0.03</v>
      </c>
      <c r="H57" s="386">
        <f t="shared" si="22"/>
        <v>6120.2408999999998</v>
      </c>
      <c r="I57" s="386">
        <f t="shared" si="15"/>
        <v>799507.88089999999</v>
      </c>
      <c r="J57" s="254">
        <v>0.03</v>
      </c>
      <c r="K57" s="386">
        <f t="shared" si="16"/>
        <v>23985.236427</v>
      </c>
      <c r="L57" s="386">
        <f t="shared" si="17"/>
        <v>823493.11732700001</v>
      </c>
      <c r="M57" s="254">
        <v>0.03</v>
      </c>
      <c r="N57" s="387">
        <f t="shared" si="18"/>
        <v>24704.793519809999</v>
      </c>
      <c r="O57" s="387">
        <f t="shared" si="20"/>
        <v>848197.91084680997</v>
      </c>
      <c r="P57" s="386">
        <f t="shared" si="19"/>
        <v>6120.2408999999998</v>
      </c>
      <c r="Q57" s="386">
        <f t="shared" si="21"/>
        <v>48690.029946809998</v>
      </c>
    </row>
    <row r="58" spans="1:17" s="24" customFormat="1">
      <c r="A58" s="26">
        <v>47</v>
      </c>
      <c r="B58" s="24" t="s">
        <v>1322</v>
      </c>
      <c r="C58" s="759" t="s">
        <v>706</v>
      </c>
      <c r="D58" s="394">
        <v>689855.71</v>
      </c>
      <c r="F58" s="264">
        <v>170799.2</v>
      </c>
      <c r="G58" s="254">
        <v>0.03</v>
      </c>
      <c r="H58" s="386">
        <f t="shared" si="22"/>
        <v>5123.9760000000006</v>
      </c>
      <c r="I58" s="386">
        <f t="shared" si="15"/>
        <v>694979.68599999999</v>
      </c>
      <c r="J58" s="254">
        <v>0.03</v>
      </c>
      <c r="K58" s="386">
        <f t="shared" si="16"/>
        <v>20849.390579999999</v>
      </c>
      <c r="L58" s="386">
        <f t="shared" si="17"/>
        <v>715829.07657999999</v>
      </c>
      <c r="M58" s="254">
        <v>0.03</v>
      </c>
      <c r="N58" s="387">
        <f t="shared" si="18"/>
        <v>21474.872297399997</v>
      </c>
      <c r="O58" s="387">
        <f t="shared" si="20"/>
        <v>737303.94887740002</v>
      </c>
      <c r="P58" s="386">
        <f t="shared" si="19"/>
        <v>5123.9760000000006</v>
      </c>
      <c r="Q58" s="386">
        <f t="shared" si="21"/>
        <v>42324.262877399997</v>
      </c>
    </row>
    <row r="59" spans="1:17" s="24" customFormat="1">
      <c r="A59" s="26">
        <v>48</v>
      </c>
      <c r="B59" s="24" t="str">
        <f>+B32</f>
        <v>Maintenance of Other</v>
      </c>
      <c r="C59" s="759" t="s">
        <v>714</v>
      </c>
      <c r="D59" s="394">
        <v>857430.33</v>
      </c>
      <c r="F59" s="264">
        <v>249586.68</v>
      </c>
      <c r="G59" s="254">
        <v>0.03</v>
      </c>
      <c r="H59" s="386">
        <f t="shared" si="22"/>
        <v>7487.6003999999994</v>
      </c>
      <c r="I59" s="386">
        <f t="shared" si="15"/>
        <v>864917.93039999995</v>
      </c>
      <c r="J59" s="254">
        <v>0.03</v>
      </c>
      <c r="K59" s="386">
        <f t="shared" si="16"/>
        <v>25947.537911999996</v>
      </c>
      <c r="L59" s="386">
        <f t="shared" si="17"/>
        <v>890865.46831199992</v>
      </c>
      <c r="M59" s="254">
        <v>0.03</v>
      </c>
      <c r="N59" s="387">
        <f t="shared" si="18"/>
        <v>26725.964049359998</v>
      </c>
      <c r="O59" s="387">
        <f t="shared" si="20"/>
        <v>917591.43236135994</v>
      </c>
      <c r="P59" s="386">
        <f t="shared" si="19"/>
        <v>7487.6003999999994</v>
      </c>
      <c r="Q59" s="386">
        <f t="shared" si="21"/>
        <v>52673.501961359994</v>
      </c>
    </row>
    <row r="60" spans="1:17" s="24" customFormat="1">
      <c r="A60" s="26">
        <v>49</v>
      </c>
      <c r="B60" s="24" t="str">
        <f>+B34</f>
        <v>Routine Meter Reading</v>
      </c>
      <c r="C60" s="759" t="s">
        <v>707</v>
      </c>
      <c r="D60" s="394">
        <v>346337.29</v>
      </c>
      <c r="F60" s="264">
        <v>89063.33</v>
      </c>
      <c r="G60" s="254">
        <v>0.03</v>
      </c>
      <c r="H60" s="386">
        <f t="shared" si="22"/>
        <v>2671.8998999999999</v>
      </c>
      <c r="I60" s="386">
        <f t="shared" si="15"/>
        <v>349009.1899</v>
      </c>
      <c r="J60" s="254">
        <v>0.03</v>
      </c>
      <c r="K60" s="386">
        <f t="shared" si="16"/>
        <v>10470.275696999999</v>
      </c>
      <c r="L60" s="386">
        <f t="shared" si="17"/>
        <v>359479.46559699997</v>
      </c>
      <c r="M60" s="254">
        <v>0.03</v>
      </c>
      <c r="N60" s="387">
        <f t="shared" si="18"/>
        <v>10784.383967909998</v>
      </c>
      <c r="O60" s="387">
        <f t="shared" si="20"/>
        <v>370263.84956490999</v>
      </c>
      <c r="P60" s="386">
        <f t="shared" si="19"/>
        <v>2671.8998999999999</v>
      </c>
      <c r="Q60" s="386">
        <f t="shared" si="21"/>
        <v>21254.659664909996</v>
      </c>
    </row>
    <row r="61" spans="1:17" s="24" customFormat="1">
      <c r="A61" s="26">
        <v>50</v>
      </c>
      <c r="B61" s="24" t="str">
        <f>+B35</f>
        <v>Customer Collection</v>
      </c>
      <c r="C61" s="759" t="s">
        <v>708</v>
      </c>
      <c r="D61" s="394">
        <v>98505.75</v>
      </c>
      <c r="F61" s="264">
        <v>22918.49</v>
      </c>
      <c r="G61" s="254">
        <v>0.03</v>
      </c>
      <c r="H61" s="386">
        <f>+F61*G61</f>
        <v>687.55470000000003</v>
      </c>
      <c r="I61" s="386">
        <f t="shared" si="15"/>
        <v>99193.304699999993</v>
      </c>
      <c r="J61" s="254">
        <v>0.03</v>
      </c>
      <c r="K61" s="386">
        <f t="shared" si="16"/>
        <v>2975.7991409999995</v>
      </c>
      <c r="L61" s="386">
        <f t="shared" si="17"/>
        <v>102169.10384099999</v>
      </c>
      <c r="M61" s="254">
        <v>0.03</v>
      </c>
      <c r="N61" s="387">
        <f t="shared" si="18"/>
        <v>3065.0731152299995</v>
      </c>
      <c r="O61" s="387">
        <f t="shared" si="20"/>
        <v>105234.17695622999</v>
      </c>
      <c r="P61" s="386">
        <f t="shared" si="19"/>
        <v>687.55470000000003</v>
      </c>
      <c r="Q61" s="386">
        <f t="shared" si="21"/>
        <v>6040.872256229999</v>
      </c>
    </row>
    <row r="62" spans="1:17" s="24" customFormat="1">
      <c r="A62" s="26">
        <v>51</v>
      </c>
      <c r="B62" s="24" t="str">
        <f>+B39</f>
        <v>Administration &amp; General</v>
      </c>
      <c r="C62" s="759" t="s">
        <v>709</v>
      </c>
      <c r="D62" s="394">
        <v>691.57</v>
      </c>
      <c r="F62" s="264">
        <v>0</v>
      </c>
      <c r="G62" s="254">
        <v>0.03</v>
      </c>
      <c r="H62" s="386">
        <f t="shared" si="22"/>
        <v>0</v>
      </c>
      <c r="I62" s="386">
        <f t="shared" si="15"/>
        <v>691.57</v>
      </c>
      <c r="J62" s="254">
        <v>0.03</v>
      </c>
      <c r="K62" s="386">
        <f t="shared" si="16"/>
        <v>20.7471</v>
      </c>
      <c r="L62" s="386">
        <f t="shared" si="17"/>
        <v>712.3171000000001</v>
      </c>
      <c r="M62" s="254">
        <v>0.03</v>
      </c>
      <c r="N62" s="387">
        <f t="shared" si="18"/>
        <v>21.369513000000001</v>
      </c>
      <c r="O62" s="387">
        <f>+L62+N62</f>
        <v>733.68661300000008</v>
      </c>
      <c r="P62" s="386">
        <f>+H62</f>
        <v>0</v>
      </c>
      <c r="Q62" s="386">
        <f t="shared" si="21"/>
        <v>42.116613000000001</v>
      </c>
    </row>
    <row r="63" spans="1:17" s="24" customFormat="1">
      <c r="A63" s="26">
        <v>52</v>
      </c>
      <c r="B63" s="24" t="s">
        <v>2223</v>
      </c>
      <c r="C63" s="759">
        <v>29210</v>
      </c>
      <c r="D63" s="394">
        <v>361.65</v>
      </c>
      <c r="F63" s="264">
        <v>0</v>
      </c>
      <c r="G63" s="254">
        <v>0.03</v>
      </c>
      <c r="H63" s="386">
        <f t="shared" si="22"/>
        <v>0</v>
      </c>
      <c r="I63" s="386">
        <f t="shared" si="15"/>
        <v>361.65</v>
      </c>
      <c r="J63" s="254">
        <v>0.03</v>
      </c>
      <c r="K63" s="386">
        <f t="shared" si="16"/>
        <v>10.849499999999999</v>
      </c>
      <c r="L63" s="386">
        <f t="shared" si="17"/>
        <v>372.49949999999995</v>
      </c>
      <c r="M63" s="254">
        <v>0.03</v>
      </c>
      <c r="N63" s="387">
        <f t="shared" si="18"/>
        <v>11.174984999999998</v>
      </c>
      <c r="O63" s="387">
        <f>+L63+N63</f>
        <v>383.67448499999995</v>
      </c>
      <c r="P63" s="386">
        <f t="shared" si="19"/>
        <v>0</v>
      </c>
      <c r="Q63" s="386">
        <f t="shared" si="21"/>
        <v>22.024484999999999</v>
      </c>
    </row>
    <row r="64" spans="1:17">
      <c r="A64" s="26">
        <v>53</v>
      </c>
      <c r="B64" s="24" t="str">
        <f>+B41</f>
        <v>Employee Pensions and Benefits</v>
      </c>
      <c r="C64" s="759">
        <v>29260</v>
      </c>
      <c r="D64" s="394">
        <v>23110.23</v>
      </c>
      <c r="E64" s="24"/>
      <c r="F64" s="264">
        <v>0</v>
      </c>
      <c r="G64" s="254">
        <v>0.03</v>
      </c>
      <c r="H64" s="386">
        <f t="shared" si="22"/>
        <v>0</v>
      </c>
      <c r="I64" s="386">
        <f t="shared" si="15"/>
        <v>23110.23</v>
      </c>
      <c r="J64" s="254">
        <v>0.03</v>
      </c>
      <c r="K64" s="386">
        <f t="shared" si="16"/>
        <v>693.30689999999993</v>
      </c>
      <c r="L64" s="386">
        <f t="shared" si="17"/>
        <v>23803.536899999999</v>
      </c>
      <c r="M64" s="254">
        <v>0.03</v>
      </c>
      <c r="N64" s="387">
        <f t="shared" si="18"/>
        <v>714.10610699999995</v>
      </c>
      <c r="O64" s="387">
        <f>+L64+N64</f>
        <v>24517.643006999999</v>
      </c>
      <c r="P64" s="386">
        <f t="shared" si="19"/>
        <v>0</v>
      </c>
      <c r="Q64" s="386">
        <f t="shared" si="21"/>
        <v>1407.4130069999999</v>
      </c>
    </row>
    <row r="65" spans="1:17">
      <c r="A65" s="26">
        <v>54</v>
      </c>
      <c r="B65" s="24" t="s">
        <v>283</v>
      </c>
      <c r="C65" s="759" t="s">
        <v>715</v>
      </c>
      <c r="D65" s="429">
        <v>2556.56</v>
      </c>
      <c r="E65" s="259"/>
      <c r="F65" s="396">
        <v>1301.68</v>
      </c>
      <c r="G65" s="254">
        <v>0.03</v>
      </c>
      <c r="H65" s="397">
        <f t="shared" si="22"/>
        <v>39.050400000000003</v>
      </c>
      <c r="I65" s="397">
        <f t="shared" si="15"/>
        <v>2595.6104</v>
      </c>
      <c r="J65" s="254">
        <v>0.03</v>
      </c>
      <c r="K65" s="397">
        <f t="shared" si="16"/>
        <v>77.868312000000003</v>
      </c>
      <c r="L65" s="397">
        <f>+I65+K65</f>
        <v>2673.4787120000001</v>
      </c>
      <c r="M65" s="254">
        <v>0.03</v>
      </c>
      <c r="N65" s="398">
        <f>+L65*M65</f>
        <v>80.204361359999993</v>
      </c>
      <c r="O65" s="398">
        <f>+L65+N65</f>
        <v>2753.68307336</v>
      </c>
      <c r="P65" s="397">
        <f t="shared" si="19"/>
        <v>39.050400000000003</v>
      </c>
      <c r="Q65" s="397">
        <f t="shared" si="21"/>
        <v>158.07267336000001</v>
      </c>
    </row>
    <row r="66" spans="1:17">
      <c r="A66" s="26">
        <v>55</v>
      </c>
      <c r="B66" s="24"/>
      <c r="C66" s="24"/>
      <c r="D66" s="395">
        <f>SUM(D44:D65)</f>
        <v>10155364.93</v>
      </c>
      <c r="E66" s="24"/>
      <c r="F66" s="395">
        <f>SUM(F44:F65)</f>
        <v>2685444.8200000008</v>
      </c>
      <c r="G66" s="24"/>
      <c r="H66" s="395">
        <f>SUM(H44:H65)</f>
        <v>80563.344599999982</v>
      </c>
      <c r="I66" s="395">
        <f>SUM(I44:I65)</f>
        <v>10235928.274600001</v>
      </c>
      <c r="J66" s="24"/>
      <c r="K66" s="395">
        <f>SUM(K44:K65)</f>
        <v>307077.84823800001</v>
      </c>
      <c r="L66" s="395">
        <f>SUM(L44:L65)</f>
        <v>10543006.122838002</v>
      </c>
      <c r="M66" s="24"/>
      <c r="N66" s="395">
        <f>SUM(N44:N65)</f>
        <v>316290.1836851401</v>
      </c>
      <c r="O66" s="395">
        <f>SUM(O44:O65)</f>
        <v>10859296.306523144</v>
      </c>
      <c r="P66" s="395">
        <f>SUM(P44:P65)</f>
        <v>80563.344599999982</v>
      </c>
      <c r="Q66" s="395">
        <f>SUM(Q44:Q65)</f>
        <v>623368.03192313982</v>
      </c>
    </row>
    <row r="67" spans="1:17">
      <c r="C67" s="24"/>
      <c r="D67" s="24"/>
      <c r="E67" s="24"/>
      <c r="F67" s="24"/>
      <c r="G67" s="24"/>
      <c r="H67" s="24"/>
      <c r="I67" s="24"/>
      <c r="J67" s="24"/>
      <c r="K67" s="24"/>
      <c r="L67" s="24"/>
      <c r="M67" s="24"/>
      <c r="N67" s="24"/>
      <c r="O67" s="24"/>
      <c r="P67" s="24"/>
      <c r="Q67" s="24"/>
    </row>
    <row r="69" spans="1:17" ht="16.2" thickBot="1">
      <c r="A69" s="26"/>
      <c r="B69" s="24"/>
      <c r="C69" s="24"/>
      <c r="D69" s="24"/>
      <c r="E69" s="24"/>
      <c r="F69" s="24"/>
      <c r="G69" s="24"/>
      <c r="H69" s="24"/>
    </row>
    <row r="70" spans="1:17">
      <c r="A70" s="26"/>
      <c r="B70" s="917" t="s">
        <v>2221</v>
      </c>
      <c r="C70" s="918"/>
      <c r="D70" s="918"/>
      <c r="E70" s="919"/>
      <c r="F70" s="24"/>
      <c r="G70" s="24"/>
      <c r="H70" s="24"/>
    </row>
    <row r="71" spans="1:17">
      <c r="A71" s="26"/>
      <c r="B71" s="920"/>
      <c r="C71" s="921"/>
      <c r="D71" s="921"/>
      <c r="E71" s="922"/>
      <c r="F71" s="24"/>
      <c r="G71" s="24"/>
      <c r="H71" s="24"/>
    </row>
    <row r="72" spans="1:17">
      <c r="A72" s="26"/>
      <c r="B72" s="920"/>
      <c r="C72" s="921"/>
      <c r="D72" s="921"/>
      <c r="E72" s="922"/>
      <c r="F72" s="24"/>
      <c r="G72" s="24"/>
      <c r="H72" s="24"/>
    </row>
    <row r="73" spans="1:17" ht="16.2" thickBot="1">
      <c r="A73" s="26"/>
      <c r="B73" s="923"/>
      <c r="C73" s="924"/>
      <c r="D73" s="924"/>
      <c r="E73" s="925"/>
      <c r="F73" s="24"/>
      <c r="G73" s="24"/>
      <c r="H73" s="24"/>
    </row>
    <row r="74" spans="1:17">
      <c r="A74" s="458" t="s">
        <v>662</v>
      </c>
      <c r="B74" s="24"/>
      <c r="C74" s="24"/>
      <c r="D74" s="24"/>
      <c r="E74" s="24"/>
      <c r="F74" s="24"/>
      <c r="G74" s="24"/>
      <c r="H74" s="24"/>
    </row>
    <row r="75" spans="1:17">
      <c r="A75" s="26">
        <v>56</v>
      </c>
      <c r="B75" s="755" t="s">
        <v>2228</v>
      </c>
      <c r="C75" s="24"/>
      <c r="D75" s="24"/>
      <c r="E75" s="24"/>
      <c r="F75" s="427">
        <v>87053.82</v>
      </c>
      <c r="G75" s="24"/>
      <c r="H75" s="24"/>
      <c r="J75" s="254">
        <v>0.04</v>
      </c>
      <c r="K75" s="399">
        <f>+F75*J75</f>
        <v>3482.1528000000003</v>
      </c>
      <c r="L75" s="399">
        <f>+F75+K75</f>
        <v>90535.972800000003</v>
      </c>
      <c r="M75" s="254">
        <v>0.04</v>
      </c>
      <c r="N75" s="427">
        <f>+L75*M75</f>
        <v>3621.4389120000001</v>
      </c>
      <c r="O75" s="399">
        <f>+L75+N75</f>
        <v>94157.411712000001</v>
      </c>
      <c r="P75" s="158">
        <f t="shared" ref="P75:P110" si="23">+H75</f>
        <v>0</v>
      </c>
      <c r="Q75" s="158">
        <f t="shared" ref="Q75:Q110" si="24">+N75+K75</f>
        <v>7103.5917120000004</v>
      </c>
    </row>
    <row r="76" spans="1:17">
      <c r="A76" s="26">
        <v>57</v>
      </c>
      <c r="B76" s="755" t="s">
        <v>2229</v>
      </c>
      <c r="C76" s="24"/>
      <c r="D76" s="24"/>
      <c r="E76" s="24"/>
      <c r="F76" s="427">
        <v>17105.599999999999</v>
      </c>
      <c r="G76" s="24"/>
      <c r="H76" s="24"/>
      <c r="J76" s="254">
        <v>0.04</v>
      </c>
      <c r="K76" s="399">
        <f>+F76*J76</f>
        <v>684.22399999999993</v>
      </c>
      <c r="L76" s="399">
        <f t="shared" ref="L76:L110" si="25">+F76+K76</f>
        <v>17789.823999999997</v>
      </c>
      <c r="M76" s="254">
        <v>0.04</v>
      </c>
      <c r="N76" s="427">
        <f t="shared" ref="N76:N110" si="26">+L76*M76</f>
        <v>711.59295999999983</v>
      </c>
      <c r="O76" s="399">
        <f t="shared" ref="O76:O110" si="27">+L76+N76</f>
        <v>18501.416959999995</v>
      </c>
      <c r="P76" s="158">
        <f t="shared" si="23"/>
        <v>0</v>
      </c>
      <c r="Q76" s="158">
        <f t="shared" si="24"/>
        <v>1395.8169599999997</v>
      </c>
    </row>
    <row r="77" spans="1:17">
      <c r="A77" s="26">
        <v>58</v>
      </c>
      <c r="B77" s="755" t="s">
        <v>748</v>
      </c>
      <c r="C77" s="24"/>
      <c r="D77" s="24"/>
      <c r="E77" s="24"/>
      <c r="F77" s="427">
        <v>1790432.89</v>
      </c>
      <c r="G77" s="24"/>
      <c r="H77" s="24"/>
      <c r="J77" s="254">
        <v>0.04</v>
      </c>
      <c r="K77" s="399">
        <f t="shared" ref="K77:K110" si="28">+F77*J77</f>
        <v>71617.315600000002</v>
      </c>
      <c r="L77" s="399">
        <f t="shared" si="25"/>
        <v>1862050.2056</v>
      </c>
      <c r="M77" s="254">
        <v>0.04</v>
      </c>
      <c r="N77" s="427">
        <f t="shared" si="26"/>
        <v>74482.008224000005</v>
      </c>
      <c r="O77" s="399">
        <f t="shared" si="27"/>
        <v>1936532.213824</v>
      </c>
      <c r="P77" s="158">
        <f t="shared" si="23"/>
        <v>0</v>
      </c>
      <c r="Q77" s="158">
        <f t="shared" si="24"/>
        <v>146099.32382400002</v>
      </c>
    </row>
    <row r="78" spans="1:17">
      <c r="A78" s="26">
        <v>59</v>
      </c>
      <c r="B78" s="755" t="s">
        <v>1364</v>
      </c>
      <c r="C78" s="24"/>
      <c r="D78" s="24"/>
      <c r="E78" s="24"/>
      <c r="F78" s="427">
        <v>63503.67</v>
      </c>
      <c r="G78" s="24"/>
      <c r="H78" s="24"/>
      <c r="J78" s="254">
        <v>0.04</v>
      </c>
      <c r="K78" s="399">
        <f t="shared" si="28"/>
        <v>2540.1468</v>
      </c>
      <c r="L78" s="399">
        <f t="shared" si="25"/>
        <v>66043.816800000001</v>
      </c>
      <c r="M78" s="254">
        <v>0.04</v>
      </c>
      <c r="N78" s="427">
        <f t="shared" si="26"/>
        <v>2641.7526720000001</v>
      </c>
      <c r="O78" s="399">
        <f t="shared" si="27"/>
        <v>68685.569472000003</v>
      </c>
      <c r="P78" s="158">
        <f t="shared" si="23"/>
        <v>0</v>
      </c>
      <c r="Q78" s="158">
        <f t="shared" si="24"/>
        <v>5181.8994720000001</v>
      </c>
    </row>
    <row r="79" spans="1:17">
      <c r="A79" s="26">
        <v>60</v>
      </c>
      <c r="B79" s="755" t="s">
        <v>1365</v>
      </c>
      <c r="C79" s="24"/>
      <c r="D79" s="24"/>
      <c r="E79" s="24"/>
      <c r="F79" s="427">
        <v>46296.31</v>
      </c>
      <c r="G79" s="24"/>
      <c r="H79" s="24"/>
      <c r="J79" s="254">
        <v>0.04</v>
      </c>
      <c r="K79" s="399">
        <f t="shared" si="28"/>
        <v>1851.8524</v>
      </c>
      <c r="L79" s="399">
        <f t="shared" si="25"/>
        <v>48148.162400000001</v>
      </c>
      <c r="M79" s="254">
        <v>0.04</v>
      </c>
      <c r="N79" s="427">
        <f t="shared" si="26"/>
        <v>1925.926496</v>
      </c>
      <c r="O79" s="399">
        <f t="shared" si="27"/>
        <v>50074.088896000001</v>
      </c>
      <c r="P79" s="158">
        <f t="shared" si="23"/>
        <v>0</v>
      </c>
      <c r="Q79" s="158">
        <f t="shared" si="24"/>
        <v>3777.7788959999998</v>
      </c>
    </row>
    <row r="80" spans="1:17">
      <c r="A80" s="26">
        <v>61</v>
      </c>
      <c r="B80" s="755" t="s">
        <v>2230</v>
      </c>
      <c r="C80" s="24"/>
      <c r="D80" s="24"/>
      <c r="E80" s="24"/>
      <c r="F80" s="427">
        <v>44262.68</v>
      </c>
      <c r="G80" s="24"/>
      <c r="H80" s="24"/>
      <c r="J80" s="254">
        <v>0.04</v>
      </c>
      <c r="K80" s="399">
        <f t="shared" si="28"/>
        <v>1770.5072</v>
      </c>
      <c r="L80" s="399">
        <f t="shared" si="25"/>
        <v>46033.1872</v>
      </c>
      <c r="M80" s="254">
        <v>0.04</v>
      </c>
      <c r="N80" s="427">
        <f t="shared" si="26"/>
        <v>1841.3274880000001</v>
      </c>
      <c r="O80" s="399">
        <f t="shared" si="27"/>
        <v>47874.514688000003</v>
      </c>
      <c r="P80" s="158">
        <f t="shared" si="23"/>
        <v>0</v>
      </c>
      <c r="Q80" s="158">
        <f t="shared" si="24"/>
        <v>3611.8346879999999</v>
      </c>
    </row>
    <row r="81" spans="1:17">
      <c r="A81" s="26">
        <v>62</v>
      </c>
      <c r="B81" s="755" t="s">
        <v>2231</v>
      </c>
      <c r="C81" s="24"/>
      <c r="D81" s="24"/>
      <c r="E81" s="24"/>
      <c r="F81" s="427">
        <v>178815.01</v>
      </c>
      <c r="G81" s="24"/>
      <c r="H81" s="24"/>
      <c r="J81" s="254">
        <v>0.04</v>
      </c>
      <c r="K81" s="399">
        <f t="shared" si="28"/>
        <v>7152.6004000000003</v>
      </c>
      <c r="L81" s="399">
        <f t="shared" si="25"/>
        <v>185967.61040000001</v>
      </c>
      <c r="M81" s="254">
        <v>0.04</v>
      </c>
      <c r="N81" s="427">
        <f t="shared" si="26"/>
        <v>7438.7044160000005</v>
      </c>
      <c r="O81" s="399">
        <f t="shared" si="27"/>
        <v>193406.314816</v>
      </c>
      <c r="P81" s="158">
        <f t="shared" si="23"/>
        <v>0</v>
      </c>
      <c r="Q81" s="158">
        <f t="shared" si="24"/>
        <v>14591.304816</v>
      </c>
    </row>
    <row r="82" spans="1:17">
      <c r="A82" s="26">
        <v>63</v>
      </c>
      <c r="B82" s="755" t="s">
        <v>2232</v>
      </c>
      <c r="C82" s="24"/>
      <c r="D82" s="24"/>
      <c r="E82" s="24"/>
      <c r="F82" s="427">
        <v>164017.69</v>
      </c>
      <c r="G82" s="24"/>
      <c r="H82" s="24"/>
      <c r="J82" s="254">
        <v>0.04</v>
      </c>
      <c r="K82" s="399">
        <f t="shared" si="28"/>
        <v>6560.7076000000006</v>
      </c>
      <c r="L82" s="399">
        <f t="shared" si="25"/>
        <v>170578.3976</v>
      </c>
      <c r="M82" s="254">
        <v>0.04</v>
      </c>
      <c r="N82" s="427">
        <f t="shared" si="26"/>
        <v>6823.1359039999998</v>
      </c>
      <c r="O82" s="399">
        <f t="shared" si="27"/>
        <v>177401.53350399999</v>
      </c>
      <c r="P82" s="158">
        <f t="shared" si="23"/>
        <v>0</v>
      </c>
      <c r="Q82" s="158">
        <f t="shared" si="24"/>
        <v>13383.843504</v>
      </c>
    </row>
    <row r="83" spans="1:17">
      <c r="A83" s="26">
        <v>64</v>
      </c>
      <c r="B83" s="755" t="s">
        <v>2233</v>
      </c>
      <c r="C83" s="24"/>
      <c r="D83" s="24"/>
      <c r="E83" s="24"/>
      <c r="F83" s="427">
        <v>50438.05</v>
      </c>
      <c r="G83" s="24"/>
      <c r="H83" s="24"/>
      <c r="J83" s="254">
        <v>0.04</v>
      </c>
      <c r="K83" s="399">
        <f t="shared" si="28"/>
        <v>2017.5220000000002</v>
      </c>
      <c r="L83" s="399">
        <f t="shared" si="25"/>
        <v>52455.572</v>
      </c>
      <c r="M83" s="254">
        <v>0.04</v>
      </c>
      <c r="N83" s="427">
        <f t="shared" si="26"/>
        <v>2098.2228800000003</v>
      </c>
      <c r="O83" s="399">
        <f t="shared" si="27"/>
        <v>54553.794880000001</v>
      </c>
      <c r="P83" s="158">
        <f t="shared" si="23"/>
        <v>0</v>
      </c>
      <c r="Q83" s="158">
        <f t="shared" si="24"/>
        <v>4115.7448800000002</v>
      </c>
    </row>
    <row r="84" spans="1:17">
      <c r="A84" s="26">
        <v>65</v>
      </c>
      <c r="B84" s="755" t="s">
        <v>2234</v>
      </c>
      <c r="C84" s="24"/>
      <c r="D84" s="24"/>
      <c r="E84" s="24"/>
      <c r="F84" s="427">
        <v>152593.38</v>
      </c>
      <c r="G84" s="24"/>
      <c r="H84" s="24"/>
      <c r="J84" s="254">
        <v>0.04</v>
      </c>
      <c r="K84" s="399">
        <f t="shared" si="28"/>
        <v>6103.7352000000001</v>
      </c>
      <c r="L84" s="399">
        <f t="shared" si="25"/>
        <v>158697.1152</v>
      </c>
      <c r="M84" s="254">
        <v>0.04</v>
      </c>
      <c r="N84" s="427">
        <f t="shared" si="26"/>
        <v>6347.8846080000003</v>
      </c>
      <c r="O84" s="399">
        <f t="shared" si="27"/>
        <v>165044.99980799999</v>
      </c>
      <c r="P84" s="158">
        <f t="shared" si="23"/>
        <v>0</v>
      </c>
      <c r="Q84" s="158">
        <f t="shared" si="24"/>
        <v>12451.619807999999</v>
      </c>
    </row>
    <row r="85" spans="1:17">
      <c r="A85" s="26">
        <v>66</v>
      </c>
      <c r="B85" s="755" t="s">
        <v>1366</v>
      </c>
      <c r="C85" s="24"/>
      <c r="D85" s="24"/>
      <c r="E85" s="24"/>
      <c r="F85" s="427">
        <v>57821.919999999998</v>
      </c>
      <c r="G85" s="24"/>
      <c r="H85" s="24"/>
      <c r="J85" s="254">
        <v>0.04</v>
      </c>
      <c r="K85" s="399">
        <f t="shared" si="28"/>
        <v>2312.8768</v>
      </c>
      <c r="L85" s="399">
        <f t="shared" si="25"/>
        <v>60134.796799999996</v>
      </c>
      <c r="M85" s="254">
        <v>0.04</v>
      </c>
      <c r="N85" s="427">
        <f t="shared" si="26"/>
        <v>2405.3918719999997</v>
      </c>
      <c r="O85" s="399">
        <f t="shared" si="27"/>
        <v>62540.188671999997</v>
      </c>
      <c r="P85" s="158">
        <f t="shared" si="23"/>
        <v>0</v>
      </c>
      <c r="Q85" s="158">
        <f t="shared" si="24"/>
        <v>4718.2686720000002</v>
      </c>
    </row>
    <row r="86" spans="1:17">
      <c r="A86" s="26">
        <v>67</v>
      </c>
      <c r="B86" s="755" t="s">
        <v>2235</v>
      </c>
      <c r="C86" s="24"/>
      <c r="D86" s="24"/>
      <c r="E86" s="24"/>
      <c r="F86" s="427">
        <v>219071.45</v>
      </c>
      <c r="G86" s="24"/>
      <c r="H86" s="24"/>
      <c r="J86" s="254">
        <v>0.04</v>
      </c>
      <c r="K86" s="399">
        <f t="shared" si="28"/>
        <v>8762.8580000000002</v>
      </c>
      <c r="L86" s="399">
        <f t="shared" si="25"/>
        <v>227834.30800000002</v>
      </c>
      <c r="M86" s="254">
        <v>0.04</v>
      </c>
      <c r="N86" s="427">
        <f t="shared" si="26"/>
        <v>9113.3723200000004</v>
      </c>
      <c r="O86" s="399">
        <f t="shared" si="27"/>
        <v>236947.68032000001</v>
      </c>
      <c r="P86" s="158">
        <f t="shared" si="23"/>
        <v>0</v>
      </c>
      <c r="Q86" s="158">
        <f t="shared" si="24"/>
        <v>17876.230320000002</v>
      </c>
    </row>
    <row r="87" spans="1:17">
      <c r="A87" s="26">
        <v>68</v>
      </c>
      <c r="B87" s="755" t="s">
        <v>2236</v>
      </c>
      <c r="C87" s="24"/>
      <c r="D87" s="24"/>
      <c r="E87" s="24"/>
      <c r="F87" s="427">
        <v>51766.03</v>
      </c>
      <c r="G87" s="24"/>
      <c r="H87" s="24"/>
      <c r="J87" s="254">
        <v>0.04</v>
      </c>
      <c r="K87" s="399">
        <f t="shared" si="28"/>
        <v>2070.6412</v>
      </c>
      <c r="L87" s="399">
        <f t="shared" si="25"/>
        <v>53836.671199999997</v>
      </c>
      <c r="M87" s="254">
        <v>0.04</v>
      </c>
      <c r="N87" s="427">
        <f t="shared" si="26"/>
        <v>2153.466848</v>
      </c>
      <c r="O87" s="399">
        <f t="shared" si="27"/>
        <v>55990.138047999993</v>
      </c>
      <c r="P87" s="158">
        <f t="shared" si="23"/>
        <v>0</v>
      </c>
      <c r="Q87" s="158">
        <f t="shared" si="24"/>
        <v>4224.1080480000001</v>
      </c>
    </row>
    <row r="88" spans="1:17">
      <c r="A88" s="26">
        <v>69</v>
      </c>
      <c r="B88" s="755" t="s">
        <v>1367</v>
      </c>
      <c r="C88" s="24"/>
      <c r="D88" s="24"/>
      <c r="E88" s="24"/>
      <c r="F88" s="427">
        <v>1.13686837721616E-13</v>
      </c>
      <c r="G88" s="24"/>
      <c r="H88" s="24"/>
      <c r="J88" s="254">
        <v>0.04</v>
      </c>
      <c r="K88" s="399">
        <f t="shared" si="28"/>
        <v>4.5474735088646405E-15</v>
      </c>
      <c r="L88" s="399">
        <f t="shared" si="25"/>
        <v>1.1823431123048065E-13</v>
      </c>
      <c r="M88" s="254">
        <v>0.04</v>
      </c>
      <c r="N88" s="427">
        <f t="shared" si="26"/>
        <v>4.7293724492192258E-15</v>
      </c>
      <c r="O88" s="399">
        <f t="shared" si="27"/>
        <v>1.2296368367969989E-13</v>
      </c>
      <c r="P88" s="158">
        <f t="shared" si="23"/>
        <v>0</v>
      </c>
      <c r="Q88" s="158">
        <f t="shared" si="24"/>
        <v>9.2768459580838655E-15</v>
      </c>
    </row>
    <row r="89" spans="1:17">
      <c r="A89" s="26">
        <v>70</v>
      </c>
      <c r="B89" s="755" t="s">
        <v>2237</v>
      </c>
      <c r="C89" s="24"/>
      <c r="D89" s="24"/>
      <c r="E89" s="24"/>
      <c r="F89" s="427">
        <v>186138.97</v>
      </c>
      <c r="G89" s="24"/>
      <c r="H89" s="24"/>
      <c r="J89" s="254">
        <v>0.04</v>
      </c>
      <c r="K89" s="399">
        <f t="shared" si="28"/>
        <v>7445.5587999999998</v>
      </c>
      <c r="L89" s="399">
        <f t="shared" si="25"/>
        <v>193584.5288</v>
      </c>
      <c r="M89" s="254">
        <v>0.04</v>
      </c>
      <c r="N89" s="427">
        <f t="shared" si="26"/>
        <v>7743.3811519999999</v>
      </c>
      <c r="O89" s="399">
        <f t="shared" si="27"/>
        <v>201327.90995199999</v>
      </c>
      <c r="P89" s="158">
        <f t="shared" si="23"/>
        <v>0</v>
      </c>
      <c r="Q89" s="158">
        <f t="shared" si="24"/>
        <v>15188.939952000001</v>
      </c>
    </row>
    <row r="90" spans="1:17">
      <c r="A90" s="26">
        <v>71</v>
      </c>
      <c r="B90" s="755" t="s">
        <v>2238</v>
      </c>
      <c r="C90" s="24"/>
      <c r="D90" s="24"/>
      <c r="E90" s="24"/>
      <c r="F90" s="427">
        <v>3655.78</v>
      </c>
      <c r="G90" s="24"/>
      <c r="H90" s="24"/>
      <c r="J90" s="254">
        <v>0.04</v>
      </c>
      <c r="K90" s="265">
        <f t="shared" si="28"/>
        <v>146.2312</v>
      </c>
      <c r="L90" s="265">
        <f t="shared" si="25"/>
        <v>3802.0112000000004</v>
      </c>
      <c r="M90" s="254">
        <v>0.04</v>
      </c>
      <c r="N90" s="427">
        <f t="shared" si="26"/>
        <v>152.08044800000002</v>
      </c>
      <c r="O90" s="265">
        <f t="shared" si="27"/>
        <v>3954.0916480000005</v>
      </c>
      <c r="P90" s="158">
        <f t="shared" si="23"/>
        <v>0</v>
      </c>
      <c r="Q90" s="428">
        <f t="shared" si="24"/>
        <v>298.31164799999999</v>
      </c>
    </row>
    <row r="91" spans="1:17">
      <c r="A91" s="26">
        <v>72</v>
      </c>
      <c r="B91" s="755" t="s">
        <v>2239</v>
      </c>
      <c r="C91" s="24"/>
      <c r="D91" s="24"/>
      <c r="E91" s="24"/>
      <c r="F91" s="427">
        <v>65210.96</v>
      </c>
      <c r="G91" s="24"/>
      <c r="H91" s="24"/>
      <c r="J91" s="254">
        <v>0.04</v>
      </c>
      <c r="K91" s="399">
        <f t="shared" si="28"/>
        <v>2608.4384</v>
      </c>
      <c r="L91" s="399">
        <f t="shared" si="25"/>
        <v>67819.398400000005</v>
      </c>
      <c r="M91" s="254">
        <v>0.04</v>
      </c>
      <c r="N91" s="427">
        <f t="shared" si="26"/>
        <v>2712.7759360000005</v>
      </c>
      <c r="O91" s="399">
        <f t="shared" si="27"/>
        <v>70532.174336000011</v>
      </c>
      <c r="P91" s="158">
        <f t="shared" si="23"/>
        <v>0</v>
      </c>
      <c r="Q91" s="158">
        <f t="shared" si="24"/>
        <v>5321.2143360000009</v>
      </c>
    </row>
    <row r="92" spans="1:17">
      <c r="A92" s="26">
        <v>73</v>
      </c>
      <c r="B92" s="755" t="s">
        <v>2240</v>
      </c>
      <c r="C92" s="24"/>
      <c r="D92" s="24"/>
      <c r="E92" s="24"/>
      <c r="F92" s="427">
        <v>956.7</v>
      </c>
      <c r="G92" s="24"/>
      <c r="H92" s="24"/>
      <c r="J92" s="254">
        <v>0.04</v>
      </c>
      <c r="K92" s="399">
        <f t="shared" si="28"/>
        <v>38.268000000000001</v>
      </c>
      <c r="L92" s="399">
        <f t="shared" si="25"/>
        <v>994.96800000000007</v>
      </c>
      <c r="M92" s="254">
        <v>0.04</v>
      </c>
      <c r="N92" s="427">
        <f t="shared" si="26"/>
        <v>39.798720000000003</v>
      </c>
      <c r="O92" s="399">
        <f t="shared" si="27"/>
        <v>1034.7667200000001</v>
      </c>
      <c r="P92" s="158">
        <f t="shared" si="23"/>
        <v>0</v>
      </c>
      <c r="Q92" s="158">
        <f t="shared" si="24"/>
        <v>78.066720000000004</v>
      </c>
    </row>
    <row r="93" spans="1:17">
      <c r="A93" s="26">
        <v>74</v>
      </c>
      <c r="B93" s="755" t="s">
        <v>2241</v>
      </c>
      <c r="C93" s="24"/>
      <c r="D93" s="24"/>
      <c r="E93" s="24"/>
      <c r="F93" s="427">
        <v>124549.92</v>
      </c>
      <c r="G93" s="24"/>
      <c r="H93" s="24"/>
      <c r="J93" s="254">
        <v>0.04</v>
      </c>
      <c r="K93" s="399">
        <f t="shared" si="28"/>
        <v>4981.9967999999999</v>
      </c>
      <c r="L93" s="399">
        <f t="shared" si="25"/>
        <v>129531.91679999999</v>
      </c>
      <c r="M93" s="254">
        <v>0.04</v>
      </c>
      <c r="N93" s="427">
        <f t="shared" si="26"/>
        <v>5181.276672</v>
      </c>
      <c r="O93" s="399">
        <f t="shared" si="27"/>
        <v>134713.19347199998</v>
      </c>
      <c r="P93" s="158">
        <f t="shared" si="23"/>
        <v>0</v>
      </c>
      <c r="Q93" s="158">
        <f t="shared" si="24"/>
        <v>10163.273472000001</v>
      </c>
    </row>
    <row r="94" spans="1:17">
      <c r="A94" s="26">
        <v>75</v>
      </c>
      <c r="B94" s="755" t="s">
        <v>2242</v>
      </c>
      <c r="C94" s="24"/>
      <c r="D94" s="24"/>
      <c r="E94" s="24"/>
      <c r="F94" s="427">
        <v>141164.45000000001</v>
      </c>
      <c r="G94" s="24"/>
      <c r="H94" s="24"/>
      <c r="J94" s="254">
        <v>0.04</v>
      </c>
      <c r="K94" s="399">
        <f t="shared" si="28"/>
        <v>5646.5780000000004</v>
      </c>
      <c r="L94" s="399">
        <f t="shared" si="25"/>
        <v>146811.02800000002</v>
      </c>
      <c r="M94" s="254">
        <v>0.04</v>
      </c>
      <c r="N94" s="427">
        <f t="shared" si="26"/>
        <v>5872.4411200000013</v>
      </c>
      <c r="O94" s="399">
        <f t="shared" si="27"/>
        <v>152683.46912000002</v>
      </c>
      <c r="P94" s="158">
        <f t="shared" si="23"/>
        <v>0</v>
      </c>
      <c r="Q94" s="158">
        <f t="shared" si="24"/>
        <v>11519.019120000001</v>
      </c>
    </row>
    <row r="95" spans="1:17">
      <c r="A95" s="26">
        <v>76</v>
      </c>
      <c r="B95" s="755" t="s">
        <v>749</v>
      </c>
      <c r="C95" s="24"/>
      <c r="D95" s="24"/>
      <c r="E95" s="24"/>
      <c r="F95" s="427">
        <v>159195.79999999999</v>
      </c>
      <c r="G95" s="24"/>
      <c r="H95" s="24"/>
      <c r="J95" s="254">
        <v>0.04</v>
      </c>
      <c r="K95" s="399">
        <f t="shared" si="28"/>
        <v>6367.8319999999994</v>
      </c>
      <c r="L95" s="399">
        <f t="shared" si="25"/>
        <v>165563.63199999998</v>
      </c>
      <c r="M95" s="254">
        <v>0.04</v>
      </c>
      <c r="N95" s="427">
        <f t="shared" si="26"/>
        <v>6622.5452799999994</v>
      </c>
      <c r="O95" s="399">
        <f t="shared" si="27"/>
        <v>172186.17727999997</v>
      </c>
      <c r="P95" s="158">
        <f t="shared" si="23"/>
        <v>0</v>
      </c>
      <c r="Q95" s="158">
        <f t="shared" si="24"/>
        <v>12990.377279999999</v>
      </c>
    </row>
    <row r="96" spans="1:17">
      <c r="A96" s="26">
        <v>77</v>
      </c>
      <c r="B96" s="755" t="s">
        <v>2243</v>
      </c>
      <c r="C96" s="24"/>
      <c r="D96" s="24"/>
      <c r="E96" s="24"/>
      <c r="F96" s="427">
        <v>85072.95</v>
      </c>
      <c r="G96" s="24"/>
      <c r="H96" s="24"/>
      <c r="J96" s="254">
        <v>0.04</v>
      </c>
      <c r="K96" s="399">
        <f t="shared" si="28"/>
        <v>3402.9180000000001</v>
      </c>
      <c r="L96" s="399">
        <f t="shared" si="25"/>
        <v>88475.868000000002</v>
      </c>
      <c r="M96" s="254">
        <v>0.04</v>
      </c>
      <c r="N96" s="427">
        <f t="shared" si="26"/>
        <v>3539.0347200000001</v>
      </c>
      <c r="O96" s="399">
        <f t="shared" si="27"/>
        <v>92014.902719999998</v>
      </c>
      <c r="P96" s="158">
        <f t="shared" si="23"/>
        <v>0</v>
      </c>
      <c r="Q96" s="158">
        <f t="shared" si="24"/>
        <v>6941.9527200000002</v>
      </c>
    </row>
    <row r="97" spans="1:17">
      <c r="A97" s="26">
        <v>78</v>
      </c>
      <c r="B97" s="755" t="s">
        <v>2244</v>
      </c>
      <c r="C97" s="24"/>
      <c r="D97" s="24"/>
      <c r="E97" s="24"/>
      <c r="F97" s="427">
        <v>875917.72</v>
      </c>
      <c r="G97" s="24"/>
      <c r="H97" s="24"/>
      <c r="J97" s="254">
        <v>0.04</v>
      </c>
      <c r="K97" s="399">
        <f t="shared" si="28"/>
        <v>35036.7088</v>
      </c>
      <c r="L97" s="399">
        <f t="shared" si="25"/>
        <v>910954.42879999999</v>
      </c>
      <c r="M97" s="254">
        <v>0.04</v>
      </c>
      <c r="N97" s="427">
        <f t="shared" si="26"/>
        <v>36438.177152000004</v>
      </c>
      <c r="O97" s="399">
        <f t="shared" si="27"/>
        <v>947392.60595200001</v>
      </c>
      <c r="P97" s="158">
        <f t="shared" si="23"/>
        <v>0</v>
      </c>
      <c r="Q97" s="158">
        <f t="shared" si="24"/>
        <v>71474.885952000011</v>
      </c>
    </row>
    <row r="98" spans="1:17">
      <c r="A98" s="26">
        <v>79</v>
      </c>
      <c r="B98" s="755" t="s">
        <v>2245</v>
      </c>
      <c r="C98" s="24"/>
      <c r="D98" s="24"/>
      <c r="E98" s="24"/>
      <c r="F98" s="427">
        <v>287512.96999999997</v>
      </c>
      <c r="G98" s="24"/>
      <c r="H98" s="24"/>
      <c r="J98" s="254">
        <v>0.04</v>
      </c>
      <c r="K98" s="399">
        <f t="shared" si="28"/>
        <v>11500.5188</v>
      </c>
      <c r="L98" s="399">
        <f t="shared" si="25"/>
        <v>299013.48879999999</v>
      </c>
      <c r="M98" s="254">
        <v>0.04</v>
      </c>
      <c r="N98" s="427">
        <f t="shared" si="26"/>
        <v>11960.539552</v>
      </c>
      <c r="O98" s="399">
        <f t="shared" si="27"/>
        <v>310974.02835199999</v>
      </c>
      <c r="P98" s="158">
        <f t="shared" si="23"/>
        <v>0</v>
      </c>
      <c r="Q98" s="158">
        <f t="shared" si="24"/>
        <v>23461.058352</v>
      </c>
    </row>
    <row r="99" spans="1:17">
      <c r="A99" s="26">
        <v>80</v>
      </c>
      <c r="B99" s="755" t="s">
        <v>750</v>
      </c>
      <c r="C99" s="24"/>
      <c r="D99" s="24"/>
      <c r="E99" s="24"/>
      <c r="F99" s="427">
        <v>203880.66</v>
      </c>
      <c r="G99" s="24"/>
      <c r="H99" s="24"/>
      <c r="J99" s="254">
        <v>0.04</v>
      </c>
      <c r="K99" s="399">
        <f t="shared" si="28"/>
        <v>8155.2264000000005</v>
      </c>
      <c r="L99" s="399">
        <f t="shared" si="25"/>
        <v>212035.88640000002</v>
      </c>
      <c r="M99" s="254">
        <v>0.04</v>
      </c>
      <c r="N99" s="427">
        <f t="shared" si="26"/>
        <v>8481.4354560000011</v>
      </c>
      <c r="O99" s="399">
        <f t="shared" si="27"/>
        <v>220517.32185600002</v>
      </c>
      <c r="P99" s="158">
        <f t="shared" si="23"/>
        <v>0</v>
      </c>
      <c r="Q99" s="158">
        <f t="shared" si="24"/>
        <v>16636.661856000002</v>
      </c>
    </row>
    <row r="100" spans="1:17">
      <c r="A100" s="26">
        <v>81</v>
      </c>
      <c r="B100" s="755" t="s">
        <v>1368</v>
      </c>
      <c r="C100" s="24"/>
      <c r="D100" s="24"/>
      <c r="E100" s="24"/>
      <c r="F100" s="427">
        <v>17020.080000000002</v>
      </c>
      <c r="G100" s="24"/>
      <c r="H100" s="24"/>
      <c r="J100" s="254">
        <v>0.04</v>
      </c>
      <c r="K100" s="399">
        <f t="shared" si="28"/>
        <v>680.80320000000006</v>
      </c>
      <c r="L100" s="399">
        <f t="shared" si="25"/>
        <v>17700.8832</v>
      </c>
      <c r="M100" s="254">
        <v>0.04</v>
      </c>
      <c r="N100" s="427">
        <f t="shared" si="26"/>
        <v>708.03532800000005</v>
      </c>
      <c r="O100" s="399">
        <f t="shared" si="27"/>
        <v>18408.918528000002</v>
      </c>
      <c r="P100" s="158">
        <f t="shared" si="23"/>
        <v>0</v>
      </c>
      <c r="Q100" s="158">
        <f t="shared" si="24"/>
        <v>1388.8385280000002</v>
      </c>
    </row>
    <row r="101" spans="1:17">
      <c r="A101" s="26">
        <v>82</v>
      </c>
      <c r="B101" s="755" t="s">
        <v>2246</v>
      </c>
      <c r="C101" s="24"/>
      <c r="D101" s="24"/>
      <c r="E101" s="24"/>
      <c r="F101" s="427">
        <v>35070.400000000001</v>
      </c>
      <c r="G101" s="24"/>
      <c r="H101" s="24"/>
      <c r="J101" s="254">
        <v>0.04</v>
      </c>
      <c r="K101" s="399">
        <f t="shared" si="28"/>
        <v>1402.816</v>
      </c>
      <c r="L101" s="399">
        <f t="shared" si="25"/>
        <v>36473.216</v>
      </c>
      <c r="M101" s="254">
        <v>0.04</v>
      </c>
      <c r="N101" s="427">
        <f t="shared" si="26"/>
        <v>1458.9286400000001</v>
      </c>
      <c r="O101" s="399">
        <f t="shared" si="27"/>
        <v>37932.144639999999</v>
      </c>
      <c r="P101" s="158">
        <f t="shared" si="23"/>
        <v>0</v>
      </c>
      <c r="Q101" s="158">
        <f t="shared" si="24"/>
        <v>2861.7446399999999</v>
      </c>
    </row>
    <row r="102" spans="1:17">
      <c r="A102" s="26">
        <v>83</v>
      </c>
      <c r="B102" s="755" t="s">
        <v>751</v>
      </c>
      <c r="C102" s="24"/>
      <c r="D102" s="24"/>
      <c r="E102" s="24"/>
      <c r="F102" s="427">
        <v>787.94</v>
      </c>
      <c r="G102" s="24"/>
      <c r="H102" s="24"/>
      <c r="J102" s="254">
        <v>0.04</v>
      </c>
      <c r="K102" s="399">
        <f t="shared" si="28"/>
        <v>31.517600000000002</v>
      </c>
      <c r="L102" s="399">
        <f t="shared" si="25"/>
        <v>819.45760000000007</v>
      </c>
      <c r="M102" s="254">
        <v>0.04</v>
      </c>
      <c r="N102" s="427">
        <f t="shared" si="26"/>
        <v>32.778304000000006</v>
      </c>
      <c r="O102" s="399">
        <f t="shared" si="27"/>
        <v>852.23590400000012</v>
      </c>
      <c r="P102" s="158">
        <f t="shared" si="23"/>
        <v>0</v>
      </c>
      <c r="Q102" s="158">
        <f t="shared" si="24"/>
        <v>64.295904000000007</v>
      </c>
    </row>
    <row r="103" spans="1:17">
      <c r="A103" s="26">
        <v>84</v>
      </c>
      <c r="B103" s="755" t="s">
        <v>752</v>
      </c>
      <c r="C103" s="24"/>
      <c r="D103" s="24"/>
      <c r="E103" s="24"/>
      <c r="F103" s="427">
        <v>66933.38</v>
      </c>
      <c r="G103" s="24"/>
      <c r="H103" s="24"/>
      <c r="J103" s="254">
        <v>0.04</v>
      </c>
      <c r="K103" s="399">
        <f t="shared" si="28"/>
        <v>2677.3352000000004</v>
      </c>
      <c r="L103" s="399">
        <f t="shared" si="25"/>
        <v>69610.715200000006</v>
      </c>
      <c r="M103" s="254">
        <v>0.04</v>
      </c>
      <c r="N103" s="427">
        <f t="shared" si="26"/>
        <v>2784.4286080000002</v>
      </c>
      <c r="O103" s="399">
        <f t="shared" si="27"/>
        <v>72395.143808000008</v>
      </c>
      <c r="P103" s="158">
        <f t="shared" si="23"/>
        <v>0</v>
      </c>
      <c r="Q103" s="158">
        <f t="shared" si="24"/>
        <v>5461.7638080000006</v>
      </c>
    </row>
    <row r="104" spans="1:17">
      <c r="A104" s="26">
        <v>85</v>
      </c>
      <c r="B104" s="755" t="s">
        <v>2247</v>
      </c>
      <c r="C104" s="24"/>
      <c r="D104" s="24"/>
      <c r="E104" s="24"/>
      <c r="F104" s="427">
        <v>73862.3</v>
      </c>
      <c r="G104" s="24"/>
      <c r="H104" s="24"/>
      <c r="J104" s="254">
        <v>0.04</v>
      </c>
      <c r="K104" s="399">
        <f t="shared" si="28"/>
        <v>2954.4920000000002</v>
      </c>
      <c r="L104" s="399">
        <f t="shared" si="25"/>
        <v>76816.792000000001</v>
      </c>
      <c r="M104" s="254">
        <v>0.04</v>
      </c>
      <c r="N104" s="427">
        <f t="shared" si="26"/>
        <v>3072.6716799999999</v>
      </c>
      <c r="O104" s="399">
        <f t="shared" si="27"/>
        <v>79889.463680000001</v>
      </c>
      <c r="P104" s="158">
        <f t="shared" si="23"/>
        <v>0</v>
      </c>
      <c r="Q104" s="158">
        <f t="shared" si="24"/>
        <v>6027.1636799999997</v>
      </c>
    </row>
    <row r="105" spans="1:17">
      <c r="A105" s="26">
        <v>86</v>
      </c>
      <c r="B105" s="755" t="s">
        <v>2248</v>
      </c>
      <c r="C105" s="24"/>
      <c r="D105" s="24"/>
      <c r="E105" s="24"/>
      <c r="F105" s="427">
        <v>69084.19</v>
      </c>
      <c r="G105" s="24"/>
      <c r="H105" s="24"/>
      <c r="J105" s="254">
        <v>0.04</v>
      </c>
      <c r="K105" s="399">
        <f t="shared" si="28"/>
        <v>2763.3676</v>
      </c>
      <c r="L105" s="399">
        <f t="shared" si="25"/>
        <v>71847.5576</v>
      </c>
      <c r="M105" s="254">
        <v>0.04</v>
      </c>
      <c r="N105" s="427">
        <f t="shared" si="26"/>
        <v>2873.9023040000002</v>
      </c>
      <c r="O105" s="399">
        <f t="shared" si="27"/>
        <v>74721.459904000003</v>
      </c>
      <c r="P105" s="158">
        <f t="shared" si="23"/>
        <v>0</v>
      </c>
      <c r="Q105" s="158">
        <f t="shared" si="24"/>
        <v>5637.2699040000007</v>
      </c>
    </row>
    <row r="106" spans="1:17">
      <c r="A106" s="26">
        <v>87</v>
      </c>
      <c r="B106" s="755" t="s">
        <v>2249</v>
      </c>
      <c r="C106" s="24"/>
      <c r="D106" s="24"/>
      <c r="E106" s="24"/>
      <c r="F106" s="427">
        <v>72895.600000000006</v>
      </c>
      <c r="G106" s="24"/>
      <c r="H106" s="24"/>
      <c r="J106" s="254">
        <v>0.04</v>
      </c>
      <c r="K106" s="399">
        <f t="shared" si="28"/>
        <v>2915.8240000000001</v>
      </c>
      <c r="L106" s="399">
        <f t="shared" si="25"/>
        <v>75811.423999999999</v>
      </c>
      <c r="M106" s="254">
        <v>0.04</v>
      </c>
      <c r="N106" s="427">
        <f t="shared" si="26"/>
        <v>3032.45696</v>
      </c>
      <c r="O106" s="399">
        <f t="shared" si="27"/>
        <v>78843.880959999995</v>
      </c>
      <c r="P106" s="158">
        <f t="shared" si="23"/>
        <v>0</v>
      </c>
      <c r="Q106" s="158">
        <f t="shared" si="24"/>
        <v>5948.2809600000001</v>
      </c>
    </row>
    <row r="107" spans="1:17">
      <c r="A107" s="26">
        <v>88</v>
      </c>
      <c r="B107" s="755" t="s">
        <v>2250</v>
      </c>
      <c r="C107" s="24"/>
      <c r="D107" s="24"/>
      <c r="E107" s="24"/>
      <c r="F107" s="427">
        <v>108215.66</v>
      </c>
      <c r="G107" s="24"/>
      <c r="H107" s="24"/>
      <c r="J107" s="254">
        <v>0.04</v>
      </c>
      <c r="K107" s="399">
        <f t="shared" si="28"/>
        <v>4328.6264000000001</v>
      </c>
      <c r="L107" s="399">
        <f t="shared" si="25"/>
        <v>112544.2864</v>
      </c>
      <c r="M107" s="254">
        <v>0.04</v>
      </c>
      <c r="N107" s="427">
        <f t="shared" si="26"/>
        <v>4501.7714560000004</v>
      </c>
      <c r="O107" s="399">
        <f t="shared" si="27"/>
        <v>117046.057856</v>
      </c>
      <c r="P107" s="158">
        <f t="shared" si="23"/>
        <v>0</v>
      </c>
      <c r="Q107" s="158">
        <f t="shared" si="24"/>
        <v>8830.3978559999996</v>
      </c>
    </row>
    <row r="108" spans="1:17">
      <c r="A108" s="26">
        <v>89</v>
      </c>
      <c r="B108" s="755" t="s">
        <v>1369</v>
      </c>
      <c r="C108" s="24"/>
      <c r="D108" s="24"/>
      <c r="E108" s="24"/>
      <c r="F108" s="427">
        <v>234155.51999999999</v>
      </c>
      <c r="G108" s="24"/>
      <c r="H108" s="24"/>
      <c r="J108" s="254">
        <v>0.04</v>
      </c>
      <c r="K108" s="399">
        <f t="shared" si="28"/>
        <v>9366.2207999999991</v>
      </c>
      <c r="L108" s="399">
        <f t="shared" si="25"/>
        <v>243521.7408</v>
      </c>
      <c r="M108" s="254">
        <v>0.04</v>
      </c>
      <c r="N108" s="427">
        <f t="shared" si="26"/>
        <v>9740.8696319999999</v>
      </c>
      <c r="O108" s="399">
        <f t="shared" si="27"/>
        <v>253262.61043199999</v>
      </c>
      <c r="P108" s="158">
        <f t="shared" si="23"/>
        <v>0</v>
      </c>
      <c r="Q108" s="158">
        <f t="shared" si="24"/>
        <v>19107.090431999997</v>
      </c>
    </row>
    <row r="109" spans="1:17">
      <c r="A109" s="26">
        <v>90</v>
      </c>
      <c r="B109" s="755" t="s">
        <v>2251</v>
      </c>
      <c r="C109" s="24"/>
      <c r="D109" s="24"/>
      <c r="E109" s="24"/>
      <c r="F109" s="427">
        <v>97059.16</v>
      </c>
      <c r="G109" s="24"/>
      <c r="H109" s="24"/>
      <c r="J109" s="254">
        <v>0.04</v>
      </c>
      <c r="K109" s="399">
        <f t="shared" si="28"/>
        <v>3882.3664000000003</v>
      </c>
      <c r="L109" s="399">
        <f t="shared" si="25"/>
        <v>100941.5264</v>
      </c>
      <c r="M109" s="254">
        <v>0.04</v>
      </c>
      <c r="N109" s="427">
        <f t="shared" si="26"/>
        <v>4037.6610560000004</v>
      </c>
      <c r="O109" s="399">
        <f t="shared" si="27"/>
        <v>104979.187456</v>
      </c>
      <c r="P109" s="158">
        <f t="shared" si="23"/>
        <v>0</v>
      </c>
      <c r="Q109" s="158">
        <f t="shared" si="24"/>
        <v>7920.0274560000007</v>
      </c>
    </row>
    <row r="110" spans="1:17">
      <c r="A110" s="26">
        <v>91</v>
      </c>
      <c r="B110" s="755" t="s">
        <v>2252</v>
      </c>
      <c r="C110" s="24"/>
      <c r="D110" s="24"/>
      <c r="E110" s="24"/>
      <c r="F110" s="427">
        <v>676.53</v>
      </c>
      <c r="G110" s="24"/>
      <c r="H110" s="24"/>
      <c r="J110" s="254">
        <v>0.04</v>
      </c>
      <c r="K110" s="399">
        <f t="shared" si="28"/>
        <v>27.061199999999999</v>
      </c>
      <c r="L110" s="399">
        <f t="shared" si="25"/>
        <v>703.59119999999996</v>
      </c>
      <c r="M110" s="254">
        <v>0.04</v>
      </c>
      <c r="N110" s="427">
        <f t="shared" si="26"/>
        <v>28.143647999999999</v>
      </c>
      <c r="O110" s="399">
        <f t="shared" si="27"/>
        <v>731.73484799999994</v>
      </c>
      <c r="P110" s="158">
        <f t="shared" si="23"/>
        <v>0</v>
      </c>
      <c r="Q110" s="158">
        <f t="shared" si="24"/>
        <v>55.204847999999998</v>
      </c>
    </row>
    <row r="111" spans="1:17">
      <c r="A111" s="26">
        <v>92</v>
      </c>
      <c r="B111" s="24"/>
      <c r="C111" s="24"/>
      <c r="D111" s="24"/>
      <c r="E111" s="24"/>
      <c r="F111" s="400">
        <f>SUM(F75:F110)</f>
        <v>5832196.1399999997</v>
      </c>
      <c r="G111" s="24"/>
      <c r="H111" s="24"/>
      <c r="J111" s="24"/>
      <c r="K111" s="400">
        <f>SUM(K75:K110)</f>
        <v>233287.84559999997</v>
      </c>
      <c r="L111" s="400">
        <f>SUM(L75:L110)</f>
        <v>6065483.9855999993</v>
      </c>
      <c r="M111" s="24"/>
      <c r="N111" s="400">
        <f>SUM(N75:N110)</f>
        <v>242619.35942399999</v>
      </c>
      <c r="O111" s="400">
        <f>SUM(O75:O110)</f>
        <v>6308103.3450239981</v>
      </c>
      <c r="P111" s="255">
        <f>SUM(P75:P110)</f>
        <v>0</v>
      </c>
      <c r="Q111" s="255">
        <f>SUM(Q75:Q110)</f>
        <v>475907.20502400014</v>
      </c>
    </row>
    <row r="112" spans="1:17">
      <c r="A112" s="26"/>
      <c r="B112" s="24"/>
      <c r="C112" s="24"/>
      <c r="D112" s="24"/>
      <c r="E112" s="24"/>
      <c r="F112" s="24"/>
      <c r="G112" s="24"/>
      <c r="H112" s="24"/>
      <c r="J112" s="24"/>
      <c r="K112" s="399"/>
      <c r="L112" s="24"/>
      <c r="M112" s="24"/>
      <c r="N112" s="24"/>
      <c r="O112" s="24"/>
    </row>
    <row r="113" spans="1:15">
      <c r="A113" s="401" t="s">
        <v>777</v>
      </c>
      <c r="B113" s="24"/>
      <c r="C113" s="24"/>
      <c r="D113" s="24"/>
      <c r="E113" s="24"/>
      <c r="F113" s="24"/>
      <c r="G113" s="24"/>
      <c r="H113" s="24"/>
      <c r="J113" s="24"/>
      <c r="K113" s="24"/>
      <c r="L113" s="24"/>
      <c r="M113" s="24"/>
      <c r="N113" s="24"/>
      <c r="O113" s="24"/>
    </row>
    <row r="114" spans="1:15">
      <c r="A114" s="401" t="s">
        <v>1100</v>
      </c>
      <c r="B114" s="24"/>
      <c r="C114" s="24"/>
      <c r="D114" s="24"/>
      <c r="E114" s="24"/>
      <c r="F114" s="24"/>
      <c r="G114" s="24"/>
      <c r="H114" s="24"/>
      <c r="J114" s="24"/>
      <c r="K114" s="24"/>
      <c r="L114" s="24"/>
      <c r="M114" s="24"/>
      <c r="N114" s="24"/>
      <c r="O114" s="24"/>
    </row>
    <row r="115" spans="1:15">
      <c r="A115" s="401" t="s">
        <v>1310</v>
      </c>
      <c r="B115" s="24"/>
      <c r="C115" s="24"/>
      <c r="D115" s="24"/>
      <c r="E115" s="24"/>
      <c r="F115" s="24"/>
      <c r="G115" s="24"/>
      <c r="H115" s="24"/>
      <c r="I115" s="24"/>
      <c r="J115" s="24"/>
      <c r="K115" s="24"/>
      <c r="L115" s="24"/>
      <c r="M115" s="24"/>
      <c r="N115" s="24"/>
      <c r="O115" s="24"/>
    </row>
    <row r="116" spans="1:15">
      <c r="A116" s="26"/>
      <c r="B116" s="24"/>
      <c r="C116" s="24"/>
      <c r="D116" s="24"/>
      <c r="E116" s="24"/>
      <c r="F116" s="24"/>
      <c r="G116" s="24"/>
      <c r="H116" s="24"/>
      <c r="I116" s="24"/>
    </row>
    <row r="117" spans="1:15">
      <c r="A117" s="26"/>
      <c r="B117" s="24"/>
      <c r="C117" s="24"/>
      <c r="D117" s="24"/>
      <c r="E117" s="24"/>
      <c r="F117" s="24"/>
      <c r="G117" s="24"/>
      <c r="H117" s="24"/>
      <c r="I117" s="24"/>
    </row>
    <row r="118" spans="1:15">
      <c r="A118" s="26"/>
      <c r="B118" s="24"/>
      <c r="C118" s="24"/>
      <c r="D118" s="24"/>
      <c r="E118" s="24"/>
      <c r="F118" s="24"/>
      <c r="G118" s="24"/>
      <c r="H118" s="24"/>
    </row>
    <row r="119" spans="1:15">
      <c r="A119" s="26"/>
      <c r="B119" s="24"/>
      <c r="C119" s="24"/>
      <c r="D119" s="24"/>
      <c r="E119" s="24"/>
      <c r="F119" s="24"/>
      <c r="G119" s="24"/>
      <c r="H119" s="24"/>
    </row>
    <row r="120" spans="1:15">
      <c r="A120" s="26"/>
      <c r="B120" s="24"/>
      <c r="C120" s="24"/>
      <c r="D120" s="24"/>
      <c r="E120" s="24"/>
      <c r="F120" s="24"/>
      <c r="G120" s="24"/>
      <c r="H120" s="24"/>
    </row>
    <row r="121" spans="1:15">
      <c r="A121" s="26"/>
      <c r="B121" s="24"/>
      <c r="C121" s="24"/>
      <c r="D121" s="24"/>
      <c r="E121" s="24"/>
      <c r="F121" s="24"/>
      <c r="G121" s="24"/>
      <c r="H121" s="24"/>
    </row>
  </sheetData>
  <mergeCells count="6">
    <mergeCell ref="B70:E73"/>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42" max="15" man="1"/>
    <brk id="68" max="15"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30"/>
  <sheetViews>
    <sheetView view="pageBreakPreview" zoomScale="60" zoomScaleNormal="100" workbookViewId="0">
      <selection activeCell="G24" sqref="F24:G24"/>
    </sheetView>
  </sheetViews>
  <sheetFormatPr defaultRowHeight="14.4"/>
  <cols>
    <col min="1" max="1" width="36.88671875" bestFit="1" customWidth="1"/>
    <col min="2" max="2" width="15" bestFit="1" customWidth="1"/>
    <col min="3" max="3" width="14.33203125" bestFit="1" customWidth="1"/>
  </cols>
  <sheetData>
    <row r="1" spans="1:6" ht="15.6">
      <c r="A1" s="866" t="s">
        <v>60</v>
      </c>
      <c r="B1" s="866"/>
      <c r="C1" s="866"/>
      <c r="D1" s="3"/>
      <c r="E1" s="3"/>
      <c r="F1" s="3"/>
    </row>
    <row r="2" spans="1:6" ht="15.6">
      <c r="A2" s="866" t="s">
        <v>1863</v>
      </c>
      <c r="B2" s="866"/>
      <c r="C2" s="866"/>
      <c r="D2" s="3"/>
      <c r="E2" s="3"/>
      <c r="F2" s="3"/>
    </row>
    <row r="3" spans="1:6" ht="15.6">
      <c r="A3" s="866" t="s">
        <v>1303</v>
      </c>
      <c r="B3" s="866"/>
      <c r="C3" s="866"/>
      <c r="D3" s="3"/>
      <c r="E3" s="3"/>
      <c r="F3" s="3"/>
    </row>
    <row r="4" spans="1:6" ht="15.6">
      <c r="A4" s="866" t="s">
        <v>1385</v>
      </c>
      <c r="B4" s="866"/>
      <c r="C4" s="866"/>
      <c r="D4" s="3"/>
      <c r="E4" s="3"/>
      <c r="F4" s="3"/>
    </row>
    <row r="5" spans="1:6" ht="15.6">
      <c r="A5" s="866" t="s">
        <v>1862</v>
      </c>
      <c r="B5" s="866"/>
      <c r="C5" s="866"/>
      <c r="D5" s="3"/>
      <c r="E5" s="3"/>
      <c r="F5" s="3"/>
    </row>
    <row r="10" spans="1:6">
      <c r="B10" t="s">
        <v>1372</v>
      </c>
      <c r="C10" s="430">
        <f>+B23</f>
        <v>389056.37</v>
      </c>
    </row>
    <row r="11" spans="1:6">
      <c r="B11" t="s">
        <v>1373</v>
      </c>
      <c r="C11" s="430">
        <f>+B24</f>
        <v>692843.03</v>
      </c>
    </row>
    <row r="12" spans="1:6">
      <c r="B12" t="s">
        <v>1374</v>
      </c>
      <c r="C12" s="430">
        <f>+B22</f>
        <v>35135.07</v>
      </c>
    </row>
    <row r="13" spans="1:6">
      <c r="B13" t="s">
        <v>1375</v>
      </c>
      <c r="C13" s="430">
        <f>+B20+B21</f>
        <v>860349.55</v>
      </c>
    </row>
    <row r="14" spans="1:6">
      <c r="B14" t="s">
        <v>1376</v>
      </c>
      <c r="C14" s="430">
        <f>+B18+B19</f>
        <v>1085270.29</v>
      </c>
    </row>
    <row r="15" spans="1:6" ht="15" thickBot="1">
      <c r="C15" s="431">
        <f>SUM(C10:C14)</f>
        <v>3062654.31</v>
      </c>
    </row>
    <row r="16" spans="1:6" ht="15" thickTop="1"/>
    <row r="18" spans="1:2">
      <c r="A18" t="s">
        <v>1377</v>
      </c>
      <c r="B18" s="430">
        <v>722274.82</v>
      </c>
    </row>
    <row r="19" spans="1:2">
      <c r="A19" t="s">
        <v>1378</v>
      </c>
      <c r="B19" s="430">
        <v>362995.47</v>
      </c>
    </row>
    <row r="20" spans="1:2">
      <c r="A20" t="s">
        <v>1379</v>
      </c>
      <c r="B20" s="430">
        <v>473325.53</v>
      </c>
    </row>
    <row r="21" spans="1:2">
      <c r="A21" t="s">
        <v>1380</v>
      </c>
      <c r="B21" s="430">
        <v>387024.02</v>
      </c>
    </row>
    <row r="22" spans="1:2">
      <c r="A22" t="s">
        <v>1381</v>
      </c>
      <c r="B22" s="430">
        <v>35135.07</v>
      </c>
    </row>
    <row r="23" spans="1:2">
      <c r="A23" t="s">
        <v>1382</v>
      </c>
      <c r="B23" s="430">
        <v>389056.37</v>
      </c>
    </row>
    <row r="24" spans="1:2">
      <c r="A24" t="s">
        <v>1383</v>
      </c>
      <c r="B24" s="430">
        <v>692843.03</v>
      </c>
    </row>
    <row r="25" spans="1:2" ht="15" thickBot="1">
      <c r="B25" s="432">
        <f>SUM(B18:B24)</f>
        <v>3062654.3100000005</v>
      </c>
    </row>
    <row r="26" spans="1:2" ht="15" thickTop="1"/>
    <row r="27" spans="1:2">
      <c r="A27" t="s">
        <v>1384</v>
      </c>
      <c r="B27" s="433">
        <f>+B18+B20+B22</f>
        <v>1230735.4200000002</v>
      </c>
    </row>
    <row r="30" spans="1:2">
      <c r="A30" t="s">
        <v>1386</v>
      </c>
      <c r="B30" s="433">
        <f>-B27</f>
        <v>-1230735.4200000002</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theme="9"/>
  </sheetPr>
  <dimension ref="A1:M21"/>
  <sheetViews>
    <sheetView view="pageBreakPreview" zoomScale="60" zoomScaleNormal="100" workbookViewId="0">
      <selection activeCell="J16" sqref="J16"/>
    </sheetView>
  </sheetViews>
  <sheetFormatPr defaultColWidth="9.109375" defaultRowHeight="15.6"/>
  <cols>
    <col min="1" max="1" width="9.33203125" style="471" bestFit="1" customWidth="1"/>
    <col min="2" max="2" width="13.5546875" style="472" bestFit="1" customWidth="1"/>
    <col min="3" max="3" width="10.88671875" style="472" bestFit="1" customWidth="1"/>
    <col min="4" max="4" width="12" style="472" bestFit="1" customWidth="1"/>
    <col min="5" max="5" width="15.44140625" style="472" bestFit="1" customWidth="1"/>
    <col min="6" max="6" width="11.5546875" style="472" bestFit="1" customWidth="1"/>
    <col min="7" max="7" width="9.33203125" style="472" bestFit="1" customWidth="1"/>
    <col min="8" max="8" width="12.6640625" style="471" bestFit="1" customWidth="1"/>
    <col min="9" max="9" width="9.109375" style="472"/>
    <col min="10" max="16384" width="9.109375" style="86"/>
  </cols>
  <sheetData>
    <row r="1" spans="1:13">
      <c r="A1" s="866" t="s">
        <v>60</v>
      </c>
      <c r="B1" s="866"/>
      <c r="C1" s="866"/>
      <c r="D1" s="866"/>
      <c r="E1" s="866"/>
      <c r="F1" s="866"/>
      <c r="G1" s="866"/>
      <c r="H1" s="866"/>
      <c r="I1" s="3"/>
      <c r="J1" s="3"/>
      <c r="K1" s="242"/>
      <c r="L1" s="242"/>
      <c r="M1" s="242"/>
    </row>
    <row r="2" spans="1:13">
      <c r="A2" s="866" t="s">
        <v>1288</v>
      </c>
      <c r="B2" s="866"/>
      <c r="C2" s="866"/>
      <c r="D2" s="866"/>
      <c r="E2" s="866"/>
      <c r="F2" s="866"/>
      <c r="G2" s="866"/>
      <c r="H2" s="866"/>
      <c r="I2" s="3"/>
      <c r="J2" s="3"/>
      <c r="K2" s="242"/>
      <c r="L2" s="242"/>
      <c r="M2" s="242"/>
    </row>
    <row r="3" spans="1:13">
      <c r="A3" s="866" t="s">
        <v>1304</v>
      </c>
      <c r="B3" s="866"/>
      <c r="C3" s="866"/>
      <c r="D3" s="866"/>
      <c r="E3" s="866"/>
      <c r="F3" s="866"/>
      <c r="G3" s="866"/>
      <c r="H3" s="866"/>
      <c r="I3" s="3"/>
      <c r="J3" s="3"/>
      <c r="K3" s="242"/>
      <c r="L3" s="242"/>
      <c r="M3" s="242"/>
    </row>
    <row r="4" spans="1:13">
      <c r="A4" s="866" t="s">
        <v>84</v>
      </c>
      <c r="B4" s="866"/>
      <c r="C4" s="866"/>
      <c r="D4" s="866"/>
      <c r="E4" s="866"/>
      <c r="F4" s="866"/>
      <c r="G4" s="866"/>
      <c r="H4" s="866"/>
      <c r="I4" s="3"/>
      <c r="J4" s="3"/>
      <c r="K4" s="242"/>
      <c r="L4" s="242"/>
      <c r="M4" s="242"/>
    </row>
    <row r="5" spans="1:13">
      <c r="A5" s="866" t="s">
        <v>1862</v>
      </c>
      <c r="B5" s="866"/>
      <c r="C5" s="866"/>
      <c r="D5" s="866"/>
      <c r="E5" s="866"/>
      <c r="F5" s="866"/>
      <c r="G5" s="866"/>
      <c r="H5" s="866"/>
      <c r="I5" s="3"/>
      <c r="J5" s="3"/>
      <c r="K5" s="242"/>
      <c r="L5" s="242"/>
      <c r="M5" s="242"/>
    </row>
    <row r="6" spans="1:13">
      <c r="K6" s="242"/>
      <c r="L6" s="242"/>
      <c r="M6" s="242"/>
    </row>
    <row r="7" spans="1:13">
      <c r="K7" s="242"/>
      <c r="L7" s="242"/>
      <c r="M7" s="242"/>
    </row>
    <row r="8" spans="1:13">
      <c r="K8" s="242"/>
      <c r="L8" s="242"/>
      <c r="M8" s="242"/>
    </row>
    <row r="9" spans="1:13" s="243" customFormat="1">
      <c r="A9" s="471"/>
      <c r="B9" s="471" t="s">
        <v>803</v>
      </c>
      <c r="C9" s="471" t="s">
        <v>801</v>
      </c>
      <c r="D9" s="471" t="s">
        <v>802</v>
      </c>
      <c r="E9" s="471" t="s">
        <v>805</v>
      </c>
      <c r="F9" s="471" t="s">
        <v>806</v>
      </c>
      <c r="G9" s="471" t="s">
        <v>807</v>
      </c>
      <c r="H9" s="471" t="s">
        <v>808</v>
      </c>
      <c r="I9" s="471"/>
      <c r="K9" s="244"/>
      <c r="L9" s="244"/>
      <c r="M9" s="244"/>
    </row>
    <row r="10" spans="1:13">
      <c r="B10" s="473" t="s">
        <v>372</v>
      </c>
      <c r="C10" s="248"/>
      <c r="D10" s="248"/>
      <c r="E10" s="248"/>
      <c r="F10" s="248"/>
      <c r="G10" s="248"/>
      <c r="H10" s="246"/>
      <c r="I10" s="248"/>
      <c r="J10" s="242"/>
    </row>
    <row r="11" spans="1:13">
      <c r="B11" s="248"/>
      <c r="C11" s="248"/>
      <c r="D11" s="248"/>
      <c r="E11" s="474"/>
      <c r="F11" s="248"/>
      <c r="G11" s="248"/>
      <c r="H11" s="246"/>
      <c r="I11" s="248"/>
      <c r="J11" s="242"/>
    </row>
    <row r="12" spans="1:13">
      <c r="A12" s="471" t="s">
        <v>662</v>
      </c>
      <c r="B12" s="248" t="s">
        <v>90</v>
      </c>
      <c r="C12" s="246" t="s">
        <v>91</v>
      </c>
      <c r="D12" s="246"/>
      <c r="E12" s="246" t="s">
        <v>92</v>
      </c>
      <c r="F12" s="246"/>
      <c r="G12" s="246" t="s">
        <v>93</v>
      </c>
      <c r="H12" s="246"/>
      <c r="I12" s="248"/>
      <c r="J12" s="242"/>
    </row>
    <row r="13" spans="1:13">
      <c r="A13" s="471">
        <v>1</v>
      </c>
      <c r="B13" s="475">
        <v>43465</v>
      </c>
      <c r="C13" s="246" t="s">
        <v>94</v>
      </c>
      <c r="D13" s="246" t="s">
        <v>95</v>
      </c>
      <c r="E13" s="246" t="s">
        <v>96</v>
      </c>
      <c r="F13" s="246" t="s">
        <v>62</v>
      </c>
      <c r="G13" s="246" t="s">
        <v>97</v>
      </c>
      <c r="H13" s="245" t="s">
        <v>98</v>
      </c>
      <c r="I13" s="248"/>
      <c r="J13" s="242"/>
    </row>
    <row r="14" spans="1:13">
      <c r="B14" s="475"/>
      <c r="C14" s="246"/>
      <c r="D14" s="246"/>
      <c r="E14" s="246"/>
      <c r="F14" s="246"/>
      <c r="G14" s="476"/>
      <c r="H14" s="246"/>
    </row>
    <row r="15" spans="1:13">
      <c r="B15" s="248"/>
      <c r="C15" s="246"/>
      <c r="D15" s="246"/>
      <c r="E15" s="246"/>
      <c r="F15" s="246"/>
      <c r="G15" s="246"/>
      <c r="H15" s="246"/>
    </row>
    <row r="16" spans="1:13" ht="16.2" thickBot="1">
      <c r="A16" s="471">
        <v>2</v>
      </c>
      <c r="B16" s="967">
        <f>+'Exh MCP-8 - ROO Summary Sheet'!Q40</f>
        <v>460585035.71025717</v>
      </c>
      <c r="C16" s="477">
        <f>+'Capital Structure Calculation'!J11</f>
        <v>2.3529999999999999E-2</v>
      </c>
      <c r="D16" s="968">
        <f>B16*C16</f>
        <v>10837565.89026235</v>
      </c>
      <c r="E16" s="246">
        <f>+'Operating Report'!G160</f>
        <v>11276371.959999999</v>
      </c>
      <c r="F16" s="968">
        <f>+D16-E16</f>
        <v>-438806.06973764859</v>
      </c>
      <c r="G16" s="247">
        <f>+'Exh MCP-4 - Conversion Factor'!C33</f>
        <v>0.21</v>
      </c>
      <c r="H16" s="969">
        <f>+F16*-G16</f>
        <v>92149.274644906196</v>
      </c>
      <c r="K16" s="242"/>
      <c r="L16" s="242"/>
      <c r="M16" s="242"/>
    </row>
    <row r="17" spans="2:13" ht="16.2" thickTop="1">
      <c r="B17" s="248"/>
      <c r="C17" s="248"/>
      <c r="D17" s="248"/>
      <c r="E17" s="248"/>
      <c r="F17" s="248"/>
      <c r="G17" s="478"/>
      <c r="H17" s="246"/>
      <c r="K17" s="242"/>
      <c r="L17" s="249"/>
      <c r="M17" s="242"/>
    </row>
    <row r="18" spans="2:13">
      <c r="G18" s="248"/>
      <c r="H18" s="246"/>
      <c r="K18" s="242"/>
      <c r="L18" s="242"/>
      <c r="M18" s="242"/>
    </row>
    <row r="19" spans="2:13">
      <c r="B19" s="479"/>
      <c r="C19" s="248"/>
      <c r="D19" s="248"/>
      <c r="E19" s="248"/>
      <c r="F19" s="248"/>
      <c r="I19" s="248"/>
      <c r="J19" s="242"/>
      <c r="K19" s="242"/>
      <c r="L19" s="242"/>
      <c r="M19" s="242"/>
    </row>
    <row r="20" spans="2:13">
      <c r="B20" s="248"/>
      <c r="C20" s="248"/>
      <c r="D20" s="248"/>
      <c r="E20" s="248"/>
      <c r="F20" s="248"/>
      <c r="I20" s="248"/>
      <c r="J20" s="242"/>
      <c r="K20" s="242"/>
      <c r="L20" s="242"/>
      <c r="M20" s="244"/>
    </row>
    <row r="21" spans="2:13">
      <c r="G21" s="248"/>
      <c r="H21" s="246"/>
      <c r="I21" s="248"/>
      <c r="J21" s="242"/>
      <c r="K21" s="242"/>
      <c r="L21" s="242"/>
      <c r="M21" s="242"/>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9"/>
  </sheetPr>
  <dimension ref="A1:I36"/>
  <sheetViews>
    <sheetView view="pageBreakPreview" topLeftCell="C8" zoomScaleNormal="100" zoomScaleSheetLayoutView="100" workbookViewId="0">
      <selection activeCell="E30" sqref="E30"/>
    </sheetView>
  </sheetViews>
  <sheetFormatPr defaultColWidth="9.109375" defaultRowHeight="15.6"/>
  <cols>
    <col min="1" max="1" width="9.44140625" style="6" bestFit="1" customWidth="1"/>
    <col min="2" max="2" width="33" style="4" bestFit="1" customWidth="1"/>
    <col min="3" max="3" width="10.33203125" style="4" bestFit="1" customWidth="1"/>
    <col min="4" max="4" width="27.33203125" style="4" customWidth="1"/>
    <col min="5" max="5" width="18.109375" style="29" bestFit="1" customWidth="1"/>
    <col min="6" max="6" width="13.109375" style="4" bestFit="1" customWidth="1"/>
    <col min="7" max="7" width="10.109375" style="4" bestFit="1" customWidth="1"/>
    <col min="8" max="8" width="13.5546875" style="4" bestFit="1" customWidth="1"/>
    <col min="9" max="9" width="9.109375" style="4"/>
    <col min="10" max="10" width="9.6640625" style="4" bestFit="1" customWidth="1"/>
    <col min="11" max="16384" width="9.109375" style="4"/>
  </cols>
  <sheetData>
    <row r="1" spans="1:9" s="24" customFormat="1">
      <c r="A1" s="26"/>
      <c r="B1" s="866" t="s">
        <v>60</v>
      </c>
      <c r="C1" s="866"/>
      <c r="D1" s="866"/>
      <c r="E1" s="866"/>
      <c r="F1" s="866"/>
      <c r="G1" s="3"/>
      <c r="H1" s="3"/>
      <c r="I1" s="3"/>
    </row>
    <row r="2" spans="1:9" s="24" customFormat="1">
      <c r="A2" s="26"/>
      <c r="B2" s="866" t="s">
        <v>1863</v>
      </c>
      <c r="C2" s="866"/>
      <c r="D2" s="866"/>
      <c r="E2" s="866"/>
      <c r="F2" s="866"/>
      <c r="G2" s="3"/>
      <c r="H2" s="3"/>
      <c r="I2" s="3"/>
    </row>
    <row r="3" spans="1:9" s="24" customFormat="1">
      <c r="A3" s="26"/>
      <c r="B3" s="866" t="s">
        <v>1308</v>
      </c>
      <c r="C3" s="866"/>
      <c r="D3" s="866"/>
      <c r="E3" s="866"/>
      <c r="F3" s="866"/>
      <c r="G3" s="3"/>
      <c r="H3" s="3"/>
      <c r="I3" s="3"/>
    </row>
    <row r="4" spans="1:9" s="24" customFormat="1">
      <c r="A4" s="26"/>
      <c r="B4" s="866" t="s">
        <v>723</v>
      </c>
      <c r="C4" s="866"/>
      <c r="D4" s="866"/>
      <c r="E4" s="866"/>
      <c r="F4" s="866"/>
      <c r="G4" s="3"/>
      <c r="H4" s="3"/>
      <c r="I4" s="3"/>
    </row>
    <row r="5" spans="1:9" s="24" customFormat="1">
      <c r="A5" s="26"/>
      <c r="B5" s="866" t="s">
        <v>1862</v>
      </c>
      <c r="C5" s="866"/>
      <c r="D5" s="866"/>
      <c r="E5" s="866"/>
      <c r="F5" s="866"/>
      <c r="G5" s="3"/>
      <c r="H5" s="3"/>
      <c r="I5" s="3"/>
    </row>
    <row r="6" spans="1:9" s="24" customFormat="1">
      <c r="A6" s="26"/>
      <c r="E6" s="457"/>
    </row>
    <row r="7" spans="1:9" s="26" customFormat="1">
      <c r="B7" s="26" t="s">
        <v>803</v>
      </c>
      <c r="C7" s="26" t="s">
        <v>801</v>
      </c>
      <c r="D7" s="26" t="s">
        <v>802</v>
      </c>
      <c r="E7" s="26" t="s">
        <v>805</v>
      </c>
      <c r="F7" s="26" t="s">
        <v>806</v>
      </c>
    </row>
    <row r="8" spans="1:9" s="24" customFormat="1">
      <c r="A8" s="458" t="s">
        <v>818</v>
      </c>
      <c r="E8" s="457"/>
    </row>
    <row r="9" spans="1:9" s="24" customFormat="1">
      <c r="A9" s="26">
        <v>1</v>
      </c>
      <c r="B9" s="24" t="s">
        <v>1305</v>
      </c>
      <c r="E9" s="459">
        <f>+'MCP-6 - 2020 Plant Additions'!H199</f>
        <v>66105637.284975991</v>
      </c>
    </row>
    <row r="10" spans="1:9" s="24" customFormat="1">
      <c r="A10" s="26"/>
    </row>
    <row r="11" spans="1:9" s="24" customFormat="1">
      <c r="A11" s="26">
        <v>2</v>
      </c>
      <c r="B11" s="60" t="s">
        <v>2033</v>
      </c>
      <c r="C11" s="460">
        <f>E32</f>
        <v>1.1581842116175691E-2</v>
      </c>
    </row>
    <row r="12" spans="1:9" s="24" customFormat="1">
      <c r="A12" s="26">
        <v>3</v>
      </c>
      <c r="B12" s="24" t="s">
        <v>718</v>
      </c>
      <c r="E12" s="395">
        <f>+E9*C11</f>
        <v>765625.05402376899</v>
      </c>
    </row>
    <row r="13" spans="1:9" s="24" customFormat="1">
      <c r="A13" s="26"/>
    </row>
    <row r="14" spans="1:9" s="24" customFormat="1">
      <c r="A14" s="26">
        <v>4</v>
      </c>
      <c r="E14" s="461"/>
    </row>
    <row r="15" spans="1:9" s="24" customFormat="1">
      <c r="A15" s="26"/>
    </row>
    <row r="16" spans="1:9" s="24" customFormat="1">
      <c r="A16" s="26">
        <v>5</v>
      </c>
      <c r="B16" s="24" t="s">
        <v>661</v>
      </c>
      <c r="D16" s="24" t="s">
        <v>817</v>
      </c>
      <c r="E16" s="399">
        <f>+E9</f>
        <v>66105637.284975991</v>
      </c>
      <c r="F16" s="399"/>
    </row>
    <row r="17" spans="1:7" s="24" customFormat="1">
      <c r="A17" s="26"/>
      <c r="E17" s="399"/>
      <c r="F17" s="399"/>
    </row>
    <row r="18" spans="1:7" s="24" customFormat="1">
      <c r="A18" s="26">
        <v>6</v>
      </c>
      <c r="B18" s="24" t="s">
        <v>290</v>
      </c>
      <c r="D18" s="24" t="s">
        <v>1496</v>
      </c>
      <c r="E18" s="957">
        <f>+'MCP-6 - 2020 Plant Additions'!J222</f>
        <v>2842570.6583268726</v>
      </c>
      <c r="F18" s="957">
        <f>+E18</f>
        <v>2842570.6583268726</v>
      </c>
    </row>
    <row r="19" spans="1:7" s="24" customFormat="1">
      <c r="A19" s="26">
        <v>7</v>
      </c>
      <c r="B19" s="24" t="s">
        <v>663</v>
      </c>
      <c r="D19" s="24" t="s">
        <v>819</v>
      </c>
      <c r="E19" s="957">
        <f>+E18/2</f>
        <v>1421285.3291634363</v>
      </c>
      <c r="F19" s="399"/>
    </row>
    <row r="20" spans="1:7" s="24" customFormat="1">
      <c r="A20" s="26">
        <v>8</v>
      </c>
      <c r="B20" s="24" t="s">
        <v>664</v>
      </c>
      <c r="D20" s="24" t="s">
        <v>820</v>
      </c>
      <c r="E20" s="399">
        <f>+E16*0.0375</f>
        <v>2478961.3981865994</v>
      </c>
      <c r="F20" s="399"/>
    </row>
    <row r="21" spans="1:7" s="24" customFormat="1">
      <c r="A21" s="26">
        <v>9</v>
      </c>
      <c r="B21" s="24" t="s">
        <v>103</v>
      </c>
      <c r="D21" s="24" t="s">
        <v>1307</v>
      </c>
      <c r="E21" s="957">
        <f>(+E20-E18)*0.21</f>
        <v>-76357.944629457386</v>
      </c>
      <c r="F21" s="399"/>
    </row>
    <row r="22" spans="1:7" s="24" customFormat="1">
      <c r="A22" s="26">
        <v>10</v>
      </c>
      <c r="B22" s="24" t="s">
        <v>665</v>
      </c>
      <c r="D22" s="24" t="s">
        <v>821</v>
      </c>
      <c r="E22" s="957">
        <f>+E21/2</f>
        <v>-38178.972314728693</v>
      </c>
      <c r="F22" s="399"/>
    </row>
    <row r="23" spans="1:7" s="24" customFormat="1">
      <c r="A23" s="26">
        <v>11</v>
      </c>
      <c r="B23" s="24" t="s">
        <v>666</v>
      </c>
      <c r="D23" s="24" t="s">
        <v>1306</v>
      </c>
      <c r="E23" s="399"/>
      <c r="F23" s="957">
        <f>+F18*0.21</f>
        <v>596939.83824864321</v>
      </c>
    </row>
    <row r="24" spans="1:7" s="24" customFormat="1">
      <c r="A24" s="26"/>
      <c r="E24" s="399"/>
      <c r="F24" s="399"/>
    </row>
    <row r="25" spans="1:7" s="24" customFormat="1">
      <c r="A25" s="26">
        <v>12</v>
      </c>
      <c r="B25" s="24" t="s">
        <v>667</v>
      </c>
      <c r="E25" s="957">
        <f>+E16-E22-E19</f>
        <v>64722530.928127281</v>
      </c>
      <c r="F25" s="399"/>
    </row>
    <row r="26" spans="1:7" s="24" customFormat="1">
      <c r="A26" s="26"/>
      <c r="E26" s="399"/>
      <c r="F26" s="399"/>
    </row>
    <row r="27" spans="1:7" s="24" customFormat="1">
      <c r="A27" s="26">
        <v>13</v>
      </c>
      <c r="B27" s="24" t="s">
        <v>2451</v>
      </c>
      <c r="E27" s="847">
        <v>1281027.22</v>
      </c>
      <c r="F27" s="254"/>
      <c r="G27" s="399"/>
    </row>
    <row r="28" spans="1:7" s="24" customFormat="1">
      <c r="A28" s="26"/>
      <c r="B28" s="413" t="s">
        <v>2497</v>
      </c>
      <c r="E28" s="457"/>
      <c r="F28" s="254"/>
      <c r="G28" s="399"/>
    </row>
    <row r="29" spans="1:7" s="24" customFormat="1">
      <c r="A29" s="26" t="s">
        <v>777</v>
      </c>
      <c r="E29" s="457"/>
      <c r="F29" s="399"/>
      <c r="G29" s="399"/>
    </row>
    <row r="30" spans="1:7" s="24" customFormat="1">
      <c r="A30" s="462" t="s">
        <v>1104</v>
      </c>
      <c r="B30" s="258" t="s">
        <v>2034</v>
      </c>
      <c r="C30" s="258"/>
      <c r="D30" s="258"/>
      <c r="E30" s="463">
        <v>241152000</v>
      </c>
      <c r="F30" s="399"/>
      <c r="G30" s="399"/>
    </row>
    <row r="31" spans="1:7" s="24" customFormat="1">
      <c r="A31" s="464"/>
      <c r="B31" s="60" t="s">
        <v>2035</v>
      </c>
      <c r="C31" s="60"/>
      <c r="D31" s="60"/>
      <c r="E31" s="465">
        <v>2792984.39</v>
      </c>
      <c r="F31" s="399"/>
      <c r="G31" s="399"/>
    </row>
    <row r="32" spans="1:7" s="24" customFormat="1">
      <c r="A32" s="466"/>
      <c r="B32" s="259" t="s">
        <v>1105</v>
      </c>
      <c r="C32" s="259"/>
      <c r="D32" s="259"/>
      <c r="E32" s="467">
        <f>E31/E30</f>
        <v>1.1581842116175691E-2</v>
      </c>
      <c r="F32" s="399"/>
      <c r="G32" s="399"/>
    </row>
    <row r="33" spans="5:7">
      <c r="E33" s="4"/>
      <c r="F33" s="157"/>
      <c r="G33" s="157"/>
    </row>
    <row r="34" spans="5:7">
      <c r="F34" s="157"/>
      <c r="G34" s="157"/>
    </row>
    <row r="35" spans="5:7">
      <c r="F35" s="157"/>
      <c r="G35" s="157"/>
    </row>
    <row r="36" spans="5:7">
      <c r="F36" s="157"/>
      <c r="G36" s="157"/>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31" sqref="A31"/>
    </sheetView>
  </sheetViews>
  <sheetFormatPr defaultColWidth="9.109375" defaultRowHeight="14.4"/>
  <cols>
    <col min="1" max="1" width="98.6640625" style="2" customWidth="1"/>
    <col min="2" max="2" width="29.44140625" style="2" customWidth="1"/>
    <col min="3" max="16384" width="9.109375" style="2"/>
  </cols>
  <sheetData>
    <row r="1" spans="1:7" ht="15.6">
      <c r="A1" s="15" t="s">
        <v>2481</v>
      </c>
    </row>
    <row r="2" spans="1:7" ht="15.6">
      <c r="A2" s="15" t="s">
        <v>2482</v>
      </c>
    </row>
    <row r="3" spans="1:7" ht="15.6">
      <c r="A3" s="15" t="s">
        <v>1841</v>
      </c>
    </row>
    <row r="4" spans="1:7" ht="15.6">
      <c r="A4" s="16"/>
    </row>
    <row r="5" spans="1:7" ht="15.6">
      <c r="A5" s="17"/>
    </row>
    <row r="6" spans="1:7" ht="15.6">
      <c r="A6" s="17"/>
    </row>
    <row r="7" spans="1:7" ht="15.6">
      <c r="A7" s="17"/>
    </row>
    <row r="8" spans="1:7" ht="15.6">
      <c r="A8" s="17"/>
    </row>
    <row r="9" spans="1:7" ht="15.6">
      <c r="A9" s="17"/>
    </row>
    <row r="10" spans="1:7" ht="15.6">
      <c r="A10" s="17"/>
    </row>
    <row r="11" spans="1:7" ht="15.6">
      <c r="A11" s="17"/>
      <c r="G11" s="1"/>
    </row>
    <row r="12" spans="1:7" ht="15.6">
      <c r="A12" s="17"/>
    </row>
    <row r="13" spans="1:7" ht="15.6">
      <c r="A13" s="17"/>
      <c r="C13" s="21"/>
    </row>
    <row r="14" spans="1:7" ht="15.6">
      <c r="A14" s="17"/>
    </row>
    <row r="15" spans="1:7" ht="15.6">
      <c r="A15" s="17"/>
    </row>
    <row r="16" spans="1:7" ht="15.6">
      <c r="A16" s="18"/>
    </row>
    <row r="17" spans="1:1" ht="15.6">
      <c r="A17" s="18"/>
    </row>
    <row r="18" spans="1:1" ht="15.6">
      <c r="A18" s="17"/>
    </row>
    <row r="19" spans="1:1" ht="15.6">
      <c r="A19" s="18" t="s">
        <v>120</v>
      </c>
    </row>
    <row r="20" spans="1:1" ht="15.6">
      <c r="A20" s="18"/>
    </row>
    <row r="21" spans="1:1" ht="15.6">
      <c r="A21" s="18" t="s">
        <v>1283</v>
      </c>
    </row>
    <row r="22" spans="1:1" ht="15.6">
      <c r="A22" s="18"/>
    </row>
    <row r="23" spans="1:1" ht="15.6">
      <c r="A23" s="18"/>
    </row>
    <row r="24" spans="1:1" ht="15.6">
      <c r="A24" s="19" t="s">
        <v>2483</v>
      </c>
    </row>
    <row r="25" spans="1:1" ht="15.6">
      <c r="A25" s="18"/>
    </row>
    <row r="26" spans="1:1" ht="15.6">
      <c r="A26" s="18"/>
    </row>
    <row r="27" spans="1:1" ht="15.6">
      <c r="A27" s="18"/>
    </row>
    <row r="28" spans="1:1" ht="15.6">
      <c r="A28" s="18"/>
    </row>
    <row r="29" spans="1:1" ht="15.6">
      <c r="A29" s="18"/>
    </row>
    <row r="30" spans="1:1" ht="15.6">
      <c r="A30" s="313" t="s">
        <v>2479</v>
      </c>
    </row>
    <row r="31" spans="1:1">
      <c r="A31" s="20"/>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I19"/>
  <sheetViews>
    <sheetView view="pageBreakPreview" zoomScale="60" zoomScaleNormal="100" workbookViewId="0">
      <selection activeCell="B24" sqref="B24"/>
    </sheetView>
  </sheetViews>
  <sheetFormatPr defaultColWidth="9.109375" defaultRowHeight="15.6"/>
  <cols>
    <col min="1" max="1" width="9.109375" style="86" customWidth="1"/>
    <col min="2" max="2" width="35.109375" style="86" bestFit="1" customWidth="1"/>
    <col min="3" max="3" width="2.88671875" style="86" customWidth="1"/>
    <col min="4" max="4" width="14" style="86" bestFit="1" customWidth="1"/>
    <col min="5" max="5" width="9.109375" style="86"/>
    <col min="6" max="6" width="10.109375" style="86" bestFit="1" customWidth="1"/>
    <col min="7" max="16384" width="9.109375" style="86"/>
  </cols>
  <sheetData>
    <row r="1" spans="1:9">
      <c r="A1" s="866" t="s">
        <v>60</v>
      </c>
      <c r="B1" s="866"/>
      <c r="C1" s="866"/>
      <c r="D1" s="866"/>
      <c r="E1" s="866"/>
      <c r="F1" s="3"/>
      <c r="G1" s="3"/>
      <c r="H1" s="3"/>
      <c r="I1" s="3"/>
    </row>
    <row r="2" spans="1:9">
      <c r="A2" s="866" t="s">
        <v>1863</v>
      </c>
      <c r="B2" s="866"/>
      <c r="C2" s="866"/>
      <c r="D2" s="866"/>
      <c r="E2" s="866"/>
      <c r="F2" s="3"/>
      <c r="G2" s="3"/>
      <c r="H2" s="3"/>
      <c r="I2" s="3"/>
    </row>
    <row r="3" spans="1:9">
      <c r="A3" s="866" t="s">
        <v>1390</v>
      </c>
      <c r="B3" s="866"/>
      <c r="C3" s="866"/>
      <c r="D3" s="866"/>
      <c r="E3" s="866"/>
      <c r="F3" s="3"/>
      <c r="G3" s="3"/>
      <c r="H3" s="3"/>
      <c r="I3" s="3"/>
    </row>
    <row r="4" spans="1:9">
      <c r="A4" s="866" t="s">
        <v>739</v>
      </c>
      <c r="B4" s="866"/>
      <c r="C4" s="866"/>
      <c r="D4" s="866"/>
      <c r="E4" s="866"/>
      <c r="F4" s="3"/>
      <c r="G4" s="3"/>
      <c r="H4" s="3"/>
      <c r="I4" s="3"/>
    </row>
    <row r="5" spans="1:9">
      <c r="A5" s="866" t="s">
        <v>1862</v>
      </c>
      <c r="B5" s="866"/>
      <c r="C5" s="866"/>
      <c r="D5" s="866"/>
      <c r="E5" s="866"/>
      <c r="F5" s="3"/>
      <c r="G5" s="3"/>
      <c r="H5" s="3"/>
      <c r="I5" s="3"/>
    </row>
    <row r="7" spans="1:9">
      <c r="A7" s="257" t="s">
        <v>662</v>
      </c>
      <c r="B7" s="471" t="s">
        <v>803</v>
      </c>
      <c r="C7" s="471"/>
      <c r="D7" s="471" t="s">
        <v>801</v>
      </c>
      <c r="E7" s="472"/>
    </row>
    <row r="8" spans="1:9">
      <c r="A8" s="243">
        <v>1</v>
      </c>
      <c r="B8" s="472" t="s">
        <v>1984</v>
      </c>
      <c r="C8" s="472"/>
      <c r="D8" s="747">
        <v>5197058.3</v>
      </c>
      <c r="E8" s="472"/>
    </row>
    <row r="9" spans="1:9">
      <c r="A9" s="243">
        <v>2</v>
      </c>
      <c r="B9" s="472" t="s">
        <v>1982</v>
      </c>
      <c r="C9" s="472"/>
      <c r="D9" s="469">
        <v>8015406.3799999999</v>
      </c>
      <c r="E9" s="472"/>
    </row>
    <row r="10" spans="1:9">
      <c r="A10" s="243">
        <v>3</v>
      </c>
      <c r="B10" s="472"/>
      <c r="C10" s="472"/>
      <c r="D10" s="748">
        <v>0</v>
      </c>
      <c r="E10" s="472"/>
    </row>
    <row r="11" spans="1:9">
      <c r="A11" s="243">
        <v>4</v>
      </c>
      <c r="B11" s="472" t="s">
        <v>1391</v>
      </c>
      <c r="C11" s="472"/>
      <c r="D11" s="747">
        <f>+D8+D9+D10</f>
        <v>13212464.68</v>
      </c>
      <c r="E11" s="472"/>
    </row>
    <row r="12" spans="1:9" ht="17.399999999999999">
      <c r="A12" s="243">
        <v>5</v>
      </c>
      <c r="B12" s="472" t="s">
        <v>1055</v>
      </c>
      <c r="C12" s="472"/>
      <c r="D12" s="748">
        <v>9</v>
      </c>
      <c r="E12" s="472"/>
    </row>
    <row r="13" spans="1:9" ht="16.2" thickBot="1">
      <c r="A13" s="243">
        <v>6</v>
      </c>
      <c r="B13" s="472" t="s">
        <v>735</v>
      </c>
      <c r="C13" s="472"/>
      <c r="D13" s="749">
        <f>+D11/D12</f>
        <v>1468051.631111111</v>
      </c>
      <c r="E13" s="472"/>
    </row>
    <row r="14" spans="1:9" ht="16.2" thickTop="1">
      <c r="B14" s="472" t="s">
        <v>1983</v>
      </c>
      <c r="C14" s="472"/>
      <c r="D14" s="750">
        <v>542301.72</v>
      </c>
      <c r="E14" s="472"/>
    </row>
    <row r="15" spans="1:9">
      <c r="B15" s="472" t="s">
        <v>1981</v>
      </c>
      <c r="C15" s="472"/>
      <c r="D15" s="750">
        <f>+D13-D14</f>
        <v>925749.91111111105</v>
      </c>
      <c r="E15" s="472"/>
    </row>
    <row r="16" spans="1:9" ht="17.399999999999999">
      <c r="A16" s="86" t="s">
        <v>1056</v>
      </c>
      <c r="B16" s="472"/>
      <c r="C16" s="472"/>
      <c r="D16" s="472"/>
      <c r="E16" s="472"/>
    </row>
    <row r="17" spans="1:5">
      <c r="B17" s="472"/>
      <c r="C17" s="472"/>
      <c r="D17" s="472"/>
      <c r="E17" s="472"/>
    </row>
    <row r="18" spans="1:5">
      <c r="B18" s="472"/>
      <c r="C18" s="472"/>
      <c r="D18" s="472"/>
      <c r="E18" s="472"/>
    </row>
    <row r="19" spans="1:5">
      <c r="A19" s="243"/>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899"/>
  <sheetViews>
    <sheetView view="pageBreakPreview" topLeftCell="A10" zoomScale="60" zoomScaleNormal="100" workbookViewId="0">
      <pane xSplit="5" topLeftCell="F1" activePane="topRight" state="frozen"/>
      <selection activeCell="G24" sqref="F24:G24"/>
      <selection pane="topRight" activeCell="G24" sqref="F24:G24"/>
    </sheetView>
  </sheetViews>
  <sheetFormatPr defaultColWidth="9.109375" defaultRowHeight="14.4"/>
  <cols>
    <col min="1" max="1" width="3.88671875" style="413" customWidth="1"/>
    <col min="2" max="2" width="13.5546875" style="413" customWidth="1"/>
    <col min="3" max="3" width="7.33203125" style="413" customWidth="1"/>
    <col min="4" max="4" width="5.88671875" style="413" customWidth="1"/>
    <col min="5" max="5" width="51" style="413" bestFit="1" customWidth="1"/>
    <col min="6" max="6" width="17.33203125" style="413" customWidth="1"/>
    <col min="7" max="10" width="16.5546875" style="413" customWidth="1"/>
    <col min="11" max="16" width="17.33203125" style="413" bestFit="1" customWidth="1"/>
    <col min="17" max="18" width="17.33203125" style="413" customWidth="1"/>
    <col min="19" max="19" width="20.44140625" style="413" customWidth="1"/>
    <col min="20" max="20" width="9.109375" style="413"/>
    <col min="21" max="21" width="12.33203125" style="413" bestFit="1" customWidth="1"/>
    <col min="22" max="23" width="15.5546875" style="620" bestFit="1" customWidth="1"/>
    <col min="24" max="24" width="16.5546875" style="620" bestFit="1" customWidth="1"/>
    <col min="25" max="25" width="28.44140625" style="620" bestFit="1" customWidth="1"/>
    <col min="26" max="26" width="15.5546875" style="620" bestFit="1" customWidth="1"/>
    <col min="27" max="27" width="12.88671875" style="413" customWidth="1"/>
    <col min="28" max="28" width="15" style="620" bestFit="1" customWidth="1"/>
    <col min="29" max="29" width="15.5546875" style="413" customWidth="1"/>
    <col min="30" max="30" width="14.5546875" style="413" customWidth="1"/>
    <col min="31" max="31" width="41.109375" style="413" customWidth="1"/>
    <col min="32" max="16384" width="9.109375" style="413"/>
  </cols>
  <sheetData>
    <row r="1" spans="1:32" ht="15.6">
      <c r="A1" s="316" t="s">
        <v>60</v>
      </c>
      <c r="B1" s="638"/>
      <c r="C1" s="638"/>
      <c r="D1" s="638"/>
      <c r="E1" s="638"/>
      <c r="F1" s="518" t="s">
        <v>753</v>
      </c>
      <c r="G1" s="518" t="s">
        <v>753</v>
      </c>
      <c r="H1" s="518" t="s">
        <v>753</v>
      </c>
      <c r="I1" s="518" t="s">
        <v>753</v>
      </c>
      <c r="J1" s="518" t="s">
        <v>753</v>
      </c>
      <c r="K1" s="518" t="s">
        <v>753</v>
      </c>
      <c r="L1" s="518" t="s">
        <v>753</v>
      </c>
      <c r="M1" s="518" t="s">
        <v>753</v>
      </c>
      <c r="N1" s="518" t="s">
        <v>753</v>
      </c>
      <c r="O1" s="518" t="s">
        <v>753</v>
      </c>
      <c r="P1" s="518" t="s">
        <v>753</v>
      </c>
      <c r="Q1" s="518" t="s">
        <v>753</v>
      </c>
      <c r="R1" s="518" t="s">
        <v>753</v>
      </c>
      <c r="S1" s="343"/>
      <c r="T1" s="638"/>
      <c r="U1" s="343"/>
      <c r="V1" s="728"/>
      <c r="W1" s="728"/>
      <c r="X1" s="728"/>
      <c r="Y1" s="728"/>
      <c r="Z1" s="728"/>
      <c r="AA1" s="343"/>
      <c r="AB1" s="728"/>
      <c r="AC1" s="638"/>
      <c r="AD1" s="638"/>
      <c r="AE1" s="638"/>
    </row>
    <row r="2" spans="1:32" ht="15.6">
      <c r="A2" s="316" t="s">
        <v>1856</v>
      </c>
      <c r="B2" s="638"/>
      <c r="C2" s="638"/>
      <c r="D2" s="638"/>
      <c r="E2" s="638"/>
      <c r="F2" s="518"/>
      <c r="G2" s="518"/>
      <c r="H2" s="518"/>
      <c r="I2" s="518"/>
      <c r="J2" s="518"/>
      <c r="K2" s="518"/>
      <c r="L2" s="518"/>
      <c r="M2" s="518"/>
      <c r="N2" s="518"/>
      <c r="O2" s="518"/>
      <c r="P2" s="518"/>
      <c r="Q2" s="518"/>
      <c r="R2" s="518"/>
      <c r="S2" s="343"/>
      <c r="T2" s="638"/>
      <c r="U2" s="343"/>
      <c r="V2" s="728"/>
      <c r="W2" s="728"/>
      <c r="X2" s="728"/>
      <c r="Y2" s="728"/>
      <c r="Z2" s="728"/>
      <c r="AA2" s="343"/>
      <c r="AB2" s="728"/>
      <c r="AC2" s="638"/>
      <c r="AD2" s="638"/>
      <c r="AE2" s="638"/>
    </row>
    <row r="3" spans="1:32" ht="15.6">
      <c r="A3" s="316" t="s">
        <v>1867</v>
      </c>
      <c r="B3" s="638"/>
      <c r="C3" s="638"/>
      <c r="D3" s="638"/>
      <c r="E3" s="638"/>
      <c r="F3" s="518"/>
      <c r="G3" s="518"/>
      <c r="H3" s="518"/>
      <c r="I3" s="518"/>
      <c r="J3" s="518"/>
      <c r="K3" s="518"/>
      <c r="L3" s="518"/>
      <c r="M3" s="518"/>
      <c r="N3" s="518"/>
      <c r="O3" s="518"/>
      <c r="P3" s="518"/>
      <c r="Q3" s="518"/>
      <c r="R3" s="518"/>
      <c r="S3" s="343"/>
      <c r="T3" s="638"/>
      <c r="U3" s="343"/>
      <c r="V3" s="728"/>
      <c r="W3" s="728"/>
      <c r="X3" s="728"/>
      <c r="Y3" s="728"/>
      <c r="Z3" s="728"/>
      <c r="AA3" s="343"/>
      <c r="AB3" s="728"/>
      <c r="AC3" s="638"/>
      <c r="AD3" s="638"/>
      <c r="AE3" s="638"/>
    </row>
    <row r="4" spans="1:32" ht="15.6">
      <c r="A4" s="316"/>
      <c r="B4" s="638"/>
      <c r="C4" s="638"/>
      <c r="D4" s="638"/>
      <c r="E4" s="638"/>
      <c r="F4" s="518"/>
      <c r="G4" s="518"/>
      <c r="H4" s="518"/>
      <c r="I4" s="518"/>
      <c r="J4" s="518"/>
      <c r="K4" s="518"/>
      <c r="L4" s="518"/>
      <c r="M4" s="518"/>
      <c r="N4" s="518"/>
      <c r="O4" s="518"/>
      <c r="P4" s="518"/>
      <c r="Q4" s="518"/>
      <c r="R4" s="518"/>
      <c r="S4" s="343"/>
      <c r="T4" s="638"/>
      <c r="U4" s="343"/>
      <c r="V4" s="728"/>
      <c r="W4" s="728"/>
      <c r="X4" s="728"/>
      <c r="Y4" s="728"/>
      <c r="Z4" s="728"/>
      <c r="AA4" s="343"/>
      <c r="AB4" s="728"/>
      <c r="AC4" s="638"/>
      <c r="AD4" s="638"/>
      <c r="AE4" s="638"/>
    </row>
    <row r="5" spans="1:32">
      <c r="A5" s="638"/>
      <c r="B5" s="638"/>
      <c r="C5" s="638"/>
      <c r="D5" s="638"/>
      <c r="E5" s="638"/>
      <c r="F5" s="518" t="s">
        <v>1336</v>
      </c>
      <c r="G5" s="518" t="s">
        <v>1866</v>
      </c>
      <c r="H5" s="518" t="s">
        <v>1866</v>
      </c>
      <c r="I5" s="518" t="s">
        <v>1866</v>
      </c>
      <c r="J5" s="518" t="s">
        <v>1866</v>
      </c>
      <c r="K5" s="518" t="s">
        <v>1866</v>
      </c>
      <c r="L5" s="518" t="s">
        <v>1866</v>
      </c>
      <c r="M5" s="518" t="s">
        <v>1866</v>
      </c>
      <c r="N5" s="518" t="s">
        <v>1866</v>
      </c>
      <c r="O5" s="518" t="s">
        <v>1866</v>
      </c>
      <c r="P5" s="518" t="s">
        <v>1866</v>
      </c>
      <c r="Q5" s="518" t="s">
        <v>1866</v>
      </c>
      <c r="R5" s="518" t="s">
        <v>1866</v>
      </c>
      <c r="S5" s="343"/>
      <c r="T5" s="638"/>
      <c r="U5" s="343"/>
      <c r="V5" s="728"/>
      <c r="W5" s="728"/>
      <c r="X5" s="728"/>
      <c r="Y5" s="728"/>
      <c r="Z5" s="728"/>
      <c r="AA5" s="343"/>
      <c r="AB5" s="728"/>
      <c r="AC5" s="638"/>
      <c r="AD5" s="638"/>
      <c r="AE5" s="638"/>
    </row>
    <row r="6" spans="1:32">
      <c r="A6" s="638"/>
      <c r="B6" s="638"/>
      <c r="C6" s="638"/>
      <c r="D6" s="638"/>
      <c r="E6" s="638"/>
      <c r="F6" s="518" t="s">
        <v>967</v>
      </c>
      <c r="G6" s="518" t="s">
        <v>967</v>
      </c>
      <c r="H6" s="518" t="s">
        <v>967</v>
      </c>
      <c r="I6" s="518" t="s">
        <v>967</v>
      </c>
      <c r="J6" s="518" t="s">
        <v>967</v>
      </c>
      <c r="K6" s="518" t="s">
        <v>967</v>
      </c>
      <c r="L6" s="518" t="s">
        <v>967</v>
      </c>
      <c r="M6" s="518" t="s">
        <v>967</v>
      </c>
      <c r="N6" s="518" t="s">
        <v>967</v>
      </c>
      <c r="O6" s="518" t="s">
        <v>967</v>
      </c>
      <c r="P6" s="518" t="s">
        <v>967</v>
      </c>
      <c r="Q6" s="518" t="s">
        <v>967</v>
      </c>
      <c r="R6" s="518" t="s">
        <v>967</v>
      </c>
      <c r="S6" s="343"/>
      <c r="T6" s="638"/>
      <c r="U6" s="343"/>
      <c r="V6" s="712"/>
      <c r="W6" s="728"/>
      <c r="X6" s="728"/>
      <c r="Y6" s="728" t="s">
        <v>1111</v>
      </c>
      <c r="Z6" s="728"/>
      <c r="AA6" s="343"/>
      <c r="AB6" s="728"/>
      <c r="AC6" s="638"/>
      <c r="AD6" s="638"/>
      <c r="AE6" s="638"/>
    </row>
    <row r="7" spans="1:32">
      <c r="A7" s="638"/>
      <c r="B7" s="638"/>
      <c r="C7" s="638"/>
      <c r="D7" s="638"/>
      <c r="E7" s="638"/>
      <c r="F7" s="518" t="s">
        <v>1112</v>
      </c>
      <c r="G7" s="518" t="s">
        <v>1112</v>
      </c>
      <c r="H7" s="518" t="s">
        <v>1112</v>
      </c>
      <c r="I7" s="518" t="s">
        <v>1112</v>
      </c>
      <c r="J7" s="518" t="s">
        <v>1112</v>
      </c>
      <c r="K7" s="518" t="s">
        <v>1112</v>
      </c>
      <c r="L7" s="518" t="s">
        <v>1112</v>
      </c>
      <c r="M7" s="518" t="s">
        <v>1112</v>
      </c>
      <c r="N7" s="518" t="s">
        <v>1112</v>
      </c>
      <c r="O7" s="518" t="s">
        <v>1112</v>
      </c>
      <c r="P7" s="518" t="s">
        <v>1112</v>
      </c>
      <c r="Q7" s="518" t="s">
        <v>1112</v>
      </c>
      <c r="R7" s="518" t="s">
        <v>1112</v>
      </c>
      <c r="S7" s="343"/>
      <c r="T7" s="638"/>
      <c r="U7" s="343"/>
      <c r="V7" s="712"/>
      <c r="W7" s="728"/>
      <c r="X7" s="728"/>
      <c r="Y7" s="728" t="s">
        <v>106</v>
      </c>
      <c r="Z7" s="712">
        <f>+'State Allocation Formulas'!C21</f>
        <v>0.75170000000000003</v>
      </c>
      <c r="AA7" s="343"/>
      <c r="AB7" s="728"/>
      <c r="AC7" s="638"/>
      <c r="AD7" s="638"/>
      <c r="AE7" s="638"/>
    </row>
    <row r="8" spans="1:32">
      <c r="A8" s="638"/>
      <c r="B8" s="638"/>
      <c r="C8" s="638"/>
      <c r="D8" s="638"/>
      <c r="E8" s="317"/>
      <c r="F8" s="519" t="s">
        <v>473</v>
      </c>
      <c r="G8" s="519" t="s">
        <v>528</v>
      </c>
      <c r="H8" s="519" t="s">
        <v>562</v>
      </c>
      <c r="I8" s="519" t="s">
        <v>563</v>
      </c>
      <c r="J8" s="519" t="s">
        <v>968</v>
      </c>
      <c r="K8" s="519" t="s">
        <v>969</v>
      </c>
      <c r="L8" s="519" t="s">
        <v>970</v>
      </c>
      <c r="M8" s="519" t="s">
        <v>971</v>
      </c>
      <c r="N8" s="519" t="s">
        <v>389</v>
      </c>
      <c r="O8" s="519" t="s">
        <v>972</v>
      </c>
      <c r="P8" s="519" t="s">
        <v>973</v>
      </c>
      <c r="Q8" s="519" t="s">
        <v>974</v>
      </c>
      <c r="R8" s="519" t="s">
        <v>473</v>
      </c>
      <c r="S8" s="343"/>
      <c r="T8" s="638"/>
      <c r="U8" s="343"/>
      <c r="V8" s="728"/>
      <c r="W8" s="728"/>
      <c r="X8" s="728"/>
      <c r="Y8" s="728" t="s">
        <v>83</v>
      </c>
      <c r="Z8" s="712">
        <f>+'State Allocation Formulas'!D21</f>
        <v>0.24829999999999999</v>
      </c>
      <c r="AA8" s="343"/>
      <c r="AB8" s="728"/>
      <c r="AC8" s="638"/>
      <c r="AD8" s="638"/>
      <c r="AE8" s="638"/>
    </row>
    <row r="9" spans="1:32">
      <c r="A9" s="638"/>
      <c r="B9" s="638"/>
      <c r="C9" s="638"/>
      <c r="D9" s="638"/>
      <c r="E9" s="317"/>
      <c r="F9" s="518" t="s">
        <v>725</v>
      </c>
      <c r="G9" s="518" t="s">
        <v>725</v>
      </c>
      <c r="H9" s="518" t="s">
        <v>725</v>
      </c>
      <c r="I9" s="518" t="s">
        <v>725</v>
      </c>
      <c r="J9" s="518" t="s">
        <v>725</v>
      </c>
      <c r="K9" s="518" t="s">
        <v>725</v>
      </c>
      <c r="L9" s="518" t="s">
        <v>725</v>
      </c>
      <c r="M9" s="518" t="s">
        <v>725</v>
      </c>
      <c r="N9" s="518" t="s">
        <v>725</v>
      </c>
      <c r="O9" s="518" t="s">
        <v>725</v>
      </c>
      <c r="P9" s="518" t="s">
        <v>725</v>
      </c>
      <c r="Q9" s="518" t="s">
        <v>725</v>
      </c>
      <c r="R9" s="518" t="s">
        <v>725</v>
      </c>
      <c r="S9" s="343"/>
      <c r="T9" s="638"/>
      <c r="U9" s="343"/>
      <c r="V9" s="728"/>
      <c r="W9" s="728"/>
      <c r="X9" s="728"/>
      <c r="Y9" s="728"/>
      <c r="Z9" s="728"/>
      <c r="AA9" s="343"/>
      <c r="AB9" s="728"/>
      <c r="AC9" s="638"/>
      <c r="AD9" s="638"/>
      <c r="AE9" s="638"/>
    </row>
    <row r="10" spans="1:32">
      <c r="A10" s="638"/>
      <c r="B10" s="638"/>
      <c r="C10" s="638"/>
      <c r="D10" s="638"/>
      <c r="E10" s="317"/>
      <c r="F10" s="518" t="s">
        <v>754</v>
      </c>
      <c r="G10" s="518" t="s">
        <v>754</v>
      </c>
      <c r="H10" s="518" t="s">
        <v>754</v>
      </c>
      <c r="I10" s="518" t="s">
        <v>754</v>
      </c>
      <c r="J10" s="518" t="s">
        <v>754</v>
      </c>
      <c r="K10" s="518" t="s">
        <v>754</v>
      </c>
      <c r="L10" s="518" t="s">
        <v>754</v>
      </c>
      <c r="M10" s="518" t="s">
        <v>754</v>
      </c>
      <c r="N10" s="518" t="s">
        <v>754</v>
      </c>
      <c r="O10" s="518" t="s">
        <v>754</v>
      </c>
      <c r="P10" s="518" t="s">
        <v>754</v>
      </c>
      <c r="Q10" s="518" t="s">
        <v>754</v>
      </c>
      <c r="R10" s="518" t="s">
        <v>754</v>
      </c>
      <c r="S10" s="343"/>
      <c r="T10" s="638"/>
      <c r="U10" s="343"/>
      <c r="V10" s="728"/>
      <c r="W10" s="728"/>
      <c r="X10" s="728"/>
      <c r="Y10" s="728"/>
      <c r="Z10" s="728"/>
      <c r="AA10" s="343"/>
      <c r="AB10" s="728"/>
      <c r="AC10" s="638"/>
      <c r="AD10" s="638"/>
      <c r="AE10" s="638"/>
    </row>
    <row r="11" spans="1:32">
      <c r="A11" s="638"/>
      <c r="B11" s="926" t="s">
        <v>1113</v>
      </c>
      <c r="C11" s="520"/>
      <c r="D11" s="926" t="s">
        <v>1114</v>
      </c>
      <c r="E11" s="638"/>
      <c r="F11" s="638"/>
      <c r="G11" s="638"/>
      <c r="H11" s="638"/>
      <c r="I11" s="638"/>
      <c r="J11" s="638"/>
      <c r="K11" s="638"/>
      <c r="L11" s="638"/>
      <c r="M11" s="638"/>
      <c r="N11" s="638"/>
      <c r="O11" s="638"/>
      <c r="P11" s="638"/>
      <c r="Q11" s="638"/>
      <c r="R11" s="638"/>
      <c r="S11" s="343"/>
      <c r="T11" s="638"/>
      <c r="U11" s="343"/>
      <c r="V11" s="728"/>
      <c r="W11" s="728"/>
      <c r="X11" s="728"/>
      <c r="Y11" s="729" t="s">
        <v>1115</v>
      </c>
      <c r="Z11" s="730"/>
      <c r="AA11" s="731"/>
      <c r="AB11" s="728"/>
      <c r="AC11" s="638"/>
      <c r="AD11" s="638"/>
      <c r="AE11" s="638"/>
    </row>
    <row r="12" spans="1:32">
      <c r="A12" s="521" t="s">
        <v>1116</v>
      </c>
      <c r="B12" s="926"/>
      <c r="C12" s="520" t="s">
        <v>781</v>
      </c>
      <c r="D12" s="926"/>
      <c r="E12" s="638"/>
      <c r="F12" s="638"/>
      <c r="G12" s="638"/>
      <c r="H12" s="638"/>
      <c r="I12" s="638"/>
      <c r="J12" s="638"/>
      <c r="K12" s="638"/>
      <c r="L12" s="638"/>
      <c r="M12" s="638"/>
      <c r="N12" s="638"/>
      <c r="O12" s="638"/>
      <c r="P12" s="638"/>
      <c r="Q12" s="638"/>
      <c r="R12" s="638"/>
      <c r="S12" s="343"/>
      <c r="T12" s="638"/>
      <c r="U12" s="732" t="s">
        <v>1117</v>
      </c>
      <c r="V12" s="733" t="s">
        <v>1117</v>
      </c>
      <c r="W12" s="733" t="s">
        <v>378</v>
      </c>
      <c r="X12" s="733" t="s">
        <v>58</v>
      </c>
      <c r="Y12" s="728"/>
      <c r="Z12" s="728"/>
      <c r="AA12" s="343"/>
      <c r="AB12" s="728"/>
      <c r="AC12" s="638"/>
      <c r="AD12" s="638"/>
      <c r="AE12" s="638"/>
    </row>
    <row r="13" spans="1:32">
      <c r="A13" s="521" t="s">
        <v>1118</v>
      </c>
      <c r="B13" s="520" t="s">
        <v>1119</v>
      </c>
      <c r="C13" s="520" t="s">
        <v>1118</v>
      </c>
      <c r="D13" s="520" t="s">
        <v>781</v>
      </c>
      <c r="E13" s="638"/>
      <c r="F13" s="318" t="s">
        <v>1408</v>
      </c>
      <c r="G13" s="522" t="s">
        <v>1968</v>
      </c>
      <c r="H13" s="318" t="s">
        <v>1969</v>
      </c>
      <c r="I13" s="318" t="s">
        <v>1970</v>
      </c>
      <c r="J13" s="318" t="s">
        <v>1971</v>
      </c>
      <c r="K13" s="318" t="s">
        <v>1972</v>
      </c>
      <c r="L13" s="318" t="s">
        <v>1973</v>
      </c>
      <c r="M13" s="318" t="s">
        <v>1974</v>
      </c>
      <c r="N13" s="318" t="s">
        <v>1975</v>
      </c>
      <c r="O13" s="318" t="s">
        <v>1976</v>
      </c>
      <c r="P13" s="318" t="s">
        <v>1977</v>
      </c>
      <c r="Q13" s="318" t="s">
        <v>1978</v>
      </c>
      <c r="R13" s="318" t="s">
        <v>1979</v>
      </c>
      <c r="S13" s="319" t="s">
        <v>822</v>
      </c>
      <c r="T13" s="638"/>
      <c r="U13" s="732" t="s">
        <v>1120</v>
      </c>
      <c r="V13" s="733" t="s">
        <v>1121</v>
      </c>
      <c r="W13" s="733" t="s">
        <v>379</v>
      </c>
      <c r="X13" s="733" t="s">
        <v>380</v>
      </c>
      <c r="Y13" s="733" t="s">
        <v>372</v>
      </c>
      <c r="Z13" s="733" t="s">
        <v>734</v>
      </c>
      <c r="AA13" s="732" t="s">
        <v>1122</v>
      </c>
      <c r="AB13" s="733" t="s">
        <v>1123</v>
      </c>
      <c r="AC13" s="638" t="s">
        <v>371</v>
      </c>
      <c r="AD13" s="638" t="s">
        <v>1124</v>
      </c>
      <c r="AE13" s="638"/>
    </row>
    <row r="14" spans="1:32">
      <c r="A14" s="521"/>
      <c r="B14" s="520"/>
      <c r="C14" s="520"/>
      <c r="D14" s="520"/>
      <c r="E14" s="638"/>
      <c r="F14" s="358"/>
      <c r="G14" s="523"/>
      <c r="H14" s="358"/>
      <c r="I14" s="358"/>
      <c r="J14" s="358"/>
      <c r="K14" s="358"/>
      <c r="L14" s="358"/>
      <c r="M14" s="358"/>
      <c r="N14" s="358"/>
      <c r="O14" s="358"/>
      <c r="P14" s="358"/>
      <c r="Q14" s="358"/>
      <c r="R14" s="358"/>
      <c r="S14" s="359" t="s">
        <v>110</v>
      </c>
      <c r="T14" s="638"/>
      <c r="U14" s="734" t="s">
        <v>111</v>
      </c>
      <c r="V14" s="735" t="s">
        <v>1125</v>
      </c>
      <c r="W14" s="735" t="s">
        <v>1126</v>
      </c>
      <c r="X14" s="735" t="s">
        <v>1127</v>
      </c>
      <c r="Y14" s="735" t="s">
        <v>1128</v>
      </c>
      <c r="Z14" s="735" t="s">
        <v>1129</v>
      </c>
      <c r="AA14" s="734"/>
      <c r="AB14" s="735" t="s">
        <v>1130</v>
      </c>
      <c r="AC14" s="676"/>
      <c r="AD14" s="676"/>
      <c r="AE14" s="676"/>
    </row>
    <row r="15" spans="1:32">
      <c r="A15" s="638">
        <v>1</v>
      </c>
      <c r="B15" s="342" t="s">
        <v>981</v>
      </c>
      <c r="C15" s="342" t="s">
        <v>381</v>
      </c>
      <c r="D15" s="638" t="s">
        <v>382</v>
      </c>
      <c r="E15" s="636" t="s">
        <v>383</v>
      </c>
      <c r="F15" s="637">
        <v>1054152346.6799999</v>
      </c>
      <c r="G15" s="637">
        <v>1055924116.6</v>
      </c>
      <c r="H15" s="637">
        <v>1057151346.5</v>
      </c>
      <c r="I15" s="637">
        <v>1056996938.39</v>
      </c>
      <c r="J15" s="637">
        <v>1057817061.09</v>
      </c>
      <c r="K15" s="637">
        <v>1061184611.87</v>
      </c>
      <c r="L15" s="637">
        <v>1061776905.48</v>
      </c>
      <c r="M15" s="637">
        <v>1059049576.8</v>
      </c>
      <c r="N15" s="637">
        <v>1061962190.64</v>
      </c>
      <c r="O15" s="637">
        <v>1063685158.17</v>
      </c>
      <c r="P15" s="637">
        <v>1067686772.83</v>
      </c>
      <c r="Q15" s="637">
        <v>1048741854.72</v>
      </c>
      <c r="R15" s="637">
        <v>1079798325.22</v>
      </c>
      <c r="S15" s="514">
        <f>((F15+R15)+((G15+H15+I15+J15+K15+L15+M15+N15+O15+P15+Q15)*2))/24</f>
        <v>1059912655.7533334</v>
      </c>
      <c r="T15" s="638"/>
      <c r="U15" s="675"/>
      <c r="V15" s="713"/>
      <c r="W15" s="713"/>
      <c r="X15" s="736">
        <f>+S15</f>
        <v>1059912655.7533334</v>
      </c>
      <c r="Y15" s="713">
        <f>+X15*Z7</f>
        <v>796736343.32978082</v>
      </c>
      <c r="Z15" s="713">
        <f>+X15*Z8</f>
        <v>263176312.42355269</v>
      </c>
      <c r="AA15" s="675"/>
      <c r="AB15" s="713"/>
      <c r="AC15" s="676"/>
      <c r="AD15" s="676"/>
      <c r="AE15" s="676" t="s">
        <v>1453</v>
      </c>
      <c r="AF15" s="711">
        <f t="shared" ref="AF15:AF85" si="0">+U15+V15-AD15</f>
        <v>0</v>
      </c>
    </row>
    <row r="16" spans="1:32">
      <c r="A16" s="638">
        <v>2</v>
      </c>
      <c r="B16" s="342" t="s">
        <v>981</v>
      </c>
      <c r="C16" s="342" t="s">
        <v>381</v>
      </c>
      <c r="D16" s="638">
        <v>20</v>
      </c>
      <c r="E16" s="636" t="s">
        <v>1868</v>
      </c>
      <c r="F16" s="637">
        <v>0</v>
      </c>
      <c r="G16" s="637">
        <v>0</v>
      </c>
      <c r="H16" s="637">
        <v>0</v>
      </c>
      <c r="I16" s="637">
        <v>0</v>
      </c>
      <c r="J16" s="637">
        <v>0</v>
      </c>
      <c r="K16" s="637">
        <v>0</v>
      </c>
      <c r="L16" s="637">
        <v>0</v>
      </c>
      <c r="M16" s="637">
        <v>0</v>
      </c>
      <c r="N16" s="637">
        <v>0</v>
      </c>
      <c r="O16" s="637">
        <v>0</v>
      </c>
      <c r="P16" s="637">
        <v>0</v>
      </c>
      <c r="Q16" s="637">
        <v>0</v>
      </c>
      <c r="R16" s="637">
        <v>0</v>
      </c>
      <c r="S16" s="514">
        <f t="shared" ref="S16:S17" si="1">((F16+R16)+((G16+H16+I16+J16+K16+L16+M16+N16+O16+P16+Q16)*2))/24</f>
        <v>0</v>
      </c>
      <c r="T16" s="638"/>
      <c r="U16" s="675"/>
      <c r="V16" s="713"/>
      <c r="W16" s="713"/>
      <c r="X16" s="736"/>
      <c r="Y16" s="713"/>
      <c r="Z16" s="713"/>
      <c r="AA16" s="675"/>
      <c r="AB16" s="713"/>
      <c r="AC16" s="676"/>
      <c r="AD16" s="676"/>
      <c r="AE16" s="676"/>
      <c r="AF16" s="711"/>
    </row>
    <row r="17" spans="1:32">
      <c r="A17" s="638">
        <v>3</v>
      </c>
      <c r="B17" s="342" t="s">
        <v>981</v>
      </c>
      <c r="C17" s="710">
        <v>1014</v>
      </c>
      <c r="D17" s="638"/>
      <c r="E17" s="636" t="s">
        <v>1869</v>
      </c>
      <c r="F17" s="637">
        <v>0</v>
      </c>
      <c r="G17" s="637">
        <v>0</v>
      </c>
      <c r="H17" s="637">
        <v>0</v>
      </c>
      <c r="I17" s="637">
        <v>0</v>
      </c>
      <c r="J17" s="637">
        <v>0</v>
      </c>
      <c r="K17" s="637">
        <v>0</v>
      </c>
      <c r="L17" s="637">
        <v>0</v>
      </c>
      <c r="M17" s="637">
        <v>0</v>
      </c>
      <c r="N17" s="637">
        <v>0</v>
      </c>
      <c r="O17" s="637">
        <v>0</v>
      </c>
      <c r="P17" s="637">
        <v>0</v>
      </c>
      <c r="Q17" s="637">
        <v>22184758.190000001</v>
      </c>
      <c r="R17" s="637">
        <v>26337831.030000001</v>
      </c>
      <c r="S17" s="514">
        <f t="shared" si="1"/>
        <v>2946139.4754166664</v>
      </c>
      <c r="T17" s="638"/>
      <c r="U17" s="675"/>
      <c r="V17" s="713"/>
      <c r="W17" s="713"/>
      <c r="X17" s="736">
        <f>+S17</f>
        <v>2946139.4754166664</v>
      </c>
      <c r="Y17" s="713">
        <f>+X17*Z7</f>
        <v>2214613.0436707083</v>
      </c>
      <c r="Z17" s="713">
        <f>+X17*Z8</f>
        <v>731526.43174595828</v>
      </c>
      <c r="AA17" s="675"/>
      <c r="AB17" s="713"/>
      <c r="AC17" s="676"/>
      <c r="AD17" s="676"/>
      <c r="AE17" s="676"/>
      <c r="AF17" s="711"/>
    </row>
    <row r="18" spans="1:32">
      <c r="A18" s="638">
        <v>4</v>
      </c>
      <c r="B18" s="342" t="s">
        <v>981</v>
      </c>
      <c r="C18" s="342" t="s">
        <v>384</v>
      </c>
      <c r="D18" s="638" t="s">
        <v>382</v>
      </c>
      <c r="E18" s="636" t="s">
        <v>385</v>
      </c>
      <c r="F18" s="637">
        <v>23074397.219999999</v>
      </c>
      <c r="G18" s="637">
        <v>25636100.859999999</v>
      </c>
      <c r="H18" s="637">
        <v>26460002.859999999</v>
      </c>
      <c r="I18" s="637">
        <v>30259467.850000001</v>
      </c>
      <c r="J18" s="637">
        <v>35060804.75</v>
      </c>
      <c r="K18" s="637">
        <v>36694345.130000003</v>
      </c>
      <c r="L18" s="637">
        <v>43280496.119999997</v>
      </c>
      <c r="M18" s="637">
        <v>46425665.93</v>
      </c>
      <c r="N18" s="637">
        <v>47962396.149999999</v>
      </c>
      <c r="O18" s="637">
        <v>53217186.020000003</v>
      </c>
      <c r="P18" s="637">
        <v>58768625.030000001</v>
      </c>
      <c r="Q18" s="637">
        <v>61542284.5</v>
      </c>
      <c r="R18" s="637">
        <v>42079945.729999997</v>
      </c>
      <c r="S18" s="514">
        <f>((F18+R18)+((G18+H18+I18+J18+K18+L18+M18+N18+O18+P18+Q18)*2))/24</f>
        <v>41490378.889583327</v>
      </c>
      <c r="T18" s="638"/>
      <c r="U18" s="675"/>
      <c r="V18" s="713"/>
      <c r="W18" s="713"/>
      <c r="X18" s="736">
        <f>+S18</f>
        <v>41490378.889583327</v>
      </c>
      <c r="Y18" s="713">
        <f>+X18*Z7</f>
        <v>31188317.81129979</v>
      </c>
      <c r="Z18" s="713">
        <f>+X18*Z8</f>
        <v>10302061.078283539</v>
      </c>
      <c r="AA18" s="675"/>
      <c r="AB18" s="713"/>
      <c r="AC18" s="676"/>
      <c r="AD18" s="676"/>
      <c r="AE18" s="676"/>
      <c r="AF18" s="711">
        <f t="shared" si="0"/>
        <v>0</v>
      </c>
    </row>
    <row r="19" spans="1:32">
      <c r="A19" s="638">
        <v>5</v>
      </c>
      <c r="B19" s="342" t="s">
        <v>981</v>
      </c>
      <c r="C19" s="342" t="s">
        <v>1870</v>
      </c>
      <c r="D19" s="342" t="s">
        <v>382</v>
      </c>
      <c r="E19" s="636" t="s">
        <v>386</v>
      </c>
      <c r="F19" s="637">
        <v>12854207.49</v>
      </c>
      <c r="G19" s="637">
        <v>13819507.289999999</v>
      </c>
      <c r="H19" s="637">
        <v>13773216.529999999</v>
      </c>
      <c r="I19" s="637">
        <v>15102320.949999999</v>
      </c>
      <c r="J19" s="637">
        <v>15365374.09</v>
      </c>
      <c r="K19" s="637">
        <v>17755694.91</v>
      </c>
      <c r="L19" s="637">
        <v>18176560.02</v>
      </c>
      <c r="M19" s="637">
        <v>24545725.66</v>
      </c>
      <c r="N19" s="637">
        <v>29893359.829999998</v>
      </c>
      <c r="O19" s="637">
        <v>28173698.039999999</v>
      </c>
      <c r="P19" s="637">
        <v>30659061.289999999</v>
      </c>
      <c r="Q19" s="637">
        <v>35235497.299999997</v>
      </c>
      <c r="R19" s="637">
        <v>31106071.859999999</v>
      </c>
      <c r="S19" s="514">
        <f>((F19+R19)+((G19+H19+I19+J19+K19+L19+M19+N19+O19+P19+Q19)*2))/24</f>
        <v>22040012.965416666</v>
      </c>
      <c r="T19" s="638"/>
      <c r="U19" s="675"/>
      <c r="V19" s="713"/>
      <c r="W19" s="713"/>
      <c r="X19" s="736">
        <f>+S19</f>
        <v>22040012.965416666</v>
      </c>
      <c r="Y19" s="713"/>
      <c r="Z19" s="713"/>
      <c r="AA19" s="675"/>
      <c r="AB19" s="713">
        <f>+S19</f>
        <v>22040012.965416666</v>
      </c>
      <c r="AC19" s="676"/>
      <c r="AD19" s="676"/>
      <c r="AE19" s="676"/>
      <c r="AF19" s="711">
        <f t="shared" si="0"/>
        <v>0</v>
      </c>
    </row>
    <row r="20" spans="1:32">
      <c r="A20" s="638">
        <v>6</v>
      </c>
      <c r="B20" s="638"/>
      <c r="C20" s="638"/>
      <c r="D20" s="638"/>
      <c r="E20" s="636" t="s">
        <v>387</v>
      </c>
      <c r="F20" s="321">
        <f t="shared" ref="F20:S20" si="2">SUM(F15:F19)</f>
        <v>1090080951.3899999</v>
      </c>
      <c r="G20" s="321">
        <f t="shared" si="2"/>
        <v>1095379724.75</v>
      </c>
      <c r="H20" s="321">
        <f t="shared" si="2"/>
        <v>1097384565.8899999</v>
      </c>
      <c r="I20" s="321">
        <f t="shared" si="2"/>
        <v>1102358727.1900001</v>
      </c>
      <c r="J20" s="321">
        <f t="shared" si="2"/>
        <v>1108243239.9300001</v>
      </c>
      <c r="K20" s="321">
        <f t="shared" si="2"/>
        <v>1115634651.9100001</v>
      </c>
      <c r="L20" s="321">
        <f t="shared" si="2"/>
        <v>1123233961.6199999</v>
      </c>
      <c r="M20" s="321">
        <f t="shared" si="2"/>
        <v>1130020968.3900001</v>
      </c>
      <c r="N20" s="321">
        <f t="shared" si="2"/>
        <v>1139817946.6199999</v>
      </c>
      <c r="O20" s="321">
        <f t="shared" si="2"/>
        <v>1145076042.23</v>
      </c>
      <c r="P20" s="321">
        <f t="shared" si="2"/>
        <v>1157114459.1500001</v>
      </c>
      <c r="Q20" s="321">
        <f t="shared" si="2"/>
        <v>1167704394.71</v>
      </c>
      <c r="R20" s="321">
        <f t="shared" si="2"/>
        <v>1179322173.8399999</v>
      </c>
      <c r="S20" s="516">
        <f t="shared" si="2"/>
        <v>1126389187.08375</v>
      </c>
      <c r="T20" s="638"/>
      <c r="U20" s="675"/>
      <c r="V20" s="713"/>
      <c r="W20" s="713"/>
      <c r="X20" s="736"/>
      <c r="Y20" s="713"/>
      <c r="Z20" s="713"/>
      <c r="AA20" s="675"/>
      <c r="AB20" s="713"/>
      <c r="AC20" s="676"/>
      <c r="AD20" s="676"/>
      <c r="AE20" s="676"/>
      <c r="AF20" s="711">
        <f t="shared" si="0"/>
        <v>0</v>
      </c>
    </row>
    <row r="21" spans="1:32">
      <c r="A21" s="638">
        <v>7</v>
      </c>
      <c r="B21" s="638"/>
      <c r="C21" s="638"/>
      <c r="D21" s="638"/>
      <c r="E21" s="636"/>
      <c r="F21" s="322"/>
      <c r="G21" s="524"/>
      <c r="H21" s="628"/>
      <c r="I21" s="628"/>
      <c r="J21" s="323"/>
      <c r="K21" s="632"/>
      <c r="L21" s="324"/>
      <c r="M21" s="325"/>
      <c r="N21" s="326"/>
      <c r="O21" s="327"/>
      <c r="P21" s="328"/>
      <c r="Q21" s="525"/>
      <c r="R21" s="322"/>
      <c r="S21" s="320"/>
      <c r="T21" s="638"/>
      <c r="U21" s="675"/>
      <c r="V21" s="713"/>
      <c r="W21" s="713"/>
      <c r="X21" s="736"/>
      <c r="Y21" s="713"/>
      <c r="Z21" s="713"/>
      <c r="AA21" s="675"/>
      <c r="AB21" s="713"/>
      <c r="AC21" s="676"/>
      <c r="AD21" s="676"/>
      <c r="AE21" s="676"/>
      <c r="AF21" s="711">
        <f t="shared" si="0"/>
        <v>0</v>
      </c>
    </row>
    <row r="22" spans="1:32">
      <c r="A22" s="638">
        <v>8</v>
      </c>
      <c r="B22" s="342" t="s">
        <v>981</v>
      </c>
      <c r="C22" s="342" t="s">
        <v>388</v>
      </c>
      <c r="D22" s="342" t="s">
        <v>389</v>
      </c>
      <c r="E22" s="624" t="s">
        <v>390</v>
      </c>
      <c r="F22" s="637">
        <v>205126.12</v>
      </c>
      <c r="G22" s="637">
        <v>104875.47</v>
      </c>
      <c r="H22" s="637">
        <v>1319478.07</v>
      </c>
      <c r="I22" s="637">
        <v>1339118.55</v>
      </c>
      <c r="J22" s="637">
        <v>1543414.16</v>
      </c>
      <c r="K22" s="637">
        <v>1621814.41</v>
      </c>
      <c r="L22" s="637">
        <v>1714099.23</v>
      </c>
      <c r="M22" s="637">
        <v>1785987.33</v>
      </c>
      <c r="N22" s="637">
        <v>1115790.24</v>
      </c>
      <c r="O22" s="637">
        <v>2019796.58</v>
      </c>
      <c r="P22" s="637">
        <v>2301942.16</v>
      </c>
      <c r="Q22" s="637">
        <v>1860887.28</v>
      </c>
      <c r="R22" s="637">
        <v>4047450.78</v>
      </c>
      <c r="S22" s="514">
        <f>((F22+R22)+((G22+H22+I22+J22+K22+L22+M22+N22+O22+P22+Q22)*2))/24</f>
        <v>1571124.3274999999</v>
      </c>
      <c r="T22" s="638"/>
      <c r="U22" s="675"/>
      <c r="V22" s="713"/>
      <c r="W22" s="713"/>
      <c r="X22" s="736">
        <f>+S22</f>
        <v>1571124.3274999999</v>
      </c>
      <c r="Y22" s="713">
        <f>+X22*Z7</f>
        <v>1181014.1569817499</v>
      </c>
      <c r="Z22" s="713">
        <f>+X22*Z8</f>
        <v>390110.17051824997</v>
      </c>
      <c r="AA22" s="675"/>
      <c r="AB22" s="713"/>
      <c r="AC22" s="676"/>
      <c r="AD22" s="676"/>
      <c r="AE22" s="676"/>
      <c r="AF22" s="711">
        <f t="shared" si="0"/>
        <v>0</v>
      </c>
    </row>
    <row r="23" spans="1:32">
      <c r="A23" s="638">
        <v>9</v>
      </c>
      <c r="B23" s="342" t="s">
        <v>981</v>
      </c>
      <c r="C23" s="342" t="s">
        <v>388</v>
      </c>
      <c r="D23" s="342"/>
      <c r="E23" s="636" t="s">
        <v>391</v>
      </c>
      <c r="F23" s="637">
        <v>-333307309.50999999</v>
      </c>
      <c r="G23" s="637">
        <v>-334784379.86000001</v>
      </c>
      <c r="H23" s="637">
        <v>-336111297.52999997</v>
      </c>
      <c r="I23" s="637">
        <v>-337593470.36000001</v>
      </c>
      <c r="J23" s="637">
        <v>-339115841.30000001</v>
      </c>
      <c r="K23" s="637">
        <v>-340567118.13999999</v>
      </c>
      <c r="L23" s="637">
        <v>-342228662.63999999</v>
      </c>
      <c r="M23" s="637">
        <v>-339697837.17000002</v>
      </c>
      <c r="N23" s="637">
        <v>-341480619.95999998</v>
      </c>
      <c r="O23" s="637">
        <v>-343008173.07999998</v>
      </c>
      <c r="P23" s="637">
        <v>-344743995.41000003</v>
      </c>
      <c r="Q23" s="637">
        <v>-341591960.01999998</v>
      </c>
      <c r="R23" s="637">
        <v>-341582191.66000003</v>
      </c>
      <c r="S23" s="514">
        <f t="shared" ref="S23:S27" si="3">((F23+R23)+((G23+H23+I23+J23+K23+L23+M23+N23+O23+P23+Q23)*2))/24</f>
        <v>-339864008.83791667</v>
      </c>
      <c r="T23" s="638"/>
      <c r="U23" s="675"/>
      <c r="V23" s="713"/>
      <c r="W23" s="713"/>
      <c r="X23" s="736"/>
      <c r="Y23" s="713"/>
      <c r="Z23" s="713"/>
      <c r="AA23" s="675"/>
      <c r="AB23" s="713"/>
      <c r="AC23" s="676"/>
      <c r="AD23" s="676"/>
      <c r="AE23" s="676"/>
      <c r="AF23" s="711">
        <f t="shared" si="0"/>
        <v>0</v>
      </c>
    </row>
    <row r="24" spans="1:32">
      <c r="A24" s="638">
        <v>10</v>
      </c>
      <c r="B24" s="342" t="s">
        <v>981</v>
      </c>
      <c r="C24" s="342" t="s">
        <v>388</v>
      </c>
      <c r="D24" s="342">
        <v>20</v>
      </c>
      <c r="E24" s="636" t="s">
        <v>1871</v>
      </c>
      <c r="F24" s="637">
        <v>0</v>
      </c>
      <c r="G24" s="637">
        <v>0</v>
      </c>
      <c r="H24" s="637">
        <v>0</v>
      </c>
      <c r="I24" s="637">
        <v>0</v>
      </c>
      <c r="J24" s="637">
        <v>0</v>
      </c>
      <c r="K24" s="637">
        <v>0</v>
      </c>
      <c r="L24" s="637">
        <v>0</v>
      </c>
      <c r="M24" s="637">
        <v>0</v>
      </c>
      <c r="N24" s="637">
        <v>0</v>
      </c>
      <c r="O24" s="637">
        <v>0</v>
      </c>
      <c r="P24" s="637">
        <v>0</v>
      </c>
      <c r="Q24" s="637">
        <v>0</v>
      </c>
      <c r="R24" s="637">
        <v>0</v>
      </c>
      <c r="S24" s="514">
        <f t="shared" si="3"/>
        <v>0</v>
      </c>
      <c r="T24" s="638"/>
      <c r="U24" s="675"/>
      <c r="V24" s="713"/>
      <c r="W24" s="713"/>
      <c r="X24" s="736"/>
      <c r="Y24" s="713"/>
      <c r="Z24" s="713"/>
      <c r="AA24" s="675"/>
      <c r="AB24" s="713"/>
      <c r="AC24" s="676"/>
      <c r="AD24" s="676"/>
      <c r="AE24" s="676"/>
      <c r="AF24" s="711"/>
    </row>
    <row r="25" spans="1:32">
      <c r="A25" s="638">
        <v>11</v>
      </c>
      <c r="B25" s="342" t="s">
        <v>981</v>
      </c>
      <c r="C25" s="342" t="s">
        <v>1873</v>
      </c>
      <c r="D25" s="342"/>
      <c r="E25" s="636" t="s">
        <v>1872</v>
      </c>
      <c r="F25" s="637">
        <v>0</v>
      </c>
      <c r="G25" s="637">
        <v>0</v>
      </c>
      <c r="H25" s="637">
        <v>0</v>
      </c>
      <c r="I25" s="637">
        <v>0</v>
      </c>
      <c r="J25" s="637">
        <v>0</v>
      </c>
      <c r="K25" s="637">
        <v>0</v>
      </c>
      <c r="L25" s="637">
        <v>0</v>
      </c>
      <c r="M25" s="637">
        <v>0</v>
      </c>
      <c r="N25" s="637">
        <v>0</v>
      </c>
      <c r="O25" s="637">
        <v>0</v>
      </c>
      <c r="P25" s="637">
        <v>0</v>
      </c>
      <c r="Q25" s="637">
        <v>-4686032.05</v>
      </c>
      <c r="R25" s="637">
        <v>-4689205.91</v>
      </c>
      <c r="S25" s="514">
        <f t="shared" si="3"/>
        <v>-585886.25041666662</v>
      </c>
      <c r="T25" s="638"/>
      <c r="U25" s="675"/>
      <c r="V25" s="713"/>
      <c r="W25" s="713"/>
      <c r="X25" s="736"/>
      <c r="Y25" s="713"/>
      <c r="Z25" s="713"/>
      <c r="AA25" s="675"/>
      <c r="AB25" s="713"/>
      <c r="AC25" s="676"/>
      <c r="AD25" s="676"/>
      <c r="AE25" s="676"/>
      <c r="AF25" s="711"/>
    </row>
    <row r="26" spans="1:32">
      <c r="A26" s="638">
        <v>12</v>
      </c>
      <c r="B26" s="342" t="s">
        <v>981</v>
      </c>
      <c r="C26" s="342" t="s">
        <v>392</v>
      </c>
      <c r="D26" s="342"/>
      <c r="E26" s="636" t="s">
        <v>393</v>
      </c>
      <c r="F26" s="637">
        <v>-17326335.18</v>
      </c>
      <c r="G26" s="637">
        <v>-17614916.079999998</v>
      </c>
      <c r="H26" s="637">
        <v>-17903465.52</v>
      </c>
      <c r="I26" s="637">
        <v>-18079439.760000002</v>
      </c>
      <c r="J26" s="637">
        <v>-18365436.079999998</v>
      </c>
      <c r="K26" s="637">
        <v>-18652274.399999999</v>
      </c>
      <c r="L26" s="637">
        <v>-18939112.719999999</v>
      </c>
      <c r="M26" s="637">
        <v>-19225952.59</v>
      </c>
      <c r="N26" s="637">
        <v>-19512941.600000001</v>
      </c>
      <c r="O26" s="637">
        <v>-19799936.050000001</v>
      </c>
      <c r="P26" s="637">
        <v>-20090430.530000001</v>
      </c>
      <c r="Q26" s="637">
        <v>-20380051.460000001</v>
      </c>
      <c r="R26" s="637">
        <v>-20671419.25</v>
      </c>
      <c r="S26" s="514">
        <f t="shared" si="3"/>
        <v>-18963569.50041667</v>
      </c>
      <c r="T26" s="638"/>
      <c r="U26" s="675"/>
      <c r="V26" s="713"/>
      <c r="W26" s="713"/>
      <c r="X26" s="736"/>
      <c r="Y26" s="713"/>
      <c r="Z26" s="713"/>
      <c r="AA26" s="675"/>
      <c r="AB26" s="713"/>
      <c r="AC26" s="676"/>
      <c r="AD26" s="676"/>
      <c r="AE26" s="676"/>
      <c r="AF26" s="711">
        <f t="shared" si="0"/>
        <v>0</v>
      </c>
    </row>
    <row r="27" spans="1:32">
      <c r="A27" s="638">
        <v>13</v>
      </c>
      <c r="B27" s="342" t="s">
        <v>981</v>
      </c>
      <c r="C27" s="342" t="s">
        <v>394</v>
      </c>
      <c r="D27" s="342"/>
      <c r="E27" s="636" t="s">
        <v>395</v>
      </c>
      <c r="F27" s="329">
        <v>0</v>
      </c>
      <c r="G27" s="329">
        <v>0</v>
      </c>
      <c r="H27" s="329">
        <v>0</v>
      </c>
      <c r="I27" s="329">
        <v>0</v>
      </c>
      <c r="J27" s="329">
        <v>0</v>
      </c>
      <c r="K27" s="329">
        <v>0</v>
      </c>
      <c r="L27" s="329">
        <v>0</v>
      </c>
      <c r="M27" s="329">
        <v>0</v>
      </c>
      <c r="N27" s="329">
        <v>0</v>
      </c>
      <c r="O27" s="329">
        <v>0</v>
      </c>
      <c r="P27" s="329">
        <v>0</v>
      </c>
      <c r="Q27" s="329">
        <v>0</v>
      </c>
      <c r="R27" s="329">
        <v>0</v>
      </c>
      <c r="S27" s="514">
        <f t="shared" si="3"/>
        <v>0</v>
      </c>
      <c r="T27" s="638"/>
      <c r="U27" s="675"/>
      <c r="V27" s="713"/>
      <c r="W27" s="713"/>
      <c r="X27" s="736"/>
      <c r="Y27" s="713"/>
      <c r="Z27" s="713"/>
      <c r="AA27" s="675"/>
      <c r="AB27" s="713"/>
      <c r="AC27" s="676"/>
      <c r="AD27" s="676"/>
      <c r="AE27" s="676"/>
      <c r="AF27" s="711">
        <f t="shared" si="0"/>
        <v>0</v>
      </c>
    </row>
    <row r="28" spans="1:32">
      <c r="A28" s="638">
        <v>14</v>
      </c>
      <c r="B28" s="638"/>
      <c r="C28" s="638"/>
      <c r="D28" s="638"/>
      <c r="E28" s="636" t="s">
        <v>396</v>
      </c>
      <c r="F28" s="526">
        <f>SUM(F22:F27)</f>
        <v>-350428518.56999999</v>
      </c>
      <c r="G28" s="526">
        <f t="shared" ref="G28:R28" si="4">SUM(G22:G27)</f>
        <v>-352294420.46999997</v>
      </c>
      <c r="H28" s="526">
        <f t="shared" si="4"/>
        <v>-352695284.97999996</v>
      </c>
      <c r="I28" s="526">
        <f t="shared" si="4"/>
        <v>-354333791.56999999</v>
      </c>
      <c r="J28" s="526">
        <f t="shared" si="4"/>
        <v>-355937863.21999997</v>
      </c>
      <c r="K28" s="526">
        <f t="shared" si="4"/>
        <v>-357597578.12999994</v>
      </c>
      <c r="L28" s="526">
        <f t="shared" si="4"/>
        <v>-359453676.13</v>
      </c>
      <c r="M28" s="526">
        <f t="shared" si="4"/>
        <v>-357137802.43000001</v>
      </c>
      <c r="N28" s="526">
        <f t="shared" si="4"/>
        <v>-359877771.31999999</v>
      </c>
      <c r="O28" s="526">
        <f t="shared" si="4"/>
        <v>-360788312.55000001</v>
      </c>
      <c r="P28" s="526">
        <f t="shared" si="4"/>
        <v>-362532483.77999997</v>
      </c>
      <c r="Q28" s="526">
        <f t="shared" si="4"/>
        <v>-364797156.25</v>
      </c>
      <c r="R28" s="526">
        <f t="shared" si="4"/>
        <v>-362895366.04000008</v>
      </c>
      <c r="S28" s="514">
        <f>SUM(S22:S27)</f>
        <v>-357842340.26125008</v>
      </c>
      <c r="T28" s="638"/>
      <c r="U28" s="675"/>
      <c r="V28" s="713"/>
      <c r="W28" s="713"/>
      <c r="X28" s="736"/>
      <c r="Y28" s="713"/>
      <c r="Z28" s="713"/>
      <c r="AA28" s="675"/>
      <c r="AB28" s="713"/>
      <c r="AC28" s="676"/>
      <c r="AD28" s="676"/>
      <c r="AE28" s="676"/>
      <c r="AF28" s="711">
        <f t="shared" si="0"/>
        <v>0</v>
      </c>
    </row>
    <row r="29" spans="1:32">
      <c r="A29" s="638">
        <v>15</v>
      </c>
      <c r="B29" s="638"/>
      <c r="C29" s="638"/>
      <c r="D29" s="638"/>
      <c r="E29" s="636"/>
      <c r="F29" s="322"/>
      <c r="G29" s="524"/>
      <c r="H29" s="628"/>
      <c r="I29" s="628"/>
      <c r="J29" s="323"/>
      <c r="K29" s="632"/>
      <c r="L29" s="324"/>
      <c r="M29" s="325"/>
      <c r="N29" s="326"/>
      <c r="O29" s="327"/>
      <c r="P29" s="328"/>
      <c r="Q29" s="525"/>
      <c r="R29" s="322"/>
      <c r="S29" s="320"/>
      <c r="T29" s="638"/>
      <c r="U29" s="675"/>
      <c r="V29" s="713"/>
      <c r="W29" s="713"/>
      <c r="X29" s="736"/>
      <c r="Y29" s="713"/>
      <c r="Z29" s="713"/>
      <c r="AA29" s="675"/>
      <c r="AB29" s="713"/>
      <c r="AC29" s="676"/>
      <c r="AD29" s="676"/>
      <c r="AE29" s="676"/>
      <c r="AF29" s="711">
        <f t="shared" si="0"/>
        <v>0</v>
      </c>
    </row>
    <row r="30" spans="1:32">
      <c r="A30" s="638">
        <v>16</v>
      </c>
      <c r="B30" s="342" t="s">
        <v>981</v>
      </c>
      <c r="C30" s="342" t="s">
        <v>397</v>
      </c>
      <c r="D30" s="342"/>
      <c r="E30" s="636" t="s">
        <v>398</v>
      </c>
      <c r="F30" s="637">
        <v>-3052834.66</v>
      </c>
      <c r="G30" s="637">
        <v>-3071369.72</v>
      </c>
      <c r="H30" s="637">
        <v>-3088046.94</v>
      </c>
      <c r="I30" s="637">
        <v>-3107090.46</v>
      </c>
      <c r="J30" s="637">
        <v>-3122196.74</v>
      </c>
      <c r="K30" s="637">
        <v>-3109027.68</v>
      </c>
      <c r="L30" s="637">
        <v>-3128042.76</v>
      </c>
      <c r="M30" s="637">
        <v>-3142432.17</v>
      </c>
      <c r="N30" s="637">
        <v>-3128744.7</v>
      </c>
      <c r="O30" s="637">
        <v>-3148438.29</v>
      </c>
      <c r="P30" s="637">
        <v>-3168347.21</v>
      </c>
      <c r="Q30" s="637">
        <v>-3187186.86</v>
      </c>
      <c r="R30" s="637">
        <v>-3185032.92</v>
      </c>
      <c r="S30" s="514">
        <f>((F30+R30)+((G30+H30+I30+J30+K30+L30+M30+N30+O30+P30+Q30)*2))/24</f>
        <v>-3126654.7766666668</v>
      </c>
      <c r="T30" s="638"/>
      <c r="U30" s="675"/>
      <c r="V30" s="713"/>
      <c r="W30" s="713"/>
      <c r="X30" s="736"/>
      <c r="Y30" s="713"/>
      <c r="Z30" s="713"/>
      <c r="AA30" s="675"/>
      <c r="AB30" s="713"/>
      <c r="AC30" s="676"/>
      <c r="AD30" s="676"/>
      <c r="AE30" s="676"/>
      <c r="AF30" s="711">
        <f t="shared" si="0"/>
        <v>0</v>
      </c>
    </row>
    <row r="31" spans="1:32">
      <c r="A31" s="638">
        <v>17</v>
      </c>
      <c r="B31" s="342" t="s">
        <v>981</v>
      </c>
      <c r="C31" s="342" t="s">
        <v>726</v>
      </c>
      <c r="D31" s="342"/>
      <c r="E31" s="637" t="s">
        <v>727</v>
      </c>
      <c r="F31" s="329">
        <v>-137249402.78999999</v>
      </c>
      <c r="G31" s="329">
        <v>-137636754.03</v>
      </c>
      <c r="H31" s="329">
        <v>-138004595.44</v>
      </c>
      <c r="I31" s="329">
        <v>-138522604.65000001</v>
      </c>
      <c r="J31" s="329">
        <v>-139009059.03</v>
      </c>
      <c r="K31" s="329">
        <v>-139419314.46000001</v>
      </c>
      <c r="L31" s="329">
        <v>-139895803.72</v>
      </c>
      <c r="M31" s="329">
        <v>-140293114.25999999</v>
      </c>
      <c r="N31" s="329">
        <v>-140777750</v>
      </c>
      <c r="O31" s="329">
        <v>-141311614.78999999</v>
      </c>
      <c r="P31" s="329">
        <v>-141787696.77000001</v>
      </c>
      <c r="Q31" s="329">
        <v>-142008181.08000001</v>
      </c>
      <c r="R31" s="329">
        <v>-142248746.72</v>
      </c>
      <c r="S31" s="514">
        <f>((F31+R31)+((G31+H31+I31+J31+K31+L31+M31+N31+O31+P31+Q31)*2))/24</f>
        <v>-139867963.58208334</v>
      </c>
      <c r="T31" s="638"/>
      <c r="U31" s="675"/>
      <c r="V31" s="713"/>
      <c r="W31" s="713"/>
      <c r="X31" s="736"/>
      <c r="Y31" s="713"/>
      <c r="Z31" s="713"/>
      <c r="AA31" s="675"/>
      <c r="AB31" s="713"/>
      <c r="AC31" s="676"/>
      <c r="AD31" s="676"/>
      <c r="AE31" s="676"/>
      <c r="AF31" s="711">
        <f t="shared" si="0"/>
        <v>0</v>
      </c>
    </row>
    <row r="32" spans="1:32">
      <c r="A32" s="638">
        <v>18</v>
      </c>
      <c r="B32" s="638"/>
      <c r="C32" s="638"/>
      <c r="D32" s="638"/>
      <c r="E32" s="636" t="s">
        <v>399</v>
      </c>
      <c r="F32" s="527">
        <f>+F30+F31</f>
        <v>-140302237.44999999</v>
      </c>
      <c r="G32" s="527">
        <f t="shared" ref="G32:R32" si="5">+G30+G31</f>
        <v>-140708123.75</v>
      </c>
      <c r="H32" s="527">
        <f t="shared" si="5"/>
        <v>-141092642.38</v>
      </c>
      <c r="I32" s="527">
        <f t="shared" si="5"/>
        <v>-141629695.11000001</v>
      </c>
      <c r="J32" s="527">
        <f t="shared" si="5"/>
        <v>-142131255.77000001</v>
      </c>
      <c r="K32" s="527">
        <f t="shared" si="5"/>
        <v>-142528342.14000002</v>
      </c>
      <c r="L32" s="527">
        <f t="shared" si="5"/>
        <v>-143023846.47999999</v>
      </c>
      <c r="M32" s="527">
        <f t="shared" si="5"/>
        <v>-143435546.42999998</v>
      </c>
      <c r="N32" s="527">
        <f t="shared" si="5"/>
        <v>-143906494.69999999</v>
      </c>
      <c r="O32" s="527">
        <f t="shared" si="5"/>
        <v>-144460053.07999998</v>
      </c>
      <c r="P32" s="527">
        <f t="shared" si="5"/>
        <v>-144956043.98000002</v>
      </c>
      <c r="Q32" s="527">
        <f t="shared" si="5"/>
        <v>-145195367.94000003</v>
      </c>
      <c r="R32" s="527">
        <f t="shared" si="5"/>
        <v>-145433779.63999999</v>
      </c>
      <c r="S32" s="528">
        <f>+S30+S31</f>
        <v>-142994618.35875002</v>
      </c>
      <c r="T32" s="638"/>
      <c r="U32" s="675"/>
      <c r="V32" s="713"/>
      <c r="W32" s="713"/>
      <c r="X32" s="736"/>
      <c r="Y32" s="713"/>
      <c r="Z32" s="713"/>
      <c r="AA32" s="675"/>
      <c r="AB32" s="713"/>
      <c r="AC32" s="676"/>
      <c r="AD32" s="676"/>
      <c r="AE32" s="676"/>
      <c r="AF32" s="711">
        <f t="shared" si="0"/>
        <v>0</v>
      </c>
    </row>
    <row r="33" spans="1:32">
      <c r="A33" s="638">
        <v>19</v>
      </c>
      <c r="B33" s="638"/>
      <c r="C33" s="638"/>
      <c r="D33" s="638"/>
      <c r="E33" s="636"/>
      <c r="F33" s="322"/>
      <c r="G33" s="524"/>
      <c r="H33" s="628"/>
      <c r="I33" s="628"/>
      <c r="J33" s="323"/>
      <c r="K33" s="632"/>
      <c r="L33" s="324"/>
      <c r="M33" s="325"/>
      <c r="N33" s="326"/>
      <c r="O33" s="327"/>
      <c r="P33" s="328"/>
      <c r="Q33" s="525"/>
      <c r="R33" s="322"/>
      <c r="S33" s="320"/>
      <c r="T33" s="638"/>
      <c r="U33" s="675"/>
      <c r="V33" s="713"/>
      <c r="W33" s="713"/>
      <c r="X33" s="736"/>
      <c r="Y33" s="713"/>
      <c r="Z33" s="713"/>
      <c r="AA33" s="675"/>
      <c r="AB33" s="713"/>
      <c r="AC33" s="676"/>
      <c r="AD33" s="676"/>
      <c r="AE33" s="676"/>
      <c r="AF33" s="711">
        <f t="shared" si="0"/>
        <v>0</v>
      </c>
    </row>
    <row r="34" spans="1:32">
      <c r="A34" s="638">
        <v>20</v>
      </c>
      <c r="B34" s="638"/>
      <c r="C34" s="638"/>
      <c r="D34" s="638"/>
      <c r="E34" s="636" t="s">
        <v>400</v>
      </c>
      <c r="F34" s="529">
        <f>+F32+F28</f>
        <v>-490730756.01999998</v>
      </c>
      <c r="G34" s="529">
        <f t="shared" ref="G34:R34" si="6">+G32+G28</f>
        <v>-493002544.21999997</v>
      </c>
      <c r="H34" s="529">
        <f t="shared" si="6"/>
        <v>-493787927.35999995</v>
      </c>
      <c r="I34" s="529">
        <f t="shared" si="6"/>
        <v>-495963486.68000001</v>
      </c>
      <c r="J34" s="529">
        <f t="shared" si="6"/>
        <v>-498069118.99000001</v>
      </c>
      <c r="K34" s="529">
        <f t="shared" si="6"/>
        <v>-500125920.26999998</v>
      </c>
      <c r="L34" s="529">
        <f t="shared" si="6"/>
        <v>-502477522.61000001</v>
      </c>
      <c r="M34" s="529">
        <f t="shared" si="6"/>
        <v>-500573348.86000001</v>
      </c>
      <c r="N34" s="529">
        <f t="shared" si="6"/>
        <v>-503784266.01999998</v>
      </c>
      <c r="O34" s="529">
        <f t="shared" si="6"/>
        <v>-505248365.63</v>
      </c>
      <c r="P34" s="529">
        <f t="shared" si="6"/>
        <v>-507488527.75999999</v>
      </c>
      <c r="Q34" s="529">
        <f t="shared" si="6"/>
        <v>-509992524.19000006</v>
      </c>
      <c r="R34" s="529">
        <f t="shared" si="6"/>
        <v>-508329145.68000007</v>
      </c>
      <c r="S34" s="515">
        <f>+S32+S28</f>
        <v>-500836958.62000012</v>
      </c>
      <c r="T34" s="638"/>
      <c r="U34" s="675"/>
      <c r="V34" s="713"/>
      <c r="W34" s="713"/>
      <c r="X34" s="736">
        <f>+S34-S22</f>
        <v>-502408082.94750011</v>
      </c>
      <c r="Y34" s="713">
        <f>+X34*Z7</f>
        <v>-377660155.95163584</v>
      </c>
      <c r="Z34" s="713">
        <f>+X34*Z8</f>
        <v>-124747926.99586427</v>
      </c>
      <c r="AA34" s="675"/>
      <c r="AB34" s="713"/>
      <c r="AC34" s="676"/>
      <c r="AD34" s="676"/>
      <c r="AE34" s="676" t="s">
        <v>1452</v>
      </c>
      <c r="AF34" s="711">
        <f t="shared" si="0"/>
        <v>0</v>
      </c>
    </row>
    <row r="35" spans="1:32">
      <c r="A35" s="638">
        <v>21</v>
      </c>
      <c r="B35" s="638"/>
      <c r="C35" s="638"/>
      <c r="D35" s="638"/>
      <c r="E35" s="623"/>
      <c r="F35" s="530"/>
      <c r="G35" s="531"/>
      <c r="H35" s="532"/>
      <c r="I35" s="532"/>
      <c r="J35" s="533"/>
      <c r="K35" s="534"/>
      <c r="L35" s="535"/>
      <c r="M35" s="536"/>
      <c r="N35" s="537"/>
      <c r="O35" s="538"/>
      <c r="P35" s="539"/>
      <c r="Q35" s="540"/>
      <c r="R35" s="530"/>
      <c r="S35" s="320"/>
      <c r="T35" s="638"/>
      <c r="U35" s="675"/>
      <c r="V35" s="713"/>
      <c r="W35" s="713"/>
      <c r="X35" s="736"/>
      <c r="Y35" s="713"/>
      <c r="Z35" s="713"/>
      <c r="AA35" s="675"/>
      <c r="AB35" s="713"/>
      <c r="AC35" s="676"/>
      <c r="AD35" s="676"/>
      <c r="AE35" s="676"/>
      <c r="AF35" s="711">
        <f t="shared" si="0"/>
        <v>0</v>
      </c>
    </row>
    <row r="36" spans="1:32">
      <c r="A36" s="638">
        <v>22</v>
      </c>
      <c r="B36" s="638"/>
      <c r="C36" s="638"/>
      <c r="D36" s="638"/>
      <c r="E36" s="623" t="s">
        <v>401</v>
      </c>
      <c r="F36" s="541">
        <f>+F20+F34</f>
        <v>599350195.36999989</v>
      </c>
      <c r="G36" s="541">
        <f t="shared" ref="G36:S36" si="7">+G20+G34</f>
        <v>602377180.52999997</v>
      </c>
      <c r="H36" s="541">
        <f t="shared" si="7"/>
        <v>603596638.52999997</v>
      </c>
      <c r="I36" s="541">
        <f t="shared" si="7"/>
        <v>606395240.50999999</v>
      </c>
      <c r="J36" s="541">
        <f t="shared" si="7"/>
        <v>610174120.94000006</v>
      </c>
      <c r="K36" s="541">
        <f t="shared" si="7"/>
        <v>615508731.6400001</v>
      </c>
      <c r="L36" s="541">
        <f t="shared" si="7"/>
        <v>620756439.00999987</v>
      </c>
      <c r="M36" s="541">
        <f t="shared" si="7"/>
        <v>629447619.53000009</v>
      </c>
      <c r="N36" s="541">
        <f t="shared" si="7"/>
        <v>636033680.5999999</v>
      </c>
      <c r="O36" s="541">
        <f t="shared" si="7"/>
        <v>639827676.60000002</v>
      </c>
      <c r="P36" s="541">
        <f t="shared" si="7"/>
        <v>649625931.3900001</v>
      </c>
      <c r="Q36" s="541">
        <f t="shared" si="7"/>
        <v>657711870.51999998</v>
      </c>
      <c r="R36" s="541">
        <f t="shared" si="7"/>
        <v>670993028.15999985</v>
      </c>
      <c r="S36" s="514">
        <f t="shared" si="7"/>
        <v>625552228.46374989</v>
      </c>
      <c r="T36" s="638"/>
      <c r="U36" s="675"/>
      <c r="V36" s="713"/>
      <c r="W36" s="713"/>
      <c r="X36" s="736"/>
      <c r="Y36" s="713"/>
      <c r="Z36" s="713"/>
      <c r="AA36" s="675"/>
      <c r="AB36" s="713"/>
      <c r="AC36" s="676"/>
      <c r="AD36" s="676"/>
      <c r="AE36" s="676"/>
      <c r="AF36" s="711">
        <f t="shared" si="0"/>
        <v>0</v>
      </c>
    </row>
    <row r="37" spans="1:32">
      <c r="A37" s="638">
        <v>23</v>
      </c>
      <c r="B37" s="638"/>
      <c r="C37" s="638"/>
      <c r="D37" s="638"/>
      <c r="E37" s="623"/>
      <c r="F37" s="322"/>
      <c r="G37" s="524"/>
      <c r="H37" s="628"/>
      <c r="I37" s="628"/>
      <c r="J37" s="323"/>
      <c r="K37" s="632"/>
      <c r="L37" s="324"/>
      <c r="M37" s="325"/>
      <c r="N37" s="326"/>
      <c r="O37" s="327"/>
      <c r="P37" s="328"/>
      <c r="Q37" s="525"/>
      <c r="R37" s="322"/>
      <c r="S37" s="320"/>
      <c r="T37" s="638"/>
      <c r="U37" s="675"/>
      <c r="V37" s="713"/>
      <c r="W37" s="713"/>
      <c r="X37" s="736"/>
      <c r="Y37" s="713"/>
      <c r="Z37" s="713"/>
      <c r="AA37" s="675"/>
      <c r="AB37" s="713"/>
      <c r="AC37" s="676"/>
      <c r="AD37" s="676"/>
      <c r="AE37" s="676"/>
      <c r="AF37" s="711">
        <f t="shared" si="0"/>
        <v>0</v>
      </c>
    </row>
    <row r="38" spans="1:32">
      <c r="A38" s="638">
        <v>24</v>
      </c>
      <c r="B38" s="342" t="s">
        <v>981</v>
      </c>
      <c r="C38" s="342" t="s">
        <v>402</v>
      </c>
      <c r="D38" s="342"/>
      <c r="E38" s="636" t="s">
        <v>403</v>
      </c>
      <c r="F38" s="329">
        <v>0</v>
      </c>
      <c r="G38" s="329">
        <v>0</v>
      </c>
      <c r="H38" s="329">
        <v>0</v>
      </c>
      <c r="I38" s="329">
        <v>0</v>
      </c>
      <c r="J38" s="329">
        <v>0</v>
      </c>
      <c r="K38" s="329">
        <v>0</v>
      </c>
      <c r="L38" s="329">
        <v>0</v>
      </c>
      <c r="M38" s="329">
        <v>0</v>
      </c>
      <c r="N38" s="329">
        <v>0</v>
      </c>
      <c r="O38" s="329">
        <v>0</v>
      </c>
      <c r="P38" s="329">
        <v>0</v>
      </c>
      <c r="Q38" s="329">
        <v>0</v>
      </c>
      <c r="R38" s="329">
        <v>0</v>
      </c>
      <c r="S38" s="320">
        <f>((F38+R38)+((G38+H38+I38+J38+K38+L38+M38+N38+O38+P38+Q38)*2))/24</f>
        <v>0</v>
      </c>
      <c r="T38" s="638"/>
      <c r="U38" s="675">
        <f>+S38</f>
        <v>0</v>
      </c>
      <c r="V38" s="713"/>
      <c r="W38" s="713"/>
      <c r="X38" s="736"/>
      <c r="Y38" s="713"/>
      <c r="Z38" s="713"/>
      <c r="AA38" s="675"/>
      <c r="AB38" s="713"/>
      <c r="AC38" s="676"/>
      <c r="AD38" s="676"/>
      <c r="AE38" s="676"/>
      <c r="AF38" s="711">
        <f t="shared" si="0"/>
        <v>0</v>
      </c>
    </row>
    <row r="39" spans="1:32">
      <c r="A39" s="638">
        <v>25</v>
      </c>
      <c r="B39" s="638"/>
      <c r="C39" s="638"/>
      <c r="D39" s="638"/>
      <c r="E39" s="623" t="s">
        <v>404</v>
      </c>
      <c r="F39" s="321">
        <f>+F38</f>
        <v>0</v>
      </c>
      <c r="G39" s="542">
        <v>0</v>
      </c>
      <c r="H39" s="543">
        <v>0</v>
      </c>
      <c r="I39" s="543">
        <v>0</v>
      </c>
      <c r="J39" s="544">
        <v>0</v>
      </c>
      <c r="K39" s="545">
        <v>0</v>
      </c>
      <c r="L39" s="546">
        <v>0</v>
      </c>
      <c r="M39" s="547">
        <v>0</v>
      </c>
      <c r="N39" s="548">
        <v>0</v>
      </c>
      <c r="O39" s="549">
        <v>0</v>
      </c>
      <c r="P39" s="550">
        <v>0</v>
      </c>
      <c r="Q39" s="551">
        <v>0</v>
      </c>
      <c r="R39" s="321">
        <v>0</v>
      </c>
      <c r="S39" s="320">
        <f>((F39+R39)+((G39+H39+I39+J39+K39+L39+M39+N39+O39+P39+Q39)*2))/24</f>
        <v>0</v>
      </c>
      <c r="T39" s="638"/>
      <c r="U39" s="675"/>
      <c r="V39" s="713"/>
      <c r="W39" s="713"/>
      <c r="X39" s="736"/>
      <c r="Y39" s="713"/>
      <c r="Z39" s="713"/>
      <c r="AA39" s="675"/>
      <c r="AB39" s="713"/>
      <c r="AC39" s="676"/>
      <c r="AD39" s="676"/>
      <c r="AE39" s="676"/>
      <c r="AF39" s="711">
        <f t="shared" si="0"/>
        <v>0</v>
      </c>
    </row>
    <row r="40" spans="1:32">
      <c r="A40" s="638">
        <v>26</v>
      </c>
      <c r="B40" s="638"/>
      <c r="C40" s="638"/>
      <c r="D40" s="638"/>
      <c r="E40" s="623"/>
      <c r="F40" s="637"/>
      <c r="G40" s="330"/>
      <c r="H40" s="331"/>
      <c r="I40" s="331"/>
      <c r="J40" s="332"/>
      <c r="K40" s="333"/>
      <c r="L40" s="334"/>
      <c r="M40" s="335"/>
      <c r="N40" s="336"/>
      <c r="O40" s="624"/>
      <c r="P40" s="337"/>
      <c r="Q40" s="338"/>
      <c r="R40" s="637"/>
      <c r="S40" s="320"/>
      <c r="T40" s="638"/>
      <c r="U40" s="675"/>
      <c r="V40" s="713"/>
      <c r="W40" s="713"/>
      <c r="X40" s="736"/>
      <c r="Y40" s="713"/>
      <c r="Z40" s="713"/>
      <c r="AA40" s="675"/>
      <c r="AB40" s="713"/>
      <c r="AC40" s="676"/>
      <c r="AD40" s="676"/>
      <c r="AE40" s="676"/>
      <c r="AF40" s="711">
        <f t="shared" si="0"/>
        <v>0</v>
      </c>
    </row>
    <row r="41" spans="1:32">
      <c r="A41" s="638">
        <v>27</v>
      </c>
      <c r="B41" s="342" t="s">
        <v>981</v>
      </c>
      <c r="C41" s="342" t="s">
        <v>1131</v>
      </c>
      <c r="D41" s="342" t="s">
        <v>463</v>
      </c>
      <c r="E41" s="636" t="s">
        <v>1499</v>
      </c>
      <c r="F41" s="637">
        <v>1647363.37</v>
      </c>
      <c r="G41" s="637">
        <v>1650548.45</v>
      </c>
      <c r="H41" s="637">
        <v>1653418.79</v>
      </c>
      <c r="I41" s="637">
        <v>520974.97</v>
      </c>
      <c r="J41" s="637">
        <v>521959.48</v>
      </c>
      <c r="K41" s="637">
        <v>522960.61</v>
      </c>
      <c r="L41" s="637">
        <v>523922.01</v>
      </c>
      <c r="M41" s="637">
        <v>524913.85</v>
      </c>
      <c r="N41" s="637">
        <v>525804.73</v>
      </c>
      <c r="O41" s="637">
        <v>526658.93999999994</v>
      </c>
      <c r="P41" s="637">
        <v>527433.56999999995</v>
      </c>
      <c r="Q41" s="637">
        <v>528090.85</v>
      </c>
      <c r="R41" s="637">
        <v>528752.93000000005</v>
      </c>
      <c r="S41" s="737">
        <f>((F41+R41)+((G41+H41+I41+J41+K41+L41+M41+N41+O41+P41+Q41)*2))/24</f>
        <v>759562.03333333321</v>
      </c>
      <c r="T41" s="638"/>
      <c r="U41" s="675"/>
      <c r="V41" s="713"/>
      <c r="W41" s="713"/>
      <c r="X41" s="736">
        <f>+S41</f>
        <v>759562.03333333321</v>
      </c>
      <c r="Y41" s="713"/>
      <c r="Z41" s="713"/>
      <c r="AA41" s="675"/>
      <c r="AB41" s="713">
        <f>+S41</f>
        <v>759562.03333333321</v>
      </c>
      <c r="AC41" s="676"/>
      <c r="AD41" s="676"/>
      <c r="AE41" s="676"/>
      <c r="AF41" s="711">
        <f t="shared" si="0"/>
        <v>0</v>
      </c>
    </row>
    <row r="42" spans="1:32">
      <c r="A42" s="638">
        <v>28</v>
      </c>
      <c r="B42" s="342" t="s">
        <v>981</v>
      </c>
      <c r="C42" s="342" t="s">
        <v>1131</v>
      </c>
      <c r="D42" s="342" t="s">
        <v>450</v>
      </c>
      <c r="E42" s="636" t="s">
        <v>1500</v>
      </c>
      <c r="F42" s="637">
        <v>10584814.859999999</v>
      </c>
      <c r="G42" s="637">
        <v>10770808.609999999</v>
      </c>
      <c r="H42" s="637">
        <v>10830520.99</v>
      </c>
      <c r="I42" s="637">
        <v>10935394.75</v>
      </c>
      <c r="J42" s="637">
        <v>10989421.77</v>
      </c>
      <c r="K42" s="637">
        <v>10930533.949999999</v>
      </c>
      <c r="L42" s="637">
        <v>11104230.210000001</v>
      </c>
      <c r="M42" s="637">
        <v>11130863.68</v>
      </c>
      <c r="N42" s="637">
        <v>11185472.630000001</v>
      </c>
      <c r="O42" s="637">
        <v>11298649.32</v>
      </c>
      <c r="P42" s="637">
        <v>11332181.23</v>
      </c>
      <c r="Q42" s="637">
        <v>11408136.99</v>
      </c>
      <c r="R42" s="637">
        <v>11462788.92</v>
      </c>
      <c r="S42" s="737">
        <f t="shared" ref="S42:S44" si="8">((F42+R42)+((G42+H42+I42+J42+K42+L42+M42+N42+O42+P42+Q42)*2))/24</f>
        <v>11078334.668333333</v>
      </c>
      <c r="T42" s="638"/>
      <c r="U42" s="675"/>
      <c r="V42" s="713"/>
      <c r="W42" s="713"/>
      <c r="X42" s="736">
        <f>+S42</f>
        <v>11078334.668333333</v>
      </c>
      <c r="Y42" s="713"/>
      <c r="Z42" s="713"/>
      <c r="AA42" s="675"/>
      <c r="AB42" s="713">
        <f>+S42</f>
        <v>11078334.668333333</v>
      </c>
      <c r="AC42" s="676"/>
      <c r="AD42" s="676"/>
      <c r="AE42" s="676"/>
      <c r="AF42" s="711">
        <f t="shared" si="0"/>
        <v>0</v>
      </c>
    </row>
    <row r="43" spans="1:32">
      <c r="A43" s="638">
        <v>29</v>
      </c>
      <c r="B43" s="342" t="s">
        <v>981</v>
      </c>
      <c r="C43" s="342" t="s">
        <v>1131</v>
      </c>
      <c r="D43" s="342" t="s">
        <v>495</v>
      </c>
      <c r="E43" s="636" t="s">
        <v>1501</v>
      </c>
      <c r="F43" s="637">
        <v>139136.91</v>
      </c>
      <c r="G43" s="637">
        <v>0</v>
      </c>
      <c r="H43" s="637">
        <v>0</v>
      </c>
      <c r="I43" s="637">
        <v>0</v>
      </c>
      <c r="J43" s="637">
        <v>0</v>
      </c>
      <c r="K43" s="637">
        <v>0</v>
      </c>
      <c r="L43" s="637">
        <v>0</v>
      </c>
      <c r="M43" s="637">
        <v>0</v>
      </c>
      <c r="N43" s="637">
        <v>0</v>
      </c>
      <c r="O43" s="637">
        <v>0</v>
      </c>
      <c r="P43" s="637">
        <v>0</v>
      </c>
      <c r="Q43" s="637">
        <v>0</v>
      </c>
      <c r="R43" s="637">
        <v>0</v>
      </c>
      <c r="S43" s="737">
        <f t="shared" si="8"/>
        <v>5797.3712500000001</v>
      </c>
      <c r="T43" s="638"/>
      <c r="U43" s="675"/>
      <c r="V43" s="713"/>
      <c r="W43" s="713"/>
      <c r="X43" s="736">
        <f>+S43</f>
        <v>5797.3712500000001</v>
      </c>
      <c r="Y43" s="713"/>
      <c r="Z43" s="713"/>
      <c r="AA43" s="675"/>
      <c r="AB43" s="713">
        <f>+S43</f>
        <v>5797.3712500000001</v>
      </c>
      <c r="AC43" s="676"/>
      <c r="AD43" s="676"/>
      <c r="AE43" s="676"/>
      <c r="AF43" s="711">
        <f t="shared" si="0"/>
        <v>0</v>
      </c>
    </row>
    <row r="44" spans="1:32">
      <c r="A44" s="638">
        <v>30</v>
      </c>
      <c r="B44" s="342" t="s">
        <v>981</v>
      </c>
      <c r="C44" s="342" t="s">
        <v>405</v>
      </c>
      <c r="D44" s="342"/>
      <c r="E44" s="636" t="s">
        <v>406</v>
      </c>
      <c r="F44" s="637">
        <v>202030.18</v>
      </c>
      <c r="G44" s="637">
        <v>202030.18</v>
      </c>
      <c r="H44" s="637">
        <v>202030.18</v>
      </c>
      <c r="I44" s="637">
        <v>202030.18</v>
      </c>
      <c r="J44" s="637">
        <v>202030.18</v>
      </c>
      <c r="K44" s="637">
        <v>202030.18</v>
      </c>
      <c r="L44" s="637">
        <v>197964.51</v>
      </c>
      <c r="M44" s="637">
        <v>197964.51</v>
      </c>
      <c r="N44" s="637">
        <v>197964.51</v>
      </c>
      <c r="O44" s="637">
        <v>197964.51</v>
      </c>
      <c r="P44" s="637">
        <v>197964.51</v>
      </c>
      <c r="Q44" s="637">
        <v>197964.51</v>
      </c>
      <c r="R44" s="637">
        <v>197964.51</v>
      </c>
      <c r="S44" s="737">
        <f t="shared" si="8"/>
        <v>199827.94208333336</v>
      </c>
      <c r="T44" s="638"/>
      <c r="U44" s="675"/>
      <c r="V44" s="713"/>
      <c r="W44" s="713"/>
      <c r="X44" s="736">
        <f>+S44</f>
        <v>199827.94208333336</v>
      </c>
      <c r="Y44" s="713"/>
      <c r="Z44" s="713"/>
      <c r="AA44" s="675"/>
      <c r="AB44" s="713">
        <f>+S44</f>
        <v>199827.94208333336</v>
      </c>
      <c r="AC44" s="676"/>
      <c r="AD44" s="676"/>
      <c r="AE44" s="676"/>
      <c r="AF44" s="711">
        <f t="shared" si="0"/>
        <v>0</v>
      </c>
    </row>
    <row r="45" spans="1:32">
      <c r="A45" s="638">
        <v>31</v>
      </c>
      <c r="B45" s="342" t="s">
        <v>981</v>
      </c>
      <c r="C45" s="342" t="s">
        <v>407</v>
      </c>
      <c r="D45" s="342"/>
      <c r="E45" s="636" t="s">
        <v>408</v>
      </c>
      <c r="F45" s="329">
        <v>0</v>
      </c>
      <c r="G45" s="329">
        <v>0</v>
      </c>
      <c r="H45" s="329">
        <v>0</v>
      </c>
      <c r="I45" s="329">
        <v>0</v>
      </c>
      <c r="J45" s="329">
        <v>0</v>
      </c>
      <c r="K45" s="329">
        <v>0</v>
      </c>
      <c r="L45" s="329">
        <v>0</v>
      </c>
      <c r="M45" s="329">
        <v>0</v>
      </c>
      <c r="N45" s="329">
        <v>0</v>
      </c>
      <c r="O45" s="329">
        <v>0</v>
      </c>
      <c r="P45" s="329">
        <v>0</v>
      </c>
      <c r="Q45" s="329">
        <v>0</v>
      </c>
      <c r="R45" s="329">
        <v>0</v>
      </c>
      <c r="S45" s="737">
        <f>((F45+R45)+((G45+H45+I45+J45+K45+L45+M45+N45+O45+P45+Q45)*2))/24</f>
        <v>0</v>
      </c>
      <c r="T45" s="638"/>
      <c r="U45" s="675">
        <f t="shared" ref="U45" si="9">+S45</f>
        <v>0</v>
      </c>
      <c r="V45" s="713"/>
      <c r="W45" s="713"/>
      <c r="X45" s="736"/>
      <c r="Y45" s="713"/>
      <c r="Z45" s="713"/>
      <c r="AA45" s="675"/>
      <c r="AB45" s="713">
        <f>+S45</f>
        <v>0</v>
      </c>
      <c r="AC45" s="676"/>
      <c r="AD45" s="676"/>
      <c r="AE45" s="676"/>
      <c r="AF45" s="711">
        <f t="shared" si="0"/>
        <v>0</v>
      </c>
    </row>
    <row r="46" spans="1:32">
      <c r="A46" s="638">
        <v>32</v>
      </c>
      <c r="B46" s="638"/>
      <c r="C46" s="638"/>
      <c r="D46" s="638"/>
      <c r="E46" s="623" t="s">
        <v>409</v>
      </c>
      <c r="F46" s="321">
        <f t="shared" ref="F46:S46" si="10">SUM(F41:F45)</f>
        <v>12573345.32</v>
      </c>
      <c r="G46" s="321">
        <f t="shared" si="10"/>
        <v>12623387.239999998</v>
      </c>
      <c r="H46" s="321">
        <f t="shared" si="10"/>
        <v>12685969.960000001</v>
      </c>
      <c r="I46" s="321">
        <f t="shared" si="10"/>
        <v>11658399.9</v>
      </c>
      <c r="J46" s="321">
        <f t="shared" si="10"/>
        <v>11713411.43</v>
      </c>
      <c r="K46" s="321">
        <f t="shared" si="10"/>
        <v>11655524.739999998</v>
      </c>
      <c r="L46" s="321">
        <f t="shared" si="10"/>
        <v>11826116.73</v>
      </c>
      <c r="M46" s="321">
        <f t="shared" si="10"/>
        <v>11853742.039999999</v>
      </c>
      <c r="N46" s="321">
        <f t="shared" si="10"/>
        <v>11909241.870000001</v>
      </c>
      <c r="O46" s="321">
        <f t="shared" si="10"/>
        <v>12023272.77</v>
      </c>
      <c r="P46" s="321">
        <f t="shared" si="10"/>
        <v>12057579.310000001</v>
      </c>
      <c r="Q46" s="321">
        <f t="shared" si="10"/>
        <v>12134192.35</v>
      </c>
      <c r="R46" s="321">
        <f t="shared" si="10"/>
        <v>12189506.359999999</v>
      </c>
      <c r="S46" s="516">
        <f t="shared" si="10"/>
        <v>12043522.014999999</v>
      </c>
      <c r="T46" s="638"/>
      <c r="U46" s="675"/>
      <c r="V46" s="713"/>
      <c r="W46" s="713"/>
      <c r="X46" s="736"/>
      <c r="Y46" s="713"/>
      <c r="Z46" s="713"/>
      <c r="AA46" s="675"/>
      <c r="AB46" s="713"/>
      <c r="AC46" s="676"/>
      <c r="AD46" s="676"/>
      <c r="AE46" s="676"/>
      <c r="AF46" s="711">
        <f t="shared" si="0"/>
        <v>0</v>
      </c>
    </row>
    <row r="47" spans="1:32">
      <c r="A47" s="638">
        <v>33</v>
      </c>
      <c r="B47" s="638"/>
      <c r="C47" s="638"/>
      <c r="D47" s="638"/>
      <c r="E47" s="623"/>
      <c r="F47" s="637"/>
      <c r="G47" s="330"/>
      <c r="H47" s="331"/>
      <c r="I47" s="331"/>
      <c r="J47" s="332"/>
      <c r="K47" s="333"/>
      <c r="L47" s="334"/>
      <c r="M47" s="335"/>
      <c r="N47" s="336"/>
      <c r="O47" s="624"/>
      <c r="P47" s="337"/>
      <c r="Q47" s="338"/>
      <c r="R47" s="637"/>
      <c r="S47" s="320"/>
      <c r="T47" s="638"/>
      <c r="U47" s="675"/>
      <c r="V47" s="713"/>
      <c r="W47" s="713"/>
      <c r="X47" s="736"/>
      <c r="Y47" s="713"/>
      <c r="Z47" s="713"/>
      <c r="AA47" s="675"/>
      <c r="AB47" s="713"/>
      <c r="AC47" s="676"/>
      <c r="AD47" s="676"/>
      <c r="AE47" s="676"/>
      <c r="AF47" s="711">
        <f t="shared" si="0"/>
        <v>0</v>
      </c>
    </row>
    <row r="48" spans="1:32">
      <c r="A48" s="638">
        <v>34</v>
      </c>
      <c r="B48" s="638"/>
      <c r="C48" s="520" t="s">
        <v>410</v>
      </c>
      <c r="D48" s="520" t="s">
        <v>382</v>
      </c>
      <c r="E48" s="623" t="s">
        <v>1502</v>
      </c>
      <c r="F48" s="637">
        <v>0</v>
      </c>
      <c r="G48" s="330">
        <v>713994.61</v>
      </c>
      <c r="H48" s="331">
        <v>0</v>
      </c>
      <c r="I48" s="331">
        <v>0</v>
      </c>
      <c r="J48" s="332">
        <v>0</v>
      </c>
      <c r="K48" s="333">
        <v>0</v>
      </c>
      <c r="L48" s="334">
        <v>0</v>
      </c>
      <c r="M48" s="335">
        <v>0</v>
      </c>
      <c r="N48" s="336">
        <v>72840.87</v>
      </c>
      <c r="O48" s="624">
        <v>0</v>
      </c>
      <c r="P48" s="337">
        <v>125578.49</v>
      </c>
      <c r="Q48" s="338">
        <v>525780</v>
      </c>
      <c r="R48" s="637">
        <v>0</v>
      </c>
      <c r="S48" s="514">
        <f t="shared" ref="S48:S58" si="11">((F48+R48)+((G48+H48+I48+J48+K48+L48+M48+N48+O48+P48+Q48)*2))/24</f>
        <v>119849.4975</v>
      </c>
      <c r="T48" s="638"/>
      <c r="U48" s="675">
        <f t="shared" ref="U48:U58" si="12">+S48</f>
        <v>119849.4975</v>
      </c>
      <c r="V48" s="713"/>
      <c r="W48" s="713"/>
      <c r="X48" s="736"/>
      <c r="Y48" s="713"/>
      <c r="Z48" s="713"/>
      <c r="AA48" s="675"/>
      <c r="AB48" s="713"/>
      <c r="AC48" s="676"/>
      <c r="AD48" s="677">
        <f>+S48</f>
        <v>119849.4975</v>
      </c>
      <c r="AE48" s="676"/>
      <c r="AF48" s="711">
        <f t="shared" si="0"/>
        <v>0</v>
      </c>
    </row>
    <row r="49" spans="1:32">
      <c r="A49" s="638">
        <v>35</v>
      </c>
      <c r="B49" s="342" t="s">
        <v>981</v>
      </c>
      <c r="C49" s="342" t="s">
        <v>410</v>
      </c>
      <c r="D49" s="342" t="s">
        <v>1132</v>
      </c>
      <c r="E49" s="636" t="s">
        <v>1503</v>
      </c>
      <c r="F49" s="637">
        <v>2550120.08</v>
      </c>
      <c r="G49" s="637">
        <v>507975.97</v>
      </c>
      <c r="H49" s="637">
        <v>1437715.44</v>
      </c>
      <c r="I49" s="637">
        <v>1186503.52</v>
      </c>
      <c r="J49" s="637">
        <v>2083270</v>
      </c>
      <c r="K49" s="637">
        <v>249413.81</v>
      </c>
      <c r="L49" s="637">
        <v>514625.83</v>
      </c>
      <c r="M49" s="637">
        <v>658393.63</v>
      </c>
      <c r="N49" s="637">
        <v>277608.32000000001</v>
      </c>
      <c r="O49" s="637">
        <v>784763.2</v>
      </c>
      <c r="P49" s="637">
        <v>300167.40000000002</v>
      </c>
      <c r="Q49" s="637">
        <v>-204205.54</v>
      </c>
      <c r="R49" s="637">
        <v>2461509.84</v>
      </c>
      <c r="S49" s="514">
        <f t="shared" si="11"/>
        <v>858503.8783333333</v>
      </c>
      <c r="T49" s="638"/>
      <c r="U49" s="675">
        <f t="shared" si="12"/>
        <v>858503.8783333333</v>
      </c>
      <c r="V49" s="713"/>
      <c r="W49" s="713"/>
      <c r="X49" s="736"/>
      <c r="Y49" s="713"/>
      <c r="Z49" s="713"/>
      <c r="AA49" s="675"/>
      <c r="AB49" s="713"/>
      <c r="AC49" s="676"/>
      <c r="AD49" s="677">
        <f t="shared" ref="AD49:AD58" si="13">+U49</f>
        <v>858503.8783333333</v>
      </c>
      <c r="AE49" s="676"/>
      <c r="AF49" s="711">
        <f t="shared" si="0"/>
        <v>0</v>
      </c>
    </row>
    <row r="50" spans="1:32">
      <c r="A50" s="638">
        <v>36</v>
      </c>
      <c r="B50" s="342" t="s">
        <v>981</v>
      </c>
      <c r="C50" s="342" t="s">
        <v>410</v>
      </c>
      <c r="D50" s="342" t="s">
        <v>1133</v>
      </c>
      <c r="E50" s="636" t="s">
        <v>1504</v>
      </c>
      <c r="F50" s="637">
        <v>-819556.52</v>
      </c>
      <c r="G50" s="637">
        <v>-1795112.87</v>
      </c>
      <c r="H50" s="637">
        <v>-1495402.81</v>
      </c>
      <c r="I50" s="637">
        <v>-796374.57</v>
      </c>
      <c r="J50" s="637">
        <v>-3153933.99</v>
      </c>
      <c r="K50" s="637">
        <v>-569582.86</v>
      </c>
      <c r="L50" s="637">
        <v>-506152.85</v>
      </c>
      <c r="M50" s="637">
        <v>-763947.96</v>
      </c>
      <c r="N50" s="637">
        <v>-544940.30000000005</v>
      </c>
      <c r="O50" s="637">
        <v>-798507.84</v>
      </c>
      <c r="P50" s="637">
        <v>-649035.34</v>
      </c>
      <c r="Q50" s="637">
        <v>-1002179.5</v>
      </c>
      <c r="R50" s="637">
        <v>-518690.26</v>
      </c>
      <c r="S50" s="514">
        <f t="shared" si="11"/>
        <v>-1062024.5233333334</v>
      </c>
      <c r="T50" s="638"/>
      <c r="U50" s="675">
        <f t="shared" si="12"/>
        <v>-1062024.5233333334</v>
      </c>
      <c r="V50" s="713"/>
      <c r="W50" s="713"/>
      <c r="X50" s="736"/>
      <c r="Y50" s="713"/>
      <c r="Z50" s="713"/>
      <c r="AA50" s="675"/>
      <c r="AB50" s="713"/>
      <c r="AC50" s="676"/>
      <c r="AD50" s="677">
        <f t="shared" si="13"/>
        <v>-1062024.5233333334</v>
      </c>
      <c r="AE50" s="676"/>
      <c r="AF50" s="711">
        <f t="shared" si="0"/>
        <v>0</v>
      </c>
    </row>
    <row r="51" spans="1:32">
      <c r="A51" s="638">
        <v>37</v>
      </c>
      <c r="B51" s="342" t="s">
        <v>981</v>
      </c>
      <c r="C51" s="342" t="s">
        <v>410</v>
      </c>
      <c r="D51" s="342" t="s">
        <v>1134</v>
      </c>
      <c r="E51" s="636" t="s">
        <v>1505</v>
      </c>
      <c r="F51" s="637">
        <v>-500.00000000001103</v>
      </c>
      <c r="G51" s="637">
        <v>1607.1</v>
      </c>
      <c r="H51" s="637">
        <v>-14873.24</v>
      </c>
      <c r="I51" s="637">
        <v>-1337.24</v>
      </c>
      <c r="J51" s="637">
        <v>-300</v>
      </c>
      <c r="K51" s="637">
        <v>2.2737367544323201E-13</v>
      </c>
      <c r="L51" s="637">
        <v>2.2737367544323201E-13</v>
      </c>
      <c r="M51" s="637">
        <v>2.2737367544323201E-13</v>
      </c>
      <c r="N51" s="637">
        <v>2.2737367544323201E-13</v>
      </c>
      <c r="O51" s="637">
        <v>-4240.28</v>
      </c>
      <c r="P51" s="637">
        <v>-173413.86</v>
      </c>
      <c r="Q51" s="637">
        <v>-173413.86</v>
      </c>
      <c r="R51" s="637">
        <v>0</v>
      </c>
      <c r="S51" s="514">
        <f t="shared" si="11"/>
        <v>-30518.448333333334</v>
      </c>
      <c r="T51" s="638"/>
      <c r="U51" s="675">
        <f t="shared" si="12"/>
        <v>-30518.448333333334</v>
      </c>
      <c r="V51" s="713"/>
      <c r="W51" s="713"/>
      <c r="X51" s="736"/>
      <c r="Y51" s="713"/>
      <c r="Z51" s="713"/>
      <c r="AA51" s="675"/>
      <c r="AB51" s="713"/>
      <c r="AC51" s="676"/>
      <c r="AD51" s="677">
        <f t="shared" si="13"/>
        <v>-30518.448333333334</v>
      </c>
      <c r="AE51" s="676"/>
      <c r="AF51" s="711">
        <f t="shared" si="0"/>
        <v>0</v>
      </c>
    </row>
    <row r="52" spans="1:32">
      <c r="A52" s="638">
        <v>38</v>
      </c>
      <c r="B52" s="342" t="s">
        <v>981</v>
      </c>
      <c r="C52" s="342" t="s">
        <v>410</v>
      </c>
      <c r="D52" s="342" t="s">
        <v>1135</v>
      </c>
      <c r="E52" s="636" t="s">
        <v>1506</v>
      </c>
      <c r="F52" s="637">
        <v>5000.0000000002301</v>
      </c>
      <c r="G52" s="637">
        <v>5000</v>
      </c>
      <c r="H52" s="637">
        <v>5000</v>
      </c>
      <c r="I52" s="637">
        <v>5000</v>
      </c>
      <c r="J52" s="637">
        <v>81586</v>
      </c>
      <c r="K52" s="637">
        <v>6478.84</v>
      </c>
      <c r="L52" s="637">
        <v>6360.09</v>
      </c>
      <c r="M52" s="637">
        <v>3120.38</v>
      </c>
      <c r="N52" s="637">
        <v>5000</v>
      </c>
      <c r="O52" s="637">
        <v>3438</v>
      </c>
      <c r="P52" s="637">
        <v>5000</v>
      </c>
      <c r="Q52" s="637">
        <v>5000</v>
      </c>
      <c r="R52" s="637">
        <v>5000</v>
      </c>
      <c r="S52" s="514">
        <f t="shared" si="11"/>
        <v>11331.94250000001</v>
      </c>
      <c r="T52" s="638"/>
      <c r="U52" s="675">
        <f>+S52</f>
        <v>11331.94250000001</v>
      </c>
      <c r="V52" s="713"/>
      <c r="W52" s="713"/>
      <c r="X52" s="736">
        <f>+S52-U52</f>
        <v>0</v>
      </c>
      <c r="Y52" s="713"/>
      <c r="Z52" s="713"/>
      <c r="AA52" s="675"/>
      <c r="AB52" s="713">
        <f>+X52</f>
        <v>0</v>
      </c>
      <c r="AC52" s="676"/>
      <c r="AD52" s="677">
        <f t="shared" si="13"/>
        <v>11331.94250000001</v>
      </c>
      <c r="AE52" s="676"/>
      <c r="AF52" s="711">
        <f t="shared" si="0"/>
        <v>0</v>
      </c>
    </row>
    <row r="53" spans="1:32">
      <c r="A53" s="638">
        <v>39</v>
      </c>
      <c r="B53" s="342" t="s">
        <v>981</v>
      </c>
      <c r="C53" s="342" t="s">
        <v>410</v>
      </c>
      <c r="D53" s="342" t="s">
        <v>1875</v>
      </c>
      <c r="E53" s="636" t="s">
        <v>1876</v>
      </c>
      <c r="F53" s="637">
        <v>0</v>
      </c>
      <c r="G53" s="637">
        <v>0</v>
      </c>
      <c r="H53" s="637">
        <v>0</v>
      </c>
      <c r="I53" s="637">
        <v>0</v>
      </c>
      <c r="J53" s="637">
        <v>0</v>
      </c>
      <c r="K53" s="637">
        <v>0</v>
      </c>
      <c r="L53" s="637">
        <v>0</v>
      </c>
      <c r="M53" s="637">
        <v>0</v>
      </c>
      <c r="N53" s="637">
        <v>0</v>
      </c>
      <c r="O53" s="637">
        <v>0</v>
      </c>
      <c r="P53" s="637">
        <v>0</v>
      </c>
      <c r="Q53" s="637">
        <v>0</v>
      </c>
      <c r="R53" s="637">
        <v>1163.8699999999999</v>
      </c>
      <c r="S53" s="514">
        <f t="shared" si="11"/>
        <v>48.494583333333331</v>
      </c>
      <c r="T53" s="638"/>
      <c r="U53" s="675">
        <f t="shared" si="12"/>
        <v>48.494583333333331</v>
      </c>
      <c r="V53" s="713"/>
      <c r="W53" s="713"/>
      <c r="X53" s="736"/>
      <c r="Y53" s="713"/>
      <c r="Z53" s="713"/>
      <c r="AA53" s="675"/>
      <c r="AB53" s="713"/>
      <c r="AC53" s="676"/>
      <c r="AD53" s="677">
        <f t="shared" si="13"/>
        <v>48.494583333333331</v>
      </c>
      <c r="AE53" s="676"/>
      <c r="AF53" s="711">
        <f t="shared" si="0"/>
        <v>0</v>
      </c>
    </row>
    <row r="54" spans="1:32">
      <c r="A54" s="638">
        <v>40</v>
      </c>
      <c r="B54" s="342"/>
      <c r="C54" s="342" t="s">
        <v>410</v>
      </c>
      <c r="D54" s="342" t="s">
        <v>1409</v>
      </c>
      <c r="E54" s="636" t="s">
        <v>1410</v>
      </c>
      <c r="F54" s="637">
        <v>1468095.37</v>
      </c>
      <c r="G54" s="637">
        <v>566535.18999999994</v>
      </c>
      <c r="H54" s="637">
        <v>619477.91</v>
      </c>
      <c r="I54" s="637">
        <v>1534647.82</v>
      </c>
      <c r="J54" s="637">
        <v>1100649.3600000001</v>
      </c>
      <c r="K54" s="637">
        <v>399615.65</v>
      </c>
      <c r="L54" s="637">
        <v>1098135.5</v>
      </c>
      <c r="M54" s="637">
        <v>465511.55</v>
      </c>
      <c r="N54" s="637">
        <v>189491.11</v>
      </c>
      <c r="O54" s="637">
        <v>2126914.0299999998</v>
      </c>
      <c r="P54" s="637">
        <v>391703.31</v>
      </c>
      <c r="Q54" s="637">
        <v>247855.03</v>
      </c>
      <c r="R54" s="637">
        <v>4947993.17</v>
      </c>
      <c r="S54" s="514">
        <f t="shared" si="11"/>
        <v>995715.06083333341</v>
      </c>
      <c r="T54" s="638"/>
      <c r="U54" s="675">
        <f>+S54</f>
        <v>995715.06083333341</v>
      </c>
      <c r="V54" s="713"/>
      <c r="W54" s="713"/>
      <c r="X54" s="736"/>
      <c r="Y54" s="713"/>
      <c r="Z54" s="713"/>
      <c r="AA54" s="675"/>
      <c r="AB54" s="713"/>
      <c r="AC54" s="676"/>
      <c r="AD54" s="677">
        <f t="shared" si="13"/>
        <v>995715.06083333341</v>
      </c>
      <c r="AE54" s="676"/>
      <c r="AF54" s="711">
        <f t="shared" si="0"/>
        <v>0</v>
      </c>
    </row>
    <row r="55" spans="1:32">
      <c r="A55" s="638">
        <v>41</v>
      </c>
      <c r="B55" s="342" t="s">
        <v>981</v>
      </c>
      <c r="C55" s="342" t="s">
        <v>412</v>
      </c>
      <c r="D55" s="342" t="s">
        <v>1136</v>
      </c>
      <c r="E55" s="636" t="s">
        <v>1507</v>
      </c>
      <c r="F55" s="637">
        <v>600</v>
      </c>
      <c r="G55" s="637">
        <v>600</v>
      </c>
      <c r="H55" s="637">
        <v>600</v>
      </c>
      <c r="I55" s="637">
        <v>600</v>
      </c>
      <c r="J55" s="637">
        <v>600</v>
      </c>
      <c r="K55" s="637">
        <v>330.48</v>
      </c>
      <c r="L55" s="637">
        <v>0</v>
      </c>
      <c r="M55" s="637">
        <v>0</v>
      </c>
      <c r="N55" s="637">
        <v>0</v>
      </c>
      <c r="O55" s="637">
        <v>0</v>
      </c>
      <c r="P55" s="637">
        <v>0</v>
      </c>
      <c r="Q55" s="637">
        <v>0</v>
      </c>
      <c r="R55" s="637">
        <v>0</v>
      </c>
      <c r="S55" s="514">
        <f t="shared" si="11"/>
        <v>252.54</v>
      </c>
      <c r="T55" s="638"/>
      <c r="U55" s="675">
        <f t="shared" si="12"/>
        <v>252.54</v>
      </c>
      <c r="V55" s="713"/>
      <c r="W55" s="713"/>
      <c r="X55" s="736"/>
      <c r="Y55" s="713"/>
      <c r="Z55" s="713"/>
      <c r="AA55" s="675"/>
      <c r="AB55" s="713"/>
      <c r="AC55" s="676"/>
      <c r="AD55" s="677">
        <f t="shared" si="13"/>
        <v>252.54</v>
      </c>
      <c r="AE55" s="676"/>
      <c r="AF55" s="711">
        <f t="shared" si="0"/>
        <v>0</v>
      </c>
    </row>
    <row r="56" spans="1:32">
      <c r="A56" s="638">
        <v>42</v>
      </c>
      <c r="B56" s="342" t="s">
        <v>981</v>
      </c>
      <c r="C56" s="342" t="s">
        <v>412</v>
      </c>
      <c r="D56" s="342" t="s">
        <v>1137</v>
      </c>
      <c r="E56" s="636" t="s">
        <v>1508</v>
      </c>
      <c r="F56" s="637">
        <v>300</v>
      </c>
      <c r="G56" s="637">
        <v>300</v>
      </c>
      <c r="H56" s="637">
        <v>300</v>
      </c>
      <c r="I56" s="637">
        <v>300</v>
      </c>
      <c r="J56" s="637">
        <v>300</v>
      </c>
      <c r="K56" s="637">
        <v>284.69</v>
      </c>
      <c r="L56" s="637">
        <v>0</v>
      </c>
      <c r="M56" s="637">
        <v>0</v>
      </c>
      <c r="N56" s="637">
        <v>0</v>
      </c>
      <c r="O56" s="637">
        <v>0</v>
      </c>
      <c r="P56" s="637">
        <v>0</v>
      </c>
      <c r="Q56" s="637">
        <v>0</v>
      </c>
      <c r="R56" s="637">
        <v>0</v>
      </c>
      <c r="S56" s="514">
        <f t="shared" si="11"/>
        <v>136.22416666666666</v>
      </c>
      <c r="T56" s="638"/>
      <c r="U56" s="675">
        <f t="shared" si="12"/>
        <v>136.22416666666666</v>
      </c>
      <c r="V56" s="713"/>
      <c r="W56" s="713"/>
      <c r="X56" s="736"/>
      <c r="Y56" s="713"/>
      <c r="Z56" s="713"/>
      <c r="AA56" s="675"/>
      <c r="AB56" s="713"/>
      <c r="AC56" s="676"/>
      <c r="AD56" s="677">
        <f t="shared" si="13"/>
        <v>136.22416666666666</v>
      </c>
      <c r="AE56" s="676"/>
      <c r="AF56" s="711">
        <f t="shared" si="0"/>
        <v>0</v>
      </c>
    </row>
    <row r="57" spans="1:32">
      <c r="A57" s="638">
        <v>43</v>
      </c>
      <c r="B57" s="342" t="s">
        <v>981</v>
      </c>
      <c r="C57" s="342" t="s">
        <v>412</v>
      </c>
      <c r="D57" s="552" t="s">
        <v>1138</v>
      </c>
      <c r="E57" s="636" t="s">
        <v>1509</v>
      </c>
      <c r="F57" s="637">
        <v>0</v>
      </c>
      <c r="G57" s="637">
        <v>0</v>
      </c>
      <c r="H57" s="637">
        <v>0</v>
      </c>
      <c r="I57" s="637">
        <v>0</v>
      </c>
      <c r="J57" s="637">
        <v>0</v>
      </c>
      <c r="K57" s="637">
        <v>0</v>
      </c>
      <c r="L57" s="637">
        <v>0</v>
      </c>
      <c r="M57" s="637">
        <v>0</v>
      </c>
      <c r="N57" s="637">
        <v>0</v>
      </c>
      <c r="O57" s="637">
        <v>0</v>
      </c>
      <c r="P57" s="637">
        <v>0</v>
      </c>
      <c r="Q57" s="637">
        <v>0</v>
      </c>
      <c r="R57" s="637">
        <v>0</v>
      </c>
      <c r="S57" s="514">
        <f t="shared" si="11"/>
        <v>0</v>
      </c>
      <c r="T57" s="638"/>
      <c r="U57" s="675">
        <f t="shared" si="12"/>
        <v>0</v>
      </c>
      <c r="V57" s="713"/>
      <c r="W57" s="713"/>
      <c r="X57" s="736"/>
      <c r="Y57" s="713"/>
      <c r="Z57" s="713"/>
      <c r="AA57" s="675"/>
      <c r="AB57" s="713"/>
      <c r="AC57" s="676"/>
      <c r="AD57" s="677">
        <f t="shared" si="13"/>
        <v>0</v>
      </c>
      <c r="AE57" s="676"/>
      <c r="AF57" s="711">
        <f t="shared" si="0"/>
        <v>0</v>
      </c>
    </row>
    <row r="58" spans="1:32">
      <c r="A58" s="638">
        <v>44</v>
      </c>
      <c r="B58" s="342" t="s">
        <v>981</v>
      </c>
      <c r="C58" s="342" t="s">
        <v>412</v>
      </c>
      <c r="D58" s="342" t="s">
        <v>1139</v>
      </c>
      <c r="E58" s="636" t="s">
        <v>1510</v>
      </c>
      <c r="F58" s="637">
        <v>250</v>
      </c>
      <c r="G58" s="637">
        <v>250</v>
      </c>
      <c r="H58" s="637">
        <v>250</v>
      </c>
      <c r="I58" s="637">
        <v>250</v>
      </c>
      <c r="J58" s="637">
        <v>250</v>
      </c>
      <c r="K58" s="637">
        <v>236.3</v>
      </c>
      <c r="L58" s="637">
        <v>0</v>
      </c>
      <c r="M58" s="637">
        <v>0</v>
      </c>
      <c r="N58" s="637">
        <v>0</v>
      </c>
      <c r="O58" s="637">
        <v>0</v>
      </c>
      <c r="P58" s="637">
        <v>0</v>
      </c>
      <c r="Q58" s="637">
        <v>0</v>
      </c>
      <c r="R58" s="637">
        <v>0</v>
      </c>
      <c r="S58" s="514">
        <f t="shared" si="11"/>
        <v>113.44166666666666</v>
      </c>
      <c r="T58" s="638"/>
      <c r="U58" s="675">
        <f t="shared" si="12"/>
        <v>113.44166666666666</v>
      </c>
      <c r="V58" s="713"/>
      <c r="W58" s="713"/>
      <c r="X58" s="736"/>
      <c r="Y58" s="713"/>
      <c r="Z58" s="713"/>
      <c r="AA58" s="675"/>
      <c r="AB58" s="713"/>
      <c r="AC58" s="676"/>
      <c r="AD58" s="677">
        <f t="shared" si="13"/>
        <v>113.44166666666666</v>
      </c>
      <c r="AE58" s="676"/>
      <c r="AF58" s="711">
        <f t="shared" si="0"/>
        <v>0</v>
      </c>
    </row>
    <row r="59" spans="1:32">
      <c r="A59" s="638">
        <v>45</v>
      </c>
      <c r="B59" s="638"/>
      <c r="C59" s="638" t="s">
        <v>412</v>
      </c>
      <c r="D59" s="638" t="s">
        <v>1139</v>
      </c>
      <c r="E59" s="623" t="s">
        <v>413</v>
      </c>
      <c r="F59" s="321">
        <f t="shared" ref="F59:S59" si="14">SUM(F48:F58)</f>
        <v>3204308.9300000006</v>
      </c>
      <c r="G59" s="321">
        <f t="shared" si="14"/>
        <v>1149.9999999998836</v>
      </c>
      <c r="H59" s="321">
        <f t="shared" si="14"/>
        <v>553067.29999999993</v>
      </c>
      <c r="I59" s="321">
        <f t="shared" si="14"/>
        <v>1929589.5300000003</v>
      </c>
      <c r="J59" s="321">
        <f t="shared" si="14"/>
        <v>112421.36999999988</v>
      </c>
      <c r="K59" s="321">
        <f t="shared" si="14"/>
        <v>86776.910000000062</v>
      </c>
      <c r="L59" s="321">
        <f t="shared" si="14"/>
        <v>1112968.57</v>
      </c>
      <c r="M59" s="321">
        <f t="shared" si="14"/>
        <v>363077.60000000003</v>
      </c>
      <c r="N59" s="321">
        <f t="shared" si="14"/>
        <v>-5.8207660913467407E-11</v>
      </c>
      <c r="O59" s="321">
        <f t="shared" si="14"/>
        <v>2112367.11</v>
      </c>
      <c r="P59" s="321">
        <f t="shared" si="14"/>
        <v>5.8207660913467407E-11</v>
      </c>
      <c r="Q59" s="321">
        <f t="shared" si="14"/>
        <v>-601163.87</v>
      </c>
      <c r="R59" s="321">
        <f t="shared" si="14"/>
        <v>6896976.6200000001</v>
      </c>
      <c r="S59" s="516">
        <f t="shared" si="14"/>
        <v>893408.10791666654</v>
      </c>
      <c r="T59" s="638"/>
      <c r="U59" s="675"/>
      <c r="V59" s="713"/>
      <c r="W59" s="713"/>
      <c r="X59" s="736"/>
      <c r="Y59" s="713"/>
      <c r="Z59" s="713"/>
      <c r="AA59" s="675"/>
      <c r="AB59" s="713"/>
      <c r="AC59" s="676"/>
      <c r="AD59" s="676"/>
      <c r="AE59" s="676"/>
      <c r="AF59" s="711">
        <f t="shared" si="0"/>
        <v>0</v>
      </c>
    </row>
    <row r="60" spans="1:32">
      <c r="A60" s="638">
        <v>46</v>
      </c>
      <c r="B60" s="638"/>
      <c r="C60" s="638"/>
      <c r="D60" s="638"/>
      <c r="E60" s="623"/>
      <c r="F60" s="637"/>
      <c r="G60" s="330"/>
      <c r="H60" s="331"/>
      <c r="I60" s="331"/>
      <c r="J60" s="332"/>
      <c r="K60" s="333"/>
      <c r="L60" s="334"/>
      <c r="M60" s="335"/>
      <c r="N60" s="336"/>
      <c r="O60" s="624"/>
      <c r="P60" s="337"/>
      <c r="Q60" s="338"/>
      <c r="R60" s="637"/>
      <c r="S60" s="320"/>
      <c r="T60" s="638"/>
      <c r="U60" s="675"/>
      <c r="V60" s="713"/>
      <c r="W60" s="713"/>
      <c r="X60" s="736"/>
      <c r="Y60" s="713"/>
      <c r="Z60" s="713"/>
      <c r="AA60" s="675"/>
      <c r="AB60" s="713"/>
      <c r="AC60" s="676"/>
      <c r="AD60" s="676"/>
      <c r="AE60" s="676"/>
      <c r="AF60" s="711">
        <f t="shared" si="0"/>
        <v>0</v>
      </c>
    </row>
    <row r="61" spans="1:32">
      <c r="A61" s="638">
        <v>47</v>
      </c>
      <c r="B61" s="342" t="s">
        <v>981</v>
      </c>
      <c r="C61" s="342" t="s">
        <v>414</v>
      </c>
      <c r="D61" s="342" t="s">
        <v>1874</v>
      </c>
      <c r="E61" s="636" t="s">
        <v>1877</v>
      </c>
      <c r="F61" s="635">
        <v>0</v>
      </c>
      <c r="G61" s="635">
        <v>0</v>
      </c>
      <c r="H61" s="635">
        <v>0</v>
      </c>
      <c r="I61" s="635">
        <v>0</v>
      </c>
      <c r="J61" s="635">
        <v>0</v>
      </c>
      <c r="K61" s="635">
        <v>0</v>
      </c>
      <c r="L61" s="635">
        <v>0</v>
      </c>
      <c r="M61" s="635">
        <v>0</v>
      </c>
      <c r="N61" s="635">
        <v>0</v>
      </c>
      <c r="O61" s="635">
        <v>0</v>
      </c>
      <c r="P61" s="635">
        <v>600463.32999999996</v>
      </c>
      <c r="Q61" s="635">
        <v>601163.87</v>
      </c>
      <c r="R61" s="635">
        <v>0</v>
      </c>
      <c r="S61" s="514">
        <f>((F61+R61)+((G61+H61+I61+J61+K61+L61+M61+N61+O61+P61+Q61)*2))/24</f>
        <v>100135.59999999999</v>
      </c>
      <c r="T61" s="638"/>
      <c r="U61" s="675">
        <f>+S61</f>
        <v>100135.59999999999</v>
      </c>
      <c r="V61" s="713"/>
      <c r="W61" s="713"/>
      <c r="X61" s="736"/>
      <c r="Y61" s="713"/>
      <c r="Z61" s="713"/>
      <c r="AA61" s="675"/>
      <c r="AB61" s="713"/>
      <c r="AC61" s="676"/>
      <c r="AD61" s="678">
        <f>+U61</f>
        <v>100135.59999999999</v>
      </c>
      <c r="AE61" s="676"/>
      <c r="AF61" s="711">
        <f t="shared" si="0"/>
        <v>0</v>
      </c>
    </row>
    <row r="62" spans="1:32">
      <c r="A62" s="638">
        <v>48</v>
      </c>
      <c r="B62" s="342"/>
      <c r="C62" s="342" t="s">
        <v>414</v>
      </c>
      <c r="D62" s="342" t="s">
        <v>1878</v>
      </c>
      <c r="E62" s="636" t="s">
        <v>1879</v>
      </c>
      <c r="F62" s="738">
        <v>0</v>
      </c>
      <c r="G62" s="738">
        <v>0</v>
      </c>
      <c r="H62" s="738">
        <v>0</v>
      </c>
      <c r="I62" s="738">
        <v>0</v>
      </c>
      <c r="J62" s="738">
        <v>0</v>
      </c>
      <c r="K62" s="738">
        <v>0</v>
      </c>
      <c r="L62" s="738">
        <v>0</v>
      </c>
      <c r="M62" s="738">
        <v>0</v>
      </c>
      <c r="N62" s="738">
        <v>0</v>
      </c>
      <c r="O62" s="738">
        <v>0</v>
      </c>
      <c r="P62" s="738">
        <v>0</v>
      </c>
      <c r="Q62" s="738">
        <v>0</v>
      </c>
      <c r="R62" s="738">
        <v>0</v>
      </c>
      <c r="S62" s="514">
        <f>((F62+R62)+((G62+H62+I62+J62+K62+L62+M62+N62+O62+P62+Q62)*2))/24</f>
        <v>0</v>
      </c>
      <c r="T62" s="638"/>
      <c r="U62" s="675"/>
      <c r="V62" s="713"/>
      <c r="W62" s="713"/>
      <c r="X62" s="736"/>
      <c r="Y62" s="713"/>
      <c r="Z62" s="713"/>
      <c r="AA62" s="675"/>
      <c r="AB62" s="713"/>
      <c r="AC62" s="676"/>
      <c r="AD62" s="678"/>
      <c r="AE62" s="676"/>
      <c r="AF62" s="711"/>
    </row>
    <row r="63" spans="1:32">
      <c r="A63" s="638">
        <v>49</v>
      </c>
      <c r="B63" s="638"/>
      <c r="C63" s="638"/>
      <c r="D63" s="638"/>
      <c r="E63" s="623" t="s">
        <v>415</v>
      </c>
      <c r="F63" s="635">
        <f t="shared" ref="F63:S63" si="15">+F61</f>
        <v>0</v>
      </c>
      <c r="G63" s="635">
        <f t="shared" si="15"/>
        <v>0</v>
      </c>
      <c r="H63" s="635">
        <f t="shared" si="15"/>
        <v>0</v>
      </c>
      <c r="I63" s="635">
        <f t="shared" si="15"/>
        <v>0</v>
      </c>
      <c r="J63" s="635">
        <f t="shared" si="15"/>
        <v>0</v>
      </c>
      <c r="K63" s="635">
        <f t="shared" si="15"/>
        <v>0</v>
      </c>
      <c r="L63" s="635">
        <f t="shared" si="15"/>
        <v>0</v>
      </c>
      <c r="M63" s="635">
        <f t="shared" si="15"/>
        <v>0</v>
      </c>
      <c r="N63" s="635">
        <f t="shared" si="15"/>
        <v>0</v>
      </c>
      <c r="O63" s="635">
        <f t="shared" si="15"/>
        <v>0</v>
      </c>
      <c r="P63" s="635">
        <f t="shared" si="15"/>
        <v>600463.32999999996</v>
      </c>
      <c r="Q63" s="635">
        <f t="shared" si="15"/>
        <v>601163.87</v>
      </c>
      <c r="R63" s="635">
        <f t="shared" si="15"/>
        <v>0</v>
      </c>
      <c r="S63" s="516">
        <f t="shared" si="15"/>
        <v>100135.59999999999</v>
      </c>
      <c r="T63" s="638"/>
      <c r="U63" s="675"/>
      <c r="V63" s="713"/>
      <c r="W63" s="713"/>
      <c r="X63" s="736"/>
      <c r="Y63" s="713"/>
      <c r="Z63" s="713"/>
      <c r="AA63" s="675"/>
      <c r="AB63" s="713"/>
      <c r="AC63" s="676"/>
      <c r="AD63" s="676"/>
      <c r="AE63" s="676"/>
      <c r="AF63" s="711">
        <f t="shared" si="0"/>
        <v>0</v>
      </c>
    </row>
    <row r="64" spans="1:32">
      <c r="A64" s="638">
        <v>50</v>
      </c>
      <c r="B64" s="638"/>
      <c r="C64" s="638"/>
      <c r="D64" s="638"/>
      <c r="E64" s="623"/>
      <c r="F64" s="637"/>
      <c r="G64" s="330"/>
      <c r="H64" s="331"/>
      <c r="I64" s="331"/>
      <c r="J64" s="332"/>
      <c r="K64" s="333"/>
      <c r="L64" s="334"/>
      <c r="M64" s="335"/>
      <c r="N64" s="336"/>
      <c r="O64" s="624"/>
      <c r="P64" s="337"/>
      <c r="Q64" s="338"/>
      <c r="R64" s="637"/>
      <c r="S64" s="320"/>
      <c r="T64" s="638"/>
      <c r="U64" s="675"/>
      <c r="V64" s="713"/>
      <c r="W64" s="713"/>
      <c r="X64" s="736"/>
      <c r="Y64" s="713"/>
      <c r="Z64" s="713"/>
      <c r="AA64" s="675"/>
      <c r="AB64" s="713"/>
      <c r="AC64" s="676"/>
      <c r="AD64" s="676"/>
      <c r="AE64" s="676"/>
      <c r="AF64" s="711">
        <f t="shared" si="0"/>
        <v>0</v>
      </c>
    </row>
    <row r="65" spans="1:32">
      <c r="A65" s="638">
        <v>51</v>
      </c>
      <c r="B65" s="342" t="s">
        <v>981</v>
      </c>
      <c r="C65" s="342" t="s">
        <v>416</v>
      </c>
      <c r="D65" s="342" t="s">
        <v>528</v>
      </c>
      <c r="E65" s="636" t="s">
        <v>1511</v>
      </c>
      <c r="F65" s="637">
        <v>945100.14</v>
      </c>
      <c r="G65" s="637">
        <v>77207.17</v>
      </c>
      <c r="H65" s="637">
        <v>-35501.22</v>
      </c>
      <c r="I65" s="637">
        <v>-2563.5099999999602</v>
      </c>
      <c r="J65" s="637">
        <v>-25324.03</v>
      </c>
      <c r="K65" s="637">
        <v>-2851.8199999999601</v>
      </c>
      <c r="L65" s="637">
        <v>-38329.089999999997</v>
      </c>
      <c r="M65" s="637">
        <v>-10234.5</v>
      </c>
      <c r="N65" s="637">
        <v>-3308.3499999999499</v>
      </c>
      <c r="O65" s="637">
        <v>-6784.3099999999504</v>
      </c>
      <c r="P65" s="637">
        <v>-28025.86</v>
      </c>
      <c r="Q65" s="637">
        <v>-25813.22</v>
      </c>
      <c r="R65" s="637">
        <v>-36000.230000000003</v>
      </c>
      <c r="S65" s="514">
        <f>((F65+R65)+((G65+H65+I65+J65+K65+L65+M65+N65+O65+P65+Q65)*2))/24</f>
        <v>29418.43458333335</v>
      </c>
      <c r="T65" s="638"/>
      <c r="U65" s="675">
        <f t="shared" ref="U65:U79" si="16">+S65</f>
        <v>29418.43458333335</v>
      </c>
      <c r="V65" s="713"/>
      <c r="W65" s="713"/>
      <c r="X65" s="736"/>
      <c r="Y65" s="713"/>
      <c r="Z65" s="713"/>
      <c r="AA65" s="675"/>
      <c r="AB65" s="713"/>
      <c r="AC65" s="676"/>
      <c r="AD65" s="677">
        <f t="shared" ref="AD65:AD80" si="17">+U65</f>
        <v>29418.43458333335</v>
      </c>
      <c r="AE65" s="676"/>
      <c r="AF65" s="711">
        <f t="shared" si="0"/>
        <v>0</v>
      </c>
    </row>
    <row r="66" spans="1:32">
      <c r="A66" s="638">
        <v>52</v>
      </c>
      <c r="B66" s="342" t="s">
        <v>1009</v>
      </c>
      <c r="C66" s="342" t="s">
        <v>416</v>
      </c>
      <c r="D66" s="342" t="s">
        <v>528</v>
      </c>
      <c r="E66" s="636" t="s">
        <v>1516</v>
      </c>
      <c r="F66" s="637">
        <v>2449138.14</v>
      </c>
      <c r="G66" s="637">
        <v>3224853.65</v>
      </c>
      <c r="H66" s="637">
        <v>4270584.4000000004</v>
      </c>
      <c r="I66" s="637">
        <v>4555591.4800000004</v>
      </c>
      <c r="J66" s="637">
        <v>2924868.02</v>
      </c>
      <c r="K66" s="637">
        <v>1818952.73</v>
      </c>
      <c r="L66" s="637">
        <v>1233736.6000000001</v>
      </c>
      <c r="M66" s="637">
        <v>615442.89000000095</v>
      </c>
      <c r="N66" s="637">
        <v>109138.91000000099</v>
      </c>
      <c r="O66" s="637">
        <v>-122104.77999999899</v>
      </c>
      <c r="P66" s="637">
        <v>783535.89000000095</v>
      </c>
      <c r="Q66" s="637">
        <v>2056616.36</v>
      </c>
      <c r="R66" s="637">
        <v>3791764.54</v>
      </c>
      <c r="S66" s="514">
        <f t="shared" ref="S66:S74" si="18">((F66+R66)+((G66+H66+I66+J66+K66+L66+M66+N66+O66+P66+Q66)*2))/24</f>
        <v>2049305.6241666672</v>
      </c>
      <c r="T66" s="638"/>
      <c r="U66" s="675">
        <f t="shared" si="16"/>
        <v>2049305.6241666672</v>
      </c>
      <c r="V66" s="713"/>
      <c r="W66" s="713"/>
      <c r="X66" s="736"/>
      <c r="Y66" s="713"/>
      <c r="Z66" s="713"/>
      <c r="AA66" s="675"/>
      <c r="AB66" s="713"/>
      <c r="AC66" s="676"/>
      <c r="AD66" s="677">
        <f t="shared" si="17"/>
        <v>2049305.6241666672</v>
      </c>
      <c r="AE66" s="676"/>
      <c r="AF66" s="711">
        <f t="shared" si="0"/>
        <v>0</v>
      </c>
    </row>
    <row r="67" spans="1:32">
      <c r="A67" s="638">
        <v>53</v>
      </c>
      <c r="B67" s="342" t="s">
        <v>984</v>
      </c>
      <c r="C67" s="342" t="s">
        <v>416</v>
      </c>
      <c r="D67" s="342" t="s">
        <v>528</v>
      </c>
      <c r="E67" s="636" t="s">
        <v>1516</v>
      </c>
      <c r="F67" s="637">
        <v>7070459.8200000003</v>
      </c>
      <c r="G67" s="637">
        <v>8797923.8399999999</v>
      </c>
      <c r="H67" s="637">
        <v>13570803.08</v>
      </c>
      <c r="I67" s="637">
        <v>14612696.369999999</v>
      </c>
      <c r="J67" s="637">
        <v>7368251.1799999997</v>
      </c>
      <c r="K67" s="637">
        <v>4720081.41</v>
      </c>
      <c r="L67" s="637">
        <v>2456323.9900000002</v>
      </c>
      <c r="M67" s="637">
        <v>159505.82</v>
      </c>
      <c r="N67" s="637">
        <v>-943408.66</v>
      </c>
      <c r="O67" s="637">
        <v>-2231209.11</v>
      </c>
      <c r="P67" s="637">
        <v>-170826.56999999899</v>
      </c>
      <c r="Q67" s="637">
        <v>5610894.5300000003</v>
      </c>
      <c r="R67" s="637">
        <v>11509546.060000001</v>
      </c>
      <c r="S67" s="514">
        <f t="shared" si="18"/>
        <v>5270086.5683333343</v>
      </c>
      <c r="T67" s="638"/>
      <c r="U67" s="675">
        <f t="shared" si="16"/>
        <v>5270086.5683333343</v>
      </c>
      <c r="V67" s="713"/>
      <c r="W67" s="713"/>
      <c r="X67" s="736"/>
      <c r="Y67" s="713"/>
      <c r="Z67" s="713"/>
      <c r="AA67" s="675"/>
      <c r="AB67" s="713"/>
      <c r="AC67" s="676"/>
      <c r="AD67" s="677">
        <f t="shared" si="17"/>
        <v>5270086.5683333343</v>
      </c>
      <c r="AE67" s="676"/>
      <c r="AF67" s="711">
        <f t="shared" si="0"/>
        <v>0</v>
      </c>
    </row>
    <row r="68" spans="1:32">
      <c r="A68" s="638">
        <v>54</v>
      </c>
      <c r="B68" s="342" t="s">
        <v>1009</v>
      </c>
      <c r="C68" s="342" t="s">
        <v>416</v>
      </c>
      <c r="D68" s="342" t="s">
        <v>562</v>
      </c>
      <c r="E68" s="636" t="s">
        <v>1517</v>
      </c>
      <c r="F68" s="637">
        <v>161397.89000000001</v>
      </c>
      <c r="G68" s="637">
        <v>20520.34</v>
      </c>
      <c r="H68" s="637">
        <v>224215.24</v>
      </c>
      <c r="I68" s="637">
        <v>16515.099999999999</v>
      </c>
      <c r="J68" s="637">
        <v>56070.1</v>
      </c>
      <c r="K68" s="637">
        <v>38983.660000000003</v>
      </c>
      <c r="L68" s="637">
        <v>25519.71</v>
      </c>
      <c r="M68" s="637">
        <v>24177.96</v>
      </c>
      <c r="N68" s="637">
        <v>33844.92</v>
      </c>
      <c r="O68" s="637">
        <v>55496.84</v>
      </c>
      <c r="P68" s="637">
        <v>30727.86</v>
      </c>
      <c r="Q68" s="637">
        <v>97435.35</v>
      </c>
      <c r="R68" s="637">
        <v>23387.360000000001</v>
      </c>
      <c r="S68" s="514">
        <f t="shared" si="18"/>
        <v>59658.308749999997</v>
      </c>
      <c r="T68" s="638"/>
      <c r="U68" s="675">
        <f t="shared" si="16"/>
        <v>59658.308749999997</v>
      </c>
      <c r="V68" s="713"/>
      <c r="W68" s="713"/>
      <c r="X68" s="736"/>
      <c r="Y68" s="713"/>
      <c r="Z68" s="713"/>
      <c r="AA68" s="675"/>
      <c r="AB68" s="713"/>
      <c r="AC68" s="676"/>
      <c r="AD68" s="677">
        <f t="shared" si="17"/>
        <v>59658.308749999997</v>
      </c>
      <c r="AE68" s="676"/>
      <c r="AF68" s="711">
        <f t="shared" si="0"/>
        <v>0</v>
      </c>
    </row>
    <row r="69" spans="1:32">
      <c r="A69" s="638">
        <v>55</v>
      </c>
      <c r="B69" s="342" t="s">
        <v>984</v>
      </c>
      <c r="C69" s="342" t="s">
        <v>416</v>
      </c>
      <c r="D69" s="342" t="s">
        <v>562</v>
      </c>
      <c r="E69" s="636" t="s">
        <v>1517</v>
      </c>
      <c r="F69" s="637">
        <v>150854.79</v>
      </c>
      <c r="G69" s="637">
        <v>159573</v>
      </c>
      <c r="H69" s="637">
        <v>259737.60000000001</v>
      </c>
      <c r="I69" s="637">
        <v>194116.22</v>
      </c>
      <c r="J69" s="637">
        <v>129670.29</v>
      </c>
      <c r="K69" s="637">
        <v>129990.04</v>
      </c>
      <c r="L69" s="637">
        <v>65209.33</v>
      </c>
      <c r="M69" s="637">
        <v>172461.87</v>
      </c>
      <c r="N69" s="637">
        <v>106331.78</v>
      </c>
      <c r="O69" s="637">
        <v>228476.34</v>
      </c>
      <c r="P69" s="637">
        <v>161198.41</v>
      </c>
      <c r="Q69" s="637">
        <v>250522.76</v>
      </c>
      <c r="R69" s="637">
        <v>266649.46999999997</v>
      </c>
      <c r="S69" s="514">
        <f t="shared" si="18"/>
        <v>172169.98083333333</v>
      </c>
      <c r="T69" s="638"/>
      <c r="U69" s="675">
        <f t="shared" si="16"/>
        <v>172169.98083333333</v>
      </c>
      <c r="V69" s="713"/>
      <c r="W69" s="713"/>
      <c r="X69" s="736"/>
      <c r="Y69" s="713"/>
      <c r="Z69" s="713"/>
      <c r="AA69" s="675"/>
      <c r="AB69" s="713"/>
      <c r="AC69" s="676"/>
      <c r="AD69" s="677">
        <f t="shared" si="17"/>
        <v>172169.98083333333</v>
      </c>
      <c r="AE69" s="676"/>
      <c r="AF69" s="711">
        <f t="shared" si="0"/>
        <v>0</v>
      </c>
    </row>
    <row r="70" spans="1:32">
      <c r="A70" s="638">
        <v>56</v>
      </c>
      <c r="B70" s="342" t="s">
        <v>1009</v>
      </c>
      <c r="C70" s="342" t="s">
        <v>416</v>
      </c>
      <c r="D70" s="342" t="s">
        <v>968</v>
      </c>
      <c r="E70" s="636" t="s">
        <v>1518</v>
      </c>
      <c r="F70" s="637">
        <v>1518612.94</v>
      </c>
      <c r="G70" s="637">
        <v>0</v>
      </c>
      <c r="H70" s="637">
        <v>0</v>
      </c>
      <c r="I70" s="637">
        <v>0</v>
      </c>
      <c r="J70" s="637">
        <v>0</v>
      </c>
      <c r="K70" s="637">
        <v>0</v>
      </c>
      <c r="L70" s="637">
        <v>0</v>
      </c>
      <c r="M70" s="637">
        <v>0</v>
      </c>
      <c r="N70" s="637">
        <v>0</v>
      </c>
      <c r="O70" s="637">
        <v>0</v>
      </c>
      <c r="P70" s="637">
        <v>0</v>
      </c>
      <c r="Q70" s="637">
        <v>0</v>
      </c>
      <c r="R70" s="637">
        <v>0</v>
      </c>
      <c r="S70" s="514">
        <f t="shared" si="18"/>
        <v>63275.539166666662</v>
      </c>
      <c r="T70" s="638"/>
      <c r="U70" s="675">
        <f t="shared" si="16"/>
        <v>63275.539166666662</v>
      </c>
      <c r="V70" s="713"/>
      <c r="W70" s="713"/>
      <c r="X70" s="736"/>
      <c r="Y70" s="713"/>
      <c r="Z70" s="713"/>
      <c r="AA70" s="675"/>
      <c r="AB70" s="713"/>
      <c r="AC70" s="676"/>
      <c r="AD70" s="677">
        <f t="shared" si="17"/>
        <v>63275.539166666662</v>
      </c>
      <c r="AE70" s="676"/>
      <c r="AF70" s="711">
        <f t="shared" si="0"/>
        <v>0</v>
      </c>
    </row>
    <row r="71" spans="1:32">
      <c r="A71" s="638">
        <v>57</v>
      </c>
      <c r="B71" s="342" t="s">
        <v>984</v>
      </c>
      <c r="C71" s="342" t="s">
        <v>416</v>
      </c>
      <c r="D71" s="342" t="s">
        <v>968</v>
      </c>
      <c r="E71" s="636" t="s">
        <v>1518</v>
      </c>
      <c r="F71" s="637">
        <v>5330310.5</v>
      </c>
      <c r="G71" s="637"/>
      <c r="H71" s="637"/>
      <c r="I71" s="637"/>
      <c r="J71" s="637"/>
      <c r="K71" s="637"/>
      <c r="L71" s="637"/>
      <c r="M71" s="637"/>
      <c r="N71" s="637"/>
      <c r="O71" s="637"/>
      <c r="P71" s="637"/>
      <c r="Q71" s="637"/>
      <c r="R71" s="637"/>
      <c r="S71" s="514">
        <f t="shared" si="18"/>
        <v>222096.27083333334</v>
      </c>
      <c r="T71" s="638"/>
      <c r="U71" s="675">
        <f t="shared" si="16"/>
        <v>222096.27083333334</v>
      </c>
      <c r="V71" s="713"/>
      <c r="W71" s="713"/>
      <c r="X71" s="736"/>
      <c r="Y71" s="713"/>
      <c r="Z71" s="713"/>
      <c r="AA71" s="675"/>
      <c r="AB71" s="713"/>
      <c r="AC71" s="676"/>
      <c r="AD71" s="677">
        <f t="shared" si="17"/>
        <v>222096.27083333334</v>
      </c>
      <c r="AE71" s="676"/>
      <c r="AF71" s="711">
        <f t="shared" si="0"/>
        <v>0</v>
      </c>
    </row>
    <row r="72" spans="1:32">
      <c r="A72" s="638">
        <v>58</v>
      </c>
      <c r="B72" s="342" t="s">
        <v>981</v>
      </c>
      <c r="C72" s="342" t="s">
        <v>417</v>
      </c>
      <c r="D72" s="342" t="s">
        <v>1140</v>
      </c>
      <c r="E72" s="636" t="s">
        <v>1512</v>
      </c>
      <c r="F72" s="637">
        <v>1902279.41</v>
      </c>
      <c r="G72" s="637">
        <v>2597806.41</v>
      </c>
      <c r="H72" s="637">
        <v>945119.02</v>
      </c>
      <c r="I72" s="637">
        <v>2906113.03</v>
      </c>
      <c r="J72" s="637">
        <v>4127184.76</v>
      </c>
      <c r="K72" s="637">
        <v>1054693.96</v>
      </c>
      <c r="L72" s="637">
        <v>924373.96</v>
      </c>
      <c r="M72" s="637">
        <v>794790.47</v>
      </c>
      <c r="N72" s="637">
        <v>860599.65</v>
      </c>
      <c r="O72" s="637">
        <v>823984.28</v>
      </c>
      <c r="P72" s="637">
        <v>729266.75</v>
      </c>
      <c r="Q72" s="637">
        <v>903384.87</v>
      </c>
      <c r="R72" s="637">
        <v>1539318.94</v>
      </c>
      <c r="S72" s="514">
        <f t="shared" si="18"/>
        <v>1532343.0279166668</v>
      </c>
      <c r="T72" s="638"/>
      <c r="U72" s="675">
        <f t="shared" si="16"/>
        <v>1532343.0279166668</v>
      </c>
      <c r="V72" s="713"/>
      <c r="W72" s="713"/>
      <c r="X72" s="736"/>
      <c r="Y72" s="713"/>
      <c r="Z72" s="713"/>
      <c r="AA72" s="675"/>
      <c r="AB72" s="713"/>
      <c r="AC72" s="676"/>
      <c r="AD72" s="677">
        <f t="shared" si="17"/>
        <v>1532343.0279166668</v>
      </c>
      <c r="AE72" s="676"/>
      <c r="AF72" s="711">
        <f t="shared" si="0"/>
        <v>0</v>
      </c>
    </row>
    <row r="73" spans="1:32">
      <c r="A73" s="638">
        <v>59</v>
      </c>
      <c r="B73" s="342" t="s">
        <v>981</v>
      </c>
      <c r="C73" s="342" t="s">
        <v>417</v>
      </c>
      <c r="D73" s="342" t="s">
        <v>463</v>
      </c>
      <c r="E73" s="636" t="s">
        <v>1513</v>
      </c>
      <c r="F73" s="637">
        <v>0</v>
      </c>
      <c r="G73" s="637">
        <v>0</v>
      </c>
      <c r="H73" s="637">
        <v>0</v>
      </c>
      <c r="I73" s="637">
        <v>-3804.8</v>
      </c>
      <c r="J73" s="637">
        <v>-3804.8</v>
      </c>
      <c r="K73" s="637">
        <v>-3804.8</v>
      </c>
      <c r="L73" s="637">
        <v>-3804.8</v>
      </c>
      <c r="M73" s="637">
        <v>-3804.8</v>
      </c>
      <c r="N73" s="637">
        <v>-3804.8</v>
      </c>
      <c r="O73" s="637">
        <v>0</v>
      </c>
      <c r="P73" s="637">
        <v>-1908.26</v>
      </c>
      <c r="Q73" s="637">
        <v>-1908.26</v>
      </c>
      <c r="R73" s="637">
        <v>-1908.26</v>
      </c>
      <c r="S73" s="514">
        <f>((F73+R73)+((G73+H73+I73+J73+K73+L73+M73+N73+O73+P73+Q73)*2))/24</f>
        <v>-2299.9541666666664</v>
      </c>
      <c r="T73" s="638"/>
      <c r="U73" s="675">
        <f t="shared" si="16"/>
        <v>-2299.9541666666664</v>
      </c>
      <c r="V73" s="713"/>
      <c r="W73" s="713"/>
      <c r="X73" s="736"/>
      <c r="Y73" s="713"/>
      <c r="Z73" s="713"/>
      <c r="AA73" s="675"/>
      <c r="AB73" s="713"/>
      <c r="AC73" s="676"/>
      <c r="AD73" s="677">
        <f t="shared" si="17"/>
        <v>-2299.9541666666664</v>
      </c>
      <c r="AE73" s="676"/>
      <c r="AF73" s="711">
        <f t="shared" si="0"/>
        <v>0</v>
      </c>
    </row>
    <row r="74" spans="1:32">
      <c r="A74" s="638">
        <v>60</v>
      </c>
      <c r="B74" s="342" t="s">
        <v>981</v>
      </c>
      <c r="C74" s="342" t="s">
        <v>417</v>
      </c>
      <c r="D74" s="342" t="s">
        <v>494</v>
      </c>
      <c r="E74" s="636" t="s">
        <v>1514</v>
      </c>
      <c r="F74" s="637">
        <v>359.95999999999901</v>
      </c>
      <c r="G74" s="637">
        <v>566.5</v>
      </c>
      <c r="H74" s="637">
        <v>1764.32</v>
      </c>
      <c r="I74" s="637">
        <v>1105.6600000000001</v>
      </c>
      <c r="J74" s="637">
        <v>991.9</v>
      </c>
      <c r="K74" s="637">
        <v>666.52</v>
      </c>
      <c r="L74" s="637">
        <v>551.62</v>
      </c>
      <c r="M74" s="637">
        <v>590.4</v>
      </c>
      <c r="N74" s="637">
        <v>330.14</v>
      </c>
      <c r="O74" s="637">
        <v>1586.19</v>
      </c>
      <c r="P74" s="637">
        <v>529.12</v>
      </c>
      <c r="Q74" s="637">
        <v>515.58000000000004</v>
      </c>
      <c r="R74" s="637">
        <v>658.36</v>
      </c>
      <c r="S74" s="514">
        <f t="shared" si="18"/>
        <v>808.92583333333334</v>
      </c>
      <c r="T74" s="638"/>
      <c r="U74" s="675">
        <f t="shared" si="16"/>
        <v>808.92583333333334</v>
      </c>
      <c r="V74" s="713"/>
      <c r="W74" s="713"/>
      <c r="X74" s="736"/>
      <c r="Y74" s="713"/>
      <c r="Z74" s="713"/>
      <c r="AA74" s="675"/>
      <c r="AB74" s="713"/>
      <c r="AC74" s="676"/>
      <c r="AD74" s="677">
        <f t="shared" si="17"/>
        <v>808.92583333333334</v>
      </c>
      <c r="AE74" s="676"/>
      <c r="AF74" s="711">
        <f t="shared" si="0"/>
        <v>0</v>
      </c>
    </row>
    <row r="75" spans="1:32">
      <c r="A75" s="638">
        <v>61</v>
      </c>
      <c r="B75" s="342" t="s">
        <v>981</v>
      </c>
      <c r="C75" s="342" t="s">
        <v>417</v>
      </c>
      <c r="D75" s="342" t="s">
        <v>495</v>
      </c>
      <c r="E75" s="636" t="s">
        <v>1515</v>
      </c>
      <c r="F75" s="637">
        <v>257648.3</v>
      </c>
      <c r="G75" s="637">
        <v>303949.43</v>
      </c>
      <c r="H75" s="637">
        <v>355535.21</v>
      </c>
      <c r="I75" s="637">
        <v>262964.24</v>
      </c>
      <c r="J75" s="637">
        <v>307173.12</v>
      </c>
      <c r="K75" s="637">
        <v>104646.39</v>
      </c>
      <c r="L75" s="637">
        <v>152666.29</v>
      </c>
      <c r="M75" s="637">
        <v>7580.0199999999904</v>
      </c>
      <c r="N75" s="637">
        <v>7990.0199999999904</v>
      </c>
      <c r="O75" s="637">
        <v>8314.0099999999893</v>
      </c>
      <c r="P75" s="637">
        <v>8084.0099999999902</v>
      </c>
      <c r="Q75" s="637">
        <v>8084.0099999999902</v>
      </c>
      <c r="R75" s="637">
        <v>8084.0099999999902</v>
      </c>
      <c r="S75" s="514">
        <f>((F75+R75)+((G75+H75+I75+J75+K75+L75+M75+N75+O75+P75+Q75)*2))/24</f>
        <v>138321.07541666666</v>
      </c>
      <c r="T75" s="638"/>
      <c r="U75" s="675">
        <f t="shared" si="16"/>
        <v>138321.07541666666</v>
      </c>
      <c r="V75" s="713"/>
      <c r="W75" s="713"/>
      <c r="X75" s="736"/>
      <c r="Y75" s="713"/>
      <c r="Z75" s="713"/>
      <c r="AA75" s="675"/>
      <c r="AB75" s="713"/>
      <c r="AC75" s="676"/>
      <c r="AD75" s="677">
        <f t="shared" si="17"/>
        <v>138321.07541666666</v>
      </c>
      <c r="AE75" s="676"/>
      <c r="AF75" s="711">
        <f t="shared" si="0"/>
        <v>0</v>
      </c>
    </row>
    <row r="76" spans="1:32">
      <c r="A76" s="638">
        <v>62</v>
      </c>
      <c r="B76" s="342" t="s">
        <v>981</v>
      </c>
      <c r="C76" s="342" t="s">
        <v>417</v>
      </c>
      <c r="D76" s="342" t="s">
        <v>580</v>
      </c>
      <c r="E76" s="636" t="s">
        <v>1880</v>
      </c>
      <c r="F76" s="637">
        <v>0</v>
      </c>
      <c r="G76" s="637">
        <v>10173859.369999999</v>
      </c>
      <c r="H76" s="637">
        <v>7365699.0300000003</v>
      </c>
      <c r="I76" s="637">
        <v>11008430.640000001</v>
      </c>
      <c r="J76" s="637">
        <v>8320373.6100000003</v>
      </c>
      <c r="K76" s="637">
        <v>9136725.1199999992</v>
      </c>
      <c r="L76" s="637">
        <v>9109102.8499999996</v>
      </c>
      <c r="M76" s="637">
        <v>10662515.24</v>
      </c>
      <c r="N76" s="637">
        <v>12105733.43</v>
      </c>
      <c r="O76" s="637">
        <v>10372514.91</v>
      </c>
      <c r="P76" s="637">
        <v>10522789.140000001</v>
      </c>
      <c r="Q76" s="637">
        <v>5534647.2800000003</v>
      </c>
      <c r="R76" s="637">
        <v>3362650.77</v>
      </c>
      <c r="S76" s="514">
        <f t="shared" ref="S76:S80" si="19">((F76+R76)+((G76+H76+I76+J76+K76+L76+M76+N76+O76+P76+Q76)*2))/24</f>
        <v>8832809.6670833323</v>
      </c>
      <c r="T76" s="638"/>
      <c r="U76" s="675">
        <f t="shared" si="16"/>
        <v>8832809.6670833323</v>
      </c>
      <c r="V76" s="713"/>
      <c r="W76" s="713"/>
      <c r="X76" s="736"/>
      <c r="Y76" s="713"/>
      <c r="Z76" s="713"/>
      <c r="AA76" s="675"/>
      <c r="AB76" s="713"/>
      <c r="AC76" s="676"/>
      <c r="AD76" s="677">
        <f t="shared" si="17"/>
        <v>8832809.6670833323</v>
      </c>
      <c r="AE76" s="676"/>
      <c r="AF76" s="711"/>
    </row>
    <row r="77" spans="1:32">
      <c r="A77" s="638">
        <v>63</v>
      </c>
      <c r="B77" s="342" t="s">
        <v>1009</v>
      </c>
      <c r="C77" s="342" t="s">
        <v>417</v>
      </c>
      <c r="D77" s="342" t="s">
        <v>581</v>
      </c>
      <c r="E77" s="636" t="s">
        <v>1881</v>
      </c>
      <c r="F77" s="637">
        <v>0</v>
      </c>
      <c r="G77" s="637">
        <v>803513.12</v>
      </c>
      <c r="H77" s="637">
        <v>1136244.72</v>
      </c>
      <c r="I77" s="637">
        <v>1476991.49</v>
      </c>
      <c r="J77" s="637">
        <v>710674.26</v>
      </c>
      <c r="K77" s="637">
        <v>782041.4</v>
      </c>
      <c r="L77" s="637">
        <v>921213.06</v>
      </c>
      <c r="M77" s="637">
        <v>1056901.3799999999</v>
      </c>
      <c r="N77" s="637">
        <v>1182944.8400000001</v>
      </c>
      <c r="O77" s="637">
        <v>1218165.53</v>
      </c>
      <c r="P77" s="637">
        <v>1231042.8400000001</v>
      </c>
      <c r="Q77" s="637">
        <v>281899.87</v>
      </c>
      <c r="R77" s="637">
        <v>282015.99</v>
      </c>
      <c r="S77" s="514">
        <f t="shared" si="19"/>
        <v>911886.70874999987</v>
      </c>
      <c r="T77" s="638"/>
      <c r="U77" s="675">
        <f t="shared" si="16"/>
        <v>911886.70874999987</v>
      </c>
      <c r="V77" s="713"/>
      <c r="W77" s="713"/>
      <c r="X77" s="736"/>
      <c r="Y77" s="713"/>
      <c r="Z77" s="713"/>
      <c r="AA77" s="675"/>
      <c r="AB77" s="713"/>
      <c r="AC77" s="676"/>
      <c r="AD77" s="677">
        <f t="shared" si="17"/>
        <v>911886.70874999987</v>
      </c>
      <c r="AE77" s="676"/>
      <c r="AF77" s="711"/>
    </row>
    <row r="78" spans="1:32">
      <c r="A78" s="638">
        <v>64</v>
      </c>
      <c r="B78" s="342" t="s">
        <v>981</v>
      </c>
      <c r="C78" s="342" t="s">
        <v>417</v>
      </c>
      <c r="D78" s="342" t="s">
        <v>483</v>
      </c>
      <c r="E78" s="636" t="s">
        <v>1882</v>
      </c>
      <c r="F78" s="637">
        <v>0</v>
      </c>
      <c r="G78" s="637">
        <v>-71714</v>
      </c>
      <c r="H78" s="637">
        <v>-71714</v>
      </c>
      <c r="I78" s="637">
        <v>-78024</v>
      </c>
      <c r="J78" s="637">
        <v>-78024</v>
      </c>
      <c r="K78" s="637">
        <v>-78024</v>
      </c>
      <c r="L78" s="637">
        <v>-86412</v>
      </c>
      <c r="M78" s="637">
        <v>-86412</v>
      </c>
      <c r="N78" s="637">
        <v>-86412</v>
      </c>
      <c r="O78" s="637">
        <v>-93428.9</v>
      </c>
      <c r="P78" s="637">
        <v>-93428.9</v>
      </c>
      <c r="Q78" s="637">
        <v>-93428.9</v>
      </c>
      <c r="R78" s="637">
        <v>-103941.2</v>
      </c>
      <c r="S78" s="514">
        <f t="shared" si="19"/>
        <v>-80749.441666666666</v>
      </c>
      <c r="T78" s="638"/>
      <c r="U78" s="675">
        <f t="shared" si="16"/>
        <v>-80749.441666666666</v>
      </c>
      <c r="V78" s="713"/>
      <c r="W78" s="713"/>
      <c r="X78" s="736"/>
      <c r="Y78" s="713"/>
      <c r="Z78" s="713"/>
      <c r="AA78" s="675"/>
      <c r="AB78" s="713"/>
      <c r="AC78" s="676"/>
      <c r="AD78" s="677">
        <f t="shared" si="17"/>
        <v>-80749.441666666666</v>
      </c>
      <c r="AE78" s="676"/>
      <c r="AF78" s="711"/>
    </row>
    <row r="79" spans="1:32">
      <c r="A79" s="638">
        <v>65</v>
      </c>
      <c r="B79" s="342" t="s">
        <v>1883</v>
      </c>
      <c r="C79" s="342" t="s">
        <v>417</v>
      </c>
      <c r="D79" s="342" t="s">
        <v>1141</v>
      </c>
      <c r="E79" s="636" t="s">
        <v>1884</v>
      </c>
      <c r="F79" s="637">
        <v>0</v>
      </c>
      <c r="G79" s="637">
        <v>0</v>
      </c>
      <c r="H79" s="637">
        <v>0</v>
      </c>
      <c r="I79" s="637">
        <v>-12407398.130000001</v>
      </c>
      <c r="J79" s="637">
        <v>0</v>
      </c>
      <c r="K79" s="637">
        <v>0</v>
      </c>
      <c r="L79" s="637">
        <v>0</v>
      </c>
      <c r="M79" s="637">
        <v>0</v>
      </c>
      <c r="N79" s="637">
        <v>0</v>
      </c>
      <c r="O79" s="637">
        <v>0</v>
      </c>
      <c r="P79" s="637">
        <v>0</v>
      </c>
      <c r="Q79" s="637">
        <v>0</v>
      </c>
      <c r="R79" s="637">
        <v>0</v>
      </c>
      <c r="S79" s="514">
        <f t="shared" si="19"/>
        <v>-1033949.8441666667</v>
      </c>
      <c r="T79" s="638"/>
      <c r="U79" s="675">
        <f t="shared" si="16"/>
        <v>-1033949.8441666667</v>
      </c>
      <c r="V79" s="713"/>
      <c r="W79" s="713"/>
      <c r="X79" s="736"/>
      <c r="Y79" s="713"/>
      <c r="Z79" s="713"/>
      <c r="AA79" s="675"/>
      <c r="AB79" s="713"/>
      <c r="AC79" s="676"/>
      <c r="AD79" s="677">
        <f t="shared" si="17"/>
        <v>-1033949.8441666667</v>
      </c>
      <c r="AE79" s="676"/>
      <c r="AF79" s="711"/>
    </row>
    <row r="80" spans="1:32">
      <c r="A80" s="638">
        <v>66</v>
      </c>
      <c r="B80" s="342" t="s">
        <v>1883</v>
      </c>
      <c r="C80" s="342" t="s">
        <v>416</v>
      </c>
      <c r="D80" s="342" t="s">
        <v>382</v>
      </c>
      <c r="E80" s="636" t="s">
        <v>1518</v>
      </c>
      <c r="F80" s="637">
        <v>0</v>
      </c>
      <c r="G80" s="637">
        <v>5838301.9000000004</v>
      </c>
      <c r="H80" s="637">
        <v>4633485.24</v>
      </c>
      <c r="I80" s="637">
        <v>3540579.51</v>
      </c>
      <c r="J80" s="637">
        <v>3642714.65</v>
      </c>
      <c r="K80" s="637">
        <v>4098905.74</v>
      </c>
      <c r="L80" s="637">
        <v>4827107.67</v>
      </c>
      <c r="M80" s="637">
        <v>5806606.46</v>
      </c>
      <c r="N80" s="637">
        <v>6744026.6699999999</v>
      </c>
      <c r="O80" s="637">
        <v>7810745.5800000001</v>
      </c>
      <c r="P80" s="637">
        <v>8303914.0999999996</v>
      </c>
      <c r="Q80" s="637">
        <v>7709249.4000000004</v>
      </c>
      <c r="R80" s="637">
        <v>6456802.7800000003</v>
      </c>
      <c r="S80" s="514">
        <f t="shared" si="19"/>
        <v>5515336.5258333338</v>
      </c>
      <c r="T80" s="638"/>
      <c r="U80" s="675">
        <f>+S80</f>
        <v>5515336.5258333338</v>
      </c>
      <c r="V80" s="713"/>
      <c r="W80" s="713"/>
      <c r="X80" s="736"/>
      <c r="Y80" s="713"/>
      <c r="Z80" s="713"/>
      <c r="AA80" s="675"/>
      <c r="AB80" s="713"/>
      <c r="AC80" s="676"/>
      <c r="AD80" s="677">
        <f t="shared" si="17"/>
        <v>5515336.5258333338</v>
      </c>
      <c r="AE80" s="676"/>
      <c r="AF80" s="711"/>
    </row>
    <row r="81" spans="1:32">
      <c r="A81" s="638">
        <v>67</v>
      </c>
      <c r="B81" s="638"/>
      <c r="C81" s="638"/>
      <c r="D81" s="638"/>
      <c r="E81" s="623" t="s">
        <v>418</v>
      </c>
      <c r="F81" s="637">
        <f t="shared" ref="F81:Q81" si="20">SUM(F65:F80)</f>
        <v>19786161.890000001</v>
      </c>
      <c r="G81" s="637">
        <f t="shared" si="20"/>
        <v>31926360.730000004</v>
      </c>
      <c r="H81" s="637">
        <f t="shared" si="20"/>
        <v>32655972.640000001</v>
      </c>
      <c r="I81" s="637">
        <f t="shared" si="20"/>
        <v>26083313.299999997</v>
      </c>
      <c r="J81" s="637">
        <f t="shared" si="20"/>
        <v>27480819.059999999</v>
      </c>
      <c r="K81" s="637">
        <f t="shared" si="20"/>
        <v>21801006.350000001</v>
      </c>
      <c r="L81" s="637">
        <f t="shared" si="20"/>
        <v>19587259.190000001</v>
      </c>
      <c r="M81" s="637">
        <f t="shared" si="20"/>
        <v>19200121.210000001</v>
      </c>
      <c r="N81" s="637">
        <f t="shared" si="20"/>
        <v>20114006.550000001</v>
      </c>
      <c r="O81" s="637">
        <f t="shared" si="20"/>
        <v>18065756.579999998</v>
      </c>
      <c r="P81" s="637">
        <f t="shared" si="20"/>
        <v>21476898.530000001</v>
      </c>
      <c r="Q81" s="637">
        <f t="shared" si="20"/>
        <v>22332099.629999995</v>
      </c>
      <c r="R81" s="637">
        <f>SUM(R65:R80)</f>
        <v>27099028.59</v>
      </c>
      <c r="S81" s="514">
        <f>SUM(S65:S80)</f>
        <v>23680517.4175</v>
      </c>
      <c r="T81" s="638"/>
      <c r="U81" s="675"/>
      <c r="V81" s="713"/>
      <c r="W81" s="713"/>
      <c r="X81" s="736"/>
      <c r="Y81" s="713"/>
      <c r="Z81" s="713"/>
      <c r="AA81" s="675"/>
      <c r="AB81" s="713"/>
      <c r="AC81" s="676"/>
      <c r="AD81" s="676"/>
      <c r="AE81" s="676"/>
      <c r="AF81" s="711">
        <f t="shared" si="0"/>
        <v>0</v>
      </c>
    </row>
    <row r="82" spans="1:32">
      <c r="A82" s="638">
        <v>68</v>
      </c>
      <c r="B82" s="638"/>
      <c r="C82" s="638"/>
      <c r="D82" s="638"/>
      <c r="E82" s="623" t="s">
        <v>104</v>
      </c>
      <c r="F82" s="637"/>
      <c r="G82" s="330"/>
      <c r="H82" s="331"/>
      <c r="I82" s="331"/>
      <c r="J82" s="332"/>
      <c r="K82" s="333"/>
      <c r="L82" s="334"/>
      <c r="M82" s="335"/>
      <c r="N82" s="336"/>
      <c r="O82" s="624"/>
      <c r="P82" s="337"/>
      <c r="Q82" s="338"/>
      <c r="R82" s="637"/>
      <c r="S82" s="320"/>
      <c r="T82" s="638"/>
      <c r="U82" s="675"/>
      <c r="V82" s="713"/>
      <c r="W82" s="713"/>
      <c r="X82" s="736"/>
      <c r="Y82" s="713"/>
      <c r="Z82" s="713"/>
      <c r="AA82" s="675"/>
      <c r="AB82" s="713"/>
      <c r="AC82" s="676"/>
      <c r="AD82" s="676"/>
      <c r="AE82" s="676"/>
      <c r="AF82" s="711">
        <f t="shared" si="0"/>
        <v>0</v>
      </c>
    </row>
    <row r="83" spans="1:32">
      <c r="A83" s="638">
        <v>69</v>
      </c>
      <c r="B83" s="342" t="s">
        <v>981</v>
      </c>
      <c r="C83" s="342" t="s">
        <v>419</v>
      </c>
      <c r="D83" s="342" t="s">
        <v>411</v>
      </c>
      <c r="E83" s="623" t="s">
        <v>420</v>
      </c>
      <c r="F83" s="637">
        <v>0</v>
      </c>
      <c r="G83" s="637">
        <v>0</v>
      </c>
      <c r="H83" s="637">
        <v>0</v>
      </c>
      <c r="I83" s="637">
        <v>0</v>
      </c>
      <c r="J83" s="637">
        <v>0</v>
      </c>
      <c r="K83" s="637">
        <v>0</v>
      </c>
      <c r="L83" s="637">
        <v>0</v>
      </c>
      <c r="M83" s="637">
        <v>0</v>
      </c>
      <c r="N83" s="637">
        <v>0</v>
      </c>
      <c r="O83" s="637">
        <v>0</v>
      </c>
      <c r="P83" s="637">
        <v>0</v>
      </c>
      <c r="Q83" s="637">
        <v>0</v>
      </c>
      <c r="R83" s="637">
        <v>0</v>
      </c>
      <c r="S83" s="514">
        <f>((F83+R83)+((G83+H83+I83+J83+K83+L83+M83+N83+O83+P83+Q83)*2))/24</f>
        <v>0</v>
      </c>
      <c r="T83" s="638"/>
      <c r="U83" s="675">
        <f t="shared" ref="U83:U84" si="21">+S83</f>
        <v>0</v>
      </c>
      <c r="V83" s="713"/>
      <c r="W83" s="713"/>
      <c r="X83" s="736"/>
      <c r="Y83" s="713"/>
      <c r="Z83" s="713"/>
      <c r="AA83" s="675"/>
      <c r="AB83" s="713"/>
      <c r="AC83" s="676"/>
      <c r="AD83" s="676"/>
      <c r="AE83" s="676"/>
      <c r="AF83" s="711">
        <f t="shared" si="0"/>
        <v>0</v>
      </c>
    </row>
    <row r="84" spans="1:32">
      <c r="A84" s="638">
        <v>70</v>
      </c>
      <c r="B84" s="342" t="s">
        <v>981</v>
      </c>
      <c r="C84" s="342" t="s">
        <v>419</v>
      </c>
      <c r="D84" s="342" t="s">
        <v>421</v>
      </c>
      <c r="E84" s="623" t="s">
        <v>422</v>
      </c>
      <c r="F84" s="637">
        <v>0</v>
      </c>
      <c r="G84" s="637">
        <v>0</v>
      </c>
      <c r="H84" s="637">
        <v>0</v>
      </c>
      <c r="I84" s="637">
        <v>0</v>
      </c>
      <c r="J84" s="637">
        <v>0</v>
      </c>
      <c r="K84" s="637">
        <v>0</v>
      </c>
      <c r="L84" s="637">
        <v>0</v>
      </c>
      <c r="M84" s="637">
        <v>0</v>
      </c>
      <c r="N84" s="637">
        <v>0</v>
      </c>
      <c r="O84" s="637">
        <v>0</v>
      </c>
      <c r="P84" s="637">
        <v>0</v>
      </c>
      <c r="Q84" s="637">
        <v>0</v>
      </c>
      <c r="R84" s="637">
        <v>0</v>
      </c>
      <c r="S84" s="514">
        <f>((F84+R84)+((G84+H84+I84+J84+K84+L84+M84+N84+O84+P84+Q84)*2))/24</f>
        <v>0</v>
      </c>
      <c r="T84" s="638"/>
      <c r="U84" s="675">
        <f t="shared" si="21"/>
        <v>0</v>
      </c>
      <c r="V84" s="713"/>
      <c r="W84" s="713"/>
      <c r="X84" s="736"/>
      <c r="Y84" s="713"/>
      <c r="Z84" s="713"/>
      <c r="AA84" s="675"/>
      <c r="AB84" s="713"/>
      <c r="AC84" s="676"/>
      <c r="AD84" s="676"/>
      <c r="AE84" s="676"/>
      <c r="AF84" s="711">
        <f t="shared" si="0"/>
        <v>0</v>
      </c>
    </row>
    <row r="85" spans="1:32">
      <c r="A85" s="638">
        <v>71</v>
      </c>
      <c r="B85" s="638"/>
      <c r="C85" s="638"/>
      <c r="D85" s="638"/>
      <c r="E85" s="623"/>
      <c r="F85" s="637"/>
      <c r="G85" s="330"/>
      <c r="H85" s="331"/>
      <c r="I85" s="331"/>
      <c r="J85" s="332"/>
      <c r="K85" s="333"/>
      <c r="L85" s="334"/>
      <c r="M85" s="335"/>
      <c r="N85" s="336"/>
      <c r="O85" s="624"/>
      <c r="P85" s="337"/>
      <c r="Q85" s="338"/>
      <c r="R85" s="637"/>
      <c r="S85" s="514"/>
      <c r="T85" s="638"/>
      <c r="U85" s="675"/>
      <c r="V85" s="713"/>
      <c r="W85" s="713"/>
      <c r="X85" s="736">
        <f t="shared" ref="X85:X87" si="22">+S85</f>
        <v>0</v>
      </c>
      <c r="Y85" s="713"/>
      <c r="Z85" s="713"/>
      <c r="AA85" s="675"/>
      <c r="AB85" s="713"/>
      <c r="AC85" s="676"/>
      <c r="AD85" s="676"/>
      <c r="AE85" s="676"/>
      <c r="AF85" s="711">
        <f t="shared" si="0"/>
        <v>0</v>
      </c>
    </row>
    <row r="86" spans="1:32">
      <c r="A86" s="638">
        <v>72</v>
      </c>
      <c r="B86" s="342" t="s">
        <v>981</v>
      </c>
      <c r="C86" s="342" t="s">
        <v>423</v>
      </c>
      <c r="D86" s="342" t="s">
        <v>731</v>
      </c>
      <c r="E86" s="623" t="s">
        <v>424</v>
      </c>
      <c r="F86" s="637">
        <v>109738.76</v>
      </c>
      <c r="G86" s="637">
        <v>116759.12</v>
      </c>
      <c r="H86" s="637">
        <v>7020.36</v>
      </c>
      <c r="I86" s="637">
        <v>7020.36</v>
      </c>
      <c r="J86" s="637">
        <v>7020.36</v>
      </c>
      <c r="K86" s="637">
        <v>9.0949470177292804E-13</v>
      </c>
      <c r="L86" s="637">
        <v>9.0949470177292804E-13</v>
      </c>
      <c r="M86" s="637">
        <v>9.0949470177292804E-13</v>
      </c>
      <c r="N86" s="637">
        <v>9.0949470177292804E-13</v>
      </c>
      <c r="O86" s="637">
        <v>9.0949470177292804E-13</v>
      </c>
      <c r="P86" s="637">
        <v>9.0949470177292804E-13</v>
      </c>
      <c r="Q86" s="637">
        <v>9.0949470177292804E-13</v>
      </c>
      <c r="R86" s="637">
        <v>13039.55</v>
      </c>
      <c r="S86" s="514">
        <f t="shared" ref="S86:S94" si="23">((F86+R86)+((G86+H86+I86+J86+K86+L86+M86+N86+O86+P86+Q86)*2))/24</f>
        <v>16600.779583333333</v>
      </c>
      <c r="T86" s="638"/>
      <c r="U86" s="675"/>
      <c r="V86" s="713"/>
      <c r="W86" s="713"/>
      <c r="X86" s="736">
        <f t="shared" si="22"/>
        <v>16600.779583333333</v>
      </c>
      <c r="Y86" s="713"/>
      <c r="Z86" s="713"/>
      <c r="AA86" s="675"/>
      <c r="AB86" s="713">
        <f t="shared" ref="AB86:AB94" si="24">+S86</f>
        <v>16600.779583333333</v>
      </c>
      <c r="AC86" s="676"/>
      <c r="AD86" s="676"/>
      <c r="AE86" s="676"/>
      <c r="AF86" s="711">
        <f t="shared" ref="AF86:AF149" si="25">+U86+V86-AD86</f>
        <v>0</v>
      </c>
    </row>
    <row r="87" spans="1:32">
      <c r="A87" s="638">
        <v>73</v>
      </c>
      <c r="B87" s="342" t="s">
        <v>981</v>
      </c>
      <c r="C87" s="342" t="s">
        <v>423</v>
      </c>
      <c r="D87" s="342" t="s">
        <v>425</v>
      </c>
      <c r="E87" s="623" t="s">
        <v>1411</v>
      </c>
      <c r="F87" s="637">
        <v>0</v>
      </c>
      <c r="G87" s="637">
        <v>0</v>
      </c>
      <c r="H87" s="637">
        <v>109738.76</v>
      </c>
      <c r="I87" s="637">
        <v>73733.149999999994</v>
      </c>
      <c r="J87" s="637">
        <v>73733.149999999994</v>
      </c>
      <c r="K87" s="637">
        <v>73733.149999999994</v>
      </c>
      <c r="L87" s="637">
        <v>73733.149999999994</v>
      </c>
      <c r="M87" s="637">
        <v>20174.68</v>
      </c>
      <c r="N87" s="637">
        <v>19934.080000000002</v>
      </c>
      <c r="O87" s="637">
        <v>-7.2759576141834308E-12</v>
      </c>
      <c r="P87" s="637">
        <v>-7.2759576141834308E-12</v>
      </c>
      <c r="Q87" s="637">
        <v>-7.2759576141834308E-12</v>
      </c>
      <c r="R87" s="637">
        <v>74428.789999999994</v>
      </c>
      <c r="S87" s="514">
        <f t="shared" si="23"/>
        <v>40166.209583333337</v>
      </c>
      <c r="T87" s="638"/>
      <c r="U87" s="675"/>
      <c r="V87" s="713"/>
      <c r="W87" s="713"/>
      <c r="X87" s="736">
        <f t="shared" si="22"/>
        <v>40166.209583333337</v>
      </c>
      <c r="Y87" s="713"/>
      <c r="Z87" s="713"/>
      <c r="AA87" s="675"/>
      <c r="AB87" s="713">
        <f t="shared" si="24"/>
        <v>40166.209583333337</v>
      </c>
      <c r="AC87" s="676"/>
      <c r="AD87" s="676"/>
      <c r="AE87" s="676"/>
      <c r="AF87" s="711">
        <f t="shared" si="25"/>
        <v>0</v>
      </c>
    </row>
    <row r="88" spans="1:32">
      <c r="A88" s="638">
        <v>74</v>
      </c>
      <c r="B88" s="342" t="s">
        <v>981</v>
      </c>
      <c r="C88" s="342" t="s">
        <v>423</v>
      </c>
      <c r="D88" s="342" t="s">
        <v>426</v>
      </c>
      <c r="E88" s="623" t="s">
        <v>1412</v>
      </c>
      <c r="F88" s="637">
        <v>19792.61</v>
      </c>
      <c r="G88" s="637">
        <v>19792.61</v>
      </c>
      <c r="H88" s="637">
        <v>0</v>
      </c>
      <c r="I88" s="637">
        <v>0</v>
      </c>
      <c r="J88" s="637">
        <v>0</v>
      </c>
      <c r="K88" s="637">
        <v>0</v>
      </c>
      <c r="L88" s="637">
        <v>0</v>
      </c>
      <c r="M88" s="637">
        <v>0</v>
      </c>
      <c r="N88" s="637">
        <v>0</v>
      </c>
      <c r="O88" s="637">
        <v>0</v>
      </c>
      <c r="P88" s="637">
        <v>16217.62</v>
      </c>
      <c r="Q88" s="637">
        <v>16217.62</v>
      </c>
      <c r="R88" s="637">
        <v>34554.699999999997</v>
      </c>
      <c r="S88" s="514">
        <f t="shared" si="23"/>
        <v>6616.7920833333337</v>
      </c>
      <c r="T88" s="638"/>
      <c r="U88" s="675"/>
      <c r="V88" s="713"/>
      <c r="W88" s="713"/>
      <c r="X88" s="736">
        <f t="shared" ref="X88:X94" si="26">+S88</f>
        <v>6616.7920833333337</v>
      </c>
      <c r="Y88" s="713"/>
      <c r="Z88" s="713"/>
      <c r="AA88" s="675"/>
      <c r="AB88" s="713">
        <f t="shared" si="24"/>
        <v>6616.7920833333337</v>
      </c>
      <c r="AC88" s="676"/>
      <c r="AD88" s="676"/>
      <c r="AE88" s="676"/>
      <c r="AF88" s="711">
        <f t="shared" si="25"/>
        <v>0</v>
      </c>
    </row>
    <row r="89" spans="1:32">
      <c r="A89" s="638">
        <v>75</v>
      </c>
      <c r="B89" s="342" t="s">
        <v>981</v>
      </c>
      <c r="C89" s="342" t="s">
        <v>423</v>
      </c>
      <c r="D89" s="342" t="s">
        <v>427</v>
      </c>
      <c r="E89" s="623" t="s">
        <v>428</v>
      </c>
      <c r="F89" s="637">
        <v>0</v>
      </c>
      <c r="G89" s="637">
        <v>0</v>
      </c>
      <c r="H89" s="637">
        <v>0</v>
      </c>
      <c r="I89" s="637">
        <v>0</v>
      </c>
      <c r="J89" s="637">
        <v>0</v>
      </c>
      <c r="K89" s="637">
        <v>0</v>
      </c>
      <c r="L89" s="637">
        <v>0</v>
      </c>
      <c r="M89" s="637">
        <v>0</v>
      </c>
      <c r="N89" s="637">
        <v>0</v>
      </c>
      <c r="O89" s="637">
        <v>0</v>
      </c>
      <c r="P89" s="637">
        <v>0</v>
      </c>
      <c r="Q89" s="637">
        <v>0</v>
      </c>
      <c r="R89" s="637">
        <v>0</v>
      </c>
      <c r="S89" s="514">
        <f t="shared" si="23"/>
        <v>0</v>
      </c>
      <c r="T89" s="638"/>
      <c r="U89" s="675"/>
      <c r="V89" s="713"/>
      <c r="W89" s="713"/>
      <c r="X89" s="736">
        <f t="shared" si="26"/>
        <v>0</v>
      </c>
      <c r="Y89" s="713"/>
      <c r="Z89" s="713"/>
      <c r="AA89" s="675"/>
      <c r="AB89" s="713">
        <f t="shared" si="24"/>
        <v>0</v>
      </c>
      <c r="AC89" s="676"/>
      <c r="AD89" s="676"/>
      <c r="AE89" s="676"/>
      <c r="AF89" s="711">
        <f t="shared" si="25"/>
        <v>0</v>
      </c>
    </row>
    <row r="90" spans="1:32">
      <c r="A90" s="638">
        <v>76</v>
      </c>
      <c r="B90" s="342" t="s">
        <v>981</v>
      </c>
      <c r="C90" s="342" t="s">
        <v>423</v>
      </c>
      <c r="D90" s="342" t="s">
        <v>429</v>
      </c>
      <c r="E90" s="623" t="s">
        <v>1885</v>
      </c>
      <c r="F90" s="637">
        <v>0</v>
      </c>
      <c r="G90" s="637">
        <v>0</v>
      </c>
      <c r="H90" s="637">
        <v>0</v>
      </c>
      <c r="I90" s="637">
        <v>0</v>
      </c>
      <c r="J90" s="637">
        <v>0</v>
      </c>
      <c r="K90" s="637">
        <v>0</v>
      </c>
      <c r="L90" s="637">
        <v>0</v>
      </c>
      <c r="M90" s="637">
        <v>0</v>
      </c>
      <c r="N90" s="637">
        <v>0</v>
      </c>
      <c r="O90" s="637">
        <v>0</v>
      </c>
      <c r="P90" s="637">
        <v>0</v>
      </c>
      <c r="Q90" s="637">
        <v>0</v>
      </c>
      <c r="R90" s="637">
        <v>0</v>
      </c>
      <c r="S90" s="514">
        <f t="shared" si="23"/>
        <v>0</v>
      </c>
      <c r="T90" s="638"/>
      <c r="U90" s="675"/>
      <c r="V90" s="713"/>
      <c r="W90" s="713"/>
      <c r="X90" s="736">
        <f t="shared" si="26"/>
        <v>0</v>
      </c>
      <c r="Y90" s="713"/>
      <c r="Z90" s="713"/>
      <c r="AA90" s="675"/>
      <c r="AB90" s="713">
        <f t="shared" si="24"/>
        <v>0</v>
      </c>
      <c r="AC90" s="676"/>
      <c r="AD90" s="676"/>
      <c r="AE90" s="676"/>
      <c r="AF90" s="711">
        <f t="shared" si="25"/>
        <v>0</v>
      </c>
    </row>
    <row r="91" spans="1:32">
      <c r="A91" s="638">
        <v>77</v>
      </c>
      <c r="B91" s="342" t="s">
        <v>981</v>
      </c>
      <c r="C91" s="342" t="s">
        <v>423</v>
      </c>
      <c r="D91" s="342" t="s">
        <v>430</v>
      </c>
      <c r="E91" s="623" t="s">
        <v>431</v>
      </c>
      <c r="F91" s="637">
        <v>0</v>
      </c>
      <c r="G91" s="637">
        <v>0</v>
      </c>
      <c r="H91" s="637">
        <v>0</v>
      </c>
      <c r="I91" s="637">
        <v>0</v>
      </c>
      <c r="J91" s="637">
        <v>0</v>
      </c>
      <c r="K91" s="637">
        <v>0</v>
      </c>
      <c r="L91" s="637">
        <v>0</v>
      </c>
      <c r="M91" s="637">
        <v>0</v>
      </c>
      <c r="N91" s="637">
        <v>0</v>
      </c>
      <c r="O91" s="637">
        <v>0</v>
      </c>
      <c r="P91" s="637">
        <v>0</v>
      </c>
      <c r="Q91" s="637">
        <v>0</v>
      </c>
      <c r="R91" s="637">
        <v>0</v>
      </c>
      <c r="S91" s="514">
        <f t="shared" si="23"/>
        <v>0</v>
      </c>
      <c r="T91" s="638"/>
      <c r="U91" s="675"/>
      <c r="V91" s="713"/>
      <c r="W91" s="713"/>
      <c r="X91" s="736">
        <f t="shared" si="26"/>
        <v>0</v>
      </c>
      <c r="Y91" s="713"/>
      <c r="Z91" s="713"/>
      <c r="AA91" s="675"/>
      <c r="AB91" s="713">
        <f t="shared" si="24"/>
        <v>0</v>
      </c>
      <c r="AC91" s="676"/>
      <c r="AD91" s="676"/>
      <c r="AE91" s="676"/>
      <c r="AF91" s="711">
        <f t="shared" si="25"/>
        <v>0</v>
      </c>
    </row>
    <row r="92" spans="1:32">
      <c r="A92" s="638">
        <v>79</v>
      </c>
      <c r="B92" s="342" t="s">
        <v>981</v>
      </c>
      <c r="C92" s="342" t="s">
        <v>423</v>
      </c>
      <c r="D92" s="342" t="s">
        <v>432</v>
      </c>
      <c r="E92" s="623" t="s">
        <v>433</v>
      </c>
      <c r="F92" s="637">
        <v>0</v>
      </c>
      <c r="G92" s="637">
        <v>0</v>
      </c>
      <c r="H92" s="637">
        <v>0</v>
      </c>
      <c r="I92" s="637">
        <v>0</v>
      </c>
      <c r="J92" s="637">
        <v>0</v>
      </c>
      <c r="K92" s="637">
        <v>0</v>
      </c>
      <c r="L92" s="637">
        <v>813.04</v>
      </c>
      <c r="M92" s="637">
        <v>975.64</v>
      </c>
      <c r="N92" s="637">
        <v>975.64</v>
      </c>
      <c r="O92" s="637">
        <v>1385.39</v>
      </c>
      <c r="P92" s="637">
        <v>1446.87</v>
      </c>
      <c r="Q92" s="637">
        <v>0</v>
      </c>
      <c r="R92" s="637">
        <v>0</v>
      </c>
      <c r="S92" s="514">
        <f t="shared" si="23"/>
        <v>466.38166666666666</v>
      </c>
      <c r="T92" s="638"/>
      <c r="U92" s="675"/>
      <c r="V92" s="713"/>
      <c r="W92" s="713"/>
      <c r="X92" s="736">
        <f t="shared" si="26"/>
        <v>466.38166666666666</v>
      </c>
      <c r="Y92" s="713"/>
      <c r="Z92" s="713"/>
      <c r="AA92" s="675"/>
      <c r="AB92" s="713">
        <f t="shared" si="24"/>
        <v>466.38166666666666</v>
      </c>
      <c r="AC92" s="676"/>
      <c r="AD92" s="676"/>
      <c r="AE92" s="676"/>
      <c r="AF92" s="711">
        <f t="shared" si="25"/>
        <v>0</v>
      </c>
    </row>
    <row r="93" spans="1:32">
      <c r="A93" s="638">
        <v>80</v>
      </c>
      <c r="B93" s="342" t="s">
        <v>981</v>
      </c>
      <c r="C93" s="342" t="s">
        <v>423</v>
      </c>
      <c r="D93" s="342" t="s">
        <v>434</v>
      </c>
      <c r="E93" s="623" t="s">
        <v>435</v>
      </c>
      <c r="F93" s="637">
        <v>0</v>
      </c>
      <c r="G93" s="637">
        <v>0</v>
      </c>
      <c r="H93" s="637">
        <v>0</v>
      </c>
      <c r="I93" s="637">
        <v>0</v>
      </c>
      <c r="J93" s="637">
        <v>0</v>
      </c>
      <c r="K93" s="637">
        <v>0</v>
      </c>
      <c r="L93" s="637">
        <v>0</v>
      </c>
      <c r="M93" s="637">
        <v>0</v>
      </c>
      <c r="N93" s="637">
        <v>0</v>
      </c>
      <c r="O93" s="637">
        <v>0</v>
      </c>
      <c r="P93" s="637">
        <v>0</v>
      </c>
      <c r="Q93" s="637">
        <v>0</v>
      </c>
      <c r="R93" s="637">
        <v>0</v>
      </c>
      <c r="S93" s="514">
        <f t="shared" si="23"/>
        <v>0</v>
      </c>
      <c r="T93" s="638"/>
      <c r="U93" s="675"/>
      <c r="V93" s="713"/>
      <c r="W93" s="713"/>
      <c r="X93" s="736">
        <f t="shared" si="26"/>
        <v>0</v>
      </c>
      <c r="Y93" s="713"/>
      <c r="Z93" s="713"/>
      <c r="AA93" s="675"/>
      <c r="AB93" s="713">
        <f t="shared" si="24"/>
        <v>0</v>
      </c>
      <c r="AC93" s="676"/>
      <c r="AD93" s="676"/>
      <c r="AE93" s="676"/>
      <c r="AF93" s="711">
        <f t="shared" si="25"/>
        <v>0</v>
      </c>
    </row>
    <row r="94" spans="1:32">
      <c r="A94" s="638">
        <v>81</v>
      </c>
      <c r="B94" s="342" t="s">
        <v>981</v>
      </c>
      <c r="C94" s="342" t="s">
        <v>423</v>
      </c>
      <c r="D94" s="342" t="s">
        <v>436</v>
      </c>
      <c r="E94" s="623" t="s">
        <v>437</v>
      </c>
      <c r="F94" s="329">
        <v>0</v>
      </c>
      <c r="G94" s="329">
        <v>0</v>
      </c>
      <c r="H94" s="329">
        <v>0</v>
      </c>
      <c r="I94" s="329">
        <v>0</v>
      </c>
      <c r="J94" s="329">
        <v>0</v>
      </c>
      <c r="K94" s="329">
        <v>0</v>
      </c>
      <c r="L94" s="329">
        <v>0</v>
      </c>
      <c r="M94" s="329">
        <v>0</v>
      </c>
      <c r="N94" s="329">
        <v>0</v>
      </c>
      <c r="O94" s="329">
        <v>0</v>
      </c>
      <c r="P94" s="329">
        <v>0</v>
      </c>
      <c r="Q94" s="329">
        <v>18085.240000000002</v>
      </c>
      <c r="R94" s="329">
        <v>18085.240000000002</v>
      </c>
      <c r="S94" s="514">
        <f t="shared" si="23"/>
        <v>2260.6550000000002</v>
      </c>
      <c r="T94" s="638"/>
      <c r="U94" s="675"/>
      <c r="V94" s="713"/>
      <c r="W94" s="713"/>
      <c r="X94" s="736">
        <f t="shared" si="26"/>
        <v>2260.6550000000002</v>
      </c>
      <c r="Y94" s="713"/>
      <c r="Z94" s="713"/>
      <c r="AA94" s="675"/>
      <c r="AB94" s="713">
        <f t="shared" si="24"/>
        <v>2260.6550000000002</v>
      </c>
      <c r="AC94" s="676"/>
      <c r="AD94" s="676"/>
      <c r="AE94" s="676"/>
      <c r="AF94" s="711">
        <f t="shared" si="25"/>
        <v>0</v>
      </c>
    </row>
    <row r="95" spans="1:32">
      <c r="A95" s="638">
        <v>82</v>
      </c>
      <c r="B95" s="638"/>
      <c r="C95" s="638"/>
      <c r="D95" s="638"/>
      <c r="E95" s="623" t="s">
        <v>438</v>
      </c>
      <c r="F95" s="321">
        <f t="shared" ref="F95:S95" si="27">SUM(F83:F94)</f>
        <v>129531.37</v>
      </c>
      <c r="G95" s="321">
        <f t="shared" si="27"/>
        <v>136551.72999999998</v>
      </c>
      <c r="H95" s="321">
        <f t="shared" si="27"/>
        <v>116759.12</v>
      </c>
      <c r="I95" s="321">
        <f t="shared" si="27"/>
        <v>80753.509999999995</v>
      </c>
      <c r="J95" s="321">
        <f t="shared" si="27"/>
        <v>80753.509999999995</v>
      </c>
      <c r="K95" s="321">
        <f t="shared" si="27"/>
        <v>73733.149999999994</v>
      </c>
      <c r="L95" s="321">
        <f t="shared" si="27"/>
        <v>74546.189999999988</v>
      </c>
      <c r="M95" s="321">
        <f t="shared" si="27"/>
        <v>21150.32</v>
      </c>
      <c r="N95" s="321">
        <f t="shared" si="27"/>
        <v>20909.72</v>
      </c>
      <c r="O95" s="321">
        <f t="shared" si="27"/>
        <v>1385.3899999999937</v>
      </c>
      <c r="P95" s="321">
        <f t="shared" si="27"/>
        <v>17664.489999999994</v>
      </c>
      <c r="Q95" s="321">
        <f t="shared" si="27"/>
        <v>34302.86</v>
      </c>
      <c r="R95" s="321">
        <f t="shared" si="27"/>
        <v>140108.28</v>
      </c>
      <c r="S95" s="516">
        <f t="shared" si="27"/>
        <v>66110.817916666667</v>
      </c>
      <c r="T95" s="638"/>
      <c r="U95" s="675"/>
      <c r="V95" s="713"/>
      <c r="W95" s="713"/>
      <c r="X95" s="736"/>
      <c r="Y95" s="713"/>
      <c r="Z95" s="713"/>
      <c r="AA95" s="675"/>
      <c r="AB95" s="713"/>
      <c r="AC95" s="676"/>
      <c r="AD95" s="676"/>
      <c r="AE95" s="676"/>
      <c r="AF95" s="711">
        <f t="shared" si="25"/>
        <v>0</v>
      </c>
    </row>
    <row r="96" spans="1:32">
      <c r="A96" s="638">
        <v>83</v>
      </c>
      <c r="B96" s="638"/>
      <c r="C96" s="638"/>
      <c r="D96" s="638"/>
      <c r="E96" s="623"/>
      <c r="F96" s="637"/>
      <c r="G96" s="330"/>
      <c r="H96" s="331"/>
      <c r="I96" s="331"/>
      <c r="J96" s="332"/>
      <c r="K96" s="333"/>
      <c r="L96" s="334"/>
      <c r="M96" s="335"/>
      <c r="N96" s="336"/>
      <c r="O96" s="339"/>
      <c r="P96" s="337"/>
      <c r="Q96" s="338"/>
      <c r="R96" s="637"/>
      <c r="S96" s="320"/>
      <c r="T96" s="638"/>
      <c r="U96" s="675"/>
      <c r="V96" s="713"/>
      <c r="W96" s="713"/>
      <c r="X96" s="736"/>
      <c r="Y96" s="713"/>
      <c r="Z96" s="713"/>
      <c r="AA96" s="675"/>
      <c r="AB96" s="713"/>
      <c r="AC96" s="676"/>
      <c r="AD96" s="676"/>
      <c r="AE96" s="676"/>
      <c r="AF96" s="711">
        <f t="shared" si="25"/>
        <v>0</v>
      </c>
    </row>
    <row r="97" spans="1:32">
      <c r="A97" s="638">
        <v>84</v>
      </c>
      <c r="B97" s="342" t="s">
        <v>981</v>
      </c>
      <c r="C97" s="342" t="s">
        <v>439</v>
      </c>
      <c r="D97" s="638"/>
      <c r="E97" s="623" t="s">
        <v>440</v>
      </c>
      <c r="F97" s="637">
        <v>0</v>
      </c>
      <c r="G97" s="637">
        <v>0</v>
      </c>
      <c r="H97" s="637">
        <v>0</v>
      </c>
      <c r="I97" s="637">
        <v>0</v>
      </c>
      <c r="J97" s="637">
        <v>0</v>
      </c>
      <c r="K97" s="637">
        <v>0</v>
      </c>
      <c r="L97" s="637">
        <v>0</v>
      </c>
      <c r="M97" s="637">
        <v>0</v>
      </c>
      <c r="N97" s="637">
        <v>0</v>
      </c>
      <c r="O97" s="637">
        <v>0</v>
      </c>
      <c r="P97" s="637">
        <v>0</v>
      </c>
      <c r="Q97" s="637">
        <v>0</v>
      </c>
      <c r="R97" s="637">
        <v>0</v>
      </c>
      <c r="S97" s="320">
        <f>((F97+R97)+((G97+H97+I97+J97+K97+L97+M97+N97+O97+P97+Q97)*2))/24</f>
        <v>0</v>
      </c>
      <c r="T97" s="638"/>
      <c r="U97" s="675"/>
      <c r="V97" s="713"/>
      <c r="W97" s="713"/>
      <c r="X97" s="736"/>
      <c r="Y97" s="713"/>
      <c r="Z97" s="713"/>
      <c r="AA97" s="675"/>
      <c r="AB97" s="713"/>
      <c r="AC97" s="676"/>
      <c r="AD97" s="676"/>
      <c r="AE97" s="676"/>
      <c r="AF97" s="711">
        <f t="shared" si="25"/>
        <v>0</v>
      </c>
    </row>
    <row r="98" spans="1:32">
      <c r="A98" s="638">
        <v>85</v>
      </c>
      <c r="B98" s="638"/>
      <c r="C98" s="638"/>
      <c r="D98" s="638"/>
      <c r="E98" s="623"/>
      <c r="F98" s="637"/>
      <c r="G98" s="330"/>
      <c r="H98" s="331"/>
      <c r="I98" s="331"/>
      <c r="J98" s="332"/>
      <c r="K98" s="333"/>
      <c r="L98" s="334"/>
      <c r="M98" s="335"/>
      <c r="N98" s="336"/>
      <c r="O98" s="624"/>
      <c r="P98" s="337"/>
      <c r="Q98" s="338"/>
      <c r="R98" s="637"/>
      <c r="S98" s="320"/>
      <c r="T98" s="638"/>
      <c r="U98" s="675"/>
      <c r="V98" s="713"/>
      <c r="W98" s="713"/>
      <c r="X98" s="736"/>
      <c r="Y98" s="713"/>
      <c r="Z98" s="713"/>
      <c r="AA98" s="675"/>
      <c r="AB98" s="713"/>
      <c r="AC98" s="676"/>
      <c r="AD98" s="676"/>
      <c r="AE98" s="676"/>
      <c r="AF98" s="711">
        <f t="shared" si="25"/>
        <v>0</v>
      </c>
    </row>
    <row r="99" spans="1:32">
      <c r="A99" s="638">
        <v>86</v>
      </c>
      <c r="B99" s="638"/>
      <c r="C99" s="638"/>
      <c r="D99" s="638"/>
      <c r="E99" s="623" t="s">
        <v>441</v>
      </c>
      <c r="F99" s="637">
        <f t="shared" ref="F99:S99" si="28">+F97+F95+F81</f>
        <v>19915693.260000002</v>
      </c>
      <c r="G99" s="637">
        <f t="shared" si="28"/>
        <v>32062912.460000005</v>
      </c>
      <c r="H99" s="637">
        <f t="shared" si="28"/>
        <v>32772731.760000002</v>
      </c>
      <c r="I99" s="637">
        <f t="shared" si="28"/>
        <v>26164066.809999999</v>
      </c>
      <c r="J99" s="637">
        <f t="shared" si="28"/>
        <v>27561572.57</v>
      </c>
      <c r="K99" s="637">
        <f t="shared" si="28"/>
        <v>21874739.5</v>
      </c>
      <c r="L99" s="637">
        <f t="shared" si="28"/>
        <v>19661805.380000003</v>
      </c>
      <c r="M99" s="637">
        <f t="shared" si="28"/>
        <v>19221271.530000001</v>
      </c>
      <c r="N99" s="637">
        <f t="shared" si="28"/>
        <v>20134916.27</v>
      </c>
      <c r="O99" s="637">
        <f t="shared" si="28"/>
        <v>18067141.969999999</v>
      </c>
      <c r="P99" s="637">
        <f t="shared" si="28"/>
        <v>21494563.02</v>
      </c>
      <c r="Q99" s="637">
        <f t="shared" si="28"/>
        <v>22366402.489999995</v>
      </c>
      <c r="R99" s="637">
        <f t="shared" si="28"/>
        <v>27239136.870000001</v>
      </c>
      <c r="S99" s="514">
        <f t="shared" si="28"/>
        <v>23746628.235416666</v>
      </c>
      <c r="T99" s="638"/>
      <c r="U99" s="675"/>
      <c r="V99" s="713"/>
      <c r="W99" s="713"/>
      <c r="X99" s="736"/>
      <c r="Y99" s="713"/>
      <c r="Z99" s="713"/>
      <c r="AA99" s="675"/>
      <c r="AB99" s="713"/>
      <c r="AC99" s="676"/>
      <c r="AD99" s="676"/>
      <c r="AE99" s="676"/>
      <c r="AF99" s="711">
        <f t="shared" si="25"/>
        <v>0</v>
      </c>
    </row>
    <row r="100" spans="1:32">
      <c r="A100" s="638">
        <v>87</v>
      </c>
      <c r="B100" s="638"/>
      <c r="C100" s="638"/>
      <c r="D100" s="638"/>
      <c r="E100" s="623"/>
      <c r="F100" s="637"/>
      <c r="G100" s="330"/>
      <c r="H100" s="331"/>
      <c r="I100" s="331"/>
      <c r="J100" s="332"/>
      <c r="K100" s="333"/>
      <c r="L100" s="334"/>
      <c r="M100" s="335"/>
      <c r="N100" s="336"/>
      <c r="O100" s="624"/>
      <c r="P100" s="337"/>
      <c r="Q100" s="338"/>
      <c r="R100" s="637"/>
      <c r="S100" s="320">
        <f>((F100+R100)+((G100+H100+I100+J100+K100+L100+M100+N100+O100+P100+Q100)*2))/24</f>
        <v>0</v>
      </c>
      <c r="T100" s="638"/>
      <c r="U100" s="675"/>
      <c r="V100" s="713"/>
      <c r="W100" s="713"/>
      <c r="X100" s="736"/>
      <c r="Y100" s="713"/>
      <c r="Z100" s="713"/>
      <c r="AA100" s="675"/>
      <c r="AB100" s="713"/>
      <c r="AC100" s="676"/>
      <c r="AD100" s="676"/>
      <c r="AE100" s="676"/>
      <c r="AF100" s="711">
        <f t="shared" si="25"/>
        <v>0</v>
      </c>
    </row>
    <row r="101" spans="1:32">
      <c r="A101" s="638">
        <v>88</v>
      </c>
      <c r="B101" s="342" t="s">
        <v>1009</v>
      </c>
      <c r="C101" s="342" t="s">
        <v>442</v>
      </c>
      <c r="D101" s="342" t="s">
        <v>731</v>
      </c>
      <c r="E101" s="636" t="s">
        <v>1523</v>
      </c>
      <c r="F101" s="637">
        <v>-122637.92</v>
      </c>
      <c r="G101" s="637">
        <v>-124312.5</v>
      </c>
      <c r="H101" s="637">
        <v>-124312.5</v>
      </c>
      <c r="I101" s="637">
        <v>-124312.5</v>
      </c>
      <c r="J101" s="637">
        <v>-124312.5</v>
      </c>
      <c r="K101" s="637">
        <v>-124312.5</v>
      </c>
      <c r="L101" s="637">
        <v>-124312.5</v>
      </c>
      <c r="M101" s="637">
        <v>-124312.5</v>
      </c>
      <c r="N101" s="637">
        <v>-124312.5</v>
      </c>
      <c r="O101" s="637">
        <v>-124312.5</v>
      </c>
      <c r="P101" s="637">
        <v>-124312.5</v>
      </c>
      <c r="Q101" s="637">
        <v>-124312.5</v>
      </c>
      <c r="R101" s="637">
        <v>-124312.5</v>
      </c>
      <c r="S101" s="514">
        <f>((F101+R101)+((G101+H101+I101+J101+K101+L101+M101+N101+O101+P101+Q101)*2))/24</f>
        <v>-124242.72583333333</v>
      </c>
      <c r="T101" s="638"/>
      <c r="U101" s="675">
        <f t="shared" ref="U101:U119" si="29">+S101</f>
        <v>-124242.72583333333</v>
      </c>
      <c r="V101" s="713"/>
      <c r="W101" s="713"/>
      <c r="X101" s="736"/>
      <c r="Y101" s="713"/>
      <c r="Z101" s="713"/>
      <c r="AA101" s="675"/>
      <c r="AB101" s="713"/>
      <c r="AC101" s="676"/>
      <c r="AD101" s="677">
        <f t="shared" ref="AD101:AD119" si="30">+U101</f>
        <v>-124242.72583333333</v>
      </c>
      <c r="AE101" s="676"/>
      <c r="AF101" s="711">
        <f t="shared" si="25"/>
        <v>0</v>
      </c>
    </row>
    <row r="102" spans="1:32">
      <c r="A102" s="638">
        <v>89</v>
      </c>
      <c r="B102" s="342" t="s">
        <v>984</v>
      </c>
      <c r="C102" s="342" t="s">
        <v>442</v>
      </c>
      <c r="D102" s="342" t="s">
        <v>731</v>
      </c>
      <c r="E102" s="636" t="s">
        <v>1523</v>
      </c>
      <c r="F102" s="637">
        <v>-288682.78000000003</v>
      </c>
      <c r="G102" s="637">
        <v>-286609.34000000003</v>
      </c>
      <c r="H102" s="637">
        <v>-286609.34000000003</v>
      </c>
      <c r="I102" s="637">
        <v>-286609.34000000003</v>
      </c>
      <c r="J102" s="637">
        <v>-286609.34000000003</v>
      </c>
      <c r="K102" s="637">
        <v>-286609.34000000003</v>
      </c>
      <c r="L102" s="637">
        <v>-286609.34000000003</v>
      </c>
      <c r="M102" s="637">
        <v>-286609.34000000003</v>
      </c>
      <c r="N102" s="637">
        <v>-286609.34000000003</v>
      </c>
      <c r="O102" s="637">
        <v>-286609.34000000003</v>
      </c>
      <c r="P102" s="637">
        <v>-286609.34000000003</v>
      </c>
      <c r="Q102" s="637">
        <v>-286609.34000000003</v>
      </c>
      <c r="R102" s="637">
        <v>-286609.34000000003</v>
      </c>
      <c r="S102" s="514">
        <f t="shared" ref="S102:S114" si="31">((F102+R102)+((G102+H102+I102+J102+K102+L102+M102+N102+O102+P102+Q102)*2))/24</f>
        <v>-286695.73333333334</v>
      </c>
      <c r="T102" s="638"/>
      <c r="U102" s="675">
        <f t="shared" si="29"/>
        <v>-286695.73333333334</v>
      </c>
      <c r="V102" s="713"/>
      <c r="W102" s="713"/>
      <c r="X102" s="736"/>
      <c r="Y102" s="713"/>
      <c r="Z102" s="713"/>
      <c r="AA102" s="675"/>
      <c r="AB102" s="713"/>
      <c r="AC102" s="676"/>
      <c r="AD102" s="677">
        <f t="shared" si="30"/>
        <v>-286695.73333333334</v>
      </c>
      <c r="AE102" s="676"/>
      <c r="AF102" s="711">
        <f t="shared" si="25"/>
        <v>0</v>
      </c>
    </row>
    <row r="103" spans="1:32">
      <c r="A103" s="638">
        <v>90</v>
      </c>
      <c r="B103" s="342" t="s">
        <v>1009</v>
      </c>
      <c r="C103" s="342" t="s">
        <v>442</v>
      </c>
      <c r="D103" s="342" t="s">
        <v>1141</v>
      </c>
      <c r="E103" s="636" t="s">
        <v>1524</v>
      </c>
      <c r="F103" s="637">
        <v>282955.15999999997</v>
      </c>
      <c r="G103" s="637">
        <v>11327.84</v>
      </c>
      <c r="H103" s="637">
        <v>22213.93</v>
      </c>
      <c r="I103" s="637">
        <v>32387.98</v>
      </c>
      <c r="J103" s="637">
        <v>54779.91</v>
      </c>
      <c r="K103" s="637">
        <v>78665.52</v>
      </c>
      <c r="L103" s="637">
        <v>100681.26</v>
      </c>
      <c r="M103" s="637">
        <v>151328.31</v>
      </c>
      <c r="N103" s="637">
        <v>204997.67</v>
      </c>
      <c r="O103" s="637">
        <v>246804.94</v>
      </c>
      <c r="P103" s="637">
        <v>284071.87</v>
      </c>
      <c r="Q103" s="637">
        <v>310348.12</v>
      </c>
      <c r="R103" s="637">
        <v>325220.74</v>
      </c>
      <c r="S103" s="514">
        <f t="shared" si="31"/>
        <v>150141.27499999999</v>
      </c>
      <c r="T103" s="638"/>
      <c r="U103" s="675">
        <f t="shared" si="29"/>
        <v>150141.27499999999</v>
      </c>
      <c r="V103" s="713"/>
      <c r="W103" s="713"/>
      <c r="X103" s="736"/>
      <c r="Y103" s="713"/>
      <c r="Z103" s="713"/>
      <c r="AA103" s="675"/>
      <c r="AB103" s="713"/>
      <c r="AC103" s="676"/>
      <c r="AD103" s="677">
        <f t="shared" si="30"/>
        <v>150141.27499999999</v>
      </c>
      <c r="AE103" s="676"/>
      <c r="AF103" s="711">
        <f t="shared" si="25"/>
        <v>0</v>
      </c>
    </row>
    <row r="104" spans="1:32">
      <c r="A104" s="638">
        <v>91</v>
      </c>
      <c r="B104" s="342" t="s">
        <v>984</v>
      </c>
      <c r="C104" s="342" t="s">
        <v>442</v>
      </c>
      <c r="D104" s="342" t="s">
        <v>1141</v>
      </c>
      <c r="E104" s="636" t="s">
        <v>1524</v>
      </c>
      <c r="F104" s="637">
        <v>1101392.3700000001</v>
      </c>
      <c r="G104" s="637">
        <v>49071.930000000197</v>
      </c>
      <c r="H104" s="637">
        <v>83217.950000000201</v>
      </c>
      <c r="I104" s="637">
        <v>113578.86</v>
      </c>
      <c r="J104" s="637">
        <v>183011.42</v>
      </c>
      <c r="K104" s="637">
        <v>280115.62</v>
      </c>
      <c r="L104" s="637">
        <v>371146.91</v>
      </c>
      <c r="M104" s="637">
        <v>586783.9</v>
      </c>
      <c r="N104" s="637">
        <v>727245.54</v>
      </c>
      <c r="O104" s="637">
        <v>861027.18</v>
      </c>
      <c r="P104" s="637">
        <v>995353.46</v>
      </c>
      <c r="Q104" s="637">
        <v>1079903.93</v>
      </c>
      <c r="R104" s="637">
        <v>1144052.1599999999</v>
      </c>
      <c r="S104" s="514">
        <f t="shared" si="31"/>
        <v>537764.91374999995</v>
      </c>
      <c r="T104" s="638"/>
      <c r="U104" s="675">
        <f t="shared" si="29"/>
        <v>537764.91374999995</v>
      </c>
      <c r="V104" s="713"/>
      <c r="W104" s="713"/>
      <c r="X104" s="736"/>
      <c r="Y104" s="713"/>
      <c r="Z104" s="713"/>
      <c r="AA104" s="675"/>
      <c r="AB104" s="713"/>
      <c r="AC104" s="676"/>
      <c r="AD104" s="677">
        <f t="shared" si="30"/>
        <v>537764.91374999995</v>
      </c>
      <c r="AE104" s="676"/>
      <c r="AF104" s="711">
        <f t="shared" si="25"/>
        <v>0</v>
      </c>
    </row>
    <row r="105" spans="1:32">
      <c r="A105" s="638">
        <v>92</v>
      </c>
      <c r="B105" s="342" t="s">
        <v>1009</v>
      </c>
      <c r="C105" s="342" t="s">
        <v>442</v>
      </c>
      <c r="D105" s="342" t="s">
        <v>989</v>
      </c>
      <c r="E105" s="636" t="s">
        <v>1525</v>
      </c>
      <c r="F105" s="637">
        <v>-109625.87</v>
      </c>
      <c r="G105" s="637">
        <v>-5087.0099999999902</v>
      </c>
      <c r="H105" s="637">
        <v>-11592.06</v>
      </c>
      <c r="I105" s="637">
        <v>-22824.77</v>
      </c>
      <c r="J105" s="637">
        <v>-33531.83</v>
      </c>
      <c r="K105" s="637">
        <v>-39091.54</v>
      </c>
      <c r="L105" s="637">
        <v>-46511.82</v>
      </c>
      <c r="M105" s="637">
        <v>-56105.72</v>
      </c>
      <c r="N105" s="637">
        <v>-61630.54</v>
      </c>
      <c r="O105" s="637">
        <v>-72130.33</v>
      </c>
      <c r="P105" s="637">
        <v>-89524.45</v>
      </c>
      <c r="Q105" s="637">
        <v>-98226.01</v>
      </c>
      <c r="R105" s="637">
        <v>-105119.37</v>
      </c>
      <c r="S105" s="514">
        <f t="shared" si="31"/>
        <v>-53635.724999999999</v>
      </c>
      <c r="T105" s="638"/>
      <c r="U105" s="675">
        <f t="shared" si="29"/>
        <v>-53635.724999999999</v>
      </c>
      <c r="V105" s="713"/>
      <c r="W105" s="713"/>
      <c r="X105" s="736"/>
      <c r="Y105" s="713"/>
      <c r="Z105" s="713"/>
      <c r="AA105" s="675"/>
      <c r="AB105" s="713"/>
      <c r="AC105" s="676"/>
      <c r="AD105" s="677">
        <f t="shared" si="30"/>
        <v>-53635.724999999999</v>
      </c>
      <c r="AE105" s="676"/>
      <c r="AF105" s="711">
        <f t="shared" si="25"/>
        <v>0</v>
      </c>
    </row>
    <row r="106" spans="1:32">
      <c r="A106" s="638">
        <v>93</v>
      </c>
      <c r="B106" s="342" t="s">
        <v>984</v>
      </c>
      <c r="C106" s="342" t="s">
        <v>442</v>
      </c>
      <c r="D106" s="342" t="s">
        <v>989</v>
      </c>
      <c r="E106" s="636" t="s">
        <v>1525</v>
      </c>
      <c r="F106" s="637">
        <v>-420596.92</v>
      </c>
      <c r="G106" s="637">
        <v>-21507.34</v>
      </c>
      <c r="H106" s="637">
        <v>-43443.11</v>
      </c>
      <c r="I106" s="637">
        <v>-59322.21</v>
      </c>
      <c r="J106" s="637">
        <v>-74592.69</v>
      </c>
      <c r="K106" s="637">
        <v>-89640.48</v>
      </c>
      <c r="L106" s="637">
        <v>-101404.6</v>
      </c>
      <c r="M106" s="637">
        <v>-124327.71</v>
      </c>
      <c r="N106" s="637">
        <v>-139121.70000000001</v>
      </c>
      <c r="O106" s="637">
        <v>-160352.97</v>
      </c>
      <c r="P106" s="637">
        <v>-203725.22</v>
      </c>
      <c r="Q106" s="637">
        <v>-225037.69</v>
      </c>
      <c r="R106" s="637">
        <v>-247474.88</v>
      </c>
      <c r="S106" s="514">
        <f t="shared" si="31"/>
        <v>-131375.96833333335</v>
      </c>
      <c r="T106" s="638"/>
      <c r="U106" s="675">
        <f t="shared" si="29"/>
        <v>-131375.96833333335</v>
      </c>
      <c r="V106" s="713"/>
      <c r="W106" s="713"/>
      <c r="X106" s="736"/>
      <c r="Y106" s="713"/>
      <c r="Z106" s="713"/>
      <c r="AA106" s="675"/>
      <c r="AB106" s="713"/>
      <c r="AC106" s="676"/>
      <c r="AD106" s="677">
        <f t="shared" si="30"/>
        <v>-131375.96833333335</v>
      </c>
      <c r="AE106" s="676"/>
      <c r="AF106" s="711">
        <f t="shared" si="25"/>
        <v>0</v>
      </c>
    </row>
    <row r="107" spans="1:32">
      <c r="A107" s="638">
        <v>94</v>
      </c>
      <c r="B107" s="342" t="s">
        <v>1009</v>
      </c>
      <c r="C107" s="342" t="s">
        <v>442</v>
      </c>
      <c r="D107" s="342" t="s">
        <v>1142</v>
      </c>
      <c r="E107" s="636" t="s">
        <v>1526</v>
      </c>
      <c r="F107" s="637">
        <v>-175003.87</v>
      </c>
      <c r="G107" s="637">
        <v>-38111.449999999997</v>
      </c>
      <c r="H107" s="637">
        <v>-39869.29</v>
      </c>
      <c r="I107" s="637">
        <v>-61466.66</v>
      </c>
      <c r="J107" s="637">
        <v>-40298.74</v>
      </c>
      <c r="K107" s="637">
        <v>-59310.23</v>
      </c>
      <c r="L107" s="637">
        <v>-56447.34</v>
      </c>
      <c r="M107" s="637">
        <v>-92652.3</v>
      </c>
      <c r="N107" s="637">
        <v>-117529.4</v>
      </c>
      <c r="O107" s="637">
        <v>-142688.54</v>
      </c>
      <c r="P107" s="637">
        <v>-162904.01</v>
      </c>
      <c r="Q107" s="637">
        <v>-191713.73</v>
      </c>
      <c r="R107" s="637">
        <v>-223987.58</v>
      </c>
      <c r="S107" s="514">
        <f t="shared" si="31"/>
        <v>-100207.28458333334</v>
      </c>
      <c r="T107" s="638"/>
      <c r="U107" s="675">
        <f t="shared" si="29"/>
        <v>-100207.28458333334</v>
      </c>
      <c r="V107" s="713"/>
      <c r="W107" s="713"/>
      <c r="X107" s="736"/>
      <c r="Y107" s="713"/>
      <c r="Z107" s="713"/>
      <c r="AA107" s="675"/>
      <c r="AB107" s="713"/>
      <c r="AC107" s="676"/>
      <c r="AD107" s="677">
        <f t="shared" si="30"/>
        <v>-100207.28458333334</v>
      </c>
      <c r="AE107" s="676"/>
      <c r="AF107" s="711">
        <f t="shared" si="25"/>
        <v>0</v>
      </c>
    </row>
    <row r="108" spans="1:32">
      <c r="A108" s="638">
        <v>95</v>
      </c>
      <c r="B108" s="342" t="s">
        <v>984</v>
      </c>
      <c r="C108" s="342" t="s">
        <v>442</v>
      </c>
      <c r="D108" s="342" t="s">
        <v>1142</v>
      </c>
      <c r="E108" s="636" t="s">
        <v>1526</v>
      </c>
      <c r="F108" s="637">
        <v>-678722.01</v>
      </c>
      <c r="G108" s="637">
        <v>-145961.84</v>
      </c>
      <c r="H108" s="637">
        <v>-177647.74</v>
      </c>
      <c r="I108" s="637">
        <v>-269231.44</v>
      </c>
      <c r="J108" s="637">
        <v>-215433.89</v>
      </c>
      <c r="K108" s="637">
        <v>-225081.71</v>
      </c>
      <c r="L108" s="637">
        <v>-269526.67</v>
      </c>
      <c r="M108" s="637">
        <v>-402230.81</v>
      </c>
      <c r="N108" s="637">
        <v>-482900.77</v>
      </c>
      <c r="O108" s="637">
        <v>-593285.81000000006</v>
      </c>
      <c r="P108" s="637">
        <v>-682880.71</v>
      </c>
      <c r="Q108" s="637">
        <v>-802882.52</v>
      </c>
      <c r="R108" s="637">
        <v>-950124.39</v>
      </c>
      <c r="S108" s="514">
        <f t="shared" si="31"/>
        <v>-423457.25916666671</v>
      </c>
      <c r="T108" s="638"/>
      <c r="U108" s="675">
        <f t="shared" si="29"/>
        <v>-423457.25916666671</v>
      </c>
      <c r="V108" s="713"/>
      <c r="W108" s="713"/>
      <c r="X108" s="736"/>
      <c r="Y108" s="713"/>
      <c r="Z108" s="713"/>
      <c r="AA108" s="675"/>
      <c r="AB108" s="713"/>
      <c r="AC108" s="676"/>
      <c r="AD108" s="677">
        <f t="shared" si="30"/>
        <v>-423457.25916666671</v>
      </c>
      <c r="AE108" s="676"/>
      <c r="AF108" s="711">
        <f t="shared" si="25"/>
        <v>0</v>
      </c>
    </row>
    <row r="109" spans="1:32">
      <c r="A109" s="638">
        <v>96</v>
      </c>
      <c r="B109" s="342" t="s">
        <v>1009</v>
      </c>
      <c r="C109" s="342" t="s">
        <v>443</v>
      </c>
      <c r="D109" s="342" t="s">
        <v>731</v>
      </c>
      <c r="E109" s="636" t="s">
        <v>1527</v>
      </c>
      <c r="F109" s="637">
        <v>-9984</v>
      </c>
      <c r="G109" s="637">
        <v>-10060</v>
      </c>
      <c r="H109" s="637">
        <v>-10060</v>
      </c>
      <c r="I109" s="637">
        <v>-10060</v>
      </c>
      <c r="J109" s="637">
        <v>-10060</v>
      </c>
      <c r="K109" s="637">
        <v>-10060</v>
      </c>
      <c r="L109" s="637">
        <v>-10060</v>
      </c>
      <c r="M109" s="637">
        <v>-10060</v>
      </c>
      <c r="N109" s="637">
        <v>-10060</v>
      </c>
      <c r="O109" s="637">
        <v>-10060</v>
      </c>
      <c r="P109" s="637">
        <v>-10060</v>
      </c>
      <c r="Q109" s="637">
        <v>-10060</v>
      </c>
      <c r="R109" s="637">
        <v>-10060</v>
      </c>
      <c r="S109" s="514">
        <f t="shared" si="31"/>
        <v>-10056.833333333334</v>
      </c>
      <c r="T109" s="638"/>
      <c r="U109" s="675">
        <f t="shared" si="29"/>
        <v>-10056.833333333334</v>
      </c>
      <c r="V109" s="713"/>
      <c r="W109" s="713"/>
      <c r="X109" s="736"/>
      <c r="Y109" s="713"/>
      <c r="Z109" s="713"/>
      <c r="AA109" s="675"/>
      <c r="AB109" s="713"/>
      <c r="AC109" s="676"/>
      <c r="AD109" s="677">
        <f t="shared" si="30"/>
        <v>-10056.833333333334</v>
      </c>
      <c r="AE109" s="676"/>
      <c r="AF109" s="711">
        <f t="shared" si="25"/>
        <v>0</v>
      </c>
    </row>
    <row r="110" spans="1:32">
      <c r="A110" s="638">
        <v>97</v>
      </c>
      <c r="B110" s="342" t="s">
        <v>984</v>
      </c>
      <c r="C110" s="342" t="s">
        <v>443</v>
      </c>
      <c r="D110" s="342" t="s">
        <v>731</v>
      </c>
      <c r="E110" s="636" t="s">
        <v>1527</v>
      </c>
      <c r="F110" s="637">
        <v>-30016</v>
      </c>
      <c r="G110" s="637">
        <v>-29940</v>
      </c>
      <c r="H110" s="637">
        <v>-29940</v>
      </c>
      <c r="I110" s="637">
        <v>-29940</v>
      </c>
      <c r="J110" s="637">
        <v>-29940</v>
      </c>
      <c r="K110" s="637">
        <v>-29940</v>
      </c>
      <c r="L110" s="637">
        <v>-29940</v>
      </c>
      <c r="M110" s="637">
        <v>-29940</v>
      </c>
      <c r="N110" s="637">
        <v>-29940</v>
      </c>
      <c r="O110" s="637">
        <v>-29940</v>
      </c>
      <c r="P110" s="637">
        <v>-29940</v>
      </c>
      <c r="Q110" s="637">
        <v>-29940</v>
      </c>
      <c r="R110" s="637">
        <v>-29940</v>
      </c>
      <c r="S110" s="514">
        <f t="shared" si="31"/>
        <v>-29943.166666666668</v>
      </c>
      <c r="T110" s="638"/>
      <c r="U110" s="675">
        <f t="shared" si="29"/>
        <v>-29943.166666666668</v>
      </c>
      <c r="V110" s="713"/>
      <c r="W110" s="713"/>
      <c r="X110" s="736"/>
      <c r="Y110" s="713"/>
      <c r="Z110" s="713"/>
      <c r="AA110" s="675"/>
      <c r="AB110" s="713"/>
      <c r="AC110" s="676"/>
      <c r="AD110" s="677">
        <f t="shared" si="30"/>
        <v>-29943.166666666668</v>
      </c>
      <c r="AE110" s="676"/>
      <c r="AF110" s="711">
        <f t="shared" si="25"/>
        <v>0</v>
      </c>
    </row>
    <row r="111" spans="1:32">
      <c r="A111" s="638">
        <v>98</v>
      </c>
      <c r="B111" s="342" t="s">
        <v>1009</v>
      </c>
      <c r="C111" s="342" t="s">
        <v>443</v>
      </c>
      <c r="D111" s="342" t="s">
        <v>1141</v>
      </c>
      <c r="E111" s="636" t="s">
        <v>1529</v>
      </c>
      <c r="F111" s="637">
        <v>0</v>
      </c>
      <c r="G111" s="637">
        <v>0</v>
      </c>
      <c r="H111" s="637">
        <v>0</v>
      </c>
      <c r="I111" s="637">
        <v>0</v>
      </c>
      <c r="J111" s="637">
        <v>0</v>
      </c>
      <c r="K111" s="637">
        <v>0</v>
      </c>
      <c r="L111" s="637">
        <v>0</v>
      </c>
      <c r="M111" s="637">
        <v>0</v>
      </c>
      <c r="N111" s="637">
        <v>0</v>
      </c>
      <c r="O111" s="637">
        <v>0</v>
      </c>
      <c r="P111" s="637">
        <v>0</v>
      </c>
      <c r="Q111" s="637">
        <v>0</v>
      </c>
      <c r="R111" s="637">
        <v>0</v>
      </c>
      <c r="S111" s="514">
        <f>((F111+R111)+((G111+H111+I111+J111+K111+L111+M111+N111+O111+P111+Q111)*2))/24</f>
        <v>0</v>
      </c>
      <c r="T111" s="638"/>
      <c r="U111" s="675">
        <f t="shared" si="29"/>
        <v>0</v>
      </c>
      <c r="V111" s="713"/>
      <c r="W111" s="713"/>
      <c r="X111" s="736"/>
      <c r="Y111" s="713"/>
      <c r="Z111" s="713"/>
      <c r="AA111" s="675"/>
      <c r="AB111" s="713"/>
      <c r="AC111" s="676"/>
      <c r="AD111" s="677">
        <f t="shared" si="30"/>
        <v>0</v>
      </c>
      <c r="AE111" s="676"/>
      <c r="AF111" s="711">
        <f t="shared" si="25"/>
        <v>0</v>
      </c>
    </row>
    <row r="112" spans="1:32">
      <c r="A112" s="638">
        <v>99</v>
      </c>
      <c r="B112" s="342" t="s">
        <v>984</v>
      </c>
      <c r="C112" s="342" t="s">
        <v>443</v>
      </c>
      <c r="D112" s="342" t="s">
        <v>1141</v>
      </c>
      <c r="E112" s="636" t="s">
        <v>1529</v>
      </c>
      <c r="F112" s="637">
        <v>0</v>
      </c>
      <c r="G112" s="637">
        <v>0</v>
      </c>
      <c r="H112" s="637">
        <v>0</v>
      </c>
      <c r="I112" s="637">
        <v>0</v>
      </c>
      <c r="J112" s="637">
        <v>0</v>
      </c>
      <c r="K112" s="637">
        <v>182.61</v>
      </c>
      <c r="L112" s="637">
        <v>1543.52</v>
      </c>
      <c r="M112" s="637">
        <v>1543.52</v>
      </c>
      <c r="N112" s="637">
        <v>1543.52</v>
      </c>
      <c r="O112" s="637">
        <v>21528.560000000001</v>
      </c>
      <c r="P112" s="637">
        <v>21528.560000000001</v>
      </c>
      <c r="Q112" s="637">
        <v>21528.560000000001</v>
      </c>
      <c r="R112" s="637">
        <v>21528.560000000001</v>
      </c>
      <c r="S112" s="514">
        <f t="shared" si="31"/>
        <v>6680.2608333333337</v>
      </c>
      <c r="T112" s="638"/>
      <c r="U112" s="675">
        <f t="shared" si="29"/>
        <v>6680.2608333333337</v>
      </c>
      <c r="V112" s="713"/>
      <c r="W112" s="713"/>
      <c r="X112" s="736"/>
      <c r="Y112" s="713"/>
      <c r="Z112" s="713"/>
      <c r="AA112" s="675"/>
      <c r="AB112" s="713"/>
      <c r="AC112" s="676"/>
      <c r="AD112" s="677">
        <f t="shared" si="30"/>
        <v>6680.2608333333337</v>
      </c>
      <c r="AE112" s="676"/>
      <c r="AF112" s="711">
        <f t="shared" si="25"/>
        <v>0</v>
      </c>
    </row>
    <row r="113" spans="1:32">
      <c r="A113" s="638">
        <v>100</v>
      </c>
      <c r="B113" s="342" t="s">
        <v>984</v>
      </c>
      <c r="C113" s="342" t="s">
        <v>443</v>
      </c>
      <c r="D113" s="342" t="s">
        <v>989</v>
      </c>
      <c r="E113" s="636" t="s">
        <v>1530</v>
      </c>
      <c r="F113" s="637">
        <v>0</v>
      </c>
      <c r="G113" s="637">
        <v>0</v>
      </c>
      <c r="H113" s="637">
        <v>0</v>
      </c>
      <c r="I113" s="637">
        <v>0</v>
      </c>
      <c r="J113" s="637">
        <v>0</v>
      </c>
      <c r="K113" s="637">
        <v>0</v>
      </c>
      <c r="L113" s="637">
        <v>0</v>
      </c>
      <c r="M113" s="637">
        <v>0</v>
      </c>
      <c r="N113" s="637">
        <v>0</v>
      </c>
      <c r="O113" s="637">
        <v>0</v>
      </c>
      <c r="P113" s="637">
        <v>0</v>
      </c>
      <c r="Q113" s="637">
        <v>0</v>
      </c>
      <c r="R113" s="637">
        <v>0</v>
      </c>
      <c r="S113" s="514">
        <f t="shared" si="31"/>
        <v>0</v>
      </c>
      <c r="T113" s="638"/>
      <c r="U113" s="675">
        <f t="shared" si="29"/>
        <v>0</v>
      </c>
      <c r="V113" s="713"/>
      <c r="W113" s="713"/>
      <c r="X113" s="736"/>
      <c r="Y113" s="713"/>
      <c r="Z113" s="713"/>
      <c r="AA113" s="675"/>
      <c r="AB113" s="713"/>
      <c r="AC113" s="676"/>
      <c r="AD113" s="677">
        <f t="shared" si="30"/>
        <v>0</v>
      </c>
      <c r="AE113" s="676"/>
      <c r="AF113" s="711">
        <f t="shared" si="25"/>
        <v>0</v>
      </c>
    </row>
    <row r="114" spans="1:32">
      <c r="A114" s="638">
        <v>101</v>
      </c>
      <c r="B114" s="342" t="s">
        <v>1009</v>
      </c>
      <c r="C114" s="342" t="s">
        <v>443</v>
      </c>
      <c r="D114" s="342" t="s">
        <v>1142</v>
      </c>
      <c r="E114" s="636" t="s">
        <v>1528</v>
      </c>
      <c r="F114" s="637">
        <v>-76</v>
      </c>
      <c r="G114" s="637">
        <v>0</v>
      </c>
      <c r="H114" s="637">
        <v>0</v>
      </c>
      <c r="I114" s="637">
        <v>0</v>
      </c>
      <c r="J114" s="637">
        <v>0</v>
      </c>
      <c r="K114" s="637">
        <v>0</v>
      </c>
      <c r="L114" s="637">
        <v>0</v>
      </c>
      <c r="M114" s="637">
        <v>0</v>
      </c>
      <c r="N114" s="637">
        <v>0</v>
      </c>
      <c r="O114" s="637">
        <v>0</v>
      </c>
      <c r="P114" s="637">
        <v>0</v>
      </c>
      <c r="Q114" s="637">
        <v>0</v>
      </c>
      <c r="R114" s="637">
        <v>2611</v>
      </c>
      <c r="S114" s="514">
        <f t="shared" si="31"/>
        <v>105.625</v>
      </c>
      <c r="T114" s="638"/>
      <c r="U114" s="675">
        <f t="shared" si="29"/>
        <v>105.625</v>
      </c>
      <c r="V114" s="713"/>
      <c r="W114" s="713"/>
      <c r="X114" s="736"/>
      <c r="Y114" s="713"/>
      <c r="Z114" s="713"/>
      <c r="AA114" s="675"/>
      <c r="AB114" s="713"/>
      <c r="AC114" s="676"/>
      <c r="AD114" s="677">
        <f t="shared" si="30"/>
        <v>105.625</v>
      </c>
      <c r="AE114" s="676"/>
      <c r="AF114" s="711">
        <f t="shared" si="25"/>
        <v>0</v>
      </c>
    </row>
    <row r="115" spans="1:32">
      <c r="A115" s="638">
        <v>102</v>
      </c>
      <c r="B115" s="342" t="s">
        <v>984</v>
      </c>
      <c r="C115" s="342" t="s">
        <v>443</v>
      </c>
      <c r="D115" s="342" t="s">
        <v>1142</v>
      </c>
      <c r="E115" s="636" t="s">
        <v>1528</v>
      </c>
      <c r="F115" s="637">
        <v>76</v>
      </c>
      <c r="G115" s="637">
        <v>0</v>
      </c>
      <c r="H115" s="637">
        <v>0</v>
      </c>
      <c r="I115" s="637">
        <v>0</v>
      </c>
      <c r="J115" s="637">
        <v>0</v>
      </c>
      <c r="K115" s="637">
        <v>0</v>
      </c>
      <c r="L115" s="637">
        <v>0</v>
      </c>
      <c r="M115" s="637">
        <v>0</v>
      </c>
      <c r="N115" s="637">
        <v>0</v>
      </c>
      <c r="O115" s="637">
        <v>0</v>
      </c>
      <c r="P115" s="637">
        <v>0</v>
      </c>
      <c r="Q115" s="637">
        <v>0</v>
      </c>
      <c r="R115" s="637">
        <v>-14139.56</v>
      </c>
      <c r="S115" s="514">
        <f>((F115+R115)+((G115+H115+I115+J115+K115+L115+M115+N115+O115+P115+Q115)*2))/24</f>
        <v>-585.98166666666668</v>
      </c>
      <c r="T115" s="638"/>
      <c r="U115" s="675">
        <f t="shared" si="29"/>
        <v>-585.98166666666668</v>
      </c>
      <c r="V115" s="713"/>
      <c r="W115" s="713"/>
      <c r="X115" s="736"/>
      <c r="Y115" s="713"/>
      <c r="Z115" s="713"/>
      <c r="AA115" s="675"/>
      <c r="AB115" s="713"/>
      <c r="AC115" s="676"/>
      <c r="AD115" s="677">
        <f t="shared" si="30"/>
        <v>-585.98166666666668</v>
      </c>
      <c r="AE115" s="676"/>
      <c r="AF115" s="711">
        <f t="shared" si="25"/>
        <v>0</v>
      </c>
    </row>
    <row r="116" spans="1:32">
      <c r="A116" s="638">
        <v>103</v>
      </c>
      <c r="B116" s="342" t="s">
        <v>981</v>
      </c>
      <c r="C116" s="342" t="s">
        <v>444</v>
      </c>
      <c r="D116" s="342" t="s">
        <v>731</v>
      </c>
      <c r="E116" s="636" t="s">
        <v>1519</v>
      </c>
      <c r="F116" s="637">
        <v>-20000</v>
      </c>
      <c r="G116" s="637">
        <v>-10000</v>
      </c>
      <c r="H116" s="637">
        <v>-10000</v>
      </c>
      <c r="I116" s="637">
        <v>-10000</v>
      </c>
      <c r="J116" s="637">
        <v>-10000</v>
      </c>
      <c r="K116" s="637">
        <v>-10000</v>
      </c>
      <c r="L116" s="637">
        <v>-10000</v>
      </c>
      <c r="M116" s="637">
        <v>-10000</v>
      </c>
      <c r="N116" s="637">
        <v>-10000</v>
      </c>
      <c r="O116" s="637">
        <v>-10000</v>
      </c>
      <c r="P116" s="637">
        <v>-10000</v>
      </c>
      <c r="Q116" s="637">
        <v>-10000</v>
      </c>
      <c r="R116" s="637">
        <v>-10000</v>
      </c>
      <c r="S116" s="514">
        <f>((F116+R116)+((G116+H116+I116+J116+K116+L116+M116+N116+O116+P116+Q116)*2))/24</f>
        <v>-10416.666666666666</v>
      </c>
      <c r="T116" s="638"/>
      <c r="U116" s="675">
        <f t="shared" si="29"/>
        <v>-10416.666666666666</v>
      </c>
      <c r="V116" s="713"/>
      <c r="W116" s="713"/>
      <c r="X116" s="736"/>
      <c r="Y116" s="713"/>
      <c r="Z116" s="713"/>
      <c r="AA116" s="675"/>
      <c r="AB116" s="713"/>
      <c r="AC116" s="676"/>
      <c r="AD116" s="677">
        <f t="shared" si="30"/>
        <v>-10416.666666666666</v>
      </c>
      <c r="AE116" s="676"/>
      <c r="AF116" s="711">
        <f t="shared" si="25"/>
        <v>0</v>
      </c>
    </row>
    <row r="117" spans="1:32">
      <c r="A117" s="638">
        <v>104</v>
      </c>
      <c r="B117" s="342" t="s">
        <v>981</v>
      </c>
      <c r="C117" s="342" t="s">
        <v>444</v>
      </c>
      <c r="D117" s="342" t="s">
        <v>1141</v>
      </c>
      <c r="E117" s="636" t="s">
        <v>1520</v>
      </c>
      <c r="F117" s="637">
        <v>32877.919999999998</v>
      </c>
      <c r="G117" s="637">
        <v>1003.22</v>
      </c>
      <c r="H117" s="637">
        <v>1003.22</v>
      </c>
      <c r="I117" s="637">
        <v>1708.18</v>
      </c>
      <c r="J117" s="637">
        <v>1708.18</v>
      </c>
      <c r="K117" s="637">
        <v>3677.61</v>
      </c>
      <c r="L117" s="637">
        <v>25095.45</v>
      </c>
      <c r="M117" s="637">
        <v>25095.45</v>
      </c>
      <c r="N117" s="637">
        <v>25095.45</v>
      </c>
      <c r="O117" s="637">
        <v>31605.26</v>
      </c>
      <c r="P117" s="637">
        <v>31605.26</v>
      </c>
      <c r="Q117" s="637">
        <v>34847.89</v>
      </c>
      <c r="R117" s="637">
        <v>34847.89</v>
      </c>
      <c r="S117" s="514">
        <f>((F117+R117)+((G117+H117+I117+J117+K117+L117+M117+N117+O117+P117+Q117)*2))/24</f>
        <v>18025.672916666666</v>
      </c>
      <c r="T117" s="638"/>
      <c r="U117" s="675">
        <f t="shared" si="29"/>
        <v>18025.672916666666</v>
      </c>
      <c r="V117" s="713"/>
      <c r="W117" s="713"/>
      <c r="X117" s="736"/>
      <c r="Y117" s="713"/>
      <c r="Z117" s="713"/>
      <c r="AA117" s="675"/>
      <c r="AB117" s="713"/>
      <c r="AC117" s="676"/>
      <c r="AD117" s="677">
        <f t="shared" si="30"/>
        <v>18025.672916666666</v>
      </c>
      <c r="AE117" s="676"/>
      <c r="AF117" s="711">
        <f t="shared" si="25"/>
        <v>0</v>
      </c>
    </row>
    <row r="118" spans="1:32">
      <c r="A118" s="638">
        <v>105</v>
      </c>
      <c r="B118" s="342" t="s">
        <v>981</v>
      </c>
      <c r="C118" s="342" t="s">
        <v>444</v>
      </c>
      <c r="D118" s="342" t="s">
        <v>989</v>
      </c>
      <c r="E118" s="636" t="s">
        <v>1521</v>
      </c>
      <c r="F118" s="637">
        <v>-916.75</v>
      </c>
      <c r="G118" s="637">
        <v>0</v>
      </c>
      <c r="H118" s="637">
        <v>0</v>
      </c>
      <c r="I118" s="637">
        <v>0</v>
      </c>
      <c r="J118" s="637">
        <v>0</v>
      </c>
      <c r="K118" s="637">
        <v>0</v>
      </c>
      <c r="L118" s="637">
        <v>0</v>
      </c>
      <c r="M118" s="637">
        <v>0</v>
      </c>
      <c r="N118" s="637">
        <v>0</v>
      </c>
      <c r="O118" s="637">
        <v>0</v>
      </c>
      <c r="P118" s="637">
        <v>0</v>
      </c>
      <c r="Q118" s="637">
        <v>0</v>
      </c>
      <c r="R118" s="637">
        <v>0</v>
      </c>
      <c r="S118" s="514">
        <f>((F118+R118)+((G118+H118+I118+J118+K118+L118+M118+N118+O118+P118+Q118)*2))/24</f>
        <v>-38.197916666666664</v>
      </c>
      <c r="T118" s="638"/>
      <c r="U118" s="675">
        <f t="shared" si="29"/>
        <v>-38.197916666666664</v>
      </c>
      <c r="V118" s="713"/>
      <c r="W118" s="713"/>
      <c r="X118" s="736"/>
      <c r="Y118" s="713"/>
      <c r="Z118" s="713"/>
      <c r="AA118" s="675"/>
      <c r="AB118" s="713"/>
      <c r="AC118" s="676"/>
      <c r="AD118" s="677">
        <f t="shared" si="30"/>
        <v>-38.197916666666664</v>
      </c>
      <c r="AE118" s="676"/>
      <c r="AF118" s="711">
        <f t="shared" si="25"/>
        <v>0</v>
      </c>
    </row>
    <row r="119" spans="1:32">
      <c r="A119" s="638">
        <v>106</v>
      </c>
      <c r="B119" s="342" t="s">
        <v>981</v>
      </c>
      <c r="C119" s="342" t="s">
        <v>444</v>
      </c>
      <c r="D119" s="342" t="s">
        <v>1142</v>
      </c>
      <c r="E119" s="636" t="s">
        <v>1522</v>
      </c>
      <c r="F119" s="329">
        <v>-21961.17</v>
      </c>
      <c r="G119" s="329">
        <v>0</v>
      </c>
      <c r="H119" s="329">
        <v>0</v>
      </c>
      <c r="I119" s="329">
        <v>0</v>
      </c>
      <c r="J119" s="329">
        <v>0</v>
      </c>
      <c r="K119" s="329">
        <v>0</v>
      </c>
      <c r="L119" s="329">
        <v>-30095.45</v>
      </c>
      <c r="M119" s="329">
        <v>-30095.45</v>
      </c>
      <c r="N119" s="329">
        <v>-30095.45</v>
      </c>
      <c r="O119" s="329">
        <v>-30095.45</v>
      </c>
      <c r="P119" s="329">
        <v>-30095.45</v>
      </c>
      <c r="Q119" s="329">
        <v>-30095.45</v>
      </c>
      <c r="R119" s="329">
        <v>-39847.89</v>
      </c>
      <c r="S119" s="515">
        <f>((F119+R119)+((G119+H119+I119+J119+K119+L119+M119+N119+O119+P119+Q119)*2))/24</f>
        <v>-17623.102500000001</v>
      </c>
      <c r="T119" s="638"/>
      <c r="U119" s="675">
        <f t="shared" si="29"/>
        <v>-17623.102500000001</v>
      </c>
      <c r="V119" s="713"/>
      <c r="W119" s="713"/>
      <c r="X119" s="736"/>
      <c r="Y119" s="713"/>
      <c r="Z119" s="713"/>
      <c r="AA119" s="675"/>
      <c r="AB119" s="713"/>
      <c r="AC119" s="676"/>
      <c r="AD119" s="677">
        <f t="shared" si="30"/>
        <v>-17623.102500000001</v>
      </c>
      <c r="AE119" s="676"/>
      <c r="AF119" s="711">
        <f t="shared" si="25"/>
        <v>0</v>
      </c>
    </row>
    <row r="120" spans="1:32">
      <c r="A120" s="638">
        <v>107</v>
      </c>
      <c r="B120" s="638"/>
      <c r="C120" s="638"/>
      <c r="D120" s="638"/>
      <c r="E120" s="623" t="s">
        <v>445</v>
      </c>
      <c r="F120" s="635">
        <f t="shared" ref="F120:S120" si="32">SUM(F101:F119)</f>
        <v>-460921.83999999991</v>
      </c>
      <c r="G120" s="635">
        <f t="shared" si="32"/>
        <v>-610186.48999999987</v>
      </c>
      <c r="H120" s="635">
        <f t="shared" si="32"/>
        <v>-627038.93999999983</v>
      </c>
      <c r="I120" s="635">
        <f t="shared" si="32"/>
        <v>-726091.9</v>
      </c>
      <c r="J120" s="635">
        <f t="shared" si="32"/>
        <v>-585279.48</v>
      </c>
      <c r="K120" s="635">
        <f t="shared" si="32"/>
        <v>-511404.44000000006</v>
      </c>
      <c r="L120" s="635">
        <f t="shared" si="32"/>
        <v>-466440.58</v>
      </c>
      <c r="M120" s="635">
        <f t="shared" si="32"/>
        <v>-401582.64999999997</v>
      </c>
      <c r="N120" s="635">
        <f t="shared" si="32"/>
        <v>-333317.52</v>
      </c>
      <c r="O120" s="635">
        <f t="shared" si="32"/>
        <v>-298509</v>
      </c>
      <c r="P120" s="635">
        <f t="shared" si="32"/>
        <v>-297492.52999999991</v>
      </c>
      <c r="Q120" s="635">
        <f t="shared" si="32"/>
        <v>-362248.74</v>
      </c>
      <c r="R120" s="635">
        <f t="shared" si="32"/>
        <v>-513355.16000000015</v>
      </c>
      <c r="S120" s="517">
        <f t="shared" si="32"/>
        <v>-475560.8975000002</v>
      </c>
      <c r="T120" s="638"/>
      <c r="U120" s="675"/>
      <c r="V120" s="713"/>
      <c r="W120" s="713"/>
      <c r="X120" s="736"/>
      <c r="Y120" s="713"/>
      <c r="Z120" s="713"/>
      <c r="AA120" s="675"/>
      <c r="AB120" s="713"/>
      <c r="AC120" s="676"/>
      <c r="AD120" s="676"/>
      <c r="AE120" s="676"/>
      <c r="AF120" s="711">
        <f t="shared" si="25"/>
        <v>0</v>
      </c>
    </row>
    <row r="121" spans="1:32">
      <c r="A121" s="638">
        <v>108</v>
      </c>
      <c r="B121" s="638"/>
      <c r="C121" s="638"/>
      <c r="D121" s="638"/>
      <c r="E121" s="623"/>
      <c r="F121" s="322"/>
      <c r="G121" s="322"/>
      <c r="H121" s="322"/>
      <c r="I121" s="322"/>
      <c r="J121" s="322"/>
      <c r="K121" s="322"/>
      <c r="L121" s="322"/>
      <c r="M121" s="322"/>
      <c r="N121" s="322"/>
      <c r="O121" s="322"/>
      <c r="P121" s="322"/>
      <c r="Q121" s="322"/>
      <c r="R121" s="322"/>
      <c r="S121" s="320"/>
      <c r="T121" s="638"/>
      <c r="U121" s="675"/>
      <c r="V121" s="713"/>
      <c r="W121" s="713"/>
      <c r="X121" s="736"/>
      <c r="Y121" s="713"/>
      <c r="Z121" s="713"/>
      <c r="AA121" s="675"/>
      <c r="AB121" s="713"/>
      <c r="AC121" s="676"/>
      <c r="AD121" s="676"/>
      <c r="AE121" s="676"/>
      <c r="AF121" s="711">
        <f t="shared" si="25"/>
        <v>0</v>
      </c>
    </row>
    <row r="122" spans="1:32">
      <c r="A122" s="638">
        <v>109</v>
      </c>
      <c r="B122" s="638"/>
      <c r="C122" s="638"/>
      <c r="D122" s="638"/>
      <c r="E122" s="623" t="s">
        <v>446</v>
      </c>
      <c r="F122" s="321">
        <f t="shared" ref="F122:S122" si="33">+F99+F120</f>
        <v>19454771.420000002</v>
      </c>
      <c r="G122" s="321">
        <f t="shared" si="33"/>
        <v>31452725.970000006</v>
      </c>
      <c r="H122" s="321">
        <f t="shared" si="33"/>
        <v>32145692.82</v>
      </c>
      <c r="I122" s="321">
        <f t="shared" si="33"/>
        <v>25437974.91</v>
      </c>
      <c r="J122" s="321">
        <f t="shared" si="33"/>
        <v>26976293.09</v>
      </c>
      <c r="K122" s="321">
        <f t="shared" si="33"/>
        <v>21363335.059999999</v>
      </c>
      <c r="L122" s="321">
        <f t="shared" si="33"/>
        <v>19195364.800000004</v>
      </c>
      <c r="M122" s="321">
        <f t="shared" si="33"/>
        <v>18819688.880000003</v>
      </c>
      <c r="N122" s="321">
        <f t="shared" si="33"/>
        <v>19801598.75</v>
      </c>
      <c r="O122" s="321">
        <f t="shared" si="33"/>
        <v>17768632.969999999</v>
      </c>
      <c r="P122" s="321">
        <f t="shared" si="33"/>
        <v>21197070.489999998</v>
      </c>
      <c r="Q122" s="321">
        <f t="shared" si="33"/>
        <v>22004153.749999996</v>
      </c>
      <c r="R122" s="321">
        <f t="shared" si="33"/>
        <v>26725781.710000001</v>
      </c>
      <c r="S122" s="516">
        <f t="shared" si="33"/>
        <v>23271067.337916665</v>
      </c>
      <c r="T122" s="638"/>
      <c r="U122" s="675"/>
      <c r="V122" s="713"/>
      <c r="W122" s="713"/>
      <c r="X122" s="736"/>
      <c r="Y122" s="713"/>
      <c r="Z122" s="713"/>
      <c r="AA122" s="675"/>
      <c r="AB122" s="713"/>
      <c r="AC122" s="676"/>
      <c r="AD122" s="676"/>
      <c r="AE122" s="676"/>
      <c r="AF122" s="711">
        <f t="shared" si="25"/>
        <v>0</v>
      </c>
    </row>
    <row r="123" spans="1:32">
      <c r="A123" s="638">
        <v>110</v>
      </c>
      <c r="B123" s="638"/>
      <c r="C123" s="638"/>
      <c r="D123" s="638"/>
      <c r="E123" s="623"/>
      <c r="F123" s="637"/>
      <c r="G123" s="330"/>
      <c r="H123" s="331"/>
      <c r="I123" s="331"/>
      <c r="J123" s="332"/>
      <c r="K123" s="333"/>
      <c r="L123" s="334"/>
      <c r="M123" s="335"/>
      <c r="N123" s="336"/>
      <c r="O123" s="624"/>
      <c r="P123" s="337"/>
      <c r="Q123" s="338"/>
      <c r="R123" s="637"/>
      <c r="S123" s="320"/>
      <c r="T123" s="638"/>
      <c r="U123" s="675"/>
      <c r="V123" s="713"/>
      <c r="W123" s="713"/>
      <c r="X123" s="736"/>
      <c r="Y123" s="713"/>
      <c r="Z123" s="713"/>
      <c r="AA123" s="675"/>
      <c r="AB123" s="713"/>
      <c r="AC123" s="676"/>
      <c r="AD123" s="676"/>
      <c r="AE123" s="676"/>
      <c r="AF123" s="711">
        <f t="shared" si="25"/>
        <v>0</v>
      </c>
    </row>
    <row r="124" spans="1:32">
      <c r="A124" s="638">
        <v>111</v>
      </c>
      <c r="B124" s="342" t="s">
        <v>981</v>
      </c>
      <c r="C124" s="342" t="s">
        <v>447</v>
      </c>
      <c r="D124" s="342" t="s">
        <v>631</v>
      </c>
      <c r="E124" s="636" t="s">
        <v>1531</v>
      </c>
      <c r="F124" s="637">
        <v>1148188.3600000001</v>
      </c>
      <c r="G124" s="637">
        <v>1066587.8600000001</v>
      </c>
      <c r="H124" s="637">
        <v>1095338.69</v>
      </c>
      <c r="I124" s="637">
        <v>1107745.56</v>
      </c>
      <c r="J124" s="637">
        <v>1038046.72</v>
      </c>
      <c r="K124" s="637">
        <v>1078038.79</v>
      </c>
      <c r="L124" s="637">
        <v>1054031.1299999999</v>
      </c>
      <c r="M124" s="637">
        <v>1071865.8899999999</v>
      </c>
      <c r="N124" s="637">
        <v>1036434.56</v>
      </c>
      <c r="O124" s="637">
        <v>985139.99</v>
      </c>
      <c r="P124" s="637">
        <v>1046597.64</v>
      </c>
      <c r="Q124" s="637">
        <v>1045860.97</v>
      </c>
      <c r="R124" s="637">
        <v>1079770.6299999999</v>
      </c>
      <c r="S124" s="514">
        <f>((F124+R124)+((G124+H124+I124+J124+K124+L124+M124+N124+O124+P124+Q124)*2))/24</f>
        <v>1061638.9412500001</v>
      </c>
      <c r="T124" s="638"/>
      <c r="U124" s="675">
        <f t="shared" ref="U124:U148" si="34">+S124</f>
        <v>1061638.9412500001</v>
      </c>
      <c r="V124" s="713"/>
      <c r="W124" s="713"/>
      <c r="X124" s="736"/>
      <c r="Y124" s="713"/>
      <c r="Z124" s="713"/>
      <c r="AA124" s="675"/>
      <c r="AB124" s="713"/>
      <c r="AC124" s="676"/>
      <c r="AD124" s="677">
        <f t="shared" ref="AD124:AD148" si="35">+U124</f>
        <v>1061638.9412500001</v>
      </c>
      <c r="AE124" s="676"/>
      <c r="AF124" s="711">
        <f t="shared" si="25"/>
        <v>0</v>
      </c>
    </row>
    <row r="125" spans="1:32">
      <c r="A125" s="638">
        <v>112</v>
      </c>
      <c r="B125" s="342" t="s">
        <v>1143</v>
      </c>
      <c r="C125" s="342" t="s">
        <v>447</v>
      </c>
      <c r="D125" s="342" t="s">
        <v>631</v>
      </c>
      <c r="E125" s="636" t="s">
        <v>1532</v>
      </c>
      <c r="F125" s="637">
        <v>286270.45</v>
      </c>
      <c r="G125" s="637">
        <v>296702.57</v>
      </c>
      <c r="H125" s="637">
        <v>296956.48</v>
      </c>
      <c r="I125" s="637">
        <v>311992.88</v>
      </c>
      <c r="J125" s="637">
        <v>313145.15999999997</v>
      </c>
      <c r="K125" s="637">
        <v>316290.89</v>
      </c>
      <c r="L125" s="637">
        <v>313205.25</v>
      </c>
      <c r="M125" s="637">
        <v>317461.34999999998</v>
      </c>
      <c r="N125" s="637">
        <v>310609.33</v>
      </c>
      <c r="O125" s="637">
        <v>314118.74</v>
      </c>
      <c r="P125" s="637">
        <v>367328.16</v>
      </c>
      <c r="Q125" s="637">
        <v>362816.84</v>
      </c>
      <c r="R125" s="637">
        <v>369715.35</v>
      </c>
      <c r="S125" s="514">
        <f t="shared" ref="S125:S142" si="36">((F125+R125)+((G125+H125+I125+J125+K125+L125+M125+N125+O125+P125+Q125)*2))/24</f>
        <v>320718.37916666671</v>
      </c>
      <c r="T125" s="638"/>
      <c r="U125" s="675">
        <f t="shared" si="34"/>
        <v>320718.37916666671</v>
      </c>
      <c r="V125" s="713"/>
      <c r="W125" s="713"/>
      <c r="X125" s="736"/>
      <c r="Y125" s="713"/>
      <c r="Z125" s="713"/>
      <c r="AA125" s="675"/>
      <c r="AB125" s="713"/>
      <c r="AC125" s="676"/>
      <c r="AD125" s="677">
        <f t="shared" si="35"/>
        <v>320718.37916666671</v>
      </c>
      <c r="AE125" s="676"/>
      <c r="AF125" s="711">
        <f t="shared" si="25"/>
        <v>0</v>
      </c>
    </row>
    <row r="126" spans="1:32">
      <c r="A126" s="638">
        <v>113</v>
      </c>
      <c r="B126" s="342" t="s">
        <v>1144</v>
      </c>
      <c r="C126" s="342" t="s">
        <v>447</v>
      </c>
      <c r="D126" s="342" t="s">
        <v>631</v>
      </c>
      <c r="E126" s="636" t="s">
        <v>1533</v>
      </c>
      <c r="F126" s="637">
        <v>565509.80000000005</v>
      </c>
      <c r="G126" s="637">
        <v>557942.81000000006</v>
      </c>
      <c r="H126" s="637">
        <v>529928.81999999995</v>
      </c>
      <c r="I126" s="637">
        <v>548886.77</v>
      </c>
      <c r="J126" s="637">
        <v>632294.38</v>
      </c>
      <c r="K126" s="637">
        <v>752330.31</v>
      </c>
      <c r="L126" s="637">
        <v>763438.39</v>
      </c>
      <c r="M126" s="637">
        <v>793373.22</v>
      </c>
      <c r="N126" s="637">
        <v>785538.39</v>
      </c>
      <c r="O126" s="637">
        <v>840933.18</v>
      </c>
      <c r="P126" s="637">
        <v>784135.39</v>
      </c>
      <c r="Q126" s="637">
        <v>823376.38</v>
      </c>
      <c r="R126" s="637">
        <v>759358.35</v>
      </c>
      <c r="S126" s="514">
        <f t="shared" si="36"/>
        <v>706217.6762499999</v>
      </c>
      <c r="T126" s="638"/>
      <c r="U126" s="675">
        <f t="shared" si="34"/>
        <v>706217.6762499999</v>
      </c>
      <c r="V126" s="713"/>
      <c r="W126" s="713"/>
      <c r="X126" s="736"/>
      <c r="Y126" s="713"/>
      <c r="Z126" s="713"/>
      <c r="AA126" s="675"/>
      <c r="AB126" s="713"/>
      <c r="AC126" s="676"/>
      <c r="AD126" s="677">
        <f t="shared" si="35"/>
        <v>706217.6762499999</v>
      </c>
      <c r="AE126" s="676"/>
      <c r="AF126" s="711">
        <f t="shared" si="25"/>
        <v>0</v>
      </c>
    </row>
    <row r="127" spans="1:32">
      <c r="A127" s="638">
        <v>114</v>
      </c>
      <c r="B127" s="342" t="s">
        <v>1145</v>
      </c>
      <c r="C127" s="342" t="s">
        <v>447</v>
      </c>
      <c r="D127" s="342" t="s">
        <v>631</v>
      </c>
      <c r="E127" s="636" t="s">
        <v>1534</v>
      </c>
      <c r="F127" s="637">
        <v>487398.36</v>
      </c>
      <c r="G127" s="637">
        <v>520148.81</v>
      </c>
      <c r="H127" s="637">
        <v>530813.31000000006</v>
      </c>
      <c r="I127" s="637">
        <v>528475.22</v>
      </c>
      <c r="J127" s="637">
        <v>522217.27</v>
      </c>
      <c r="K127" s="637">
        <v>513403.15</v>
      </c>
      <c r="L127" s="637">
        <v>490312.09</v>
      </c>
      <c r="M127" s="637">
        <v>558594.31000000006</v>
      </c>
      <c r="N127" s="637">
        <v>713660.09</v>
      </c>
      <c r="O127" s="637">
        <v>565130.98</v>
      </c>
      <c r="P127" s="637">
        <v>565532.80000000005</v>
      </c>
      <c r="Q127" s="637">
        <v>554393.81000000006</v>
      </c>
      <c r="R127" s="637">
        <v>555522.68999999994</v>
      </c>
      <c r="S127" s="514">
        <f t="shared" si="36"/>
        <v>548678.53041666665</v>
      </c>
      <c r="T127" s="638"/>
      <c r="U127" s="675">
        <f t="shared" si="34"/>
        <v>548678.53041666665</v>
      </c>
      <c r="V127" s="713"/>
      <c r="W127" s="713"/>
      <c r="X127" s="736"/>
      <c r="Y127" s="713"/>
      <c r="Z127" s="713"/>
      <c r="AA127" s="675"/>
      <c r="AB127" s="713"/>
      <c r="AC127" s="676"/>
      <c r="AD127" s="677">
        <f t="shared" si="35"/>
        <v>548678.53041666665</v>
      </c>
      <c r="AE127" s="676"/>
      <c r="AF127" s="711">
        <f t="shared" si="25"/>
        <v>0</v>
      </c>
    </row>
    <row r="128" spans="1:32">
      <c r="A128" s="638">
        <v>115</v>
      </c>
      <c r="B128" s="342" t="s">
        <v>1146</v>
      </c>
      <c r="C128" s="342" t="s">
        <v>447</v>
      </c>
      <c r="D128" s="342" t="s">
        <v>631</v>
      </c>
      <c r="E128" s="636" t="s">
        <v>1535</v>
      </c>
      <c r="F128" s="637">
        <v>407258.54</v>
      </c>
      <c r="G128" s="637">
        <v>422847.83</v>
      </c>
      <c r="H128" s="637">
        <v>439067.36</v>
      </c>
      <c r="I128" s="637">
        <v>431343.95</v>
      </c>
      <c r="J128" s="637">
        <v>463934.18</v>
      </c>
      <c r="K128" s="637">
        <v>471312.56</v>
      </c>
      <c r="L128" s="637">
        <v>485744.1</v>
      </c>
      <c r="M128" s="637">
        <v>450857.4</v>
      </c>
      <c r="N128" s="637">
        <v>463587.29</v>
      </c>
      <c r="O128" s="637">
        <v>474397.51</v>
      </c>
      <c r="P128" s="637">
        <v>475167.87</v>
      </c>
      <c r="Q128" s="637">
        <v>471439.59</v>
      </c>
      <c r="R128" s="637">
        <v>441378.52</v>
      </c>
      <c r="S128" s="514">
        <f t="shared" si="36"/>
        <v>456168.18083333335</v>
      </c>
      <c r="T128" s="638"/>
      <c r="U128" s="675">
        <f t="shared" si="34"/>
        <v>456168.18083333335</v>
      </c>
      <c r="V128" s="713"/>
      <c r="W128" s="713"/>
      <c r="X128" s="736"/>
      <c r="Y128" s="713"/>
      <c r="Z128" s="713"/>
      <c r="AA128" s="675"/>
      <c r="AB128" s="713"/>
      <c r="AC128" s="676"/>
      <c r="AD128" s="677">
        <f t="shared" si="35"/>
        <v>456168.18083333335</v>
      </c>
      <c r="AE128" s="676"/>
      <c r="AF128" s="711">
        <f t="shared" si="25"/>
        <v>0</v>
      </c>
    </row>
    <row r="129" spans="1:32">
      <c r="A129" s="638">
        <v>116</v>
      </c>
      <c r="B129" s="342" t="s">
        <v>1147</v>
      </c>
      <c r="C129" s="342" t="s">
        <v>447</v>
      </c>
      <c r="D129" s="342" t="s">
        <v>631</v>
      </c>
      <c r="E129" s="636" t="s">
        <v>1536</v>
      </c>
      <c r="F129" s="637">
        <v>135918.65</v>
      </c>
      <c r="G129" s="637">
        <v>142005.07999999999</v>
      </c>
      <c r="H129" s="637">
        <v>136239.81</v>
      </c>
      <c r="I129" s="637">
        <v>133922.47</v>
      </c>
      <c r="J129" s="637">
        <v>133522.87</v>
      </c>
      <c r="K129" s="637">
        <v>135561.39000000001</v>
      </c>
      <c r="L129" s="637">
        <v>114554.61</v>
      </c>
      <c r="M129" s="637">
        <v>121688.17</v>
      </c>
      <c r="N129" s="637">
        <v>121049.79</v>
      </c>
      <c r="O129" s="637">
        <v>119420.88</v>
      </c>
      <c r="P129" s="637">
        <v>121183.77</v>
      </c>
      <c r="Q129" s="637">
        <v>127331.22</v>
      </c>
      <c r="R129" s="637">
        <v>107415.88</v>
      </c>
      <c r="S129" s="514">
        <f t="shared" si="36"/>
        <v>127345.61041666666</v>
      </c>
      <c r="T129" s="638"/>
      <c r="U129" s="675">
        <f t="shared" si="34"/>
        <v>127345.61041666666</v>
      </c>
      <c r="V129" s="713"/>
      <c r="W129" s="713"/>
      <c r="X129" s="736"/>
      <c r="Y129" s="713"/>
      <c r="Z129" s="713"/>
      <c r="AA129" s="675"/>
      <c r="AB129" s="713"/>
      <c r="AC129" s="676"/>
      <c r="AD129" s="677">
        <f t="shared" si="35"/>
        <v>127345.61041666666</v>
      </c>
      <c r="AE129" s="676"/>
      <c r="AF129" s="711">
        <f t="shared" si="25"/>
        <v>0</v>
      </c>
    </row>
    <row r="130" spans="1:32">
      <c r="A130" s="638">
        <v>117</v>
      </c>
      <c r="B130" s="342" t="s">
        <v>1148</v>
      </c>
      <c r="C130" s="342" t="s">
        <v>447</v>
      </c>
      <c r="D130" s="342" t="s">
        <v>631</v>
      </c>
      <c r="E130" s="636" t="s">
        <v>1537</v>
      </c>
      <c r="F130" s="637">
        <v>291155.42</v>
      </c>
      <c r="G130" s="637">
        <v>256774.73</v>
      </c>
      <c r="H130" s="637">
        <v>257911.49</v>
      </c>
      <c r="I130" s="637">
        <v>291273.14</v>
      </c>
      <c r="J130" s="637">
        <v>323272.15000000002</v>
      </c>
      <c r="K130" s="637">
        <v>288981.40000000002</v>
      </c>
      <c r="L130" s="637">
        <v>302630.07</v>
      </c>
      <c r="M130" s="637">
        <v>298178.46000000002</v>
      </c>
      <c r="N130" s="637">
        <v>339653.89</v>
      </c>
      <c r="O130" s="637">
        <v>271255.34000000003</v>
      </c>
      <c r="P130" s="637">
        <v>313485.19</v>
      </c>
      <c r="Q130" s="637">
        <v>342981.09</v>
      </c>
      <c r="R130" s="637">
        <v>304137.73</v>
      </c>
      <c r="S130" s="514">
        <f t="shared" si="36"/>
        <v>298670.29374999995</v>
      </c>
      <c r="T130" s="638"/>
      <c r="U130" s="675">
        <f t="shared" si="34"/>
        <v>298670.29374999995</v>
      </c>
      <c r="V130" s="713"/>
      <c r="W130" s="713"/>
      <c r="X130" s="736"/>
      <c r="Y130" s="713"/>
      <c r="Z130" s="713"/>
      <c r="AA130" s="675"/>
      <c r="AB130" s="713"/>
      <c r="AC130" s="676"/>
      <c r="AD130" s="677">
        <f t="shared" si="35"/>
        <v>298670.29374999995</v>
      </c>
      <c r="AE130" s="676"/>
      <c r="AF130" s="711">
        <f t="shared" si="25"/>
        <v>0</v>
      </c>
    </row>
    <row r="131" spans="1:32">
      <c r="A131" s="638">
        <v>118</v>
      </c>
      <c r="B131" s="342" t="s">
        <v>1149</v>
      </c>
      <c r="C131" s="342" t="s">
        <v>447</v>
      </c>
      <c r="D131" s="342" t="s">
        <v>631</v>
      </c>
      <c r="E131" s="636" t="s">
        <v>1538</v>
      </c>
      <c r="F131" s="637">
        <v>363923.37</v>
      </c>
      <c r="G131" s="637">
        <v>364023.92</v>
      </c>
      <c r="H131" s="637">
        <v>361795.99</v>
      </c>
      <c r="I131" s="637">
        <v>362910.55</v>
      </c>
      <c r="J131" s="637">
        <v>295140.8</v>
      </c>
      <c r="K131" s="637">
        <v>330264.78000000003</v>
      </c>
      <c r="L131" s="637">
        <v>353339.79</v>
      </c>
      <c r="M131" s="637">
        <v>544471.72</v>
      </c>
      <c r="N131" s="637">
        <v>716071.25</v>
      </c>
      <c r="O131" s="637">
        <v>536277.96</v>
      </c>
      <c r="P131" s="637">
        <v>485547.63</v>
      </c>
      <c r="Q131" s="637">
        <v>472140.26</v>
      </c>
      <c r="R131" s="637">
        <v>377671.84</v>
      </c>
      <c r="S131" s="514">
        <f t="shared" si="36"/>
        <v>432731.85458333325</v>
      </c>
      <c r="T131" s="638"/>
      <c r="U131" s="675">
        <f t="shared" si="34"/>
        <v>432731.85458333325</v>
      </c>
      <c r="V131" s="713"/>
      <c r="W131" s="713"/>
      <c r="X131" s="736"/>
      <c r="Y131" s="713"/>
      <c r="Z131" s="713"/>
      <c r="AA131" s="675"/>
      <c r="AB131" s="713"/>
      <c r="AC131" s="676"/>
      <c r="AD131" s="677">
        <f t="shared" si="35"/>
        <v>432731.85458333325</v>
      </c>
      <c r="AE131" s="676"/>
      <c r="AF131" s="711">
        <f t="shared" si="25"/>
        <v>0</v>
      </c>
    </row>
    <row r="132" spans="1:32">
      <c r="A132" s="638">
        <v>119</v>
      </c>
      <c r="B132" s="342" t="s">
        <v>1150</v>
      </c>
      <c r="C132" s="342" t="s">
        <v>447</v>
      </c>
      <c r="D132" s="342" t="s">
        <v>631</v>
      </c>
      <c r="E132" s="636" t="s">
        <v>1539</v>
      </c>
      <c r="F132" s="637">
        <v>75781.679999999993</v>
      </c>
      <c r="G132" s="637">
        <v>91002.5</v>
      </c>
      <c r="H132" s="637">
        <v>90986.23</v>
      </c>
      <c r="I132" s="637">
        <v>80120.36</v>
      </c>
      <c r="J132" s="637">
        <v>79391.5</v>
      </c>
      <c r="K132" s="637">
        <v>79384.240000000005</v>
      </c>
      <c r="L132" s="637">
        <v>88942.11</v>
      </c>
      <c r="M132" s="637">
        <v>96893.64</v>
      </c>
      <c r="N132" s="637">
        <v>105341.28</v>
      </c>
      <c r="O132" s="637">
        <v>104635.52</v>
      </c>
      <c r="P132" s="637">
        <v>99291.48</v>
      </c>
      <c r="Q132" s="637">
        <v>132638.14000000001</v>
      </c>
      <c r="R132" s="637">
        <v>132295.67999999999</v>
      </c>
      <c r="S132" s="514">
        <f t="shared" si="36"/>
        <v>96055.473333333328</v>
      </c>
      <c r="T132" s="638"/>
      <c r="U132" s="675">
        <f t="shared" si="34"/>
        <v>96055.473333333328</v>
      </c>
      <c r="V132" s="713"/>
      <c r="W132" s="713"/>
      <c r="X132" s="736"/>
      <c r="Y132" s="713"/>
      <c r="Z132" s="713"/>
      <c r="AA132" s="675"/>
      <c r="AB132" s="713"/>
      <c r="AC132" s="676"/>
      <c r="AD132" s="677">
        <f t="shared" si="35"/>
        <v>96055.473333333328</v>
      </c>
      <c r="AE132" s="676"/>
      <c r="AF132" s="711">
        <f t="shared" si="25"/>
        <v>0</v>
      </c>
    </row>
    <row r="133" spans="1:32">
      <c r="A133" s="638">
        <v>120</v>
      </c>
      <c r="B133" s="342" t="s">
        <v>1151</v>
      </c>
      <c r="C133" s="342" t="s">
        <v>447</v>
      </c>
      <c r="D133" s="342" t="s">
        <v>631</v>
      </c>
      <c r="E133" s="636" t="s">
        <v>1540</v>
      </c>
      <c r="F133" s="637">
        <v>476417.96</v>
      </c>
      <c r="G133" s="637">
        <v>467459.95</v>
      </c>
      <c r="H133" s="637">
        <v>472879.54</v>
      </c>
      <c r="I133" s="637">
        <v>492583.51</v>
      </c>
      <c r="J133" s="637">
        <v>492493.29</v>
      </c>
      <c r="K133" s="637">
        <v>569146.01</v>
      </c>
      <c r="L133" s="637">
        <v>611348.47999999998</v>
      </c>
      <c r="M133" s="637">
        <v>688643.7</v>
      </c>
      <c r="N133" s="637">
        <v>656213.01</v>
      </c>
      <c r="O133" s="637">
        <v>673920.71</v>
      </c>
      <c r="P133" s="637">
        <v>712010.12</v>
      </c>
      <c r="Q133" s="637">
        <v>712732.27</v>
      </c>
      <c r="R133" s="637">
        <v>748426.94</v>
      </c>
      <c r="S133" s="514">
        <f t="shared" si="36"/>
        <v>596821.08666666667</v>
      </c>
      <c r="T133" s="638"/>
      <c r="U133" s="675">
        <f t="shared" si="34"/>
        <v>596821.08666666667</v>
      </c>
      <c r="V133" s="713"/>
      <c r="W133" s="713"/>
      <c r="X133" s="736"/>
      <c r="Y133" s="713"/>
      <c r="Z133" s="713"/>
      <c r="AA133" s="675"/>
      <c r="AB133" s="713"/>
      <c r="AC133" s="676"/>
      <c r="AD133" s="677">
        <f t="shared" si="35"/>
        <v>596821.08666666667</v>
      </c>
      <c r="AE133" s="676"/>
      <c r="AF133" s="711">
        <f t="shared" si="25"/>
        <v>0</v>
      </c>
    </row>
    <row r="134" spans="1:32">
      <c r="A134" s="638">
        <v>121</v>
      </c>
      <c r="B134" s="342" t="s">
        <v>1413</v>
      </c>
      <c r="C134" s="342" t="s">
        <v>447</v>
      </c>
      <c r="D134" s="342" t="s">
        <v>631</v>
      </c>
      <c r="E134" s="636" t="s">
        <v>1541</v>
      </c>
      <c r="F134" s="637">
        <v>536.36</v>
      </c>
      <c r="G134" s="637">
        <v>-9.9999999999909103E-3</v>
      </c>
      <c r="H134" s="637">
        <v>-9.9999999999909103E-3</v>
      </c>
      <c r="I134" s="637">
        <v>-0.119999999999991</v>
      </c>
      <c r="J134" s="637">
        <v>-0.119999999999991</v>
      </c>
      <c r="K134" s="637">
        <v>-0.119999999999991</v>
      </c>
      <c r="L134" s="637">
        <v>-0.12999999999999101</v>
      </c>
      <c r="M134" s="637">
        <v>-0.12999999999999101</v>
      </c>
      <c r="N134" s="637">
        <v>-0.12999999999999101</v>
      </c>
      <c r="O134" s="637">
        <v>-0.12999999999999101</v>
      </c>
      <c r="P134" s="637">
        <v>438.24</v>
      </c>
      <c r="Q134" s="637">
        <v>301</v>
      </c>
      <c r="R134" s="637">
        <v>0</v>
      </c>
      <c r="S134" s="514">
        <f t="shared" si="36"/>
        <v>83.876666666666679</v>
      </c>
      <c r="T134" s="638"/>
      <c r="U134" s="675">
        <f t="shared" si="34"/>
        <v>83.876666666666679</v>
      </c>
      <c r="V134" s="713"/>
      <c r="W134" s="713"/>
      <c r="X134" s="736"/>
      <c r="Y134" s="713"/>
      <c r="Z134" s="713"/>
      <c r="AA134" s="675"/>
      <c r="AB134" s="713"/>
      <c r="AC134" s="676"/>
      <c r="AD134" s="677">
        <f t="shared" si="35"/>
        <v>83.876666666666679</v>
      </c>
      <c r="AE134" s="676"/>
      <c r="AF134" s="711">
        <f t="shared" si="25"/>
        <v>0</v>
      </c>
    </row>
    <row r="135" spans="1:32">
      <c r="A135" s="638">
        <v>122</v>
      </c>
      <c r="B135" s="342" t="s">
        <v>1152</v>
      </c>
      <c r="C135" s="342" t="s">
        <v>447</v>
      </c>
      <c r="D135" s="342" t="s">
        <v>631</v>
      </c>
      <c r="E135" s="636" t="s">
        <v>1542</v>
      </c>
      <c r="F135" s="637">
        <v>307766.09000000003</v>
      </c>
      <c r="G135" s="637">
        <v>333531.90999999997</v>
      </c>
      <c r="H135" s="637">
        <v>337831.14</v>
      </c>
      <c r="I135" s="637">
        <v>376089.57</v>
      </c>
      <c r="J135" s="637">
        <v>373404.21</v>
      </c>
      <c r="K135" s="637">
        <v>400312.55</v>
      </c>
      <c r="L135" s="637">
        <v>401400.87</v>
      </c>
      <c r="M135" s="637">
        <v>394222.13</v>
      </c>
      <c r="N135" s="637">
        <v>334060.74</v>
      </c>
      <c r="O135" s="637">
        <v>334039.48</v>
      </c>
      <c r="P135" s="637">
        <v>327504.84999999998</v>
      </c>
      <c r="Q135" s="637">
        <v>342023.69</v>
      </c>
      <c r="R135" s="637">
        <v>335701.16</v>
      </c>
      <c r="S135" s="514">
        <f t="shared" si="36"/>
        <v>356346.23041666672</v>
      </c>
      <c r="T135" s="638"/>
      <c r="U135" s="675">
        <f t="shared" si="34"/>
        <v>356346.23041666672</v>
      </c>
      <c r="V135" s="713"/>
      <c r="W135" s="713"/>
      <c r="X135" s="736"/>
      <c r="Y135" s="713"/>
      <c r="Z135" s="713"/>
      <c r="AA135" s="675"/>
      <c r="AB135" s="713"/>
      <c r="AC135" s="676"/>
      <c r="AD135" s="677">
        <f t="shared" si="35"/>
        <v>356346.23041666672</v>
      </c>
      <c r="AE135" s="676"/>
      <c r="AF135" s="711">
        <f t="shared" si="25"/>
        <v>0</v>
      </c>
    </row>
    <row r="136" spans="1:32">
      <c r="A136" s="638">
        <v>123</v>
      </c>
      <c r="B136" s="342" t="s">
        <v>1153</v>
      </c>
      <c r="C136" s="342" t="s">
        <v>447</v>
      </c>
      <c r="D136" s="342" t="s">
        <v>631</v>
      </c>
      <c r="E136" s="636" t="s">
        <v>1543</v>
      </c>
      <c r="F136" s="637">
        <v>348930.45</v>
      </c>
      <c r="G136" s="637">
        <v>316020.49</v>
      </c>
      <c r="H136" s="637">
        <v>311190.42</v>
      </c>
      <c r="I136" s="637">
        <v>313079.14</v>
      </c>
      <c r="J136" s="637">
        <v>308208.81</v>
      </c>
      <c r="K136" s="637">
        <v>333227.8</v>
      </c>
      <c r="L136" s="637">
        <v>325831.02</v>
      </c>
      <c r="M136" s="637">
        <v>318188.95</v>
      </c>
      <c r="N136" s="637">
        <v>310247.08</v>
      </c>
      <c r="O136" s="637">
        <v>318837.53000000003</v>
      </c>
      <c r="P136" s="637">
        <v>339435.53</v>
      </c>
      <c r="Q136" s="637">
        <v>338797.96</v>
      </c>
      <c r="R136" s="637">
        <v>251761.23</v>
      </c>
      <c r="S136" s="514">
        <f t="shared" si="36"/>
        <v>319450.88083333336</v>
      </c>
      <c r="T136" s="638"/>
      <c r="U136" s="675">
        <f t="shared" si="34"/>
        <v>319450.88083333336</v>
      </c>
      <c r="V136" s="713"/>
      <c r="W136" s="713"/>
      <c r="X136" s="736"/>
      <c r="Y136" s="713"/>
      <c r="Z136" s="713"/>
      <c r="AA136" s="675"/>
      <c r="AB136" s="713"/>
      <c r="AC136" s="676"/>
      <c r="AD136" s="677">
        <f t="shared" si="35"/>
        <v>319450.88083333336</v>
      </c>
      <c r="AE136" s="676"/>
      <c r="AF136" s="711">
        <f t="shared" si="25"/>
        <v>0</v>
      </c>
    </row>
    <row r="137" spans="1:32">
      <c r="A137" s="638">
        <v>124</v>
      </c>
      <c r="B137" s="342" t="s">
        <v>1154</v>
      </c>
      <c r="C137" s="342" t="s">
        <v>447</v>
      </c>
      <c r="D137" s="342" t="s">
        <v>631</v>
      </c>
      <c r="E137" s="636" t="s">
        <v>1544</v>
      </c>
      <c r="F137" s="637">
        <v>144477.1</v>
      </c>
      <c r="G137" s="637">
        <v>141959.82</v>
      </c>
      <c r="H137" s="637">
        <v>143740.49</v>
      </c>
      <c r="I137" s="637">
        <v>148297.29999999999</v>
      </c>
      <c r="J137" s="637">
        <v>148045.94</v>
      </c>
      <c r="K137" s="637">
        <v>147676.54</v>
      </c>
      <c r="L137" s="637">
        <v>143696.63</v>
      </c>
      <c r="M137" s="637">
        <v>138270.57999999999</v>
      </c>
      <c r="N137" s="637">
        <v>150672.95999999999</v>
      </c>
      <c r="O137" s="637">
        <v>153418.91</v>
      </c>
      <c r="P137" s="637">
        <v>141472.29</v>
      </c>
      <c r="Q137" s="637">
        <v>143707.03</v>
      </c>
      <c r="R137" s="637">
        <v>142314.16</v>
      </c>
      <c r="S137" s="514">
        <f t="shared" si="36"/>
        <v>145362.84333333335</v>
      </c>
      <c r="T137" s="638"/>
      <c r="U137" s="675">
        <f t="shared" si="34"/>
        <v>145362.84333333335</v>
      </c>
      <c r="V137" s="713"/>
      <c r="W137" s="713"/>
      <c r="X137" s="736"/>
      <c r="Y137" s="713"/>
      <c r="Z137" s="713"/>
      <c r="AA137" s="675"/>
      <c r="AB137" s="713"/>
      <c r="AC137" s="676"/>
      <c r="AD137" s="677">
        <f t="shared" si="35"/>
        <v>145362.84333333335</v>
      </c>
      <c r="AE137" s="676"/>
      <c r="AF137" s="711">
        <f t="shared" si="25"/>
        <v>0</v>
      </c>
    </row>
    <row r="138" spans="1:32">
      <c r="A138" s="638">
        <v>125</v>
      </c>
      <c r="B138" s="342" t="s">
        <v>1155</v>
      </c>
      <c r="C138" s="342" t="s">
        <v>447</v>
      </c>
      <c r="D138" s="342" t="s">
        <v>631</v>
      </c>
      <c r="E138" s="636" t="s">
        <v>1545</v>
      </c>
      <c r="F138" s="637">
        <v>58203.88</v>
      </c>
      <c r="G138" s="637">
        <v>59485.39</v>
      </c>
      <c r="H138" s="637">
        <v>59610.83</v>
      </c>
      <c r="I138" s="637">
        <v>59165.21</v>
      </c>
      <c r="J138" s="637">
        <v>58764.37</v>
      </c>
      <c r="K138" s="637">
        <v>56733.97</v>
      </c>
      <c r="L138" s="637">
        <v>56958.17</v>
      </c>
      <c r="M138" s="637">
        <v>55829.18</v>
      </c>
      <c r="N138" s="637">
        <v>56518.74</v>
      </c>
      <c r="O138" s="637">
        <v>55774.22</v>
      </c>
      <c r="P138" s="637">
        <v>66490.77</v>
      </c>
      <c r="Q138" s="637">
        <v>62884.21</v>
      </c>
      <c r="R138" s="637">
        <v>62373.23</v>
      </c>
      <c r="S138" s="514">
        <f t="shared" si="36"/>
        <v>59041.967916666668</v>
      </c>
      <c r="T138" s="638"/>
      <c r="U138" s="675">
        <f t="shared" si="34"/>
        <v>59041.967916666668</v>
      </c>
      <c r="V138" s="713"/>
      <c r="W138" s="713"/>
      <c r="X138" s="736"/>
      <c r="Y138" s="713"/>
      <c r="Z138" s="713"/>
      <c r="AA138" s="675"/>
      <c r="AB138" s="713"/>
      <c r="AC138" s="676"/>
      <c r="AD138" s="677">
        <f t="shared" si="35"/>
        <v>59041.967916666668</v>
      </c>
      <c r="AE138" s="676"/>
      <c r="AF138" s="711">
        <f t="shared" si="25"/>
        <v>0</v>
      </c>
    </row>
    <row r="139" spans="1:32">
      <c r="A139" s="638">
        <v>126</v>
      </c>
      <c r="B139" s="342" t="s">
        <v>1156</v>
      </c>
      <c r="C139" s="342" t="s">
        <v>447</v>
      </c>
      <c r="D139" s="342" t="s">
        <v>631</v>
      </c>
      <c r="E139" s="636" t="s">
        <v>1546</v>
      </c>
      <c r="F139" s="637">
        <v>255478.3</v>
      </c>
      <c r="G139" s="637">
        <v>259044.32</v>
      </c>
      <c r="H139" s="637">
        <v>252470.7</v>
      </c>
      <c r="I139" s="637">
        <v>319141.57</v>
      </c>
      <c r="J139" s="637">
        <v>328578.74</v>
      </c>
      <c r="K139" s="637">
        <v>321366.49</v>
      </c>
      <c r="L139" s="637">
        <v>253625.88</v>
      </c>
      <c r="M139" s="637">
        <v>256666.02</v>
      </c>
      <c r="N139" s="637">
        <v>222846.84</v>
      </c>
      <c r="O139" s="637">
        <v>250737.87</v>
      </c>
      <c r="P139" s="637">
        <v>378460.07</v>
      </c>
      <c r="Q139" s="637">
        <v>402588.21</v>
      </c>
      <c r="R139" s="637">
        <v>446580.76</v>
      </c>
      <c r="S139" s="514">
        <f t="shared" si="36"/>
        <v>299713.02</v>
      </c>
      <c r="T139" s="638"/>
      <c r="U139" s="675">
        <f t="shared" si="34"/>
        <v>299713.02</v>
      </c>
      <c r="V139" s="713"/>
      <c r="W139" s="713"/>
      <c r="X139" s="736"/>
      <c r="Y139" s="713"/>
      <c r="Z139" s="713"/>
      <c r="AA139" s="675"/>
      <c r="AB139" s="713"/>
      <c r="AC139" s="676"/>
      <c r="AD139" s="677">
        <f t="shared" si="35"/>
        <v>299713.02</v>
      </c>
      <c r="AE139" s="676"/>
      <c r="AF139" s="711">
        <f t="shared" si="25"/>
        <v>0</v>
      </c>
    </row>
    <row r="140" spans="1:32">
      <c r="A140" s="638">
        <v>127</v>
      </c>
      <c r="B140" s="342" t="s">
        <v>1414</v>
      </c>
      <c r="C140" s="342" t="s">
        <v>447</v>
      </c>
      <c r="D140" s="342" t="s">
        <v>631</v>
      </c>
      <c r="E140" s="636" t="s">
        <v>1547</v>
      </c>
      <c r="F140" s="637">
        <v>-1541.61</v>
      </c>
      <c r="G140" s="637">
        <v>0</v>
      </c>
      <c r="H140" s="637">
        <v>0</v>
      </c>
      <c r="I140" s="637">
        <v>-0.01</v>
      </c>
      <c r="J140" s="637">
        <v>-0.01</v>
      </c>
      <c r="K140" s="637">
        <v>9811.2099999999991</v>
      </c>
      <c r="L140" s="637">
        <v>-1.00000000002183E-2</v>
      </c>
      <c r="M140" s="637">
        <v>-1.00000000002183E-2</v>
      </c>
      <c r="N140" s="637">
        <v>-1.00000000002183E-2</v>
      </c>
      <c r="O140" s="637">
        <v>-1.00000000002183E-2</v>
      </c>
      <c r="P140" s="637">
        <v>-1.00000000002183E-2</v>
      </c>
      <c r="Q140" s="637">
        <v>-1.00000000002183E-2</v>
      </c>
      <c r="R140" s="637">
        <v>-2.1827852025868599E-13</v>
      </c>
      <c r="S140" s="514">
        <f t="shared" si="36"/>
        <v>753.36041666666642</v>
      </c>
      <c r="T140" s="638"/>
      <c r="U140" s="675">
        <f t="shared" si="34"/>
        <v>753.36041666666642</v>
      </c>
      <c r="V140" s="713"/>
      <c r="W140" s="713"/>
      <c r="X140" s="736"/>
      <c r="Y140" s="713"/>
      <c r="Z140" s="713"/>
      <c r="AA140" s="675"/>
      <c r="AB140" s="713"/>
      <c r="AC140" s="676"/>
      <c r="AD140" s="677">
        <f t="shared" si="35"/>
        <v>753.36041666666642</v>
      </c>
      <c r="AE140" s="676"/>
      <c r="AF140" s="711">
        <f t="shared" si="25"/>
        <v>0</v>
      </c>
    </row>
    <row r="141" spans="1:32">
      <c r="A141" s="638">
        <v>128</v>
      </c>
      <c r="B141" s="342" t="s">
        <v>981</v>
      </c>
      <c r="C141" s="342" t="s">
        <v>447</v>
      </c>
      <c r="D141" s="342" t="s">
        <v>1157</v>
      </c>
      <c r="E141" s="636" t="s">
        <v>1548</v>
      </c>
      <c r="F141" s="637">
        <v>342609.97</v>
      </c>
      <c r="G141" s="637">
        <v>270974.21000000002</v>
      </c>
      <c r="H141" s="637">
        <v>314373.59999999998</v>
      </c>
      <c r="I141" s="637">
        <v>314373.59999999998</v>
      </c>
      <c r="J141" s="637">
        <v>360932.07</v>
      </c>
      <c r="K141" s="637">
        <v>366522.79</v>
      </c>
      <c r="L141" s="637">
        <v>366522.79</v>
      </c>
      <c r="M141" s="637">
        <v>305781.68</v>
      </c>
      <c r="N141" s="637">
        <v>309144.18</v>
      </c>
      <c r="O141" s="637">
        <v>428507.61</v>
      </c>
      <c r="P141" s="637">
        <v>362627.49</v>
      </c>
      <c r="Q141" s="637">
        <v>361977.49</v>
      </c>
      <c r="R141" s="637">
        <v>361977.49</v>
      </c>
      <c r="S141" s="514">
        <f t="shared" si="36"/>
        <v>342835.9366666667</v>
      </c>
      <c r="T141" s="638"/>
      <c r="U141" s="675">
        <f t="shared" si="34"/>
        <v>342835.9366666667</v>
      </c>
      <c r="V141" s="713"/>
      <c r="W141" s="713"/>
      <c r="X141" s="736"/>
      <c r="Y141" s="713"/>
      <c r="Z141" s="713"/>
      <c r="AA141" s="675"/>
      <c r="AB141" s="713"/>
      <c r="AC141" s="676"/>
      <c r="AD141" s="677">
        <f t="shared" si="35"/>
        <v>342835.9366666667</v>
      </c>
      <c r="AE141" s="676"/>
      <c r="AF141" s="711">
        <f t="shared" si="25"/>
        <v>0</v>
      </c>
    </row>
    <row r="142" spans="1:32">
      <c r="A142" s="638"/>
      <c r="B142" s="342"/>
      <c r="C142" s="342" t="s">
        <v>447</v>
      </c>
      <c r="D142" s="342" t="s">
        <v>1158</v>
      </c>
      <c r="E142" s="636" t="s">
        <v>1886</v>
      </c>
      <c r="F142" s="637">
        <v>0</v>
      </c>
      <c r="G142" s="637">
        <v>0</v>
      </c>
      <c r="H142" s="637">
        <v>0</v>
      </c>
      <c r="I142" s="637">
        <v>0</v>
      </c>
      <c r="J142" s="637">
        <v>0</v>
      </c>
      <c r="K142" s="637">
        <v>30.08</v>
      </c>
      <c r="L142" s="637">
        <v>30.08</v>
      </c>
      <c r="M142" s="637">
        <v>30.08</v>
      </c>
      <c r="N142" s="637">
        <v>30.08</v>
      </c>
      <c r="O142" s="637">
        <v>0</v>
      </c>
      <c r="P142" s="637">
        <v>0</v>
      </c>
      <c r="Q142" s="637">
        <v>0</v>
      </c>
      <c r="R142" s="637">
        <v>0</v>
      </c>
      <c r="S142" s="514">
        <f t="shared" si="36"/>
        <v>10.026666666666666</v>
      </c>
      <c r="T142" s="638"/>
      <c r="U142" s="675">
        <f>+S142</f>
        <v>10.026666666666666</v>
      </c>
      <c r="V142" s="713"/>
      <c r="W142" s="713"/>
      <c r="X142" s="736"/>
      <c r="Y142" s="713"/>
      <c r="Z142" s="713"/>
      <c r="AA142" s="675"/>
      <c r="AB142" s="713"/>
      <c r="AC142" s="676"/>
      <c r="AD142" s="677">
        <f t="shared" si="35"/>
        <v>10.026666666666666</v>
      </c>
      <c r="AE142" s="676"/>
      <c r="AF142" s="711">
        <f t="shared" si="25"/>
        <v>0</v>
      </c>
    </row>
    <row r="143" spans="1:32">
      <c r="A143" s="638">
        <v>129</v>
      </c>
      <c r="B143" s="342" t="s">
        <v>981</v>
      </c>
      <c r="C143" s="342" t="s">
        <v>448</v>
      </c>
      <c r="D143" s="342" t="s">
        <v>1159</v>
      </c>
      <c r="E143" s="636" t="s">
        <v>1549</v>
      </c>
      <c r="F143" s="637">
        <v>0</v>
      </c>
      <c r="G143" s="637">
        <v>5554.66</v>
      </c>
      <c r="H143" s="637">
        <v>7006</v>
      </c>
      <c r="I143" s="637">
        <v>12453.95</v>
      </c>
      <c r="J143" s="637">
        <v>24053.51</v>
      </c>
      <c r="K143" s="637">
        <v>31758.91</v>
      </c>
      <c r="L143" s="637">
        <v>35174.400000000001</v>
      </c>
      <c r="M143" s="637">
        <v>40466.97</v>
      </c>
      <c r="N143" s="637">
        <v>46492.78</v>
      </c>
      <c r="O143" s="637">
        <v>49842.92</v>
      </c>
      <c r="P143" s="637">
        <v>52568.959999999999</v>
      </c>
      <c r="Q143" s="637">
        <v>56544.08</v>
      </c>
      <c r="R143" s="637">
        <v>0</v>
      </c>
      <c r="S143" s="514">
        <f t="shared" ref="S143:S148" si="37">((F143+R143)+((G143+H143+I143+J143+K143+L143+M143+N143+O143+P143+Q143)*2))/24</f>
        <v>30159.761666666669</v>
      </c>
      <c r="T143" s="638"/>
      <c r="U143" s="675">
        <f t="shared" si="34"/>
        <v>30159.761666666669</v>
      </c>
      <c r="V143" s="713"/>
      <c r="W143" s="713"/>
      <c r="X143" s="736"/>
      <c r="Y143" s="713"/>
      <c r="Z143" s="713"/>
      <c r="AA143" s="675"/>
      <c r="AB143" s="713"/>
      <c r="AC143" s="676"/>
      <c r="AD143" s="677">
        <f t="shared" si="35"/>
        <v>30159.761666666669</v>
      </c>
      <c r="AE143" s="676"/>
      <c r="AF143" s="711">
        <f t="shared" si="25"/>
        <v>0</v>
      </c>
    </row>
    <row r="144" spans="1:32">
      <c r="A144" s="638">
        <v>130</v>
      </c>
      <c r="B144" s="342" t="s">
        <v>981</v>
      </c>
      <c r="C144" s="342" t="s">
        <v>448</v>
      </c>
      <c r="D144" s="342" t="s">
        <v>1160</v>
      </c>
      <c r="E144" s="636" t="s">
        <v>1887</v>
      </c>
      <c r="F144" s="637">
        <v>0</v>
      </c>
      <c r="G144" s="637">
        <v>1200.6099999999999</v>
      </c>
      <c r="H144" s="637">
        <v>0</v>
      </c>
      <c r="I144" s="637">
        <v>0</v>
      </c>
      <c r="J144" s="637">
        <v>0</v>
      </c>
      <c r="K144" s="637">
        <v>0</v>
      </c>
      <c r="L144" s="637">
        <v>0</v>
      </c>
      <c r="M144" s="637">
        <v>0</v>
      </c>
      <c r="N144" s="637">
        <v>0</v>
      </c>
      <c r="O144" s="637">
        <v>0</v>
      </c>
      <c r="P144" s="637">
        <v>0</v>
      </c>
      <c r="Q144" s="637">
        <v>0</v>
      </c>
      <c r="R144" s="637">
        <v>0</v>
      </c>
      <c r="S144" s="514">
        <f t="shared" si="37"/>
        <v>100.05083333333333</v>
      </c>
      <c r="T144" s="638"/>
      <c r="U144" s="675">
        <f t="shared" si="34"/>
        <v>100.05083333333333</v>
      </c>
      <c r="V144" s="713"/>
      <c r="W144" s="713"/>
      <c r="X144" s="736"/>
      <c r="Y144" s="713"/>
      <c r="Z144" s="713"/>
      <c r="AA144" s="675"/>
      <c r="AB144" s="713"/>
      <c r="AC144" s="676"/>
      <c r="AD144" s="677">
        <f t="shared" si="35"/>
        <v>100.05083333333333</v>
      </c>
      <c r="AE144" s="676"/>
      <c r="AF144" s="711">
        <f t="shared" si="25"/>
        <v>0</v>
      </c>
    </row>
    <row r="145" spans="1:32">
      <c r="A145" s="638">
        <v>131</v>
      </c>
      <c r="B145" s="342" t="s">
        <v>981</v>
      </c>
      <c r="C145" s="342" t="s">
        <v>448</v>
      </c>
      <c r="D145" s="342" t="s">
        <v>1161</v>
      </c>
      <c r="E145" s="636" t="s">
        <v>1550</v>
      </c>
      <c r="F145" s="637">
        <v>1.45519152283669E-11</v>
      </c>
      <c r="G145" s="637">
        <v>5491.47</v>
      </c>
      <c r="H145" s="637">
        <v>4727.83</v>
      </c>
      <c r="I145" s="637">
        <v>5058.41</v>
      </c>
      <c r="J145" s="637">
        <v>16509</v>
      </c>
      <c r="K145" s="637">
        <v>265880.13</v>
      </c>
      <c r="L145" s="637">
        <v>0</v>
      </c>
      <c r="M145" s="637">
        <v>170.96</v>
      </c>
      <c r="N145" s="637">
        <v>4905.74</v>
      </c>
      <c r="O145" s="637">
        <v>4968.67</v>
      </c>
      <c r="P145" s="637">
        <v>4861.63</v>
      </c>
      <c r="Q145" s="637">
        <v>5867.16</v>
      </c>
      <c r="R145" s="637">
        <v>0</v>
      </c>
      <c r="S145" s="514">
        <f t="shared" si="37"/>
        <v>26536.75</v>
      </c>
      <c r="T145" s="638"/>
      <c r="U145" s="675">
        <f t="shared" si="34"/>
        <v>26536.75</v>
      </c>
      <c r="V145" s="713"/>
      <c r="W145" s="713"/>
      <c r="X145" s="736"/>
      <c r="Y145" s="713"/>
      <c r="Z145" s="713"/>
      <c r="AA145" s="675"/>
      <c r="AB145" s="713"/>
      <c r="AC145" s="676"/>
      <c r="AD145" s="677">
        <f t="shared" si="35"/>
        <v>26536.75</v>
      </c>
      <c r="AE145" s="676"/>
      <c r="AF145" s="711">
        <f t="shared" si="25"/>
        <v>0</v>
      </c>
    </row>
    <row r="146" spans="1:32">
      <c r="A146" s="638">
        <v>132</v>
      </c>
      <c r="B146" s="342" t="s">
        <v>981</v>
      </c>
      <c r="C146" s="342" t="s">
        <v>449</v>
      </c>
      <c r="D146" s="342" t="s">
        <v>450</v>
      </c>
      <c r="E146" s="636" t="s">
        <v>451</v>
      </c>
      <c r="F146" s="637">
        <v>299383.02</v>
      </c>
      <c r="G146" s="637">
        <v>352269.37</v>
      </c>
      <c r="H146" s="637">
        <v>0</v>
      </c>
      <c r="I146" s="637">
        <v>1962286.41</v>
      </c>
      <c r="J146" s="637">
        <v>174242.51</v>
      </c>
      <c r="K146" s="637">
        <v>45156.81</v>
      </c>
      <c r="L146" s="637">
        <v>52366.44</v>
      </c>
      <c r="M146" s="637">
        <v>28125.27</v>
      </c>
      <c r="N146" s="637">
        <v>74226.77</v>
      </c>
      <c r="O146" s="637">
        <v>86273</v>
      </c>
      <c r="P146" s="637">
        <v>1.45519152283669E-11</v>
      </c>
      <c r="Q146" s="637">
        <v>85807.33</v>
      </c>
      <c r="R146" s="637">
        <v>792674.16</v>
      </c>
      <c r="S146" s="514">
        <f t="shared" si="37"/>
        <v>283898.54166666669</v>
      </c>
      <c r="T146" s="638"/>
      <c r="U146" s="675">
        <f t="shared" si="34"/>
        <v>283898.54166666669</v>
      </c>
      <c r="V146" s="713"/>
      <c r="W146" s="713"/>
      <c r="X146" s="736"/>
      <c r="Y146" s="713"/>
      <c r="Z146" s="713"/>
      <c r="AA146" s="675"/>
      <c r="AB146" s="713"/>
      <c r="AC146" s="676"/>
      <c r="AD146" s="677">
        <f t="shared" si="35"/>
        <v>283898.54166666669</v>
      </c>
      <c r="AE146" s="676"/>
      <c r="AF146" s="711">
        <f t="shared" si="25"/>
        <v>0</v>
      </c>
    </row>
    <row r="147" spans="1:32">
      <c r="A147" s="638">
        <v>133</v>
      </c>
      <c r="B147" s="342" t="s">
        <v>981</v>
      </c>
      <c r="C147" s="342" t="s">
        <v>449</v>
      </c>
      <c r="D147" s="342" t="s">
        <v>495</v>
      </c>
      <c r="E147" s="636" t="s">
        <v>728</v>
      </c>
      <c r="F147" s="637">
        <v>97275.8</v>
      </c>
      <c r="G147" s="637">
        <v>124685.06</v>
      </c>
      <c r="H147" s="637">
        <v>152853.23000000001</v>
      </c>
      <c r="I147" s="637">
        <v>96949.61</v>
      </c>
      <c r="J147" s="637">
        <v>107933.45</v>
      </c>
      <c r="K147" s="637">
        <v>117734.06</v>
      </c>
      <c r="L147" s="637">
        <v>134136.34</v>
      </c>
      <c r="M147" s="637">
        <v>89459.73</v>
      </c>
      <c r="N147" s="637">
        <v>109607.47</v>
      </c>
      <c r="O147" s="637">
        <v>133693.88</v>
      </c>
      <c r="P147" s="637">
        <v>44634.29</v>
      </c>
      <c r="Q147" s="637">
        <v>71995.61</v>
      </c>
      <c r="R147" s="637">
        <v>100984.61</v>
      </c>
      <c r="S147" s="514">
        <f t="shared" si="37"/>
        <v>106901.07791666669</v>
      </c>
      <c r="T147" s="638"/>
      <c r="U147" s="675">
        <f t="shared" si="34"/>
        <v>106901.07791666669</v>
      </c>
      <c r="V147" s="713"/>
      <c r="W147" s="713"/>
      <c r="X147" s="736"/>
      <c r="Y147" s="713"/>
      <c r="Z147" s="713"/>
      <c r="AA147" s="675"/>
      <c r="AB147" s="713"/>
      <c r="AC147" s="676"/>
      <c r="AD147" s="677">
        <f t="shared" si="35"/>
        <v>106901.07791666669</v>
      </c>
      <c r="AE147" s="676"/>
      <c r="AF147" s="711">
        <f t="shared" si="25"/>
        <v>0</v>
      </c>
    </row>
    <row r="148" spans="1:32">
      <c r="A148" s="638">
        <v>134</v>
      </c>
      <c r="B148" s="342" t="s">
        <v>981</v>
      </c>
      <c r="C148" s="342" t="s">
        <v>452</v>
      </c>
      <c r="D148" s="342" t="s">
        <v>463</v>
      </c>
      <c r="E148" s="636" t="s">
        <v>453</v>
      </c>
      <c r="F148" s="637">
        <v>1940548.63</v>
      </c>
      <c r="G148" s="637">
        <v>1806480.37</v>
      </c>
      <c r="H148" s="637">
        <v>459068.21</v>
      </c>
      <c r="I148" s="637">
        <v>151095.42000000001</v>
      </c>
      <c r="J148" s="637">
        <v>480683.88</v>
      </c>
      <c r="K148" s="637">
        <v>826643.67</v>
      </c>
      <c r="L148" s="637">
        <v>1367391.12</v>
      </c>
      <c r="M148" s="637">
        <v>1817922.09</v>
      </c>
      <c r="N148" s="637">
        <v>2343168.5299999998</v>
      </c>
      <c r="O148" s="637">
        <v>3003087.8</v>
      </c>
      <c r="P148" s="637">
        <v>3407746.16</v>
      </c>
      <c r="Q148" s="637">
        <v>3032829.84</v>
      </c>
      <c r="R148" s="637">
        <v>1844137.53</v>
      </c>
      <c r="S148" s="514">
        <f t="shared" si="37"/>
        <v>1715705.0141666669</v>
      </c>
      <c r="T148" s="638"/>
      <c r="U148" s="675">
        <f t="shared" si="34"/>
        <v>1715705.0141666669</v>
      </c>
      <c r="V148" s="713"/>
      <c r="W148" s="713"/>
      <c r="X148" s="736"/>
      <c r="Y148" s="713"/>
      <c r="Z148" s="713"/>
      <c r="AA148" s="675"/>
      <c r="AB148" s="713"/>
      <c r="AC148" s="676"/>
      <c r="AD148" s="677">
        <f t="shared" si="35"/>
        <v>1715705.0141666669</v>
      </c>
      <c r="AE148" s="676"/>
      <c r="AF148" s="711">
        <f t="shared" si="25"/>
        <v>0</v>
      </c>
    </row>
    <row r="149" spans="1:32">
      <c r="A149" s="638">
        <v>135</v>
      </c>
      <c r="B149" s="638"/>
      <c r="C149" s="638"/>
      <c r="D149" s="638"/>
      <c r="E149" s="636" t="s">
        <v>454</v>
      </c>
      <c r="F149" s="321">
        <f t="shared" ref="F149:S149" si="38">SUM(F124:F148)</f>
        <v>8031490.5800000001</v>
      </c>
      <c r="G149" s="321">
        <f t="shared" si="38"/>
        <v>7862193.7300000014</v>
      </c>
      <c r="H149" s="321">
        <f t="shared" si="38"/>
        <v>6254790.1600000001</v>
      </c>
      <c r="I149" s="321">
        <f t="shared" si="38"/>
        <v>8047244.4700000007</v>
      </c>
      <c r="J149" s="321">
        <f t="shared" si="38"/>
        <v>6674814.6799999997</v>
      </c>
      <c r="K149" s="321">
        <f t="shared" si="38"/>
        <v>7457568.4099999992</v>
      </c>
      <c r="L149" s="321">
        <f t="shared" si="38"/>
        <v>7714679.6200000001</v>
      </c>
      <c r="M149" s="321">
        <f t="shared" si="38"/>
        <v>8387161.3599999985</v>
      </c>
      <c r="N149" s="321">
        <f t="shared" si="38"/>
        <v>9210080.6500000004</v>
      </c>
      <c r="O149" s="321">
        <f t="shared" si="38"/>
        <v>9704412.5600000005</v>
      </c>
      <c r="P149" s="321">
        <f t="shared" si="38"/>
        <v>10096520.32</v>
      </c>
      <c r="Q149" s="321">
        <f t="shared" si="38"/>
        <v>9951034.1700000018</v>
      </c>
      <c r="R149" s="321">
        <f t="shared" si="38"/>
        <v>9214197.9400000013</v>
      </c>
      <c r="S149" s="516">
        <f t="shared" si="38"/>
        <v>8331945.3658333337</v>
      </c>
      <c r="T149" s="638"/>
      <c r="U149" s="675"/>
      <c r="V149" s="713"/>
      <c r="W149" s="713"/>
      <c r="X149" s="736"/>
      <c r="Y149" s="713"/>
      <c r="Z149" s="713"/>
      <c r="AA149" s="675"/>
      <c r="AB149" s="713"/>
      <c r="AC149" s="676"/>
      <c r="AD149" s="676"/>
      <c r="AE149" s="676"/>
      <c r="AF149" s="711">
        <f t="shared" si="25"/>
        <v>0</v>
      </c>
    </row>
    <row r="150" spans="1:32">
      <c r="A150" s="638">
        <v>136</v>
      </c>
      <c r="B150" s="638"/>
      <c r="C150" s="638"/>
      <c r="D150" s="638"/>
      <c r="E150" s="623"/>
      <c r="F150" s="637"/>
      <c r="G150" s="330"/>
      <c r="H150" s="331"/>
      <c r="I150" s="331"/>
      <c r="J150" s="332"/>
      <c r="K150" s="333"/>
      <c r="L150" s="334"/>
      <c r="M150" s="335"/>
      <c r="N150" s="336"/>
      <c r="O150" s="624"/>
      <c r="P150" s="337"/>
      <c r="Q150" s="338"/>
      <c r="R150" s="637"/>
      <c r="S150" s="320"/>
      <c r="T150" s="638"/>
      <c r="U150" s="675"/>
      <c r="V150" s="713"/>
      <c r="W150" s="713"/>
      <c r="X150" s="736"/>
      <c r="Y150" s="713"/>
      <c r="Z150" s="713"/>
      <c r="AA150" s="675"/>
      <c r="AB150" s="713"/>
      <c r="AC150" s="676"/>
      <c r="AD150" s="676"/>
      <c r="AE150" s="676"/>
      <c r="AF150" s="711">
        <f t="shared" ref="AF150:AF224" si="39">+U150+V150-AD150</f>
        <v>0</v>
      </c>
    </row>
    <row r="151" spans="1:32">
      <c r="A151" s="638">
        <v>137</v>
      </c>
      <c r="B151" s="342" t="s">
        <v>981</v>
      </c>
      <c r="C151" s="342" t="s">
        <v>455</v>
      </c>
      <c r="D151" s="342" t="s">
        <v>974</v>
      </c>
      <c r="E151" s="636" t="s">
        <v>1888</v>
      </c>
      <c r="F151" s="637">
        <v>130504.06</v>
      </c>
      <c r="G151" s="637">
        <v>1134528.29</v>
      </c>
      <c r="H151" s="637">
        <v>1068508.95</v>
      </c>
      <c r="I151" s="637">
        <v>1009952.35</v>
      </c>
      <c r="J151" s="637">
        <v>853139</v>
      </c>
      <c r="K151" s="637">
        <v>744691.34</v>
      </c>
      <c r="L151" s="637">
        <v>645685.64</v>
      </c>
      <c r="M151" s="637">
        <v>527132.48</v>
      </c>
      <c r="N151" s="637">
        <v>408579.32</v>
      </c>
      <c r="O151" s="637">
        <v>329784.62</v>
      </c>
      <c r="P151" s="637">
        <v>211491.97</v>
      </c>
      <c r="Q151" s="637">
        <v>257118.74</v>
      </c>
      <c r="R151" s="637">
        <v>138018.51999999999</v>
      </c>
      <c r="S151" s="514">
        <f t="shared" ref="S151:S168" si="40">((F151+R151)+((G151+H151+I151+J151+K151+L151+M151+N151+O151+P151+Q151)*2))/24</f>
        <v>610406.16583333339</v>
      </c>
      <c r="T151" s="638"/>
      <c r="U151" s="675">
        <f t="shared" ref="U151:U166" si="41">+S151</f>
        <v>610406.16583333339</v>
      </c>
      <c r="V151" s="713"/>
      <c r="W151" s="713"/>
      <c r="X151" s="736"/>
      <c r="Y151" s="713"/>
      <c r="Z151" s="713"/>
      <c r="AA151" s="675"/>
      <c r="AB151" s="713"/>
      <c r="AC151" s="676"/>
      <c r="AD151" s="677">
        <f t="shared" ref="AD151:AD168" si="42">+U151</f>
        <v>610406.16583333339</v>
      </c>
      <c r="AE151" s="676"/>
      <c r="AF151" s="711">
        <f t="shared" si="39"/>
        <v>0</v>
      </c>
    </row>
    <row r="152" spans="1:32">
      <c r="A152" s="638">
        <v>138</v>
      </c>
      <c r="B152" s="342" t="s">
        <v>981</v>
      </c>
      <c r="C152" s="342" t="s">
        <v>456</v>
      </c>
      <c r="D152" s="342" t="s">
        <v>479</v>
      </c>
      <c r="E152" s="626" t="s">
        <v>1553</v>
      </c>
      <c r="F152" s="637">
        <v>10266422.640000001</v>
      </c>
      <c r="G152" s="637">
        <v>0</v>
      </c>
      <c r="H152" s="637">
        <v>0</v>
      </c>
      <c r="I152" s="637">
        <v>0</v>
      </c>
      <c r="J152" s="637">
        <v>0</v>
      </c>
      <c r="K152" s="637">
        <v>0</v>
      </c>
      <c r="L152" s="637">
        <v>0</v>
      </c>
      <c r="M152" s="637">
        <v>0</v>
      </c>
      <c r="N152" s="637">
        <v>0</v>
      </c>
      <c r="O152" s="637">
        <v>0</v>
      </c>
      <c r="P152" s="637">
        <v>0</v>
      </c>
      <c r="Q152" s="637">
        <v>0</v>
      </c>
      <c r="R152" s="637">
        <v>0</v>
      </c>
      <c r="S152" s="514">
        <f t="shared" si="40"/>
        <v>427767.61000000004</v>
      </c>
      <c r="T152" s="638"/>
      <c r="U152" s="675">
        <f t="shared" si="41"/>
        <v>427767.61000000004</v>
      </c>
      <c r="V152" s="713"/>
      <c r="W152" s="713"/>
      <c r="X152" s="736"/>
      <c r="Y152" s="713"/>
      <c r="Z152" s="713"/>
      <c r="AA152" s="675"/>
      <c r="AB152" s="713"/>
      <c r="AC152" s="676"/>
      <c r="AD152" s="677">
        <f t="shared" si="42"/>
        <v>427767.61000000004</v>
      </c>
      <c r="AE152" s="676"/>
      <c r="AF152" s="711">
        <f t="shared" si="39"/>
        <v>0</v>
      </c>
    </row>
    <row r="153" spans="1:32">
      <c r="A153" s="638">
        <v>139</v>
      </c>
      <c r="B153" s="342" t="s">
        <v>1009</v>
      </c>
      <c r="C153" s="342" t="s">
        <v>456</v>
      </c>
      <c r="D153" s="342" t="s">
        <v>481</v>
      </c>
      <c r="E153" s="626" t="s">
        <v>1558</v>
      </c>
      <c r="F153" s="637">
        <v>810941.04</v>
      </c>
      <c r="G153" s="637">
        <v>0</v>
      </c>
      <c r="H153" s="637">
        <v>0</v>
      </c>
      <c r="I153" s="637">
        <v>0</v>
      </c>
      <c r="J153" s="637">
        <v>0</v>
      </c>
      <c r="K153" s="637">
        <v>0</v>
      </c>
      <c r="L153" s="637">
        <v>0</v>
      </c>
      <c r="M153" s="637">
        <v>0</v>
      </c>
      <c r="N153" s="637">
        <v>0</v>
      </c>
      <c r="O153" s="637">
        <v>0</v>
      </c>
      <c r="P153" s="637">
        <v>0</v>
      </c>
      <c r="Q153" s="637">
        <v>0</v>
      </c>
      <c r="R153" s="637">
        <v>0</v>
      </c>
      <c r="S153" s="514">
        <f t="shared" si="40"/>
        <v>33789.21</v>
      </c>
      <c r="T153" s="638"/>
      <c r="U153" s="675">
        <f t="shared" si="41"/>
        <v>33789.21</v>
      </c>
      <c r="V153" s="713"/>
      <c r="W153" s="713"/>
      <c r="X153" s="736"/>
      <c r="Y153" s="713"/>
      <c r="Z153" s="713"/>
      <c r="AA153" s="675"/>
      <c r="AB153" s="713"/>
      <c r="AC153" s="676"/>
      <c r="AD153" s="677">
        <f t="shared" si="42"/>
        <v>33789.21</v>
      </c>
      <c r="AE153" s="676"/>
      <c r="AF153" s="711">
        <f t="shared" si="39"/>
        <v>0</v>
      </c>
    </row>
    <row r="154" spans="1:32">
      <c r="A154" s="638">
        <v>140</v>
      </c>
      <c r="B154" s="342" t="s">
        <v>981</v>
      </c>
      <c r="C154" s="342" t="s">
        <v>456</v>
      </c>
      <c r="D154" s="342" t="s">
        <v>483</v>
      </c>
      <c r="E154" s="626" t="s">
        <v>1554</v>
      </c>
      <c r="F154" s="637">
        <v>-71714</v>
      </c>
      <c r="G154" s="637">
        <v>0</v>
      </c>
      <c r="H154" s="637">
        <v>0</v>
      </c>
      <c r="I154" s="637">
        <v>0</v>
      </c>
      <c r="J154" s="637">
        <v>0</v>
      </c>
      <c r="K154" s="637">
        <v>0</v>
      </c>
      <c r="L154" s="637">
        <v>0</v>
      </c>
      <c r="M154" s="637">
        <v>0</v>
      </c>
      <c r="N154" s="637">
        <v>0</v>
      </c>
      <c r="O154" s="637">
        <v>0</v>
      </c>
      <c r="P154" s="637">
        <v>0</v>
      </c>
      <c r="Q154" s="637">
        <v>0</v>
      </c>
      <c r="R154" s="637">
        <v>0</v>
      </c>
      <c r="S154" s="514">
        <f t="shared" si="40"/>
        <v>-2988.0833333333335</v>
      </c>
      <c r="T154" s="638"/>
      <c r="U154" s="675">
        <f t="shared" si="41"/>
        <v>-2988.0833333333335</v>
      </c>
      <c r="V154" s="713"/>
      <c r="W154" s="713"/>
      <c r="X154" s="736"/>
      <c r="Y154" s="713"/>
      <c r="Z154" s="713"/>
      <c r="AA154" s="675"/>
      <c r="AB154" s="713"/>
      <c r="AC154" s="676"/>
      <c r="AD154" s="677">
        <f t="shared" si="42"/>
        <v>-2988.0833333333335</v>
      </c>
      <c r="AE154" s="676"/>
      <c r="AF154" s="711">
        <f t="shared" si="39"/>
        <v>0</v>
      </c>
    </row>
    <row r="155" spans="1:32">
      <c r="A155" s="638">
        <v>141</v>
      </c>
      <c r="B155" s="342" t="s">
        <v>981</v>
      </c>
      <c r="C155" s="342" t="s">
        <v>456</v>
      </c>
      <c r="D155" s="342" t="s">
        <v>457</v>
      </c>
      <c r="E155" s="626" t="s">
        <v>458</v>
      </c>
      <c r="F155" s="637">
        <v>3059262.74</v>
      </c>
      <c r="G155" s="637">
        <v>1737616.51</v>
      </c>
      <c r="H155" s="637">
        <v>419291.36</v>
      </c>
      <c r="I155" s="637">
        <v>3271523.49</v>
      </c>
      <c r="J155" s="637">
        <v>3808129.94</v>
      </c>
      <c r="K155" s="637">
        <v>3919844.69</v>
      </c>
      <c r="L155" s="637">
        <v>4186822.04</v>
      </c>
      <c r="M155" s="637">
        <v>4639280.42</v>
      </c>
      <c r="N155" s="637">
        <v>4836448.09</v>
      </c>
      <c r="O155" s="637">
        <v>4927090.6100000003</v>
      </c>
      <c r="P155" s="637">
        <v>4366986.1399999997</v>
      </c>
      <c r="Q155" s="637">
        <v>3550736.14</v>
      </c>
      <c r="R155" s="637">
        <v>3853770.95</v>
      </c>
      <c r="S155" s="514">
        <f t="shared" si="40"/>
        <v>3593357.1895833332</v>
      </c>
      <c r="T155" s="638"/>
      <c r="U155" s="675">
        <f t="shared" si="41"/>
        <v>3593357.1895833332</v>
      </c>
      <c r="V155" s="713"/>
      <c r="W155" s="713"/>
      <c r="X155" s="736"/>
      <c r="Y155" s="713"/>
      <c r="Z155" s="713"/>
      <c r="AA155" s="675"/>
      <c r="AB155" s="713"/>
      <c r="AC155" s="676"/>
      <c r="AD155" s="677">
        <f t="shared" si="42"/>
        <v>3593357.1895833332</v>
      </c>
      <c r="AE155" s="676"/>
      <c r="AF155" s="711">
        <f t="shared" si="39"/>
        <v>0</v>
      </c>
    </row>
    <row r="156" spans="1:32">
      <c r="A156" s="638">
        <v>142</v>
      </c>
      <c r="B156" s="342" t="s">
        <v>981</v>
      </c>
      <c r="C156" s="342" t="s">
        <v>456</v>
      </c>
      <c r="D156" s="342" t="s">
        <v>488</v>
      </c>
      <c r="E156" s="626" t="s">
        <v>1416</v>
      </c>
      <c r="F156" s="637">
        <v>218269.33</v>
      </c>
      <c r="G156" s="637">
        <v>0</v>
      </c>
      <c r="H156" s="637">
        <v>0</v>
      </c>
      <c r="I156" s="637">
        <v>0</v>
      </c>
      <c r="J156" s="637">
        <v>0</v>
      </c>
      <c r="K156" s="637">
        <v>0</v>
      </c>
      <c r="L156" s="637">
        <v>0</v>
      </c>
      <c r="M156" s="637">
        <v>0</v>
      </c>
      <c r="N156" s="637">
        <v>0</v>
      </c>
      <c r="O156" s="637">
        <v>0</v>
      </c>
      <c r="P156" s="637">
        <v>0</v>
      </c>
      <c r="Q156" s="637">
        <v>45364.26</v>
      </c>
      <c r="R156" s="637">
        <v>319155.09999999998</v>
      </c>
      <c r="S156" s="514">
        <f t="shared" si="40"/>
        <v>26173.039583333331</v>
      </c>
      <c r="T156" s="638"/>
      <c r="U156" s="675">
        <f t="shared" si="41"/>
        <v>26173.039583333331</v>
      </c>
      <c r="V156" s="713"/>
      <c r="W156" s="713"/>
      <c r="X156" s="736"/>
      <c r="Y156" s="713"/>
      <c r="Z156" s="713"/>
      <c r="AA156" s="675"/>
      <c r="AB156" s="713"/>
      <c r="AC156" s="676"/>
      <c r="AD156" s="677">
        <f t="shared" si="42"/>
        <v>26173.039583333331</v>
      </c>
      <c r="AE156" s="676"/>
      <c r="AF156" s="711">
        <f t="shared" si="39"/>
        <v>0</v>
      </c>
    </row>
    <row r="157" spans="1:32">
      <c r="A157" s="638">
        <v>143</v>
      </c>
      <c r="B157" s="342" t="s">
        <v>981</v>
      </c>
      <c r="C157" s="342" t="s">
        <v>456</v>
      </c>
      <c r="D157" s="342" t="s">
        <v>1162</v>
      </c>
      <c r="E157" s="636" t="s">
        <v>1417</v>
      </c>
      <c r="F157" s="637">
        <v>157660.22</v>
      </c>
      <c r="G157" s="637">
        <v>0</v>
      </c>
      <c r="H157" s="637">
        <v>0</v>
      </c>
      <c r="I157" s="637">
        <v>0</v>
      </c>
      <c r="J157" s="637">
        <v>0</v>
      </c>
      <c r="K157" s="637">
        <v>0</v>
      </c>
      <c r="L157" s="637">
        <v>0</v>
      </c>
      <c r="M157" s="637">
        <v>0</v>
      </c>
      <c r="N157" s="637">
        <v>0</v>
      </c>
      <c r="O157" s="637">
        <v>0</v>
      </c>
      <c r="P157" s="637">
        <v>0</v>
      </c>
      <c r="Q157" s="637">
        <v>28021.95</v>
      </c>
      <c r="R157" s="637">
        <v>167630.71</v>
      </c>
      <c r="S157" s="514">
        <f t="shared" si="40"/>
        <v>15888.95125</v>
      </c>
      <c r="T157" s="638"/>
      <c r="U157" s="675">
        <f t="shared" si="41"/>
        <v>15888.95125</v>
      </c>
      <c r="V157" s="713"/>
      <c r="W157" s="713"/>
      <c r="X157" s="736"/>
      <c r="Y157" s="713"/>
      <c r="Z157" s="713"/>
      <c r="AA157" s="675"/>
      <c r="AB157" s="713"/>
      <c r="AC157" s="676"/>
      <c r="AD157" s="677">
        <f t="shared" si="42"/>
        <v>15888.95125</v>
      </c>
      <c r="AE157" s="676"/>
      <c r="AF157" s="711">
        <f t="shared" si="39"/>
        <v>0</v>
      </c>
    </row>
    <row r="158" spans="1:32">
      <c r="A158" s="638">
        <v>144</v>
      </c>
      <c r="B158" s="342" t="s">
        <v>981</v>
      </c>
      <c r="C158" s="342" t="s">
        <v>456</v>
      </c>
      <c r="D158" s="342" t="s">
        <v>1415</v>
      </c>
      <c r="E158" s="636" t="s">
        <v>1552</v>
      </c>
      <c r="F158" s="637">
        <v>0</v>
      </c>
      <c r="G158" s="637">
        <v>0</v>
      </c>
      <c r="H158" s="637">
        <v>0</v>
      </c>
      <c r="I158" s="637">
        <v>0</v>
      </c>
      <c r="J158" s="637">
        <v>0</v>
      </c>
      <c r="K158" s="637">
        <v>0</v>
      </c>
      <c r="L158" s="637">
        <v>0</v>
      </c>
      <c r="M158" s="637">
        <v>0</v>
      </c>
      <c r="N158" s="637">
        <v>0</v>
      </c>
      <c r="O158" s="637">
        <v>0</v>
      </c>
      <c r="P158" s="637">
        <v>0</v>
      </c>
      <c r="Q158" s="637">
        <v>0</v>
      </c>
      <c r="R158" s="637">
        <v>0</v>
      </c>
      <c r="S158" s="514">
        <f t="shared" si="40"/>
        <v>0</v>
      </c>
      <c r="T158" s="638"/>
      <c r="U158" s="675">
        <f t="shared" si="41"/>
        <v>0</v>
      </c>
      <c r="V158" s="713"/>
      <c r="W158" s="713"/>
      <c r="X158" s="736"/>
      <c r="Y158" s="713"/>
      <c r="Z158" s="713"/>
      <c r="AA158" s="675"/>
      <c r="AB158" s="713"/>
      <c r="AC158" s="676"/>
      <c r="AD158" s="677">
        <f t="shared" si="42"/>
        <v>0</v>
      </c>
      <c r="AE158" s="676"/>
      <c r="AF158" s="711">
        <f t="shared" si="39"/>
        <v>0</v>
      </c>
    </row>
    <row r="159" spans="1:32">
      <c r="A159" s="638">
        <v>145</v>
      </c>
      <c r="B159" s="342" t="s">
        <v>1009</v>
      </c>
      <c r="C159" s="342" t="s">
        <v>456</v>
      </c>
      <c r="D159" s="342" t="s">
        <v>463</v>
      </c>
      <c r="E159" s="636" t="s">
        <v>1555</v>
      </c>
      <c r="F159" s="637">
        <v>-3.2741809263825397E-11</v>
      </c>
      <c r="G159" s="637">
        <v>0</v>
      </c>
      <c r="H159" s="637">
        <v>0</v>
      </c>
      <c r="I159" s="637">
        <v>139384.79999999999</v>
      </c>
      <c r="J159" s="637">
        <v>123897.54</v>
      </c>
      <c r="K159" s="637">
        <v>108410.28</v>
      </c>
      <c r="L159" s="637">
        <v>92923.02</v>
      </c>
      <c r="M159" s="637">
        <v>77435.759999999995</v>
      </c>
      <c r="N159" s="637">
        <v>61948.5</v>
      </c>
      <c r="O159" s="637">
        <v>46461.24</v>
      </c>
      <c r="P159" s="637">
        <v>30973.98</v>
      </c>
      <c r="Q159" s="637">
        <v>15486.72</v>
      </c>
      <c r="R159" s="637">
        <v>-0.53999999999723503</v>
      </c>
      <c r="S159" s="514">
        <f t="shared" si="40"/>
        <v>58076.797499999993</v>
      </c>
      <c r="T159" s="638"/>
      <c r="U159" s="675">
        <f t="shared" si="41"/>
        <v>58076.797499999993</v>
      </c>
      <c r="V159" s="713"/>
      <c r="W159" s="713"/>
      <c r="X159" s="736"/>
      <c r="Y159" s="713"/>
      <c r="Z159" s="713"/>
      <c r="AA159" s="675"/>
      <c r="AB159" s="713"/>
      <c r="AC159" s="676"/>
      <c r="AD159" s="677">
        <f t="shared" si="42"/>
        <v>58076.797499999993</v>
      </c>
      <c r="AE159" s="676"/>
      <c r="AF159" s="711">
        <f t="shared" si="39"/>
        <v>0</v>
      </c>
    </row>
    <row r="160" spans="1:32">
      <c r="A160" s="638">
        <v>146</v>
      </c>
      <c r="B160" s="342" t="s">
        <v>1009</v>
      </c>
      <c r="C160" s="342" t="s">
        <v>456</v>
      </c>
      <c r="D160" s="342" t="s">
        <v>450</v>
      </c>
      <c r="E160" s="636" t="s">
        <v>1556</v>
      </c>
      <c r="F160" s="637">
        <v>34487.9</v>
      </c>
      <c r="G160" s="637">
        <v>27590.32</v>
      </c>
      <c r="H160" s="637">
        <v>20692.740000000002</v>
      </c>
      <c r="I160" s="637">
        <v>13795.16</v>
      </c>
      <c r="J160" s="637">
        <v>6897.58</v>
      </c>
      <c r="K160" s="637">
        <v>-1.8189894035458601E-12</v>
      </c>
      <c r="L160" s="637">
        <v>-1.8189894035458601E-12</v>
      </c>
      <c r="M160" s="637">
        <v>-1.8189894035458601E-12</v>
      </c>
      <c r="N160" s="637">
        <v>-1.8189894035458601E-12</v>
      </c>
      <c r="O160" s="637">
        <v>48622.28</v>
      </c>
      <c r="P160" s="637">
        <v>42544.5</v>
      </c>
      <c r="Q160" s="637">
        <v>36466.720000000001</v>
      </c>
      <c r="R160" s="637">
        <v>30388.94</v>
      </c>
      <c r="S160" s="514">
        <f t="shared" si="40"/>
        <v>19087.310000000001</v>
      </c>
      <c r="T160" s="638"/>
      <c r="U160" s="675">
        <f t="shared" si="41"/>
        <v>19087.310000000001</v>
      </c>
      <c r="V160" s="713"/>
      <c r="W160" s="713"/>
      <c r="X160" s="736"/>
      <c r="Y160" s="713"/>
      <c r="Z160" s="713"/>
      <c r="AA160" s="675"/>
      <c r="AB160" s="713"/>
      <c r="AC160" s="676"/>
      <c r="AD160" s="677">
        <f t="shared" si="42"/>
        <v>19087.310000000001</v>
      </c>
      <c r="AE160" s="676"/>
      <c r="AF160" s="711">
        <f t="shared" si="39"/>
        <v>0</v>
      </c>
    </row>
    <row r="161" spans="1:32">
      <c r="A161" s="638">
        <v>147</v>
      </c>
      <c r="B161" s="342" t="s">
        <v>1009</v>
      </c>
      <c r="C161" s="342" t="s">
        <v>456</v>
      </c>
      <c r="D161" s="342" t="s">
        <v>494</v>
      </c>
      <c r="E161" s="636" t="s">
        <v>1557</v>
      </c>
      <c r="F161" s="637">
        <v>843102</v>
      </c>
      <c r="G161" s="637">
        <v>702585</v>
      </c>
      <c r="H161" s="637">
        <v>562068</v>
      </c>
      <c r="I161" s="637">
        <v>421551</v>
      </c>
      <c r="J161" s="637">
        <v>281034</v>
      </c>
      <c r="K161" s="637">
        <v>140517</v>
      </c>
      <c r="L161" s="637">
        <v>0</v>
      </c>
      <c r="M161" s="637">
        <v>0</v>
      </c>
      <c r="N161" s="637">
        <v>0</v>
      </c>
      <c r="O161" s="637">
        <v>0</v>
      </c>
      <c r="P161" s="637">
        <v>0</v>
      </c>
      <c r="Q161" s="637">
        <v>1095682</v>
      </c>
      <c r="R161" s="637">
        <v>939156</v>
      </c>
      <c r="S161" s="514">
        <f t="shared" si="40"/>
        <v>341213.83333333331</v>
      </c>
      <c r="T161" s="638"/>
      <c r="U161" s="675">
        <f t="shared" si="41"/>
        <v>341213.83333333331</v>
      </c>
      <c r="V161" s="713"/>
      <c r="W161" s="713"/>
      <c r="X161" s="736"/>
      <c r="Y161" s="713"/>
      <c r="Z161" s="713"/>
      <c r="AA161" s="675"/>
      <c r="AB161" s="713"/>
      <c r="AC161" s="676"/>
      <c r="AD161" s="677">
        <f t="shared" si="42"/>
        <v>341213.83333333331</v>
      </c>
      <c r="AE161" s="676"/>
      <c r="AF161" s="711">
        <f t="shared" si="39"/>
        <v>0</v>
      </c>
    </row>
    <row r="162" spans="1:32">
      <c r="A162" s="638">
        <v>148</v>
      </c>
      <c r="B162" s="342" t="s">
        <v>981</v>
      </c>
      <c r="C162" s="342" t="s">
        <v>456</v>
      </c>
      <c r="D162" s="342" t="s">
        <v>495</v>
      </c>
      <c r="E162" s="636" t="s">
        <v>1551</v>
      </c>
      <c r="F162" s="637">
        <v>54001.75</v>
      </c>
      <c r="G162" s="637">
        <v>0</v>
      </c>
      <c r="H162" s="637">
        <v>0</v>
      </c>
      <c r="I162" s="637">
        <v>0</v>
      </c>
      <c r="J162" s="637">
        <v>0</v>
      </c>
      <c r="K162" s="637">
        <v>0</v>
      </c>
      <c r="L162" s="637">
        <v>0</v>
      </c>
      <c r="M162" s="637">
        <v>0</v>
      </c>
      <c r="N162" s="637">
        <v>0</v>
      </c>
      <c r="O162" s="637">
        <v>0</v>
      </c>
      <c r="P162" s="637">
        <v>0</v>
      </c>
      <c r="Q162" s="637">
        <v>0</v>
      </c>
      <c r="R162" s="637">
        <v>54525.75</v>
      </c>
      <c r="S162" s="514">
        <f t="shared" si="40"/>
        <v>4521.979166666667</v>
      </c>
      <c r="T162" s="638"/>
      <c r="U162" s="675">
        <f t="shared" si="41"/>
        <v>4521.979166666667</v>
      </c>
      <c r="V162" s="713"/>
      <c r="W162" s="713"/>
      <c r="X162" s="736"/>
      <c r="Y162" s="713"/>
      <c r="Z162" s="713"/>
      <c r="AA162" s="675"/>
      <c r="AB162" s="713"/>
      <c r="AC162" s="676"/>
      <c r="AD162" s="677">
        <f t="shared" si="42"/>
        <v>4521.979166666667</v>
      </c>
      <c r="AE162" s="676"/>
      <c r="AF162" s="711">
        <f t="shared" si="39"/>
        <v>0</v>
      </c>
    </row>
    <row r="163" spans="1:32">
      <c r="A163" s="638">
        <v>149</v>
      </c>
      <c r="B163" s="342" t="s">
        <v>1009</v>
      </c>
      <c r="C163" s="342" t="s">
        <v>459</v>
      </c>
      <c r="D163" s="342" t="s">
        <v>1163</v>
      </c>
      <c r="E163" s="636" t="s">
        <v>1559</v>
      </c>
      <c r="F163" s="637">
        <v>0</v>
      </c>
      <c r="G163" s="637">
        <v>0</v>
      </c>
      <c r="H163" s="637">
        <v>0</v>
      </c>
      <c r="I163" s="637">
        <v>0</v>
      </c>
      <c r="J163" s="637">
        <v>0</v>
      </c>
      <c r="K163" s="637">
        <v>0</v>
      </c>
      <c r="L163" s="637">
        <v>0</v>
      </c>
      <c r="M163" s="637">
        <v>0</v>
      </c>
      <c r="N163" s="637">
        <v>0</v>
      </c>
      <c r="O163" s="637">
        <v>0</v>
      </c>
      <c r="P163" s="637">
        <v>0</v>
      </c>
      <c r="Q163" s="637">
        <v>179.76</v>
      </c>
      <c r="R163" s="637">
        <v>0</v>
      </c>
      <c r="S163" s="514">
        <f t="shared" si="40"/>
        <v>14.979999999999999</v>
      </c>
      <c r="T163" s="638"/>
      <c r="U163" s="675">
        <f t="shared" si="41"/>
        <v>14.979999999999999</v>
      </c>
      <c r="V163" s="713"/>
      <c r="W163" s="713"/>
      <c r="X163" s="736"/>
      <c r="Y163" s="713"/>
      <c r="Z163" s="713"/>
      <c r="AA163" s="675"/>
      <c r="AB163" s="713"/>
      <c r="AC163" s="676"/>
      <c r="AD163" s="677">
        <f t="shared" si="42"/>
        <v>14.979999999999999</v>
      </c>
      <c r="AE163" s="676"/>
      <c r="AF163" s="711">
        <f t="shared" si="39"/>
        <v>0</v>
      </c>
    </row>
    <row r="164" spans="1:32">
      <c r="A164" s="638">
        <v>150</v>
      </c>
      <c r="B164" s="342" t="s">
        <v>984</v>
      </c>
      <c r="C164" s="342" t="s">
        <v>459</v>
      </c>
      <c r="D164" s="342" t="s">
        <v>1164</v>
      </c>
      <c r="E164" s="636" t="s">
        <v>1559</v>
      </c>
      <c r="F164" s="637">
        <v>0</v>
      </c>
      <c r="G164" s="637">
        <v>0</v>
      </c>
      <c r="H164" s="637">
        <v>0</v>
      </c>
      <c r="I164" s="637">
        <v>0</v>
      </c>
      <c r="J164" s="637">
        <v>0</v>
      </c>
      <c r="K164" s="637">
        <v>0</v>
      </c>
      <c r="L164" s="637">
        <v>0</v>
      </c>
      <c r="M164" s="637">
        <v>0</v>
      </c>
      <c r="N164" s="637">
        <v>0</v>
      </c>
      <c r="O164" s="637">
        <v>0</v>
      </c>
      <c r="P164" s="637">
        <v>0</v>
      </c>
      <c r="Q164" s="637">
        <v>650.24</v>
      </c>
      <c r="R164" s="637">
        <v>0</v>
      </c>
      <c r="S164" s="514">
        <f t="shared" si="40"/>
        <v>54.186666666666667</v>
      </c>
      <c r="T164" s="638"/>
      <c r="U164" s="675">
        <f t="shared" si="41"/>
        <v>54.186666666666667</v>
      </c>
      <c r="V164" s="713"/>
      <c r="W164" s="713"/>
      <c r="X164" s="736"/>
      <c r="Y164" s="713"/>
      <c r="Z164" s="713"/>
      <c r="AA164" s="675"/>
      <c r="AB164" s="713"/>
      <c r="AC164" s="676"/>
      <c r="AD164" s="677">
        <f t="shared" si="42"/>
        <v>54.186666666666667</v>
      </c>
      <c r="AE164" s="676"/>
      <c r="AF164" s="711">
        <f t="shared" si="39"/>
        <v>0</v>
      </c>
    </row>
    <row r="165" spans="1:32">
      <c r="A165" s="638">
        <v>151</v>
      </c>
      <c r="B165" s="342" t="s">
        <v>981</v>
      </c>
      <c r="C165" s="342" t="s">
        <v>460</v>
      </c>
      <c r="D165" s="342" t="s">
        <v>463</v>
      </c>
      <c r="E165" s="636" t="s">
        <v>461</v>
      </c>
      <c r="F165" s="637">
        <v>0</v>
      </c>
      <c r="G165" s="637">
        <v>0</v>
      </c>
      <c r="H165" s="637">
        <v>0</v>
      </c>
      <c r="I165" s="637">
        <v>0</v>
      </c>
      <c r="J165" s="637">
        <v>0</v>
      </c>
      <c r="K165" s="637">
        <v>0</v>
      </c>
      <c r="L165" s="637">
        <v>0</v>
      </c>
      <c r="M165" s="637">
        <v>0</v>
      </c>
      <c r="N165" s="637">
        <v>0</v>
      </c>
      <c r="O165" s="637">
        <v>0</v>
      </c>
      <c r="P165" s="637">
        <v>0</v>
      </c>
      <c r="Q165" s="637">
        <v>0</v>
      </c>
      <c r="R165" s="637">
        <v>0</v>
      </c>
      <c r="S165" s="514">
        <f t="shared" si="40"/>
        <v>0</v>
      </c>
      <c r="T165" s="638"/>
      <c r="U165" s="675">
        <f t="shared" si="41"/>
        <v>0</v>
      </c>
      <c r="V165" s="713"/>
      <c r="W165" s="713"/>
      <c r="X165" s="736"/>
      <c r="Y165" s="713"/>
      <c r="Z165" s="713"/>
      <c r="AA165" s="675"/>
      <c r="AB165" s="713"/>
      <c r="AC165" s="676"/>
      <c r="AD165" s="677">
        <f t="shared" si="42"/>
        <v>0</v>
      </c>
      <c r="AE165" s="676"/>
      <c r="AF165" s="711">
        <f t="shared" si="39"/>
        <v>0</v>
      </c>
    </row>
    <row r="166" spans="1:32">
      <c r="A166" s="638">
        <v>152</v>
      </c>
      <c r="B166" s="342" t="s">
        <v>981</v>
      </c>
      <c r="C166" s="342" t="s">
        <v>462</v>
      </c>
      <c r="D166" s="342" t="s">
        <v>463</v>
      </c>
      <c r="E166" s="636" t="s">
        <v>464</v>
      </c>
      <c r="F166" s="637">
        <v>0</v>
      </c>
      <c r="G166" s="637">
        <v>0</v>
      </c>
      <c r="H166" s="637">
        <v>0</v>
      </c>
      <c r="I166" s="637">
        <v>0</v>
      </c>
      <c r="J166" s="637">
        <v>0</v>
      </c>
      <c r="K166" s="637">
        <v>0</v>
      </c>
      <c r="L166" s="637">
        <v>0</v>
      </c>
      <c r="M166" s="637">
        <v>0</v>
      </c>
      <c r="N166" s="637">
        <v>0</v>
      </c>
      <c r="O166" s="637">
        <v>0</v>
      </c>
      <c r="P166" s="637">
        <v>970</v>
      </c>
      <c r="Q166" s="637">
        <v>0</v>
      </c>
      <c r="R166" s="637">
        <v>138098</v>
      </c>
      <c r="S166" s="514">
        <f t="shared" si="40"/>
        <v>5834.916666666667</v>
      </c>
      <c r="T166" s="638"/>
      <c r="U166" s="675">
        <f t="shared" si="41"/>
        <v>5834.916666666667</v>
      </c>
      <c r="V166" s="713"/>
      <c r="W166" s="713"/>
      <c r="X166" s="736"/>
      <c r="Y166" s="713"/>
      <c r="Z166" s="713"/>
      <c r="AA166" s="675"/>
      <c r="AB166" s="713"/>
      <c r="AC166" s="676"/>
      <c r="AD166" s="677">
        <f t="shared" si="42"/>
        <v>5834.916666666667</v>
      </c>
      <c r="AE166" s="676"/>
      <c r="AF166" s="711">
        <f t="shared" si="39"/>
        <v>0</v>
      </c>
    </row>
    <row r="167" spans="1:32">
      <c r="A167" s="638">
        <v>153</v>
      </c>
      <c r="B167" s="342" t="s">
        <v>1883</v>
      </c>
      <c r="C167" s="342" t="s">
        <v>456</v>
      </c>
      <c r="D167" s="342" t="s">
        <v>1141</v>
      </c>
      <c r="E167" s="636" t="s">
        <v>1889</v>
      </c>
      <c r="F167" s="637">
        <v>0</v>
      </c>
      <c r="G167" s="637">
        <v>0</v>
      </c>
      <c r="H167" s="637">
        <v>0</v>
      </c>
      <c r="I167" s="637">
        <v>12407398.130000001</v>
      </c>
      <c r="J167" s="637">
        <v>0</v>
      </c>
      <c r="K167" s="637">
        <v>0</v>
      </c>
      <c r="L167" s="637">
        <v>0</v>
      </c>
      <c r="M167" s="637">
        <v>0</v>
      </c>
      <c r="N167" s="637">
        <v>0</v>
      </c>
      <c r="O167" s="637">
        <v>0</v>
      </c>
      <c r="P167" s="637">
        <v>0</v>
      </c>
      <c r="Q167" s="637">
        <v>0</v>
      </c>
      <c r="R167" s="637">
        <v>0</v>
      </c>
      <c r="S167" s="514">
        <f t="shared" si="40"/>
        <v>1033949.8441666667</v>
      </c>
      <c r="T167" s="638"/>
      <c r="U167" s="675">
        <f>+S167</f>
        <v>1033949.8441666667</v>
      </c>
      <c r="V167" s="713"/>
      <c r="W167" s="713"/>
      <c r="X167" s="736"/>
      <c r="Y167" s="713"/>
      <c r="Z167" s="713"/>
      <c r="AA167" s="675"/>
      <c r="AB167" s="713"/>
      <c r="AC167" s="676"/>
      <c r="AD167" s="677">
        <f t="shared" si="42"/>
        <v>1033949.8441666667</v>
      </c>
      <c r="AE167" s="676"/>
      <c r="AF167" s="711">
        <f t="shared" si="39"/>
        <v>0</v>
      </c>
    </row>
    <row r="168" spans="1:32">
      <c r="A168" s="638">
        <v>154</v>
      </c>
      <c r="B168" s="342" t="s">
        <v>1883</v>
      </c>
      <c r="C168" s="342" t="s">
        <v>460</v>
      </c>
      <c r="D168" s="342" t="s">
        <v>382</v>
      </c>
      <c r="E168" s="636" t="s">
        <v>461</v>
      </c>
      <c r="F168" s="637">
        <v>0</v>
      </c>
      <c r="G168" s="637">
        <v>6608847.7199999997</v>
      </c>
      <c r="H168" s="637">
        <v>5786788.9500000002</v>
      </c>
      <c r="I168" s="637">
        <v>5526639.8300000001</v>
      </c>
      <c r="J168" s="637">
        <v>5959971.2999999998</v>
      </c>
      <c r="K168" s="637">
        <v>6195366.1200000001</v>
      </c>
      <c r="L168" s="637">
        <v>6744853.4000000004</v>
      </c>
      <c r="M168" s="637">
        <v>7218543.9699999997</v>
      </c>
      <c r="N168" s="637">
        <v>7648108.7699999996</v>
      </c>
      <c r="O168" s="637">
        <v>8128912.3099999996</v>
      </c>
      <c r="P168" s="637">
        <v>8088749.96</v>
      </c>
      <c r="Q168" s="637">
        <v>7546135.9699999997</v>
      </c>
      <c r="R168" s="637">
        <v>7163930.3700000001</v>
      </c>
      <c r="S168" s="514">
        <f t="shared" si="40"/>
        <v>6586240.2904166663</v>
      </c>
      <c r="T168" s="638"/>
      <c r="U168" s="675">
        <f>+S168</f>
        <v>6586240.2904166663</v>
      </c>
      <c r="V168" s="713"/>
      <c r="W168" s="713"/>
      <c r="X168" s="736"/>
      <c r="Y168" s="713"/>
      <c r="Z168" s="713"/>
      <c r="AA168" s="675"/>
      <c r="AB168" s="713"/>
      <c r="AC168" s="676"/>
      <c r="AD168" s="677">
        <f t="shared" si="42"/>
        <v>6586240.2904166663</v>
      </c>
      <c r="AE168" s="676"/>
      <c r="AF168" s="711">
        <f t="shared" si="39"/>
        <v>0</v>
      </c>
    </row>
    <row r="169" spans="1:32">
      <c r="A169" s="638">
        <v>155</v>
      </c>
      <c r="B169" s="638"/>
      <c r="C169" s="638"/>
      <c r="D169" s="638"/>
      <c r="E169" s="636" t="s">
        <v>465</v>
      </c>
      <c r="F169" s="516">
        <f t="shared" ref="F169:R169" si="43">SUM(F151:F168)</f>
        <v>15502937.680000003</v>
      </c>
      <c r="G169" s="516">
        <f t="shared" si="43"/>
        <v>10211167.84</v>
      </c>
      <c r="H169" s="516">
        <f t="shared" si="43"/>
        <v>7857350</v>
      </c>
      <c r="I169" s="516">
        <f t="shared" si="43"/>
        <v>22790244.759999998</v>
      </c>
      <c r="J169" s="516">
        <f t="shared" si="43"/>
        <v>11033069.359999999</v>
      </c>
      <c r="K169" s="516">
        <f t="shared" si="43"/>
        <v>11108829.43</v>
      </c>
      <c r="L169" s="516">
        <f t="shared" si="43"/>
        <v>11670284.1</v>
      </c>
      <c r="M169" s="516">
        <f t="shared" si="43"/>
        <v>12462392.629999999</v>
      </c>
      <c r="N169" s="516">
        <f t="shared" si="43"/>
        <v>12955084.68</v>
      </c>
      <c r="O169" s="516">
        <f t="shared" si="43"/>
        <v>13480871.060000001</v>
      </c>
      <c r="P169" s="516">
        <f t="shared" si="43"/>
        <v>12741716.550000001</v>
      </c>
      <c r="Q169" s="516">
        <f t="shared" si="43"/>
        <v>12575842.5</v>
      </c>
      <c r="R169" s="516">
        <f t="shared" si="43"/>
        <v>12804673.800000001</v>
      </c>
      <c r="S169" s="516">
        <f>SUM(S151:S168)</f>
        <v>12753388.220833335</v>
      </c>
      <c r="T169" s="638"/>
      <c r="U169" s="675"/>
      <c r="V169" s="713"/>
      <c r="W169" s="713"/>
      <c r="X169" s="736"/>
      <c r="Y169" s="713"/>
      <c r="Z169" s="713"/>
      <c r="AA169" s="675"/>
      <c r="AB169" s="713"/>
      <c r="AC169" s="676"/>
      <c r="AD169" s="676"/>
      <c r="AE169" s="676"/>
      <c r="AF169" s="711">
        <f t="shared" si="39"/>
        <v>0</v>
      </c>
    </row>
    <row r="170" spans="1:32">
      <c r="A170" s="638">
        <v>156</v>
      </c>
      <c r="B170" s="638"/>
      <c r="C170" s="638"/>
      <c r="D170" s="638"/>
      <c r="E170" s="623"/>
      <c r="F170" s="637"/>
      <c r="G170" s="340"/>
      <c r="H170" s="331"/>
      <c r="I170" s="331"/>
      <c r="J170" s="332"/>
      <c r="K170" s="333"/>
      <c r="L170" s="334"/>
      <c r="M170" s="335"/>
      <c r="N170" s="336"/>
      <c r="O170" s="624"/>
      <c r="P170" s="337"/>
      <c r="Q170" s="341"/>
      <c r="R170" s="637"/>
      <c r="S170" s="320"/>
      <c r="T170" s="638"/>
      <c r="U170" s="675"/>
      <c r="V170" s="713"/>
      <c r="W170" s="713"/>
      <c r="X170" s="736"/>
      <c r="Y170" s="713"/>
      <c r="Z170" s="713"/>
      <c r="AA170" s="675"/>
      <c r="AB170" s="713"/>
      <c r="AC170" s="676"/>
      <c r="AD170" s="676"/>
      <c r="AE170" s="676"/>
      <c r="AF170" s="711">
        <f t="shared" si="39"/>
        <v>0</v>
      </c>
    </row>
    <row r="171" spans="1:32">
      <c r="A171" s="638">
        <v>157</v>
      </c>
      <c r="B171" s="342" t="s">
        <v>1009</v>
      </c>
      <c r="C171" s="342" t="s">
        <v>466</v>
      </c>
      <c r="D171" s="342" t="s">
        <v>463</v>
      </c>
      <c r="E171" s="636" t="s">
        <v>1560</v>
      </c>
      <c r="F171" s="637">
        <v>3996207.51</v>
      </c>
      <c r="G171" s="637">
        <v>4142082.6</v>
      </c>
      <c r="H171" s="637">
        <v>4519025.45</v>
      </c>
      <c r="I171" s="637">
        <v>3009326.44</v>
      </c>
      <c r="J171" s="637">
        <v>1956278.65</v>
      </c>
      <c r="K171" s="637">
        <v>962759.14999999898</v>
      </c>
      <c r="L171" s="637">
        <v>731962.76999999897</v>
      </c>
      <c r="M171" s="637">
        <v>565739.179999999</v>
      </c>
      <c r="N171" s="637">
        <v>288823.299999999</v>
      </c>
      <c r="O171" s="637">
        <v>718108.98</v>
      </c>
      <c r="P171" s="637">
        <v>2314646.5499999998</v>
      </c>
      <c r="Q171" s="637">
        <v>3445820.69</v>
      </c>
      <c r="R171" s="637">
        <v>3995882.3</v>
      </c>
      <c r="S171" s="514">
        <f>((F171+R171)+((G171+H171+I171+J171+K171+L171+M171+N171+O171+P171+Q171)*2))/24</f>
        <v>2220884.8887499999</v>
      </c>
      <c r="T171" s="638"/>
      <c r="U171" s="675">
        <f t="shared" ref="U171:U180" si="44">+S171</f>
        <v>2220884.8887499999</v>
      </c>
      <c r="V171" s="713"/>
      <c r="W171" s="713"/>
      <c r="X171" s="736"/>
      <c r="Y171" s="713"/>
      <c r="Z171" s="713"/>
      <c r="AA171" s="675"/>
      <c r="AB171" s="713"/>
      <c r="AC171" s="676"/>
      <c r="AD171" s="677">
        <f t="shared" ref="AD171:AD180" si="45">+U171</f>
        <v>2220884.8887499999</v>
      </c>
      <c r="AE171" s="676"/>
      <c r="AF171" s="711">
        <f t="shared" si="39"/>
        <v>0</v>
      </c>
    </row>
    <row r="172" spans="1:32">
      <c r="A172" s="638">
        <v>158</v>
      </c>
      <c r="B172" s="342" t="s">
        <v>984</v>
      </c>
      <c r="C172" s="342" t="s">
        <v>466</v>
      </c>
      <c r="D172" s="342" t="s">
        <v>463</v>
      </c>
      <c r="E172" s="636" t="s">
        <v>1560</v>
      </c>
      <c r="F172" s="637">
        <v>9812907.4100000001</v>
      </c>
      <c r="G172" s="637">
        <v>9814210.4800000004</v>
      </c>
      <c r="H172" s="637">
        <v>12289714.92</v>
      </c>
      <c r="I172" s="637">
        <v>7916537.5599999996</v>
      </c>
      <c r="J172" s="637">
        <v>4541958.57</v>
      </c>
      <c r="K172" s="637">
        <v>2644109.17</v>
      </c>
      <c r="L172" s="637">
        <v>1735971.12</v>
      </c>
      <c r="M172" s="637">
        <v>1633900.5</v>
      </c>
      <c r="N172" s="637">
        <v>873816.87</v>
      </c>
      <c r="O172" s="637">
        <v>2140292.2200000002</v>
      </c>
      <c r="P172" s="637">
        <v>5885722.04</v>
      </c>
      <c r="Q172" s="637">
        <v>10448165.050000001</v>
      </c>
      <c r="R172" s="637">
        <v>12363365.84</v>
      </c>
      <c r="S172" s="514">
        <f t="shared" ref="S172:S179" si="46">((F172+R172)+((G172+H172+I172+J172+K172+L172+M172+N172+O172+P172+Q172)*2))/24</f>
        <v>5917711.260416667</v>
      </c>
      <c r="T172" s="638"/>
      <c r="U172" s="675">
        <f t="shared" si="44"/>
        <v>5917711.260416667</v>
      </c>
      <c r="V172" s="713"/>
      <c r="W172" s="713"/>
      <c r="X172" s="736"/>
      <c r="Y172" s="713"/>
      <c r="Z172" s="713"/>
      <c r="AA172" s="675"/>
      <c r="AB172" s="713"/>
      <c r="AC172" s="676"/>
      <c r="AD172" s="677">
        <f t="shared" si="45"/>
        <v>5917711.260416667</v>
      </c>
      <c r="AE172" s="676"/>
      <c r="AF172" s="711">
        <f t="shared" si="39"/>
        <v>0</v>
      </c>
    </row>
    <row r="173" spans="1:32">
      <c r="A173" s="638">
        <v>159</v>
      </c>
      <c r="B173" s="342" t="s">
        <v>1009</v>
      </c>
      <c r="C173" s="342" t="s">
        <v>466</v>
      </c>
      <c r="D173" s="342" t="s">
        <v>450</v>
      </c>
      <c r="E173" s="636" t="s">
        <v>1561</v>
      </c>
      <c r="F173" s="637">
        <v>2076923.47</v>
      </c>
      <c r="G173" s="637">
        <v>2053249.37</v>
      </c>
      <c r="H173" s="637">
        <v>2290904.6800000002</v>
      </c>
      <c r="I173" s="637">
        <v>1537587.61</v>
      </c>
      <c r="J173" s="637">
        <v>967695.83</v>
      </c>
      <c r="K173" s="637">
        <v>498879.2</v>
      </c>
      <c r="L173" s="637">
        <v>403631.59</v>
      </c>
      <c r="M173" s="637">
        <v>376763.13</v>
      </c>
      <c r="N173" s="637">
        <v>205193.59</v>
      </c>
      <c r="O173" s="637">
        <v>492757.75</v>
      </c>
      <c r="P173" s="637">
        <v>1334048.1200000001</v>
      </c>
      <c r="Q173" s="637">
        <v>2147785.9700000002</v>
      </c>
      <c r="R173" s="637">
        <v>2358929.9900000002</v>
      </c>
      <c r="S173" s="514">
        <f t="shared" si="46"/>
        <v>1210535.2975000001</v>
      </c>
      <c r="T173" s="638"/>
      <c r="U173" s="675">
        <f t="shared" si="44"/>
        <v>1210535.2975000001</v>
      </c>
      <c r="V173" s="713"/>
      <c r="W173" s="713"/>
      <c r="X173" s="736"/>
      <c r="Y173" s="713"/>
      <c r="Z173" s="713"/>
      <c r="AA173" s="675"/>
      <c r="AB173" s="713"/>
      <c r="AC173" s="676"/>
      <c r="AD173" s="677">
        <f t="shared" si="45"/>
        <v>1210535.2975000001</v>
      </c>
      <c r="AE173" s="676"/>
      <c r="AF173" s="711">
        <f t="shared" si="39"/>
        <v>0</v>
      </c>
    </row>
    <row r="174" spans="1:32">
      <c r="A174" s="638">
        <v>160</v>
      </c>
      <c r="B174" s="342" t="s">
        <v>984</v>
      </c>
      <c r="C174" s="342" t="s">
        <v>466</v>
      </c>
      <c r="D174" s="342" t="s">
        <v>450</v>
      </c>
      <c r="E174" s="636" t="s">
        <v>1561</v>
      </c>
      <c r="F174" s="637">
        <v>6666508.6600000001</v>
      </c>
      <c r="G174" s="637">
        <v>6649850.4900000002</v>
      </c>
      <c r="H174" s="637">
        <v>8273711.4400000004</v>
      </c>
      <c r="I174" s="637">
        <v>5636600.1699999999</v>
      </c>
      <c r="J174" s="637">
        <v>3435315.38</v>
      </c>
      <c r="K174" s="637">
        <v>1959769.25</v>
      </c>
      <c r="L174" s="637">
        <v>1523835.36</v>
      </c>
      <c r="M174" s="637">
        <v>1586638.99</v>
      </c>
      <c r="N174" s="637">
        <v>901948.3</v>
      </c>
      <c r="O174" s="637">
        <v>2164917.37</v>
      </c>
      <c r="P174" s="637">
        <v>4639424.57</v>
      </c>
      <c r="Q174" s="637">
        <v>8421329.5999999996</v>
      </c>
      <c r="R174" s="637">
        <v>9421371.3000000007</v>
      </c>
      <c r="S174" s="514">
        <f t="shared" si="46"/>
        <v>4436440.0750000002</v>
      </c>
      <c r="T174" s="638"/>
      <c r="U174" s="675">
        <f t="shared" si="44"/>
        <v>4436440.0750000002</v>
      </c>
      <c r="V174" s="713"/>
      <c r="W174" s="713"/>
      <c r="X174" s="736"/>
      <c r="Y174" s="713"/>
      <c r="Z174" s="713"/>
      <c r="AA174" s="675"/>
      <c r="AB174" s="713"/>
      <c r="AC174" s="676"/>
      <c r="AD174" s="677">
        <f t="shared" si="45"/>
        <v>4436440.0750000002</v>
      </c>
      <c r="AE174" s="676"/>
      <c r="AF174" s="711">
        <f t="shared" si="39"/>
        <v>0</v>
      </c>
    </row>
    <row r="175" spans="1:32">
      <c r="A175" s="638">
        <v>161</v>
      </c>
      <c r="B175" s="342" t="s">
        <v>1009</v>
      </c>
      <c r="C175" s="342" t="s">
        <v>466</v>
      </c>
      <c r="D175" s="342" t="s">
        <v>494</v>
      </c>
      <c r="E175" s="636" t="s">
        <v>1562</v>
      </c>
      <c r="F175" s="637">
        <v>160375.5</v>
      </c>
      <c r="G175" s="637">
        <v>164204.10999999999</v>
      </c>
      <c r="H175" s="637">
        <v>164627.15</v>
      </c>
      <c r="I175" s="637">
        <v>142983.69</v>
      </c>
      <c r="J175" s="637">
        <v>90175.79</v>
      </c>
      <c r="K175" s="637">
        <v>70393.39</v>
      </c>
      <c r="L175" s="637">
        <v>57118.6</v>
      </c>
      <c r="M175" s="637">
        <v>55829.62</v>
      </c>
      <c r="N175" s="637">
        <v>53275.48</v>
      </c>
      <c r="O175" s="637">
        <v>58696.7</v>
      </c>
      <c r="P175" s="637">
        <v>117247.05</v>
      </c>
      <c r="Q175" s="637">
        <v>80567.87</v>
      </c>
      <c r="R175" s="637">
        <v>11691.44</v>
      </c>
      <c r="S175" s="514">
        <f t="shared" si="46"/>
        <v>95096.07666666666</v>
      </c>
      <c r="T175" s="638"/>
      <c r="U175" s="675">
        <f t="shared" si="44"/>
        <v>95096.07666666666</v>
      </c>
      <c r="V175" s="713"/>
      <c r="W175" s="713"/>
      <c r="X175" s="736"/>
      <c r="Y175" s="713"/>
      <c r="Z175" s="713"/>
      <c r="AA175" s="675"/>
      <c r="AB175" s="713"/>
      <c r="AC175" s="676"/>
      <c r="AD175" s="677">
        <f t="shared" si="45"/>
        <v>95096.07666666666</v>
      </c>
      <c r="AE175" s="676"/>
      <c r="AF175" s="711">
        <f t="shared" si="39"/>
        <v>0</v>
      </c>
    </row>
    <row r="176" spans="1:32">
      <c r="A176" s="638">
        <v>162</v>
      </c>
      <c r="B176" s="342" t="s">
        <v>984</v>
      </c>
      <c r="C176" s="342" t="s">
        <v>466</v>
      </c>
      <c r="D176" s="342" t="s">
        <v>494</v>
      </c>
      <c r="E176" s="636" t="s">
        <v>1562</v>
      </c>
      <c r="F176" s="637">
        <v>136949.03</v>
      </c>
      <c r="G176" s="637">
        <v>135933.35999999999</v>
      </c>
      <c r="H176" s="637">
        <v>142057.14000000001</v>
      </c>
      <c r="I176" s="637">
        <v>129581.72</v>
      </c>
      <c r="J176" s="637">
        <v>115413.98</v>
      </c>
      <c r="K176" s="637">
        <v>85958.92</v>
      </c>
      <c r="L176" s="637">
        <v>67762.22</v>
      </c>
      <c r="M176" s="637">
        <v>74171.570000000007</v>
      </c>
      <c r="N176" s="637">
        <v>57928.02</v>
      </c>
      <c r="O176" s="637">
        <v>68424.179999999993</v>
      </c>
      <c r="P176" s="637">
        <v>895072.26</v>
      </c>
      <c r="Q176" s="637">
        <v>1128354.18</v>
      </c>
      <c r="R176" s="637">
        <v>1264015.1200000001</v>
      </c>
      <c r="S176" s="514">
        <f t="shared" si="46"/>
        <v>300094.96875</v>
      </c>
      <c r="T176" s="638"/>
      <c r="U176" s="675">
        <f t="shared" si="44"/>
        <v>300094.96875</v>
      </c>
      <c r="V176" s="713"/>
      <c r="W176" s="713"/>
      <c r="X176" s="736"/>
      <c r="Y176" s="713"/>
      <c r="Z176" s="713"/>
      <c r="AA176" s="675"/>
      <c r="AB176" s="713"/>
      <c r="AC176" s="676"/>
      <c r="AD176" s="677">
        <f t="shared" si="45"/>
        <v>300094.96875</v>
      </c>
      <c r="AE176" s="676"/>
      <c r="AF176" s="711">
        <f t="shared" si="39"/>
        <v>0</v>
      </c>
    </row>
    <row r="177" spans="1:32">
      <c r="A177" s="638">
        <v>163</v>
      </c>
      <c r="B177" s="342" t="s">
        <v>1009</v>
      </c>
      <c r="C177" s="342" t="s">
        <v>467</v>
      </c>
      <c r="D177" s="342" t="s">
        <v>494</v>
      </c>
      <c r="E177" s="636" t="s">
        <v>1563</v>
      </c>
      <c r="F177" s="637">
        <v>217372.61</v>
      </c>
      <c r="G177" s="637">
        <v>237798.2</v>
      </c>
      <c r="H177" s="637">
        <v>220817.29</v>
      </c>
      <c r="I177" s="637">
        <v>240347.6</v>
      </c>
      <c r="J177" s="637">
        <v>234810.43</v>
      </c>
      <c r="K177" s="637">
        <v>260714.04</v>
      </c>
      <c r="L177" s="637">
        <v>257076.87</v>
      </c>
      <c r="M177" s="637">
        <v>248708.24</v>
      </c>
      <c r="N177" s="637">
        <v>251855.92</v>
      </c>
      <c r="O177" s="637">
        <v>263967.65000000002</v>
      </c>
      <c r="P177" s="637">
        <v>281100.45</v>
      </c>
      <c r="Q177" s="637">
        <v>253310.96</v>
      </c>
      <c r="R177" s="637">
        <v>248515.71</v>
      </c>
      <c r="S177" s="514">
        <f t="shared" si="46"/>
        <v>248620.98416666672</v>
      </c>
      <c r="T177" s="638"/>
      <c r="U177" s="675">
        <f t="shared" si="44"/>
        <v>248620.98416666672</v>
      </c>
      <c r="V177" s="713"/>
      <c r="W177" s="713"/>
      <c r="X177" s="736"/>
      <c r="Y177" s="713"/>
      <c r="Z177" s="713"/>
      <c r="AA177" s="675"/>
      <c r="AB177" s="713"/>
      <c r="AC177" s="676"/>
      <c r="AD177" s="677">
        <f t="shared" si="45"/>
        <v>248620.98416666672</v>
      </c>
      <c r="AE177" s="676"/>
      <c r="AF177" s="711">
        <f t="shared" si="39"/>
        <v>0</v>
      </c>
    </row>
    <row r="178" spans="1:32">
      <c r="A178" s="638">
        <v>164</v>
      </c>
      <c r="B178" s="342" t="s">
        <v>984</v>
      </c>
      <c r="C178" s="342" t="s">
        <v>467</v>
      </c>
      <c r="D178" s="552" t="s">
        <v>494</v>
      </c>
      <c r="E178" s="636" t="s">
        <v>1563</v>
      </c>
      <c r="F178" s="637">
        <v>1287630.96</v>
      </c>
      <c r="G178" s="637">
        <v>1369074.9</v>
      </c>
      <c r="H178" s="637">
        <v>1344197.03</v>
      </c>
      <c r="I178" s="637">
        <v>1328253.71</v>
      </c>
      <c r="J178" s="637">
        <v>1274208.5900000001</v>
      </c>
      <c r="K178" s="637">
        <v>1255156.82</v>
      </c>
      <c r="L178" s="637">
        <v>1239995.3799999999</v>
      </c>
      <c r="M178" s="637">
        <v>1213999.1299999999</v>
      </c>
      <c r="N178" s="637">
        <v>1240715.43</v>
      </c>
      <c r="O178" s="637">
        <v>1281485.6100000001</v>
      </c>
      <c r="P178" s="637">
        <v>1376337.89</v>
      </c>
      <c r="Q178" s="637">
        <v>1306930.72</v>
      </c>
      <c r="R178" s="637">
        <v>1349347.15</v>
      </c>
      <c r="S178" s="514">
        <f t="shared" si="46"/>
        <v>1295737.0220833332</v>
      </c>
      <c r="T178" s="638"/>
      <c r="U178" s="675">
        <f t="shared" si="44"/>
        <v>1295737.0220833332</v>
      </c>
      <c r="V178" s="713"/>
      <c r="W178" s="713"/>
      <c r="X178" s="736"/>
      <c r="Y178" s="713"/>
      <c r="Z178" s="713"/>
      <c r="AA178" s="675"/>
      <c r="AB178" s="713"/>
      <c r="AC178" s="676"/>
      <c r="AD178" s="677">
        <f t="shared" si="45"/>
        <v>1295737.0220833332</v>
      </c>
      <c r="AE178" s="676"/>
      <c r="AF178" s="711">
        <f t="shared" si="39"/>
        <v>0</v>
      </c>
    </row>
    <row r="179" spans="1:32">
      <c r="A179" s="638">
        <v>165</v>
      </c>
      <c r="B179" s="342" t="s">
        <v>1009</v>
      </c>
      <c r="C179" s="342" t="s">
        <v>467</v>
      </c>
      <c r="D179" s="342" t="s">
        <v>495</v>
      </c>
      <c r="E179" s="636" t="s">
        <v>1564</v>
      </c>
      <c r="F179" s="637">
        <v>131375.94</v>
      </c>
      <c r="G179" s="637">
        <v>121852.75</v>
      </c>
      <c r="H179" s="637">
        <v>127017.49</v>
      </c>
      <c r="I179" s="637">
        <v>119652.65</v>
      </c>
      <c r="J179" s="637">
        <v>105493.9</v>
      </c>
      <c r="K179" s="637">
        <v>100627.94</v>
      </c>
      <c r="L179" s="637">
        <v>109752.04</v>
      </c>
      <c r="M179" s="637">
        <v>127696.94</v>
      </c>
      <c r="N179" s="637">
        <v>128311.34</v>
      </c>
      <c r="O179" s="637">
        <v>125645.68</v>
      </c>
      <c r="P179" s="637">
        <v>128657.13</v>
      </c>
      <c r="Q179" s="637">
        <v>127628.79</v>
      </c>
      <c r="R179" s="637">
        <v>131522.85999999999</v>
      </c>
      <c r="S179" s="514">
        <f t="shared" si="46"/>
        <v>121148.83749999998</v>
      </c>
      <c r="T179" s="638"/>
      <c r="U179" s="675">
        <f t="shared" si="44"/>
        <v>121148.83749999998</v>
      </c>
      <c r="V179" s="713"/>
      <c r="W179" s="713"/>
      <c r="X179" s="736"/>
      <c r="Y179" s="713"/>
      <c r="Z179" s="713"/>
      <c r="AA179" s="675"/>
      <c r="AB179" s="713"/>
      <c r="AC179" s="676"/>
      <c r="AD179" s="677">
        <f t="shared" si="45"/>
        <v>121148.83749999998</v>
      </c>
      <c r="AE179" s="676"/>
      <c r="AF179" s="711">
        <f t="shared" si="39"/>
        <v>0</v>
      </c>
    </row>
    <row r="180" spans="1:32">
      <c r="A180" s="638">
        <v>166</v>
      </c>
      <c r="B180" s="342" t="s">
        <v>984</v>
      </c>
      <c r="C180" s="342" t="s">
        <v>467</v>
      </c>
      <c r="D180" s="342" t="s">
        <v>495</v>
      </c>
      <c r="E180" s="636" t="s">
        <v>1564</v>
      </c>
      <c r="F180" s="329">
        <v>678698.73</v>
      </c>
      <c r="G180" s="329">
        <v>671884.93</v>
      </c>
      <c r="H180" s="329">
        <v>674056.5</v>
      </c>
      <c r="I180" s="329">
        <v>661556.25</v>
      </c>
      <c r="J180" s="329">
        <v>621975.87</v>
      </c>
      <c r="K180" s="329">
        <v>552268.14</v>
      </c>
      <c r="L180" s="329">
        <v>611119.44999999995</v>
      </c>
      <c r="M180" s="329">
        <v>867027.65</v>
      </c>
      <c r="N180" s="329">
        <v>925701.44</v>
      </c>
      <c r="O180" s="329">
        <v>848272.93</v>
      </c>
      <c r="P180" s="329">
        <v>656542.81000000006</v>
      </c>
      <c r="Q180" s="329">
        <v>676138.75</v>
      </c>
      <c r="R180" s="329">
        <v>859829.44</v>
      </c>
      <c r="S180" s="515">
        <f>((F180+R180)+((G180+H180+I180+J180+K180+L180+M180+N180+O180+P180+Q180)*2))/24</f>
        <v>711317.40041666664</v>
      </c>
      <c r="T180" s="638"/>
      <c r="U180" s="675">
        <f t="shared" si="44"/>
        <v>711317.40041666664</v>
      </c>
      <c r="V180" s="713"/>
      <c r="W180" s="713"/>
      <c r="X180" s="736"/>
      <c r="Y180" s="713"/>
      <c r="Z180" s="713"/>
      <c r="AA180" s="675"/>
      <c r="AB180" s="713"/>
      <c r="AC180" s="676"/>
      <c r="AD180" s="677">
        <f t="shared" si="45"/>
        <v>711317.40041666664</v>
      </c>
      <c r="AE180" s="676"/>
      <c r="AF180" s="711">
        <f t="shared" si="39"/>
        <v>0</v>
      </c>
    </row>
    <row r="181" spans="1:32">
      <c r="A181" s="638">
        <v>167</v>
      </c>
      <c r="B181" s="638"/>
      <c r="C181" s="638"/>
      <c r="D181" s="638"/>
      <c r="E181" s="636" t="s">
        <v>468</v>
      </c>
      <c r="F181" s="321">
        <f>SUM(F171:F180)</f>
        <v>25164949.820000004</v>
      </c>
      <c r="G181" s="321">
        <f t="shared" ref="G181:R181" si="47">SUM(G171:G180)</f>
        <v>25360141.189999994</v>
      </c>
      <c r="H181" s="321">
        <f t="shared" si="47"/>
        <v>30046129.09</v>
      </c>
      <c r="I181" s="321">
        <f t="shared" si="47"/>
        <v>20722427.400000002</v>
      </c>
      <c r="J181" s="321">
        <f t="shared" si="47"/>
        <v>13343326.989999998</v>
      </c>
      <c r="K181" s="321">
        <f t="shared" si="47"/>
        <v>8390636.0199999996</v>
      </c>
      <c r="L181" s="321">
        <f t="shared" si="47"/>
        <v>6738225.3999999985</v>
      </c>
      <c r="M181" s="321">
        <f t="shared" si="47"/>
        <v>6750474.9500000002</v>
      </c>
      <c r="N181" s="321">
        <f t="shared" si="47"/>
        <v>4927569.6899999995</v>
      </c>
      <c r="O181" s="321">
        <f t="shared" si="47"/>
        <v>8162569.0700000003</v>
      </c>
      <c r="P181" s="321">
        <f t="shared" si="47"/>
        <v>17628798.869999997</v>
      </c>
      <c r="Q181" s="321">
        <f t="shared" si="47"/>
        <v>28036032.580000002</v>
      </c>
      <c r="R181" s="321">
        <f t="shared" si="47"/>
        <v>32004471.150000006</v>
      </c>
      <c r="S181" s="516">
        <f>SUM(S171:S180)</f>
        <v>16557586.811250001</v>
      </c>
      <c r="T181" s="638"/>
      <c r="U181" s="675"/>
      <c r="V181" s="713"/>
      <c r="W181" s="713"/>
      <c r="X181" s="736"/>
      <c r="Y181" s="713"/>
      <c r="Z181" s="713"/>
      <c r="AA181" s="675"/>
      <c r="AB181" s="713"/>
      <c r="AC181" s="676"/>
      <c r="AD181" s="676"/>
      <c r="AE181" s="676"/>
      <c r="AF181" s="711">
        <f t="shared" si="39"/>
        <v>0</v>
      </c>
    </row>
    <row r="182" spans="1:32">
      <c r="A182" s="638">
        <v>168</v>
      </c>
      <c r="B182" s="638"/>
      <c r="C182" s="638"/>
      <c r="D182" s="638"/>
      <c r="E182" s="623"/>
      <c r="F182" s="637"/>
      <c r="G182" s="340"/>
      <c r="H182" s="331"/>
      <c r="I182" s="331"/>
      <c r="J182" s="332"/>
      <c r="K182" s="333"/>
      <c r="L182" s="334"/>
      <c r="M182" s="335"/>
      <c r="N182" s="336"/>
      <c r="O182" s="624"/>
      <c r="P182" s="337"/>
      <c r="Q182" s="341"/>
      <c r="R182" s="637"/>
      <c r="S182" s="320"/>
      <c r="T182" s="638"/>
      <c r="U182" s="675"/>
      <c r="V182" s="713"/>
      <c r="W182" s="713"/>
      <c r="X182" s="736"/>
      <c r="Y182" s="713"/>
      <c r="Z182" s="713"/>
      <c r="AA182" s="675"/>
      <c r="AB182" s="713"/>
      <c r="AC182" s="676"/>
      <c r="AD182" s="676"/>
      <c r="AE182" s="676"/>
      <c r="AF182" s="711">
        <f t="shared" si="39"/>
        <v>0</v>
      </c>
    </row>
    <row r="183" spans="1:32">
      <c r="A183" s="638">
        <v>169</v>
      </c>
      <c r="B183" s="342" t="s">
        <v>981</v>
      </c>
      <c r="C183" s="342" t="s">
        <v>469</v>
      </c>
      <c r="D183" s="342" t="s">
        <v>1013</v>
      </c>
      <c r="E183" s="636" t="s">
        <v>1565</v>
      </c>
      <c r="F183" s="637">
        <v>-82824.95</v>
      </c>
      <c r="G183" s="637">
        <v>-81863.039999999994</v>
      </c>
      <c r="H183" s="637">
        <v>-80901.16</v>
      </c>
      <c r="I183" s="637">
        <v>-79939.23</v>
      </c>
      <c r="J183" s="637">
        <v>-78977.33</v>
      </c>
      <c r="K183" s="637">
        <v>-78015.429999999993</v>
      </c>
      <c r="L183" s="637">
        <v>-77053.539999999994</v>
      </c>
      <c r="M183" s="637">
        <v>-76091.649999999994</v>
      </c>
      <c r="N183" s="637">
        <v>-75129.75</v>
      </c>
      <c r="O183" s="637">
        <v>-74167.83</v>
      </c>
      <c r="P183" s="637">
        <v>-73205.919999999998</v>
      </c>
      <c r="Q183" s="637">
        <v>-72244.02</v>
      </c>
      <c r="R183" s="637">
        <v>-71282.13</v>
      </c>
      <c r="S183" s="514">
        <f>((F183+R183)+((G183+H183+I183+J183+K183+L183+M183+N183+O183+P183+Q183)*2))/24</f>
        <v>-77053.536666666667</v>
      </c>
      <c r="T183" s="638"/>
      <c r="U183" s="675"/>
      <c r="V183" s="713"/>
      <c r="W183" s="713"/>
      <c r="X183" s="736">
        <f>+S183</f>
        <v>-77053.536666666667</v>
      </c>
      <c r="Y183" s="713"/>
      <c r="Z183" s="713"/>
      <c r="AA183" s="675"/>
      <c r="AB183" s="713">
        <f>+S183</f>
        <v>-77053.536666666667</v>
      </c>
      <c r="AC183" s="676"/>
      <c r="AD183" s="677">
        <f>+U183</f>
        <v>0</v>
      </c>
      <c r="AE183" s="676"/>
      <c r="AF183" s="711">
        <f t="shared" si="39"/>
        <v>0</v>
      </c>
    </row>
    <row r="184" spans="1:32">
      <c r="A184" s="638">
        <v>170</v>
      </c>
      <c r="B184" s="342" t="s">
        <v>981</v>
      </c>
      <c r="C184" s="342" t="s">
        <v>469</v>
      </c>
      <c r="D184" s="342" t="s">
        <v>1014</v>
      </c>
      <c r="E184" s="636" t="s">
        <v>1566</v>
      </c>
      <c r="F184" s="637">
        <v>-314153.82</v>
      </c>
      <c r="G184" s="637">
        <v>-310487.56</v>
      </c>
      <c r="H184" s="637">
        <v>-306821.32</v>
      </c>
      <c r="I184" s="637">
        <v>-303155.03999999998</v>
      </c>
      <c r="J184" s="637">
        <v>-299488.8</v>
      </c>
      <c r="K184" s="637">
        <v>-295822.51</v>
      </c>
      <c r="L184" s="637">
        <v>-292156.31</v>
      </c>
      <c r="M184" s="637">
        <v>-288490.09000000003</v>
      </c>
      <c r="N184" s="637">
        <v>-284823.81</v>
      </c>
      <c r="O184" s="637">
        <v>-281157.56</v>
      </c>
      <c r="P184" s="637">
        <v>-277491.31</v>
      </c>
      <c r="Q184" s="637">
        <v>-273824.98</v>
      </c>
      <c r="R184" s="637">
        <v>-270158.8</v>
      </c>
      <c r="S184" s="514">
        <f>((F184+R184)+((G184+H184+I184+J184+K184+L184+M184+N184+O184+P184+Q184)*2))/24</f>
        <v>-292156.3</v>
      </c>
      <c r="T184" s="638"/>
      <c r="U184" s="675"/>
      <c r="V184" s="713"/>
      <c r="W184" s="713"/>
      <c r="X184" s="736">
        <f>+S184</f>
        <v>-292156.3</v>
      </c>
      <c r="Y184" s="713"/>
      <c r="Z184" s="713"/>
      <c r="AA184" s="675"/>
      <c r="AB184" s="713">
        <f t="shared" ref="AB184:AB186" si="48">+S184</f>
        <v>-292156.3</v>
      </c>
      <c r="AC184" s="676"/>
      <c r="AD184" s="677">
        <f>+U184</f>
        <v>0</v>
      </c>
      <c r="AE184" s="676"/>
      <c r="AF184" s="711">
        <f t="shared" si="39"/>
        <v>0</v>
      </c>
    </row>
    <row r="185" spans="1:32">
      <c r="A185" s="638">
        <v>171</v>
      </c>
      <c r="B185" s="342" t="s">
        <v>981</v>
      </c>
      <c r="C185" s="342" t="s">
        <v>469</v>
      </c>
      <c r="D185" s="342" t="s">
        <v>1342</v>
      </c>
      <c r="E185" s="636" t="s">
        <v>1567</v>
      </c>
      <c r="F185" s="637">
        <v>680831.94</v>
      </c>
      <c r="G185" s="637">
        <v>681059.07</v>
      </c>
      <c r="H185" s="637">
        <v>682798.4</v>
      </c>
      <c r="I185" s="637">
        <v>672259.39</v>
      </c>
      <c r="J185" s="637">
        <v>671430.12</v>
      </c>
      <c r="K185" s="637">
        <v>-1.16415321826935E-10</v>
      </c>
      <c r="L185" s="637">
        <v>-1.16415321826935E-10</v>
      </c>
      <c r="M185" s="637">
        <v>-1.16415321826935E-10</v>
      </c>
      <c r="N185" s="637">
        <v>-1.16415321826935E-10</v>
      </c>
      <c r="O185" s="637">
        <v>-1.16415321826935E-10</v>
      </c>
      <c r="P185" s="637">
        <v>-1.16415321826935E-10</v>
      </c>
      <c r="Q185" s="637">
        <v>-1.16415321826935E-10</v>
      </c>
      <c r="R185" s="637">
        <v>-1.16415321826935E-10</v>
      </c>
      <c r="S185" s="514">
        <f>((F185+R185)+((G185+H185+I185+J185+K185+L185+M185+N185+O185+P185+Q185)*2))/24</f>
        <v>253996.91249999998</v>
      </c>
      <c r="T185" s="638"/>
      <c r="U185" s="675"/>
      <c r="V185" s="713"/>
      <c r="W185" s="713"/>
      <c r="X185" s="736">
        <f>+S185</f>
        <v>253996.91249999998</v>
      </c>
      <c r="Y185" s="713">
        <f>+X185*Z7</f>
        <v>190929.47912624999</v>
      </c>
      <c r="Z185" s="713">
        <f>+X185*Z8</f>
        <v>63067.433373749991</v>
      </c>
      <c r="AA185" s="675"/>
      <c r="AB185" s="713"/>
      <c r="AC185" s="676"/>
      <c r="AD185" s="677">
        <f>+U185</f>
        <v>0</v>
      </c>
      <c r="AE185" s="676"/>
      <c r="AF185" s="711">
        <f t="shared" si="39"/>
        <v>0</v>
      </c>
    </row>
    <row r="186" spans="1:32">
      <c r="A186" s="638">
        <v>172</v>
      </c>
      <c r="B186" s="342" t="s">
        <v>981</v>
      </c>
      <c r="C186" s="342" t="s">
        <v>469</v>
      </c>
      <c r="D186" s="342" t="s">
        <v>1406</v>
      </c>
      <c r="E186" s="636" t="s">
        <v>1568</v>
      </c>
      <c r="F186" s="637">
        <v>1956266.79</v>
      </c>
      <c r="G186" s="637">
        <v>1934611.41</v>
      </c>
      <c r="H186" s="637">
        <v>1936237.98</v>
      </c>
      <c r="I186" s="637">
        <v>1937864.53</v>
      </c>
      <c r="J186" s="637">
        <v>1949463.84</v>
      </c>
      <c r="K186" s="637">
        <v>1320391.5900000001</v>
      </c>
      <c r="L186" s="637">
        <v>1331604.73</v>
      </c>
      <c r="M186" s="637">
        <v>1302926.93</v>
      </c>
      <c r="N186" s="637">
        <v>1304167.32</v>
      </c>
      <c r="O186" s="637">
        <v>1305407.72</v>
      </c>
      <c r="P186" s="637">
        <v>1306648.1100000001</v>
      </c>
      <c r="Q186" s="637">
        <v>1307888.52</v>
      </c>
      <c r="R186" s="637">
        <v>1401147.76</v>
      </c>
      <c r="S186" s="514">
        <f t="shared" ref="S186:S199" si="49">((F186+R186)+((G186+H186+I186+J186+K186+L186+M186+N186+O186+P186+Q186)*2))/24</f>
        <v>1551326.6629166666</v>
      </c>
      <c r="T186" s="638"/>
      <c r="U186" s="675"/>
      <c r="V186" s="713"/>
      <c r="W186" s="713"/>
      <c r="X186" s="736">
        <f>+S186</f>
        <v>1551326.6629166666</v>
      </c>
      <c r="Y186" s="713"/>
      <c r="Z186" s="713"/>
      <c r="AA186" s="675"/>
      <c r="AB186" s="713">
        <f t="shared" si="48"/>
        <v>1551326.6629166666</v>
      </c>
      <c r="AC186" s="676"/>
      <c r="AD186" s="677">
        <f t="shared" ref="AD186:AD198" si="50">+U186</f>
        <v>0</v>
      </c>
      <c r="AE186" s="676"/>
      <c r="AF186" s="711">
        <f t="shared" si="39"/>
        <v>0</v>
      </c>
    </row>
    <row r="187" spans="1:32">
      <c r="A187" s="638">
        <v>173</v>
      </c>
      <c r="B187" s="342" t="s">
        <v>981</v>
      </c>
      <c r="C187" s="342" t="s">
        <v>469</v>
      </c>
      <c r="D187" s="342" t="s">
        <v>1015</v>
      </c>
      <c r="E187" s="636" t="s">
        <v>1569</v>
      </c>
      <c r="F187" s="637">
        <v>11510145.4</v>
      </c>
      <c r="G187" s="637">
        <v>11507312.039999999</v>
      </c>
      <c r="H187" s="637">
        <v>11493190.75</v>
      </c>
      <c r="I187" s="637">
        <v>11469718.529999999</v>
      </c>
      <c r="J187" s="637">
        <v>11436977.539999999</v>
      </c>
      <c r="K187" s="637">
        <v>4785984.6900000004</v>
      </c>
      <c r="L187" s="637">
        <v>4664356.68</v>
      </c>
      <c r="M187" s="637">
        <v>4654083.1500000004</v>
      </c>
      <c r="N187" s="637">
        <v>4633846.72</v>
      </c>
      <c r="O187" s="637">
        <v>4619999.8499999996</v>
      </c>
      <c r="P187" s="637">
        <v>4581896.46</v>
      </c>
      <c r="Q187" s="637">
        <v>4566634.12</v>
      </c>
      <c r="R187" s="637">
        <v>3764796.5</v>
      </c>
      <c r="S187" s="514">
        <f t="shared" si="49"/>
        <v>7170955.9566666661</v>
      </c>
      <c r="T187" s="638"/>
      <c r="U187" s="675">
        <f t="shared" ref="U187:U200" si="51">+S187</f>
        <v>7170955.9566666661</v>
      </c>
      <c r="V187" s="713"/>
      <c r="W187" s="713"/>
      <c r="X187" s="736"/>
      <c r="Y187" s="713"/>
      <c r="Z187" s="713"/>
      <c r="AA187" s="675"/>
      <c r="AB187" s="713"/>
      <c r="AC187" s="676"/>
      <c r="AD187" s="677">
        <f t="shared" si="50"/>
        <v>7170955.9566666661</v>
      </c>
      <c r="AE187" s="676"/>
      <c r="AF187" s="711">
        <f t="shared" si="39"/>
        <v>0</v>
      </c>
    </row>
    <row r="188" spans="1:32">
      <c r="A188" s="638">
        <v>174</v>
      </c>
      <c r="B188" s="342" t="s">
        <v>981</v>
      </c>
      <c r="C188" s="342" t="s">
        <v>469</v>
      </c>
      <c r="D188" s="342" t="s">
        <v>1165</v>
      </c>
      <c r="E188" s="636" t="s">
        <v>1570</v>
      </c>
      <c r="F188" s="637">
        <v>1661184.9</v>
      </c>
      <c r="G188" s="637">
        <v>1695741.01</v>
      </c>
      <c r="H188" s="637">
        <v>1471236.01</v>
      </c>
      <c r="I188" s="637">
        <v>1483644.41</v>
      </c>
      <c r="J188" s="637">
        <v>1289414.67</v>
      </c>
      <c r="K188" s="637">
        <v>1308074.3700000001</v>
      </c>
      <c r="L188" s="637">
        <v>1339199.76</v>
      </c>
      <c r="M188" s="637">
        <v>1361362.4</v>
      </c>
      <c r="N188" s="637">
        <v>1385573.15</v>
      </c>
      <c r="O188" s="637">
        <v>1380832.33</v>
      </c>
      <c r="P188" s="637">
        <v>1374347.93</v>
      </c>
      <c r="Q188" s="637">
        <v>1150002.48</v>
      </c>
      <c r="R188" s="637">
        <v>1739299.2</v>
      </c>
      <c r="S188" s="514">
        <f t="shared" si="49"/>
        <v>1411639.2141666666</v>
      </c>
      <c r="T188" s="638"/>
      <c r="U188" s="675">
        <f t="shared" si="51"/>
        <v>1411639.2141666666</v>
      </c>
      <c r="V188" s="713"/>
      <c r="W188" s="713"/>
      <c r="X188" s="736"/>
      <c r="Y188" s="713"/>
      <c r="Z188" s="713"/>
      <c r="AA188" s="675"/>
      <c r="AB188" s="713"/>
      <c r="AC188" s="676"/>
      <c r="AD188" s="677">
        <f t="shared" si="50"/>
        <v>1411639.2141666666</v>
      </c>
      <c r="AE188" s="676"/>
      <c r="AF188" s="711">
        <f t="shared" si="39"/>
        <v>0</v>
      </c>
    </row>
    <row r="189" spans="1:32">
      <c r="A189" s="638">
        <v>175</v>
      </c>
      <c r="B189" s="342" t="s">
        <v>1009</v>
      </c>
      <c r="C189" s="342" t="s">
        <v>469</v>
      </c>
      <c r="D189" s="342" t="s">
        <v>1010</v>
      </c>
      <c r="E189" s="636" t="s">
        <v>1571</v>
      </c>
      <c r="F189" s="637">
        <v>-7249.34</v>
      </c>
      <c r="G189" s="637">
        <v>-7165.15</v>
      </c>
      <c r="H189" s="637">
        <v>-7080.94</v>
      </c>
      <c r="I189" s="637">
        <v>-6996.75</v>
      </c>
      <c r="J189" s="637">
        <v>-6912.56</v>
      </c>
      <c r="K189" s="637">
        <v>-6828.37</v>
      </c>
      <c r="L189" s="637">
        <v>-6744.18</v>
      </c>
      <c r="M189" s="637">
        <v>-6659.99</v>
      </c>
      <c r="N189" s="637">
        <v>-6575.8</v>
      </c>
      <c r="O189" s="637">
        <v>-6491.61</v>
      </c>
      <c r="P189" s="637">
        <v>-6407.42</v>
      </c>
      <c r="Q189" s="637">
        <v>-6323.23</v>
      </c>
      <c r="R189" s="637">
        <v>-6239.04</v>
      </c>
      <c r="S189" s="514">
        <f t="shared" si="49"/>
        <v>-6744.1824999999999</v>
      </c>
      <c r="T189" s="638"/>
      <c r="U189" s="675"/>
      <c r="V189" s="713"/>
      <c r="W189" s="713"/>
      <c r="X189" s="736">
        <f t="shared" ref="X189:X192" si="52">+S189</f>
        <v>-6744.1824999999999</v>
      </c>
      <c r="Y189" s="713"/>
      <c r="Z189" s="713"/>
      <c r="AA189" s="675"/>
      <c r="AB189" s="713">
        <f t="shared" ref="AB189:AB193" si="53">+S189</f>
        <v>-6744.1824999999999</v>
      </c>
      <c r="AC189" s="676"/>
      <c r="AD189" s="677">
        <f t="shared" si="50"/>
        <v>0</v>
      </c>
      <c r="AE189" s="676"/>
      <c r="AF189" s="711">
        <f t="shared" si="39"/>
        <v>0</v>
      </c>
    </row>
    <row r="190" spans="1:32">
      <c r="A190" s="638">
        <v>176</v>
      </c>
      <c r="B190" s="342" t="s">
        <v>1009</v>
      </c>
      <c r="C190" s="342" t="s">
        <v>469</v>
      </c>
      <c r="D190" s="342" t="s">
        <v>1011</v>
      </c>
      <c r="E190" s="636" t="s">
        <v>1572</v>
      </c>
      <c r="F190" s="637">
        <v>2574.23</v>
      </c>
      <c r="G190" s="637">
        <v>2526.5500000000002</v>
      </c>
      <c r="H190" s="637">
        <v>2478.9</v>
      </c>
      <c r="I190" s="637">
        <v>2431.23</v>
      </c>
      <c r="J190" s="637">
        <v>2383.5700000000002</v>
      </c>
      <c r="K190" s="637">
        <v>2335.9</v>
      </c>
      <c r="L190" s="637">
        <v>2288.2199999999998</v>
      </c>
      <c r="M190" s="637">
        <v>2240.5700000000002</v>
      </c>
      <c r="N190" s="637">
        <v>2192.91</v>
      </c>
      <c r="O190" s="637">
        <v>2145.2199999999998</v>
      </c>
      <c r="P190" s="637">
        <v>2097.56</v>
      </c>
      <c r="Q190" s="637">
        <v>2049.87</v>
      </c>
      <c r="R190" s="637">
        <v>2002.16</v>
      </c>
      <c r="S190" s="514">
        <f t="shared" si="49"/>
        <v>2288.2245833333332</v>
      </c>
      <c r="T190" s="638"/>
      <c r="U190" s="675"/>
      <c r="V190" s="713"/>
      <c r="W190" s="713"/>
      <c r="X190" s="736">
        <f t="shared" si="52"/>
        <v>2288.2245833333332</v>
      </c>
      <c r="Y190" s="713"/>
      <c r="Z190" s="713"/>
      <c r="AA190" s="675"/>
      <c r="AB190" s="713">
        <f t="shared" si="53"/>
        <v>2288.2245833333332</v>
      </c>
      <c r="AC190" s="676"/>
      <c r="AD190" s="677">
        <f t="shared" si="50"/>
        <v>0</v>
      </c>
      <c r="AE190" s="676"/>
      <c r="AF190" s="711">
        <f t="shared" si="39"/>
        <v>0</v>
      </c>
    </row>
    <row r="191" spans="1:32">
      <c r="A191" s="638">
        <v>177</v>
      </c>
      <c r="B191" s="342" t="s">
        <v>1009</v>
      </c>
      <c r="C191" s="342" t="s">
        <v>469</v>
      </c>
      <c r="D191" s="342" t="s">
        <v>1345</v>
      </c>
      <c r="E191" s="636" t="s">
        <v>1573</v>
      </c>
      <c r="F191" s="637">
        <v>59590.47</v>
      </c>
      <c r="G191" s="637">
        <v>59610.35</v>
      </c>
      <c r="H191" s="637">
        <v>59762.59</v>
      </c>
      <c r="I191" s="637">
        <v>58840.15</v>
      </c>
      <c r="J191" s="637">
        <v>58767.57</v>
      </c>
      <c r="K191" s="637">
        <v>58869.7</v>
      </c>
      <c r="L191" s="637">
        <v>58869.7</v>
      </c>
      <c r="M191" s="637">
        <v>58819.12</v>
      </c>
      <c r="N191" s="637">
        <v>58888.59</v>
      </c>
      <c r="O191" s="637">
        <v>57753.95</v>
      </c>
      <c r="P191" s="637">
        <v>57815.58</v>
      </c>
      <c r="Q191" s="637">
        <v>57928.94</v>
      </c>
      <c r="R191" s="637">
        <v>57928.94</v>
      </c>
      <c r="S191" s="514">
        <f t="shared" si="49"/>
        <v>58723.828749999993</v>
      </c>
      <c r="T191" s="638"/>
      <c r="U191" s="675"/>
      <c r="V191" s="713"/>
      <c r="W191" s="713"/>
      <c r="X191" s="736">
        <f t="shared" si="52"/>
        <v>58723.828749999993</v>
      </c>
      <c r="Y191" s="713"/>
      <c r="Z191" s="713">
        <f>+X191</f>
        <v>58723.828749999993</v>
      </c>
      <c r="AA191" s="675"/>
      <c r="AB191" s="713"/>
      <c r="AC191" s="676"/>
      <c r="AD191" s="677">
        <f t="shared" si="50"/>
        <v>0</v>
      </c>
      <c r="AE191" s="676"/>
      <c r="AF191" s="711">
        <f t="shared" si="39"/>
        <v>0</v>
      </c>
    </row>
    <row r="192" spans="1:32">
      <c r="A192" s="638">
        <v>178</v>
      </c>
      <c r="B192" s="342" t="s">
        <v>1009</v>
      </c>
      <c r="C192" s="342" t="s">
        <v>469</v>
      </c>
      <c r="D192" s="342" t="s">
        <v>1346</v>
      </c>
      <c r="E192" s="636" t="s">
        <v>1574</v>
      </c>
      <c r="F192" s="637">
        <v>-2574.25</v>
      </c>
      <c r="G192" s="637">
        <v>-2526.58</v>
      </c>
      <c r="H192" s="637">
        <v>-2478.91</v>
      </c>
      <c r="I192" s="637">
        <v>-2431.2399999999998</v>
      </c>
      <c r="J192" s="637">
        <v>-2383.5700000000002</v>
      </c>
      <c r="K192" s="637">
        <v>-2335.9</v>
      </c>
      <c r="L192" s="637">
        <v>-2288.2199999999998</v>
      </c>
      <c r="M192" s="637">
        <v>-2240.5500000000002</v>
      </c>
      <c r="N192" s="637">
        <v>-2192.88</v>
      </c>
      <c r="O192" s="637">
        <v>-2145.21</v>
      </c>
      <c r="P192" s="637">
        <v>-2097.54</v>
      </c>
      <c r="Q192" s="637">
        <v>-2049.87</v>
      </c>
      <c r="R192" s="637">
        <v>-2002.19</v>
      </c>
      <c r="S192" s="514">
        <f t="shared" si="49"/>
        <v>-2288.2241666666664</v>
      </c>
      <c r="T192" s="638"/>
      <c r="U192" s="675"/>
      <c r="V192" s="713"/>
      <c r="W192" s="713"/>
      <c r="X192" s="736">
        <f t="shared" si="52"/>
        <v>-2288.2241666666664</v>
      </c>
      <c r="Y192" s="713"/>
      <c r="Z192" s="713">
        <f>+X192</f>
        <v>-2288.2241666666664</v>
      </c>
      <c r="AA192" s="675"/>
      <c r="AB192" s="713"/>
      <c r="AC192" s="676"/>
      <c r="AD192" s="677">
        <f t="shared" si="50"/>
        <v>0</v>
      </c>
      <c r="AE192" s="676"/>
      <c r="AF192" s="711">
        <f t="shared" si="39"/>
        <v>0</v>
      </c>
    </row>
    <row r="193" spans="1:32">
      <c r="A193" s="638">
        <v>179</v>
      </c>
      <c r="B193" s="342" t="s">
        <v>1009</v>
      </c>
      <c r="C193" s="342" t="s">
        <v>469</v>
      </c>
      <c r="D193" s="342" t="s">
        <v>1405</v>
      </c>
      <c r="E193" s="636" t="s">
        <v>1575</v>
      </c>
      <c r="F193" s="637">
        <v>171224.15</v>
      </c>
      <c r="G193" s="637">
        <v>169328.75</v>
      </c>
      <c r="H193" s="637">
        <v>169471.11</v>
      </c>
      <c r="I193" s="637">
        <v>169613.47</v>
      </c>
      <c r="J193" s="637">
        <v>170628.72</v>
      </c>
      <c r="K193" s="637">
        <v>115568.55</v>
      </c>
      <c r="L193" s="637">
        <v>116549.99</v>
      </c>
      <c r="M193" s="637">
        <v>114039.95</v>
      </c>
      <c r="N193" s="637">
        <v>114148.51</v>
      </c>
      <c r="O193" s="637">
        <v>114257.08</v>
      </c>
      <c r="P193" s="637">
        <v>114365.65</v>
      </c>
      <c r="Q193" s="637">
        <v>114474.22</v>
      </c>
      <c r="R193" s="637">
        <v>122636.81</v>
      </c>
      <c r="S193" s="514">
        <f t="shared" si="49"/>
        <v>135781.37333333332</v>
      </c>
      <c r="T193" s="638"/>
      <c r="U193" s="675"/>
      <c r="V193" s="713"/>
      <c r="W193" s="713"/>
      <c r="X193" s="736">
        <f>+S193</f>
        <v>135781.37333333332</v>
      </c>
      <c r="Y193" s="713"/>
      <c r="Z193" s="713"/>
      <c r="AA193" s="675"/>
      <c r="AB193" s="713">
        <f t="shared" si="53"/>
        <v>135781.37333333332</v>
      </c>
      <c r="AC193" s="676"/>
      <c r="AD193" s="677">
        <f t="shared" si="50"/>
        <v>0</v>
      </c>
      <c r="AE193" s="676"/>
      <c r="AF193" s="711">
        <f t="shared" si="39"/>
        <v>0</v>
      </c>
    </row>
    <row r="194" spans="1:32">
      <c r="A194" s="638">
        <v>180</v>
      </c>
      <c r="B194" s="342" t="s">
        <v>1009</v>
      </c>
      <c r="C194" s="342" t="s">
        <v>469</v>
      </c>
      <c r="D194" s="342" t="s">
        <v>1012</v>
      </c>
      <c r="E194" s="636" t="s">
        <v>1576</v>
      </c>
      <c r="F194" s="637">
        <v>1007436.65</v>
      </c>
      <c r="G194" s="637">
        <v>1007188.66</v>
      </c>
      <c r="H194" s="637">
        <v>1005952.68</v>
      </c>
      <c r="I194" s="637">
        <v>1003898.25</v>
      </c>
      <c r="J194" s="637">
        <v>1001032.56</v>
      </c>
      <c r="K194" s="637">
        <v>418897.9</v>
      </c>
      <c r="L194" s="637">
        <v>408252.29</v>
      </c>
      <c r="M194" s="637">
        <v>407353.09</v>
      </c>
      <c r="N194" s="637">
        <v>405581.88</v>
      </c>
      <c r="O194" s="637">
        <v>404369.91999999998</v>
      </c>
      <c r="P194" s="637">
        <v>401034.88</v>
      </c>
      <c r="Q194" s="637">
        <v>399699.02</v>
      </c>
      <c r="R194" s="637">
        <v>329517.43</v>
      </c>
      <c r="S194" s="514">
        <f t="shared" si="49"/>
        <v>627644.84749999992</v>
      </c>
      <c r="T194" s="638"/>
      <c r="U194" s="675">
        <f t="shared" si="51"/>
        <v>627644.84749999992</v>
      </c>
      <c r="V194" s="713"/>
      <c r="W194" s="713"/>
      <c r="X194" s="736"/>
      <c r="Y194" s="713"/>
      <c r="Z194" s="713"/>
      <c r="AA194" s="675"/>
      <c r="AB194" s="713"/>
      <c r="AC194" s="676"/>
      <c r="AD194" s="677">
        <f t="shared" si="50"/>
        <v>627644.84749999992</v>
      </c>
      <c r="AE194" s="676"/>
      <c r="AF194" s="711">
        <f t="shared" si="39"/>
        <v>0</v>
      </c>
    </row>
    <row r="195" spans="1:32">
      <c r="A195" s="638">
        <v>181</v>
      </c>
      <c r="B195" s="342" t="s">
        <v>1009</v>
      </c>
      <c r="C195" s="342" t="s">
        <v>469</v>
      </c>
      <c r="D195" s="342" t="s">
        <v>200</v>
      </c>
      <c r="E195" s="636" t="s">
        <v>1577</v>
      </c>
      <c r="F195" s="637">
        <v>145396.82</v>
      </c>
      <c r="G195" s="637">
        <v>148421.38</v>
      </c>
      <c r="H195" s="637">
        <v>128771.35</v>
      </c>
      <c r="I195" s="637">
        <v>129857.41</v>
      </c>
      <c r="J195" s="637">
        <v>112857.27</v>
      </c>
      <c r="K195" s="637">
        <v>114490.48</v>
      </c>
      <c r="L195" s="637">
        <v>117214.76</v>
      </c>
      <c r="M195" s="637">
        <v>119154.55</v>
      </c>
      <c r="N195" s="637">
        <v>121273.61</v>
      </c>
      <c r="O195" s="637">
        <v>120858.67</v>
      </c>
      <c r="P195" s="637">
        <v>120291.11</v>
      </c>
      <c r="Q195" s="637">
        <v>100655.08</v>
      </c>
      <c r="R195" s="637">
        <v>152233.85999999999</v>
      </c>
      <c r="S195" s="514">
        <f t="shared" si="49"/>
        <v>123555.08416666668</v>
      </c>
      <c r="T195" s="638"/>
      <c r="U195" s="675">
        <f t="shared" si="51"/>
        <v>123555.08416666668</v>
      </c>
      <c r="V195" s="713"/>
      <c r="W195" s="713"/>
      <c r="X195" s="736"/>
      <c r="Y195" s="713"/>
      <c r="Z195" s="713"/>
      <c r="AA195" s="675"/>
      <c r="AB195" s="713"/>
      <c r="AC195" s="676"/>
      <c r="AD195" s="677">
        <f t="shared" si="50"/>
        <v>123555.08416666668</v>
      </c>
      <c r="AE195" s="676"/>
      <c r="AF195" s="711">
        <f t="shared" si="39"/>
        <v>0</v>
      </c>
    </row>
    <row r="196" spans="1:32">
      <c r="A196" s="638">
        <v>182</v>
      </c>
      <c r="B196" s="342" t="s">
        <v>1009</v>
      </c>
      <c r="C196" s="342" t="s">
        <v>469</v>
      </c>
      <c r="D196" s="342" t="s">
        <v>1342</v>
      </c>
      <c r="E196" s="636" t="s">
        <v>1567</v>
      </c>
      <c r="F196" s="637">
        <v>0</v>
      </c>
      <c r="G196" s="637">
        <v>0</v>
      </c>
      <c r="H196" s="637">
        <v>0</v>
      </c>
      <c r="I196" s="637">
        <v>0</v>
      </c>
      <c r="J196" s="637">
        <v>0</v>
      </c>
      <c r="K196" s="637">
        <v>39907.08</v>
      </c>
      <c r="L196" s="637">
        <v>39907.08</v>
      </c>
      <c r="M196" s="637">
        <v>39329.18</v>
      </c>
      <c r="N196" s="637">
        <v>40122.9</v>
      </c>
      <c r="O196" s="637">
        <v>38232.14</v>
      </c>
      <c r="P196" s="637">
        <v>38936.33</v>
      </c>
      <c r="Q196" s="637">
        <v>40231.5</v>
      </c>
      <c r="R196" s="637">
        <v>40231.5</v>
      </c>
      <c r="S196" s="514">
        <f t="shared" si="49"/>
        <v>24731.83</v>
      </c>
      <c r="T196" s="638"/>
      <c r="U196" s="675"/>
      <c r="V196" s="713"/>
      <c r="W196" s="713"/>
      <c r="X196" s="736">
        <f>+S196</f>
        <v>24731.83</v>
      </c>
      <c r="Y196" s="713"/>
      <c r="Z196" s="713">
        <f>+X196</f>
        <v>24731.83</v>
      </c>
      <c r="AA196" s="675"/>
      <c r="AB196" s="713"/>
      <c r="AC196" s="676"/>
      <c r="AD196" s="677"/>
      <c r="AE196" s="676"/>
      <c r="AF196" s="711"/>
    </row>
    <row r="197" spans="1:32">
      <c r="A197" s="638">
        <v>183</v>
      </c>
      <c r="B197" s="342" t="s">
        <v>1009</v>
      </c>
      <c r="C197" s="342" t="s">
        <v>469</v>
      </c>
      <c r="D197" s="342" t="s">
        <v>1344</v>
      </c>
      <c r="E197" s="636" t="s">
        <v>1578</v>
      </c>
      <c r="F197" s="637">
        <v>65440.960000000101</v>
      </c>
      <c r="G197" s="637">
        <v>64077.61</v>
      </c>
      <c r="H197" s="637">
        <v>62714.26</v>
      </c>
      <c r="I197" s="637">
        <v>61350.9</v>
      </c>
      <c r="J197" s="637">
        <v>59987.55</v>
      </c>
      <c r="K197" s="637">
        <v>58624.2</v>
      </c>
      <c r="L197" s="637">
        <v>57260.84</v>
      </c>
      <c r="M197" s="637">
        <v>55897.49</v>
      </c>
      <c r="N197" s="637">
        <v>54534.14</v>
      </c>
      <c r="O197" s="637">
        <v>53170.78</v>
      </c>
      <c r="P197" s="637">
        <v>51807.43</v>
      </c>
      <c r="Q197" s="637">
        <v>50444.08</v>
      </c>
      <c r="R197" s="637">
        <v>49080.72</v>
      </c>
      <c r="S197" s="514">
        <f t="shared" si="49"/>
        <v>57260.843333333345</v>
      </c>
      <c r="T197" s="638"/>
      <c r="U197" s="675"/>
      <c r="V197" s="713"/>
      <c r="W197" s="713"/>
      <c r="X197" s="736">
        <f>+S197</f>
        <v>57260.843333333345</v>
      </c>
      <c r="Y197" s="713"/>
      <c r="Z197" s="713">
        <f>+X197</f>
        <v>57260.843333333345</v>
      </c>
      <c r="AA197" s="675"/>
      <c r="AB197" s="713"/>
      <c r="AC197" s="676"/>
      <c r="AD197" s="677"/>
      <c r="AE197" s="676"/>
      <c r="AF197" s="711"/>
    </row>
    <row r="198" spans="1:32">
      <c r="A198" s="638">
        <v>184</v>
      </c>
      <c r="B198" s="342" t="s">
        <v>984</v>
      </c>
      <c r="C198" s="342" t="s">
        <v>469</v>
      </c>
      <c r="D198" s="342" t="s">
        <v>1342</v>
      </c>
      <c r="E198" s="636" t="s">
        <v>1567</v>
      </c>
      <c r="F198" s="637">
        <v>0</v>
      </c>
      <c r="G198" s="637">
        <v>0</v>
      </c>
      <c r="H198" s="637">
        <v>0</v>
      </c>
      <c r="I198" s="637">
        <v>0</v>
      </c>
      <c r="J198" s="637">
        <v>0</v>
      </c>
      <c r="K198" s="637">
        <v>632689.85</v>
      </c>
      <c r="L198" s="637">
        <v>632689.85</v>
      </c>
      <c r="M198" s="637">
        <v>632689.85</v>
      </c>
      <c r="N198" s="637">
        <v>632689.85</v>
      </c>
      <c r="O198" s="637">
        <v>621617.1</v>
      </c>
      <c r="P198" s="637">
        <v>621617.1</v>
      </c>
      <c r="Q198" s="637">
        <v>621617.1</v>
      </c>
      <c r="R198" s="637">
        <v>621617.1</v>
      </c>
      <c r="S198" s="514">
        <f t="shared" si="49"/>
        <v>392201.60416666669</v>
      </c>
      <c r="T198" s="638"/>
      <c r="U198" s="675"/>
      <c r="V198" s="713"/>
      <c r="W198" s="713"/>
      <c r="X198" s="736">
        <f t="shared" ref="X198:X199" si="54">+S198</f>
        <v>392201.60416666669</v>
      </c>
      <c r="Y198" s="713">
        <f>+X198</f>
        <v>392201.60416666669</v>
      </c>
      <c r="Z198" s="713"/>
      <c r="AA198" s="675"/>
      <c r="AB198" s="713"/>
      <c r="AC198" s="676"/>
      <c r="AD198" s="677">
        <f t="shared" si="50"/>
        <v>0</v>
      </c>
      <c r="AE198" s="676"/>
      <c r="AF198" s="711">
        <f t="shared" si="39"/>
        <v>0</v>
      </c>
    </row>
    <row r="199" spans="1:32">
      <c r="A199" s="638">
        <v>185</v>
      </c>
      <c r="B199" s="342" t="s">
        <v>984</v>
      </c>
      <c r="C199" s="342" t="s">
        <v>469</v>
      </c>
      <c r="D199" s="342" t="s">
        <v>1344</v>
      </c>
      <c r="E199" s="636" t="s">
        <v>1578</v>
      </c>
      <c r="F199" s="637">
        <v>248712.88</v>
      </c>
      <c r="G199" s="637">
        <v>246409.98</v>
      </c>
      <c r="H199" s="637">
        <v>244107.08</v>
      </c>
      <c r="I199" s="637">
        <v>241804.19</v>
      </c>
      <c r="J199" s="637">
        <v>239501.29</v>
      </c>
      <c r="K199" s="637">
        <v>237198.39</v>
      </c>
      <c r="L199" s="637">
        <v>234895.5</v>
      </c>
      <c r="M199" s="637">
        <v>232592.6</v>
      </c>
      <c r="N199" s="637">
        <v>230289.7</v>
      </c>
      <c r="O199" s="637">
        <v>227986.81</v>
      </c>
      <c r="P199" s="637">
        <v>225683.91</v>
      </c>
      <c r="Q199" s="637">
        <v>223381.01</v>
      </c>
      <c r="R199" s="637">
        <v>221078.12</v>
      </c>
      <c r="S199" s="514">
        <f t="shared" si="49"/>
        <v>234895.49666666667</v>
      </c>
      <c r="T199" s="638"/>
      <c r="U199" s="675"/>
      <c r="V199" s="713"/>
      <c r="W199" s="713"/>
      <c r="X199" s="736">
        <f t="shared" si="54"/>
        <v>234895.49666666667</v>
      </c>
      <c r="Y199" s="713">
        <f>+X199</f>
        <v>234895.49666666667</v>
      </c>
      <c r="Z199" s="713"/>
      <c r="AA199" s="675"/>
      <c r="AB199" s="713"/>
      <c r="AC199" s="676"/>
      <c r="AD199" s="677">
        <f>+U199</f>
        <v>0</v>
      </c>
      <c r="AE199" s="676"/>
      <c r="AF199" s="711">
        <f t="shared" si="39"/>
        <v>0</v>
      </c>
    </row>
    <row r="200" spans="1:32">
      <c r="A200" s="638">
        <v>186</v>
      </c>
      <c r="B200" s="342"/>
      <c r="C200" s="342"/>
      <c r="D200" s="342"/>
      <c r="E200" s="636"/>
      <c r="F200" s="637"/>
      <c r="G200" s="637"/>
      <c r="H200" s="637"/>
      <c r="I200" s="637"/>
      <c r="J200" s="637"/>
      <c r="K200" s="637"/>
      <c r="L200" s="637"/>
      <c r="M200" s="637"/>
      <c r="N200" s="637"/>
      <c r="O200" s="637"/>
      <c r="P200" s="637"/>
      <c r="Q200" s="637"/>
      <c r="R200" s="637"/>
      <c r="S200" s="320"/>
      <c r="T200" s="638"/>
      <c r="U200" s="675">
        <f t="shared" si="51"/>
        <v>0</v>
      </c>
      <c r="V200" s="713"/>
      <c r="W200" s="713"/>
      <c r="X200" s="736"/>
      <c r="Y200" s="713"/>
      <c r="Z200" s="713"/>
      <c r="AA200" s="675"/>
      <c r="AB200" s="713"/>
      <c r="AC200" s="676"/>
      <c r="AD200" s="677"/>
      <c r="AE200" s="676"/>
      <c r="AF200" s="711">
        <f t="shared" si="39"/>
        <v>0</v>
      </c>
    </row>
    <row r="201" spans="1:32">
      <c r="A201" s="638">
        <v>187</v>
      </c>
      <c r="B201" s="638" t="s">
        <v>1009</v>
      </c>
      <c r="C201" s="638" t="s">
        <v>470</v>
      </c>
      <c r="D201" s="638" t="s">
        <v>450</v>
      </c>
      <c r="E201" s="623" t="s">
        <v>471</v>
      </c>
      <c r="F201" s="637">
        <v>593186.79</v>
      </c>
      <c r="G201" s="340">
        <v>0</v>
      </c>
      <c r="H201" s="331">
        <v>0</v>
      </c>
      <c r="I201" s="331">
        <v>0</v>
      </c>
      <c r="J201" s="332">
        <v>0</v>
      </c>
      <c r="K201" s="333">
        <v>0</v>
      </c>
      <c r="L201" s="334">
        <v>0</v>
      </c>
      <c r="M201" s="335">
        <v>0</v>
      </c>
      <c r="N201" s="336">
        <v>0</v>
      </c>
      <c r="O201" s="624">
        <v>0</v>
      </c>
      <c r="P201" s="337">
        <v>0</v>
      </c>
      <c r="Q201" s="341">
        <v>0</v>
      </c>
      <c r="R201" s="637">
        <v>0</v>
      </c>
      <c r="S201" s="514">
        <f>((F201+R201)+((G201+H201+I201+J201+K201+L201+M201+N201+O201+P201+Q201)*2))/24</f>
        <v>24716.116250000003</v>
      </c>
      <c r="T201" s="638"/>
      <c r="U201" s="675"/>
      <c r="V201" s="713"/>
      <c r="W201" s="713"/>
      <c r="X201" s="736">
        <f>+S201</f>
        <v>24716.116250000003</v>
      </c>
      <c r="Y201" s="713"/>
      <c r="Z201" s="713"/>
      <c r="AA201" s="675"/>
      <c r="AB201" s="713">
        <f>+S201</f>
        <v>24716.116250000003</v>
      </c>
      <c r="AC201" s="676"/>
      <c r="AD201" s="676"/>
      <c r="AE201" s="676"/>
      <c r="AF201" s="711">
        <f t="shared" si="39"/>
        <v>0</v>
      </c>
    </row>
    <row r="202" spans="1:32">
      <c r="A202" s="638">
        <v>188</v>
      </c>
      <c r="B202" s="638" t="s">
        <v>984</v>
      </c>
      <c r="C202" s="342" t="s">
        <v>470</v>
      </c>
      <c r="D202" s="342" t="s">
        <v>463</v>
      </c>
      <c r="E202" s="636" t="s">
        <v>471</v>
      </c>
      <c r="F202" s="637">
        <v>40887966.869999997</v>
      </c>
      <c r="G202" s="637">
        <v>0</v>
      </c>
      <c r="H202" s="637">
        <v>0</v>
      </c>
      <c r="I202" s="637">
        <v>0</v>
      </c>
      <c r="J202" s="637">
        <v>0</v>
      </c>
      <c r="K202" s="637">
        <v>0</v>
      </c>
      <c r="L202" s="637">
        <v>0</v>
      </c>
      <c r="M202" s="637">
        <v>0</v>
      </c>
      <c r="N202" s="637">
        <v>0</v>
      </c>
      <c r="O202" s="637">
        <v>0</v>
      </c>
      <c r="P202" s="637">
        <v>0</v>
      </c>
      <c r="Q202" s="637">
        <v>0</v>
      </c>
      <c r="R202" s="637">
        <v>0</v>
      </c>
      <c r="S202" s="514">
        <f>((F202+R202)+((G202+H202+I202+J202+K202+L202+M202+N202+O202+P202+Q202)*2))/24</f>
        <v>1703665.2862499999</v>
      </c>
      <c r="T202" s="638"/>
      <c r="U202" s="675"/>
      <c r="V202" s="713"/>
      <c r="W202" s="713"/>
      <c r="X202" s="736">
        <f>+S202</f>
        <v>1703665.2862499999</v>
      </c>
      <c r="Y202" s="713"/>
      <c r="Z202" s="713"/>
      <c r="AA202" s="675"/>
      <c r="AB202" s="713">
        <f>+S202</f>
        <v>1703665.2862499999</v>
      </c>
      <c r="AC202" s="676"/>
      <c r="AD202" s="676"/>
      <c r="AE202" s="676"/>
      <c r="AF202" s="711">
        <f t="shared" si="39"/>
        <v>0</v>
      </c>
    </row>
    <row r="203" spans="1:32">
      <c r="A203" s="638">
        <v>189</v>
      </c>
      <c r="B203" s="638" t="s">
        <v>1883</v>
      </c>
      <c r="C203" s="342" t="s">
        <v>470</v>
      </c>
      <c r="D203" s="342" t="s">
        <v>1890</v>
      </c>
      <c r="E203" s="636" t="s">
        <v>1891</v>
      </c>
      <c r="F203" s="637">
        <v>0</v>
      </c>
      <c r="G203" s="637">
        <v>0</v>
      </c>
      <c r="H203" s="637">
        <v>2342139.6</v>
      </c>
      <c r="I203" s="637">
        <v>3399048.29</v>
      </c>
      <c r="J203" s="637">
        <v>4027988.3</v>
      </c>
      <c r="K203" s="637">
        <v>4380204.8499999996</v>
      </c>
      <c r="L203" s="637">
        <v>4728970.04</v>
      </c>
      <c r="M203" s="637">
        <v>5196910.95</v>
      </c>
      <c r="N203" s="637">
        <v>6194887.6500000004</v>
      </c>
      <c r="O203" s="637">
        <v>4675781.1500000004</v>
      </c>
      <c r="P203" s="637">
        <v>5056612.16</v>
      </c>
      <c r="Q203" s="637">
        <v>4649236.16</v>
      </c>
      <c r="R203" s="637">
        <v>5008566.5</v>
      </c>
      <c r="S203" s="514">
        <f t="shared" ref="S203:S206" si="55">((F203+R203)+((G203+H203+I203+J203+K203+L203+M203+N203+O203+P203+Q203)*2))/24</f>
        <v>3929671.8666666658</v>
      </c>
      <c r="T203" s="638"/>
      <c r="U203" s="675">
        <f>+S203</f>
        <v>3929671.8666666658</v>
      </c>
      <c r="V203" s="713"/>
      <c r="W203" s="713"/>
      <c r="X203" s="736"/>
      <c r="Y203" s="713"/>
      <c r="Z203" s="713"/>
      <c r="AA203" s="675"/>
      <c r="AB203" s="713"/>
      <c r="AC203" s="676"/>
      <c r="AD203" s="677">
        <f>+S203</f>
        <v>3929671.8666666658</v>
      </c>
      <c r="AE203" s="676"/>
      <c r="AF203" s="711"/>
    </row>
    <row r="204" spans="1:32">
      <c r="A204" s="638">
        <v>190</v>
      </c>
      <c r="B204" s="638" t="s">
        <v>1883</v>
      </c>
      <c r="C204" s="342" t="s">
        <v>470</v>
      </c>
      <c r="D204" s="342" t="s">
        <v>1892</v>
      </c>
      <c r="E204" s="636" t="s">
        <v>1891</v>
      </c>
      <c r="F204" s="637">
        <v>0</v>
      </c>
      <c r="G204" s="637">
        <v>47946602.299999997</v>
      </c>
      <c r="H204" s="637">
        <v>67505586.75</v>
      </c>
      <c r="I204" s="637">
        <v>57823020.020000003</v>
      </c>
      <c r="J204" s="637">
        <v>56865822.530000001</v>
      </c>
      <c r="K204" s="637">
        <v>58478877.130000003</v>
      </c>
      <c r="L204" s="637">
        <v>60718799.259999998</v>
      </c>
      <c r="M204" s="637">
        <v>62935207.299999997</v>
      </c>
      <c r="N204" s="637">
        <v>66002326.009999998</v>
      </c>
      <c r="O204" s="637">
        <v>34706739.090000004</v>
      </c>
      <c r="P204" s="637">
        <v>35180151.969999999</v>
      </c>
      <c r="Q204" s="637">
        <v>33787613.960000001</v>
      </c>
      <c r="R204" s="637">
        <v>37814583.32</v>
      </c>
      <c r="S204" s="514">
        <f t="shared" si="55"/>
        <v>50071503.164999999</v>
      </c>
      <c r="T204" s="638"/>
      <c r="U204" s="675">
        <f t="shared" ref="U204:U205" si="56">+S204</f>
        <v>50071503.164999999</v>
      </c>
      <c r="V204" s="713"/>
      <c r="W204" s="713"/>
      <c r="X204" s="736"/>
      <c r="Y204" s="713"/>
      <c r="Z204" s="713"/>
      <c r="AA204" s="675"/>
      <c r="AB204" s="713"/>
      <c r="AD204" s="677">
        <f>+S204</f>
        <v>50071503.164999999</v>
      </c>
      <c r="AE204" s="676"/>
      <c r="AF204" s="711"/>
    </row>
    <row r="205" spans="1:32">
      <c r="A205" s="638">
        <v>191</v>
      </c>
      <c r="B205" s="638" t="s">
        <v>1883</v>
      </c>
      <c r="C205" s="342" t="s">
        <v>470</v>
      </c>
      <c r="D205" s="342" t="s">
        <v>1893</v>
      </c>
      <c r="E205" s="636" t="s">
        <v>1891</v>
      </c>
      <c r="F205" s="637">
        <v>0</v>
      </c>
      <c r="G205" s="637">
        <v>0</v>
      </c>
      <c r="H205" s="637">
        <v>0</v>
      </c>
      <c r="I205" s="637">
        <v>30228787.370000001</v>
      </c>
      <c r="J205" s="637">
        <v>30305289.539999999</v>
      </c>
      <c r="K205" s="637">
        <v>29534495.120000001</v>
      </c>
      <c r="L205" s="637">
        <v>29095371.93</v>
      </c>
      <c r="M205" s="637">
        <v>28758376.969999999</v>
      </c>
      <c r="N205" s="637">
        <v>28468854.23</v>
      </c>
      <c r="O205" s="637">
        <v>53618901.579999998</v>
      </c>
      <c r="P205" s="637">
        <v>52727328.140000001</v>
      </c>
      <c r="Q205" s="637">
        <v>50721235.899999999</v>
      </c>
      <c r="R205" s="637">
        <v>46381080.18</v>
      </c>
      <c r="S205" s="514">
        <f t="shared" si="55"/>
        <v>29720765.072499994</v>
      </c>
      <c r="T205" s="638"/>
      <c r="U205" s="675">
        <f t="shared" si="56"/>
        <v>29720765.072499994</v>
      </c>
      <c r="V205" s="713"/>
      <c r="W205" s="713"/>
      <c r="X205" s="736"/>
      <c r="Y205" s="713"/>
      <c r="Z205" s="713"/>
      <c r="AA205" s="675"/>
      <c r="AB205" s="713"/>
      <c r="AD205" s="677">
        <f>+S205</f>
        <v>29720765.072499994</v>
      </c>
      <c r="AE205" s="676"/>
      <c r="AF205" s="711"/>
    </row>
    <row r="206" spans="1:32">
      <c r="A206" s="638">
        <v>192</v>
      </c>
      <c r="B206" s="638"/>
      <c r="C206" s="638"/>
      <c r="D206" s="638"/>
      <c r="E206" s="623"/>
      <c r="F206" s="637"/>
      <c r="G206" s="340"/>
      <c r="H206" s="331"/>
      <c r="I206" s="331"/>
      <c r="J206" s="332"/>
      <c r="K206" s="333"/>
      <c r="L206" s="334"/>
      <c r="M206" s="335"/>
      <c r="N206" s="336"/>
      <c r="O206" s="624"/>
      <c r="P206" s="337"/>
      <c r="Q206" s="341"/>
      <c r="R206" s="637"/>
      <c r="S206" s="514">
        <f t="shared" si="55"/>
        <v>0</v>
      </c>
      <c r="T206" s="638"/>
      <c r="U206" s="675"/>
      <c r="V206" s="713"/>
      <c r="W206" s="713"/>
      <c r="X206" s="736"/>
      <c r="Y206" s="713"/>
      <c r="Z206" s="713"/>
      <c r="AA206" s="675"/>
      <c r="AB206" s="713"/>
      <c r="AC206" s="676"/>
      <c r="AD206" s="676"/>
      <c r="AE206" s="676"/>
      <c r="AF206" s="711">
        <f t="shared" si="39"/>
        <v>0</v>
      </c>
    </row>
    <row r="207" spans="1:32">
      <c r="A207" s="638">
        <v>193</v>
      </c>
      <c r="B207" s="342" t="s">
        <v>981</v>
      </c>
      <c r="C207" s="552" t="s">
        <v>472</v>
      </c>
      <c r="D207" s="342" t="s">
        <v>473</v>
      </c>
      <c r="E207" s="636" t="s">
        <v>474</v>
      </c>
      <c r="F207" s="637">
        <v>58463.57</v>
      </c>
      <c r="G207" s="637">
        <v>57904.11</v>
      </c>
      <c r="H207" s="637">
        <v>57344.65</v>
      </c>
      <c r="I207" s="637">
        <v>56785.19</v>
      </c>
      <c r="J207" s="637">
        <v>56225.73</v>
      </c>
      <c r="K207" s="637">
        <v>55666.27</v>
      </c>
      <c r="L207" s="637">
        <v>55106.81</v>
      </c>
      <c r="M207" s="637">
        <v>54547.35</v>
      </c>
      <c r="N207" s="637">
        <v>53987.89</v>
      </c>
      <c r="O207" s="637">
        <v>53428.43</v>
      </c>
      <c r="P207" s="637">
        <v>52868.97</v>
      </c>
      <c r="Q207" s="637">
        <v>52309.51</v>
      </c>
      <c r="R207" s="637">
        <v>51750.05</v>
      </c>
      <c r="S207" s="514">
        <f t="shared" ref="S207:S223" si="57">((F207+R207)+((G207+H207+I207+J207+K207+L207+M207+N207+O207+P207+Q207)*2))/24</f>
        <v>55106.81</v>
      </c>
      <c r="T207" s="638"/>
      <c r="U207" s="675"/>
      <c r="V207" s="713"/>
      <c r="W207" s="713">
        <f>+S207</f>
        <v>55106.81</v>
      </c>
      <c r="X207" s="736"/>
      <c r="Y207" s="713"/>
      <c r="Z207" s="713"/>
      <c r="AA207" s="675"/>
      <c r="AB207" s="713"/>
      <c r="AC207" s="677">
        <f t="shared" ref="AC207:AC218" si="58">+S207</f>
        <v>55106.81</v>
      </c>
      <c r="AD207" s="676"/>
      <c r="AE207" s="676"/>
      <c r="AF207" s="711">
        <f t="shared" si="39"/>
        <v>0</v>
      </c>
    </row>
    <row r="208" spans="1:32">
      <c r="A208" s="638">
        <v>194</v>
      </c>
      <c r="B208" s="342" t="s">
        <v>981</v>
      </c>
      <c r="C208" s="552" t="s">
        <v>472</v>
      </c>
      <c r="D208" s="342" t="s">
        <v>475</v>
      </c>
      <c r="E208" s="636" t="s">
        <v>476</v>
      </c>
      <c r="F208" s="637">
        <v>51189.82</v>
      </c>
      <c r="G208" s="637">
        <v>50770.22</v>
      </c>
      <c r="H208" s="637">
        <v>50350.62</v>
      </c>
      <c r="I208" s="637">
        <v>49931.02</v>
      </c>
      <c r="J208" s="637">
        <v>49511.42</v>
      </c>
      <c r="K208" s="637">
        <v>49091.82</v>
      </c>
      <c r="L208" s="637">
        <v>48672.22</v>
      </c>
      <c r="M208" s="637">
        <v>48252.62</v>
      </c>
      <c r="N208" s="637">
        <v>47833.02</v>
      </c>
      <c r="O208" s="637">
        <v>47413.42</v>
      </c>
      <c r="P208" s="637">
        <v>46993.82</v>
      </c>
      <c r="Q208" s="637">
        <v>46574.22</v>
      </c>
      <c r="R208" s="637">
        <v>46154.62</v>
      </c>
      <c r="S208" s="514">
        <f t="shared" si="57"/>
        <v>48672.219999999994</v>
      </c>
      <c r="T208" s="638"/>
      <c r="U208" s="675"/>
      <c r="V208" s="713"/>
      <c r="W208" s="713">
        <f t="shared" ref="W208:W221" si="59">+S208</f>
        <v>48672.219999999994</v>
      </c>
      <c r="X208" s="736"/>
      <c r="Y208" s="713"/>
      <c r="Z208" s="713"/>
      <c r="AA208" s="675"/>
      <c r="AB208" s="713"/>
      <c r="AC208" s="677">
        <f t="shared" si="58"/>
        <v>48672.219999999994</v>
      </c>
      <c r="AD208" s="676"/>
      <c r="AE208" s="676"/>
      <c r="AF208" s="711">
        <f t="shared" si="39"/>
        <v>0</v>
      </c>
    </row>
    <row r="209" spans="1:32">
      <c r="A209" s="638">
        <v>195</v>
      </c>
      <c r="B209" s="342" t="s">
        <v>981</v>
      </c>
      <c r="C209" s="552" t="s">
        <v>472</v>
      </c>
      <c r="D209" s="342" t="s">
        <v>477</v>
      </c>
      <c r="E209" s="636" t="s">
        <v>478</v>
      </c>
      <c r="F209" s="637">
        <v>852667.05</v>
      </c>
      <c r="G209" s="637">
        <v>848249.09</v>
      </c>
      <c r="H209" s="637">
        <v>843138.35</v>
      </c>
      <c r="I209" s="637">
        <v>838724.01</v>
      </c>
      <c r="J209" s="637">
        <v>834309.67</v>
      </c>
      <c r="K209" s="637">
        <v>826758.64</v>
      </c>
      <c r="L209" s="637">
        <v>822360.99</v>
      </c>
      <c r="M209" s="637">
        <v>817963.34</v>
      </c>
      <c r="N209" s="637">
        <v>813230.18</v>
      </c>
      <c r="O209" s="637">
        <v>808834.34</v>
      </c>
      <c r="P209" s="637">
        <v>804438.5</v>
      </c>
      <c r="Q209" s="637">
        <v>799217.51</v>
      </c>
      <c r="R209" s="637">
        <v>794826.2</v>
      </c>
      <c r="S209" s="514">
        <f t="shared" si="57"/>
        <v>823414.27041666664</v>
      </c>
      <c r="T209" s="638"/>
      <c r="U209" s="675"/>
      <c r="V209" s="713"/>
      <c r="W209" s="713">
        <f t="shared" si="59"/>
        <v>823414.27041666664</v>
      </c>
      <c r="X209" s="736"/>
      <c r="Y209" s="713"/>
      <c r="Z209" s="713"/>
      <c r="AA209" s="675"/>
      <c r="AB209" s="713"/>
      <c r="AC209" s="677">
        <f t="shared" si="58"/>
        <v>823414.27041666664</v>
      </c>
      <c r="AD209" s="676"/>
      <c r="AE209" s="676"/>
      <c r="AF209" s="711">
        <f t="shared" si="39"/>
        <v>0</v>
      </c>
    </row>
    <row r="210" spans="1:32">
      <c r="A210" s="638">
        <v>196</v>
      </c>
      <c r="B210" s="342" t="s">
        <v>981</v>
      </c>
      <c r="C210" s="552" t="s">
        <v>472</v>
      </c>
      <c r="D210" s="342" t="s">
        <v>479</v>
      </c>
      <c r="E210" s="636" t="s">
        <v>480</v>
      </c>
      <c r="F210" s="637">
        <v>25296.48</v>
      </c>
      <c r="G210" s="637">
        <v>23948.42</v>
      </c>
      <c r="H210" s="637">
        <v>22600.36</v>
      </c>
      <c r="I210" s="637">
        <v>21252.3</v>
      </c>
      <c r="J210" s="637">
        <v>19904.240000000002</v>
      </c>
      <c r="K210" s="637">
        <v>18556.18</v>
      </c>
      <c r="L210" s="637">
        <v>17208.12</v>
      </c>
      <c r="M210" s="637">
        <v>15860.06</v>
      </c>
      <c r="N210" s="637">
        <v>14512</v>
      </c>
      <c r="O210" s="637">
        <v>13163.94</v>
      </c>
      <c r="P210" s="637">
        <v>11815.88</v>
      </c>
      <c r="Q210" s="637">
        <v>10467.82</v>
      </c>
      <c r="R210" s="637">
        <v>9119.7599999999893</v>
      </c>
      <c r="S210" s="514">
        <f t="shared" si="57"/>
        <v>17208.12</v>
      </c>
      <c r="T210" s="638"/>
      <c r="U210" s="675"/>
      <c r="V210" s="713"/>
      <c r="W210" s="713">
        <f t="shared" si="59"/>
        <v>17208.12</v>
      </c>
      <c r="X210" s="736"/>
      <c r="Y210" s="713"/>
      <c r="Z210" s="713"/>
      <c r="AA210" s="675"/>
      <c r="AB210" s="713"/>
      <c r="AC210" s="677">
        <f t="shared" si="58"/>
        <v>17208.12</v>
      </c>
      <c r="AD210" s="676"/>
      <c r="AE210" s="676"/>
      <c r="AF210" s="711">
        <f t="shared" si="39"/>
        <v>0</v>
      </c>
    </row>
    <row r="211" spans="1:32">
      <c r="A211" s="638">
        <v>197</v>
      </c>
      <c r="B211" s="342" t="s">
        <v>981</v>
      </c>
      <c r="C211" s="552" t="s">
        <v>472</v>
      </c>
      <c r="D211" s="342" t="s">
        <v>481</v>
      </c>
      <c r="E211" s="636" t="s">
        <v>482</v>
      </c>
      <c r="F211" s="637">
        <v>141205.07999999999</v>
      </c>
      <c r="G211" s="637">
        <v>140557.57999999999</v>
      </c>
      <c r="H211" s="637">
        <v>139910.07999999999</v>
      </c>
      <c r="I211" s="637">
        <v>139262.57999999999</v>
      </c>
      <c r="J211" s="637">
        <v>138615.07999999999</v>
      </c>
      <c r="K211" s="637">
        <v>137967.57999999999</v>
      </c>
      <c r="L211" s="637">
        <v>137320.07999999999</v>
      </c>
      <c r="M211" s="637">
        <v>136672.57999999999</v>
      </c>
      <c r="N211" s="637">
        <v>136025.07999999999</v>
      </c>
      <c r="O211" s="637">
        <v>135377.57999999999</v>
      </c>
      <c r="P211" s="637">
        <v>134730.07999999999</v>
      </c>
      <c r="Q211" s="637">
        <v>134082.57999999999</v>
      </c>
      <c r="R211" s="637">
        <v>133435.07999999999</v>
      </c>
      <c r="S211" s="514">
        <f t="shared" si="57"/>
        <v>137320.08000000002</v>
      </c>
      <c r="T211" s="638"/>
      <c r="U211" s="675"/>
      <c r="V211" s="713"/>
      <c r="W211" s="713">
        <f t="shared" si="59"/>
        <v>137320.08000000002</v>
      </c>
      <c r="X211" s="736"/>
      <c r="Y211" s="713"/>
      <c r="Z211" s="713"/>
      <c r="AA211" s="675"/>
      <c r="AB211" s="713"/>
      <c r="AC211" s="677">
        <f t="shared" si="58"/>
        <v>137320.08000000002</v>
      </c>
      <c r="AD211" s="676"/>
      <c r="AE211" s="676"/>
      <c r="AF211" s="711">
        <f t="shared" si="39"/>
        <v>0</v>
      </c>
    </row>
    <row r="212" spans="1:32">
      <c r="A212" s="638">
        <v>198</v>
      </c>
      <c r="B212" s="342" t="s">
        <v>981</v>
      </c>
      <c r="C212" s="552" t="s">
        <v>472</v>
      </c>
      <c r="D212" s="342" t="s">
        <v>483</v>
      </c>
      <c r="E212" s="553" t="s">
        <v>484</v>
      </c>
      <c r="F212" s="637">
        <v>82844.59</v>
      </c>
      <c r="G212" s="637">
        <v>81795.92</v>
      </c>
      <c r="H212" s="637">
        <v>80747.25</v>
      </c>
      <c r="I212" s="637">
        <v>79698.58</v>
      </c>
      <c r="J212" s="637">
        <v>78649.91</v>
      </c>
      <c r="K212" s="637">
        <v>77601.240000000005</v>
      </c>
      <c r="L212" s="637">
        <v>76552.570000000007</v>
      </c>
      <c r="M212" s="637">
        <v>75503.899999999994</v>
      </c>
      <c r="N212" s="637">
        <v>74455.23</v>
      </c>
      <c r="O212" s="637">
        <v>73406.559999999998</v>
      </c>
      <c r="P212" s="637">
        <v>72357.89</v>
      </c>
      <c r="Q212" s="637">
        <v>71309.22</v>
      </c>
      <c r="R212" s="637">
        <v>70260.55</v>
      </c>
      <c r="S212" s="514">
        <f t="shared" si="57"/>
        <v>76552.569999999992</v>
      </c>
      <c r="T212" s="638"/>
      <c r="U212" s="675"/>
      <c r="V212" s="713"/>
      <c r="W212" s="713">
        <f t="shared" si="59"/>
        <v>76552.569999999992</v>
      </c>
      <c r="X212" s="736"/>
      <c r="Y212" s="713"/>
      <c r="Z212" s="713"/>
      <c r="AA212" s="675"/>
      <c r="AB212" s="713"/>
      <c r="AC212" s="677">
        <f t="shared" si="58"/>
        <v>76552.569999999992</v>
      </c>
      <c r="AD212" s="676"/>
      <c r="AE212" s="676"/>
      <c r="AF212" s="711">
        <f t="shared" si="39"/>
        <v>0</v>
      </c>
    </row>
    <row r="213" spans="1:32">
      <c r="A213" s="638">
        <v>199</v>
      </c>
      <c r="B213" s="342" t="s">
        <v>981</v>
      </c>
      <c r="C213" s="552" t="s">
        <v>472</v>
      </c>
      <c r="D213" s="342" t="s">
        <v>485</v>
      </c>
      <c r="E213" s="553" t="s">
        <v>486</v>
      </c>
      <c r="F213" s="637">
        <v>96477.490000000107</v>
      </c>
      <c r="G213" s="637">
        <v>95638.56</v>
      </c>
      <c r="H213" s="637">
        <v>94799.63</v>
      </c>
      <c r="I213" s="637">
        <v>93960.7</v>
      </c>
      <c r="J213" s="637">
        <v>93121.77</v>
      </c>
      <c r="K213" s="637">
        <v>92282.84</v>
      </c>
      <c r="L213" s="637">
        <v>91443.91</v>
      </c>
      <c r="M213" s="637">
        <v>90604.980000000098</v>
      </c>
      <c r="N213" s="637">
        <v>89766.050000000105</v>
      </c>
      <c r="O213" s="637">
        <v>88927.120000000097</v>
      </c>
      <c r="P213" s="637">
        <v>88088.190000000104</v>
      </c>
      <c r="Q213" s="637">
        <v>87249.260000000097</v>
      </c>
      <c r="R213" s="637">
        <v>86410.330000000104</v>
      </c>
      <c r="S213" s="514">
        <f t="shared" si="57"/>
        <v>91443.910000000047</v>
      </c>
      <c r="T213" s="638"/>
      <c r="U213" s="675"/>
      <c r="V213" s="713"/>
      <c r="W213" s="713">
        <f t="shared" si="59"/>
        <v>91443.910000000047</v>
      </c>
      <c r="X213" s="736"/>
      <c r="Y213" s="713"/>
      <c r="Z213" s="713"/>
      <c r="AA213" s="675"/>
      <c r="AB213" s="713"/>
      <c r="AC213" s="677">
        <f t="shared" si="58"/>
        <v>91443.910000000047</v>
      </c>
      <c r="AD213" s="676"/>
      <c r="AE213" s="676"/>
      <c r="AF213" s="711">
        <f t="shared" si="39"/>
        <v>0</v>
      </c>
    </row>
    <row r="214" spans="1:32">
      <c r="A214" s="638">
        <v>200</v>
      </c>
      <c r="B214" s="342" t="s">
        <v>981</v>
      </c>
      <c r="C214" s="552" t="s">
        <v>472</v>
      </c>
      <c r="D214" s="342" t="s">
        <v>457</v>
      </c>
      <c r="E214" s="553" t="s">
        <v>487</v>
      </c>
      <c r="F214" s="637">
        <v>98736.3100000001</v>
      </c>
      <c r="G214" s="637">
        <v>92153.88</v>
      </c>
      <c r="H214" s="637">
        <v>85571.45</v>
      </c>
      <c r="I214" s="637">
        <v>78989.02</v>
      </c>
      <c r="J214" s="637">
        <v>72406.59</v>
      </c>
      <c r="K214" s="637">
        <v>65824.160000000003</v>
      </c>
      <c r="L214" s="637">
        <v>314578.2</v>
      </c>
      <c r="M214" s="637">
        <v>318917.87</v>
      </c>
      <c r="N214" s="637">
        <v>375952.24</v>
      </c>
      <c r="O214" s="637">
        <v>369356.59</v>
      </c>
      <c r="P214" s="637">
        <v>362760.94</v>
      </c>
      <c r="Q214" s="637">
        <v>356165.29</v>
      </c>
      <c r="R214" s="637">
        <v>349569.64</v>
      </c>
      <c r="S214" s="514">
        <f t="shared" si="57"/>
        <v>226402.43375000005</v>
      </c>
      <c r="T214" s="638"/>
      <c r="U214" s="675"/>
      <c r="V214" s="713"/>
      <c r="W214" s="713">
        <f t="shared" si="59"/>
        <v>226402.43375000005</v>
      </c>
      <c r="X214" s="736"/>
      <c r="Y214" s="713"/>
      <c r="Z214" s="713"/>
      <c r="AA214" s="675"/>
      <c r="AB214" s="713"/>
      <c r="AC214" s="677">
        <f t="shared" si="58"/>
        <v>226402.43375000005</v>
      </c>
      <c r="AD214" s="676"/>
      <c r="AE214" s="676"/>
      <c r="AF214" s="711">
        <f t="shared" si="39"/>
        <v>0</v>
      </c>
    </row>
    <row r="215" spans="1:32">
      <c r="A215" s="638">
        <v>201</v>
      </c>
      <c r="B215" s="342" t="s">
        <v>981</v>
      </c>
      <c r="C215" s="552" t="s">
        <v>472</v>
      </c>
      <c r="D215" s="342" t="s">
        <v>488</v>
      </c>
      <c r="E215" s="553" t="s">
        <v>1894</v>
      </c>
      <c r="F215" s="637">
        <v>53780.84</v>
      </c>
      <c r="G215" s="637">
        <v>53607.35</v>
      </c>
      <c r="H215" s="637">
        <v>53433.86</v>
      </c>
      <c r="I215" s="637">
        <v>53260.37</v>
      </c>
      <c r="J215" s="637">
        <v>53086.879999999997</v>
      </c>
      <c r="K215" s="637">
        <v>52913.39</v>
      </c>
      <c r="L215" s="637">
        <v>52739.9</v>
      </c>
      <c r="M215" s="637">
        <v>52566.41</v>
      </c>
      <c r="N215" s="637">
        <v>52392.92</v>
      </c>
      <c r="O215" s="637">
        <v>52219.43</v>
      </c>
      <c r="P215" s="637">
        <v>52045.94</v>
      </c>
      <c r="Q215" s="637">
        <v>51872.45</v>
      </c>
      <c r="R215" s="637">
        <v>51698.96</v>
      </c>
      <c r="S215" s="514">
        <f t="shared" si="57"/>
        <v>52739.899999999994</v>
      </c>
      <c r="T215" s="638"/>
      <c r="U215" s="675"/>
      <c r="V215" s="713"/>
      <c r="W215" s="713">
        <f t="shared" si="59"/>
        <v>52739.899999999994</v>
      </c>
      <c r="X215" s="736"/>
      <c r="Y215" s="713"/>
      <c r="Z215" s="713"/>
      <c r="AA215" s="675"/>
      <c r="AB215" s="713"/>
      <c r="AC215" s="677">
        <f t="shared" si="58"/>
        <v>52739.899999999994</v>
      </c>
      <c r="AD215" s="676"/>
      <c r="AE215" s="676"/>
      <c r="AF215" s="711">
        <f t="shared" si="39"/>
        <v>0</v>
      </c>
    </row>
    <row r="216" spans="1:32">
      <c r="A216" s="638">
        <v>202</v>
      </c>
      <c r="B216" s="342" t="s">
        <v>981</v>
      </c>
      <c r="C216" s="552" t="s">
        <v>472</v>
      </c>
      <c r="D216" s="342" t="s">
        <v>489</v>
      </c>
      <c r="E216" s="553" t="s">
        <v>1895</v>
      </c>
      <c r="F216" s="637">
        <v>54740.34</v>
      </c>
      <c r="G216" s="637">
        <v>54613.04</v>
      </c>
      <c r="H216" s="637">
        <v>54485.74</v>
      </c>
      <c r="I216" s="637">
        <v>54358.44</v>
      </c>
      <c r="J216" s="637">
        <v>54231.14</v>
      </c>
      <c r="K216" s="637">
        <v>54103.839999999997</v>
      </c>
      <c r="L216" s="637">
        <v>53976.54</v>
      </c>
      <c r="M216" s="637">
        <v>53849.24</v>
      </c>
      <c r="N216" s="637">
        <v>53721.94</v>
      </c>
      <c r="O216" s="637">
        <v>53594.64</v>
      </c>
      <c r="P216" s="637">
        <v>53467.34</v>
      </c>
      <c r="Q216" s="637">
        <v>53340.04</v>
      </c>
      <c r="R216" s="637">
        <v>53212.74</v>
      </c>
      <c r="S216" s="514">
        <f t="shared" si="57"/>
        <v>53976.54</v>
      </c>
      <c r="T216" s="638"/>
      <c r="U216" s="675"/>
      <c r="V216" s="713"/>
      <c r="W216" s="713">
        <f t="shared" si="59"/>
        <v>53976.54</v>
      </c>
      <c r="X216" s="736"/>
      <c r="Y216" s="713"/>
      <c r="Z216" s="713"/>
      <c r="AA216" s="675"/>
      <c r="AB216" s="713"/>
      <c r="AC216" s="677">
        <f t="shared" si="58"/>
        <v>53976.54</v>
      </c>
      <c r="AD216" s="676"/>
      <c r="AE216" s="676"/>
      <c r="AF216" s="711">
        <f t="shared" si="39"/>
        <v>0</v>
      </c>
    </row>
    <row r="217" spans="1:32">
      <c r="A217" s="638">
        <v>203</v>
      </c>
      <c r="B217" s="342" t="s">
        <v>981</v>
      </c>
      <c r="C217" s="552" t="s">
        <v>472</v>
      </c>
      <c r="D217" s="342" t="s">
        <v>490</v>
      </c>
      <c r="E217" s="553" t="s">
        <v>1896</v>
      </c>
      <c r="F217" s="637">
        <v>54127.82</v>
      </c>
      <c r="G217" s="637">
        <v>53954.33</v>
      </c>
      <c r="H217" s="637">
        <v>53780.84</v>
      </c>
      <c r="I217" s="637">
        <v>53607.35</v>
      </c>
      <c r="J217" s="637">
        <v>53433.86</v>
      </c>
      <c r="K217" s="637">
        <v>53260.37</v>
      </c>
      <c r="L217" s="637">
        <v>53086.879999999997</v>
      </c>
      <c r="M217" s="637">
        <v>52913.39</v>
      </c>
      <c r="N217" s="637">
        <v>52739.9</v>
      </c>
      <c r="O217" s="637">
        <v>52566.41</v>
      </c>
      <c r="P217" s="637">
        <v>52392.92</v>
      </c>
      <c r="Q217" s="637">
        <v>52219.43</v>
      </c>
      <c r="R217" s="637">
        <v>52045.94</v>
      </c>
      <c r="S217" s="514">
        <f t="shared" si="57"/>
        <v>53086.880000000012</v>
      </c>
      <c r="T217" s="638"/>
      <c r="U217" s="675"/>
      <c r="V217" s="713"/>
      <c r="W217" s="713">
        <f t="shared" si="59"/>
        <v>53086.880000000012</v>
      </c>
      <c r="X217" s="736"/>
      <c r="Y217" s="713"/>
      <c r="Z217" s="713"/>
      <c r="AA217" s="675"/>
      <c r="AB217" s="713"/>
      <c r="AC217" s="677">
        <f t="shared" si="58"/>
        <v>53086.880000000012</v>
      </c>
      <c r="AD217" s="676"/>
      <c r="AE217" s="676"/>
      <c r="AF217" s="711">
        <f t="shared" si="39"/>
        <v>0</v>
      </c>
    </row>
    <row r="218" spans="1:32">
      <c r="A218" s="638">
        <v>204</v>
      </c>
      <c r="B218" s="342" t="s">
        <v>981</v>
      </c>
      <c r="C218" s="552" t="s">
        <v>472</v>
      </c>
      <c r="D218" s="342" t="s">
        <v>491</v>
      </c>
      <c r="E218" s="553" t="s">
        <v>1897</v>
      </c>
      <c r="F218" s="637">
        <v>54994.94</v>
      </c>
      <c r="G218" s="637">
        <v>54867.64</v>
      </c>
      <c r="H218" s="637">
        <v>54740.34</v>
      </c>
      <c r="I218" s="637">
        <v>54613.04</v>
      </c>
      <c r="J218" s="637">
        <v>54485.74</v>
      </c>
      <c r="K218" s="637">
        <v>54358.44</v>
      </c>
      <c r="L218" s="637">
        <v>54231.14</v>
      </c>
      <c r="M218" s="637">
        <v>54103.839999999997</v>
      </c>
      <c r="N218" s="637">
        <v>53976.54</v>
      </c>
      <c r="O218" s="637">
        <v>53849.24</v>
      </c>
      <c r="P218" s="637">
        <v>53721.94</v>
      </c>
      <c r="Q218" s="637">
        <v>53594.64</v>
      </c>
      <c r="R218" s="637">
        <v>53467.34</v>
      </c>
      <c r="S218" s="514">
        <f t="shared" si="57"/>
        <v>54231.139999999992</v>
      </c>
      <c r="T218" s="638"/>
      <c r="U218" s="675"/>
      <c r="V218" s="713"/>
      <c r="W218" s="713">
        <f t="shared" si="59"/>
        <v>54231.139999999992</v>
      </c>
      <c r="X218" s="736"/>
      <c r="Y218" s="713"/>
      <c r="Z218" s="713"/>
      <c r="AA218" s="675"/>
      <c r="AB218" s="713"/>
      <c r="AC218" s="677">
        <f t="shared" si="58"/>
        <v>54231.139999999992</v>
      </c>
      <c r="AD218" s="676"/>
      <c r="AE218" s="676"/>
      <c r="AF218" s="711">
        <f t="shared" si="39"/>
        <v>0</v>
      </c>
    </row>
    <row r="219" spans="1:32">
      <c r="A219" s="638">
        <v>205</v>
      </c>
      <c r="B219" s="342"/>
      <c r="C219" s="552" t="s">
        <v>472</v>
      </c>
      <c r="D219" s="342" t="s">
        <v>1898</v>
      </c>
      <c r="E219" s="553" t="s">
        <v>1899</v>
      </c>
      <c r="F219" s="637">
        <v>0</v>
      </c>
      <c r="G219" s="637">
        <v>0</v>
      </c>
      <c r="H219" s="637">
        <v>0</v>
      </c>
      <c r="I219" s="637">
        <v>0</v>
      </c>
      <c r="J219" s="637">
        <v>0</v>
      </c>
      <c r="K219" s="637">
        <v>4316.83</v>
      </c>
      <c r="L219" s="637">
        <v>117539.84</v>
      </c>
      <c r="M219" s="637">
        <v>124791.17</v>
      </c>
      <c r="N219" s="637">
        <v>125247.9</v>
      </c>
      <c r="O219" s="637">
        <v>124177.41</v>
      </c>
      <c r="P219" s="637">
        <v>123106.92</v>
      </c>
      <c r="Q219" s="637">
        <v>122036.43</v>
      </c>
      <c r="R219" s="637">
        <v>120965.94</v>
      </c>
      <c r="S219" s="514">
        <f t="shared" si="57"/>
        <v>66808.289166666669</v>
      </c>
      <c r="T219" s="638"/>
      <c r="U219" s="675"/>
      <c r="V219" s="713"/>
      <c r="W219" s="713">
        <f t="shared" si="59"/>
        <v>66808.289166666669</v>
      </c>
      <c r="X219" s="736"/>
      <c r="Y219" s="713"/>
      <c r="Z219" s="713"/>
      <c r="AA219" s="675"/>
      <c r="AB219" s="713"/>
      <c r="AC219" s="677">
        <f>+S219</f>
        <v>66808.289166666669</v>
      </c>
      <c r="AD219" s="676"/>
      <c r="AE219" s="676"/>
      <c r="AF219" s="711"/>
    </row>
    <row r="220" spans="1:32">
      <c r="A220" s="638">
        <v>206</v>
      </c>
      <c r="B220" s="342"/>
      <c r="C220" s="552" t="s">
        <v>472</v>
      </c>
      <c r="D220" s="342" t="s">
        <v>1900</v>
      </c>
      <c r="E220" s="553" t="s">
        <v>1901</v>
      </c>
      <c r="F220" s="637">
        <v>0</v>
      </c>
      <c r="G220" s="637">
        <v>0</v>
      </c>
      <c r="H220" s="637">
        <v>0</v>
      </c>
      <c r="I220" s="637">
        <v>0</v>
      </c>
      <c r="J220" s="637">
        <v>0</v>
      </c>
      <c r="K220" s="637">
        <v>3453.47</v>
      </c>
      <c r="L220" s="637">
        <v>94295.27</v>
      </c>
      <c r="M220" s="637">
        <v>100396.96</v>
      </c>
      <c r="N220" s="637">
        <v>101054.71</v>
      </c>
      <c r="O220" s="637">
        <v>100483.78</v>
      </c>
      <c r="P220" s="637">
        <v>99912.85</v>
      </c>
      <c r="Q220" s="637">
        <v>99341.92</v>
      </c>
      <c r="R220" s="637">
        <v>98770.99</v>
      </c>
      <c r="S220" s="514">
        <f t="shared" si="57"/>
        <v>54027.037916666675</v>
      </c>
      <c r="T220" s="638"/>
      <c r="U220" s="675"/>
      <c r="V220" s="713"/>
      <c r="W220" s="713">
        <f t="shared" si="59"/>
        <v>54027.037916666675</v>
      </c>
      <c r="X220" s="736"/>
      <c r="Y220" s="713"/>
      <c r="Z220" s="713"/>
      <c r="AA220" s="675"/>
      <c r="AB220" s="713"/>
      <c r="AC220" s="677">
        <f t="shared" ref="AC220:AC221" si="60">+S220</f>
        <v>54027.037916666675</v>
      </c>
      <c r="AD220" s="676"/>
      <c r="AE220" s="676"/>
      <c r="AF220" s="711"/>
    </row>
    <row r="221" spans="1:32">
      <c r="A221" s="638">
        <v>207</v>
      </c>
      <c r="B221" s="342"/>
      <c r="C221" s="552" t="s">
        <v>472</v>
      </c>
      <c r="D221" s="342" t="s">
        <v>1902</v>
      </c>
      <c r="E221" s="553" t="s">
        <v>1903</v>
      </c>
      <c r="F221" s="637">
        <v>0</v>
      </c>
      <c r="G221" s="637">
        <v>0</v>
      </c>
      <c r="H221" s="637">
        <v>0</v>
      </c>
      <c r="I221" s="637">
        <v>0</v>
      </c>
      <c r="J221" s="637">
        <v>0</v>
      </c>
      <c r="K221" s="637">
        <v>5180.2</v>
      </c>
      <c r="L221" s="637">
        <v>141838</v>
      </c>
      <c r="M221" s="637">
        <v>151441.49</v>
      </c>
      <c r="N221" s="637">
        <v>152866.64000000001</v>
      </c>
      <c r="O221" s="637">
        <v>152438.44</v>
      </c>
      <c r="P221" s="637">
        <v>152010.23999999999</v>
      </c>
      <c r="Q221" s="637">
        <v>151582.04</v>
      </c>
      <c r="R221" s="637">
        <v>151153.84</v>
      </c>
      <c r="S221" s="514">
        <f t="shared" si="57"/>
        <v>81911.164166666669</v>
      </c>
      <c r="T221" s="638"/>
      <c r="U221" s="675"/>
      <c r="V221" s="713"/>
      <c r="W221" s="713">
        <f t="shared" si="59"/>
        <v>81911.164166666669</v>
      </c>
      <c r="X221" s="736"/>
      <c r="Y221" s="713"/>
      <c r="Z221" s="713"/>
      <c r="AA221" s="675"/>
      <c r="AB221" s="713"/>
      <c r="AC221" s="677">
        <f t="shared" si="60"/>
        <v>81911.164166666669</v>
      </c>
      <c r="AD221" s="676"/>
      <c r="AE221" s="676"/>
      <c r="AF221" s="711"/>
    </row>
    <row r="222" spans="1:32">
      <c r="A222" s="638">
        <v>208</v>
      </c>
      <c r="B222" s="342"/>
      <c r="C222" s="552" t="s">
        <v>472</v>
      </c>
      <c r="D222" s="342" t="s">
        <v>729</v>
      </c>
      <c r="E222" s="553" t="s">
        <v>730</v>
      </c>
      <c r="F222" s="637">
        <v>-1525788.02</v>
      </c>
      <c r="G222" s="637">
        <v>0</v>
      </c>
      <c r="H222" s="637">
        <v>0</v>
      </c>
      <c r="I222" s="637">
        <v>0</v>
      </c>
      <c r="J222" s="637">
        <v>0</v>
      </c>
      <c r="K222" s="637">
        <v>0</v>
      </c>
      <c r="L222" s="637">
        <v>0</v>
      </c>
      <c r="M222" s="637">
        <v>0</v>
      </c>
      <c r="N222" s="637">
        <v>0</v>
      </c>
      <c r="O222" s="637">
        <v>0</v>
      </c>
      <c r="P222" s="637">
        <v>0</v>
      </c>
      <c r="Q222" s="637">
        <v>0</v>
      </c>
      <c r="R222" s="637">
        <v>0</v>
      </c>
      <c r="S222" s="514">
        <f t="shared" si="57"/>
        <v>-63574.500833333332</v>
      </c>
      <c r="T222" s="638"/>
      <c r="U222" s="675"/>
      <c r="V222" s="713">
        <f>+S222</f>
        <v>-63574.500833333332</v>
      </c>
      <c r="W222" s="713"/>
      <c r="X222" s="736"/>
      <c r="Y222" s="713"/>
      <c r="Z222" s="713"/>
      <c r="AA222" s="675"/>
      <c r="AB222" s="713"/>
      <c r="AC222" s="677"/>
      <c r="AD222" s="677">
        <f>+S222</f>
        <v>-63574.500833333332</v>
      </c>
      <c r="AE222" s="676"/>
      <c r="AF222" s="711"/>
    </row>
    <row r="223" spans="1:32">
      <c r="A223" s="638">
        <v>209</v>
      </c>
      <c r="B223" s="342" t="s">
        <v>981</v>
      </c>
      <c r="C223" s="552" t="s">
        <v>472</v>
      </c>
      <c r="D223" s="342" t="s">
        <v>382</v>
      </c>
      <c r="E223" s="553" t="s">
        <v>730</v>
      </c>
      <c r="F223" s="329">
        <v>0</v>
      </c>
      <c r="G223" s="329">
        <v>-1515906.26</v>
      </c>
      <c r="H223" s="329">
        <v>-1505331.72</v>
      </c>
      <c r="I223" s="329">
        <v>-1495453.58</v>
      </c>
      <c r="J223" s="329">
        <v>-1485575.44</v>
      </c>
      <c r="K223" s="329">
        <v>-1485511.11</v>
      </c>
      <c r="L223" s="329">
        <v>-1816372.27</v>
      </c>
      <c r="M223" s="329">
        <v>-1829467.33</v>
      </c>
      <c r="N223" s="329">
        <v>-1821810</v>
      </c>
      <c r="O223" s="329">
        <v>-1809880.74</v>
      </c>
      <c r="P223" s="329">
        <v>-1797951.48</v>
      </c>
      <c r="Q223" s="329">
        <v>-1785197.07</v>
      </c>
      <c r="R223" s="329">
        <v>-1773272.34</v>
      </c>
      <c r="S223" s="515">
        <f t="shared" si="57"/>
        <v>-1602924.4308333334</v>
      </c>
      <c r="T223" s="638"/>
      <c r="U223" s="675"/>
      <c r="V223" s="713">
        <f>+S223</f>
        <v>-1602924.4308333334</v>
      </c>
      <c r="X223" s="736"/>
      <c r="Y223" s="713"/>
      <c r="Z223" s="713"/>
      <c r="AA223" s="675"/>
      <c r="AB223" s="713"/>
      <c r="AC223" s="677"/>
      <c r="AD223" s="677">
        <f>+S223</f>
        <v>-1602924.4308333334</v>
      </c>
      <c r="AE223" s="676"/>
      <c r="AF223" s="711" t="e">
        <f>+U223+#REF!-AD223</f>
        <v>#REF!</v>
      </c>
    </row>
    <row r="224" spans="1:32">
      <c r="A224" s="638">
        <v>210</v>
      </c>
      <c r="B224" s="638"/>
      <c r="C224" s="638"/>
      <c r="D224" s="638"/>
      <c r="E224" s="633" t="s">
        <v>492</v>
      </c>
      <c r="F224" s="637">
        <f>SUM(F207:F223)</f>
        <v>98736.310000000289</v>
      </c>
      <c r="G224" s="637">
        <f t="shared" ref="G224:R224" si="61">SUM(G207:G223)</f>
        <v>92153.879999999888</v>
      </c>
      <c r="H224" s="637">
        <f t="shared" si="61"/>
        <v>85571.450000000186</v>
      </c>
      <c r="I224" s="637">
        <f t="shared" si="61"/>
        <v>78989.020000000251</v>
      </c>
      <c r="J224" s="637">
        <f t="shared" si="61"/>
        <v>72406.590000000084</v>
      </c>
      <c r="K224" s="637">
        <f t="shared" si="61"/>
        <v>65824.159999999916</v>
      </c>
      <c r="L224" s="637">
        <f t="shared" si="61"/>
        <v>314578.19999999972</v>
      </c>
      <c r="M224" s="637">
        <f t="shared" si="61"/>
        <v>318917.87000000011</v>
      </c>
      <c r="N224" s="637">
        <f t="shared" si="61"/>
        <v>375952.23999999976</v>
      </c>
      <c r="O224" s="637">
        <f t="shared" si="61"/>
        <v>369356.59000000008</v>
      </c>
      <c r="P224" s="637">
        <f t="shared" si="61"/>
        <v>362760.93999999994</v>
      </c>
      <c r="Q224" s="637">
        <f t="shared" si="61"/>
        <v>356165.28999999934</v>
      </c>
      <c r="R224" s="637">
        <f t="shared" si="61"/>
        <v>349569.6399999999</v>
      </c>
      <c r="S224" s="514">
        <f>SUM(S207:S223)</f>
        <v>226402.43375000008</v>
      </c>
      <c r="T224" s="638"/>
      <c r="U224" s="675"/>
      <c r="V224" s="713"/>
      <c r="W224" s="713"/>
      <c r="X224" s="736"/>
      <c r="Y224" s="713"/>
      <c r="Z224" s="713"/>
      <c r="AA224" s="675"/>
      <c r="AB224" s="713"/>
      <c r="AC224" s="676"/>
      <c r="AD224" s="676"/>
      <c r="AE224" s="676"/>
      <c r="AF224" s="711">
        <f t="shared" si="39"/>
        <v>0</v>
      </c>
    </row>
    <row r="225" spans="1:32">
      <c r="A225" s="638">
        <v>211</v>
      </c>
      <c r="B225" s="638"/>
      <c r="C225" s="638"/>
      <c r="D225" s="638"/>
      <c r="E225" s="634"/>
      <c r="F225" s="637"/>
      <c r="G225" s="340"/>
      <c r="H225" s="331"/>
      <c r="I225" s="331"/>
      <c r="J225" s="332"/>
      <c r="K225" s="333"/>
      <c r="L225" s="334"/>
      <c r="M225" s="335"/>
      <c r="N225" s="336"/>
      <c r="O225" s="624"/>
      <c r="P225" s="337"/>
      <c r="Q225" s="341"/>
      <c r="R225" s="637"/>
      <c r="S225" s="320"/>
      <c r="T225" s="638"/>
      <c r="U225" s="675"/>
      <c r="V225" s="713"/>
      <c r="W225" s="713"/>
      <c r="X225" s="736"/>
      <c r="Y225" s="713"/>
      <c r="Z225" s="713"/>
      <c r="AA225" s="675"/>
      <c r="AB225" s="713"/>
      <c r="AC225" s="676"/>
      <c r="AD225" s="676"/>
      <c r="AE225" s="676"/>
      <c r="AF225" s="711">
        <f t="shared" ref="AF225:AF300" si="62">+U225+V225-AD225</f>
        <v>0</v>
      </c>
    </row>
    <row r="226" spans="1:32">
      <c r="A226" s="638">
        <v>212</v>
      </c>
      <c r="B226" s="342" t="s">
        <v>981</v>
      </c>
      <c r="C226" s="342" t="s">
        <v>493</v>
      </c>
      <c r="D226" s="342" t="s">
        <v>495</v>
      </c>
      <c r="E226" s="636" t="s">
        <v>496</v>
      </c>
      <c r="F226" s="637">
        <v>744300.47</v>
      </c>
      <c r="G226" s="637">
        <v>740886.25</v>
      </c>
      <c r="H226" s="637">
        <v>737472.03</v>
      </c>
      <c r="I226" s="637">
        <v>734057.81</v>
      </c>
      <c r="J226" s="637">
        <v>730643.59</v>
      </c>
      <c r="K226" s="637">
        <v>727229.37</v>
      </c>
      <c r="L226" s="637">
        <v>723815.15</v>
      </c>
      <c r="M226" s="637">
        <v>720400.93</v>
      </c>
      <c r="N226" s="637">
        <v>716986.71</v>
      </c>
      <c r="O226" s="637">
        <v>713572.49</v>
      </c>
      <c r="P226" s="637">
        <v>710158.27</v>
      </c>
      <c r="Q226" s="637">
        <v>706744.05</v>
      </c>
      <c r="R226" s="637">
        <v>703329.83</v>
      </c>
      <c r="S226" s="514">
        <f>((F226+R226)+((G226+H226+I226+J226+K226+L226+M226+N226+O226+P226+Q226)*2))/24</f>
        <v>723815.14999999991</v>
      </c>
      <c r="T226" s="638"/>
      <c r="U226" s="675"/>
      <c r="V226" s="713"/>
      <c r="W226" s="713">
        <f t="shared" ref="W226" si="63">+S226</f>
        <v>723815.14999999991</v>
      </c>
      <c r="X226" s="736"/>
      <c r="Y226" s="713"/>
      <c r="Z226" s="713"/>
      <c r="AA226" s="675"/>
      <c r="AB226" s="713"/>
      <c r="AC226" s="677">
        <f>+S226</f>
        <v>723815.14999999991</v>
      </c>
      <c r="AD226" s="676"/>
      <c r="AE226" s="676"/>
      <c r="AF226" s="711">
        <f t="shared" si="62"/>
        <v>0</v>
      </c>
    </row>
    <row r="227" spans="1:32">
      <c r="A227" s="638">
        <v>213</v>
      </c>
      <c r="B227" s="638"/>
      <c r="C227" s="638"/>
      <c r="D227" s="638"/>
      <c r="E227" s="636" t="s">
        <v>492</v>
      </c>
      <c r="F227" s="321">
        <f t="shared" ref="F227:S227" si="64">SUM(F226:F226)</f>
        <v>744300.47</v>
      </c>
      <c r="G227" s="321">
        <f t="shared" si="64"/>
        <v>740886.25</v>
      </c>
      <c r="H227" s="321">
        <f t="shared" si="64"/>
        <v>737472.03</v>
      </c>
      <c r="I227" s="321">
        <f t="shared" si="64"/>
        <v>734057.81</v>
      </c>
      <c r="J227" s="321">
        <f t="shared" si="64"/>
        <v>730643.59</v>
      </c>
      <c r="K227" s="321">
        <f t="shared" si="64"/>
        <v>727229.37</v>
      </c>
      <c r="L227" s="321">
        <f t="shared" si="64"/>
        <v>723815.15</v>
      </c>
      <c r="M227" s="321">
        <f t="shared" si="64"/>
        <v>720400.93</v>
      </c>
      <c r="N227" s="321">
        <f t="shared" si="64"/>
        <v>716986.71</v>
      </c>
      <c r="O227" s="321">
        <f t="shared" si="64"/>
        <v>713572.49</v>
      </c>
      <c r="P227" s="321">
        <f t="shared" si="64"/>
        <v>710158.27</v>
      </c>
      <c r="Q227" s="321">
        <f t="shared" si="64"/>
        <v>706744.05</v>
      </c>
      <c r="R227" s="321">
        <f t="shared" si="64"/>
        <v>703329.83</v>
      </c>
      <c r="S227" s="516">
        <f t="shared" si="64"/>
        <v>723815.14999999991</v>
      </c>
      <c r="T227" s="638"/>
      <c r="U227" s="675"/>
      <c r="V227" s="713"/>
      <c r="W227" s="713"/>
      <c r="X227" s="736"/>
      <c r="Y227" s="713"/>
      <c r="Z227" s="713"/>
      <c r="AA227" s="675"/>
      <c r="AB227" s="713"/>
      <c r="AC227" s="676"/>
      <c r="AD227" s="676"/>
      <c r="AE227" s="676"/>
      <c r="AF227" s="711">
        <f t="shared" si="62"/>
        <v>0</v>
      </c>
    </row>
    <row r="228" spans="1:32">
      <c r="A228" s="638">
        <v>214</v>
      </c>
      <c r="B228" s="638"/>
      <c r="C228" s="638"/>
      <c r="D228" s="638"/>
      <c r="E228" s="623"/>
      <c r="F228" s="637"/>
      <c r="G228" s="340"/>
      <c r="H228" s="331"/>
      <c r="I228" s="331"/>
      <c r="J228" s="332"/>
      <c r="K228" s="333"/>
      <c r="L228" s="334"/>
      <c r="M228" s="335"/>
      <c r="N228" s="336"/>
      <c r="O228" s="624"/>
      <c r="P228" s="337"/>
      <c r="Q228" s="341"/>
      <c r="R228" s="637"/>
      <c r="S228" s="320"/>
      <c r="T228" s="638"/>
      <c r="U228" s="675"/>
      <c r="V228" s="713"/>
      <c r="W228" s="713"/>
      <c r="X228" s="736"/>
      <c r="Y228" s="713"/>
      <c r="Z228" s="713"/>
      <c r="AA228" s="675"/>
      <c r="AB228" s="713"/>
      <c r="AC228" s="676"/>
      <c r="AD228" s="676"/>
      <c r="AE228" s="676"/>
      <c r="AF228" s="711">
        <f t="shared" si="62"/>
        <v>0</v>
      </c>
    </row>
    <row r="229" spans="1:32">
      <c r="A229" s="638">
        <v>215</v>
      </c>
      <c r="B229" s="342" t="s">
        <v>981</v>
      </c>
      <c r="C229" s="342" t="s">
        <v>462</v>
      </c>
      <c r="D229" s="342" t="s">
        <v>450</v>
      </c>
      <c r="E229" s="636" t="s">
        <v>497</v>
      </c>
      <c r="F229" s="637">
        <v>0</v>
      </c>
      <c r="G229" s="637">
        <v>0</v>
      </c>
      <c r="H229" s="637">
        <v>0</v>
      </c>
      <c r="I229" s="637">
        <v>0</v>
      </c>
      <c r="J229" s="637">
        <v>0</v>
      </c>
      <c r="K229" s="637">
        <v>0</v>
      </c>
      <c r="L229" s="637">
        <v>0</v>
      </c>
      <c r="M229" s="637">
        <v>0</v>
      </c>
      <c r="N229" s="637">
        <v>0</v>
      </c>
      <c r="O229" s="637">
        <v>0</v>
      </c>
      <c r="P229" s="637">
        <v>11897</v>
      </c>
      <c r="Q229" s="637">
        <v>0</v>
      </c>
      <c r="R229" s="637">
        <v>0</v>
      </c>
      <c r="S229" s="514">
        <f t="shared" ref="S229:S292" si="65">((F229+R229)+((G229+H229+I229+J229+K229+L229+M229+N229+O229+P229+Q229)*2))/24</f>
        <v>991.41666666666663</v>
      </c>
      <c r="T229" s="638"/>
      <c r="U229" s="675">
        <f t="shared" ref="U229:U266" si="66">+S229</f>
        <v>991.41666666666663</v>
      </c>
      <c r="V229" s="713"/>
      <c r="W229" s="713"/>
      <c r="X229" s="736"/>
      <c r="Y229" s="713"/>
      <c r="Z229" s="713"/>
      <c r="AA229" s="675"/>
      <c r="AB229" s="713"/>
      <c r="AC229" s="676"/>
      <c r="AD229" s="677">
        <f t="shared" ref="AD229:AD263" si="67">+U229</f>
        <v>991.41666666666663</v>
      </c>
      <c r="AE229" s="676"/>
      <c r="AF229" s="711">
        <f t="shared" si="62"/>
        <v>0</v>
      </c>
    </row>
    <row r="230" spans="1:32">
      <c r="A230" s="638">
        <v>216</v>
      </c>
      <c r="B230" s="342" t="s">
        <v>981</v>
      </c>
      <c r="C230" s="342" t="s">
        <v>1424</v>
      </c>
      <c r="D230" s="342" t="s">
        <v>382</v>
      </c>
      <c r="E230" s="636" t="s">
        <v>1429</v>
      </c>
      <c r="F230" s="637">
        <v>0</v>
      </c>
      <c r="G230" s="637">
        <v>0</v>
      </c>
      <c r="H230" s="637">
        <v>0</v>
      </c>
      <c r="I230" s="637">
        <v>0</v>
      </c>
      <c r="J230" s="637">
        <v>0</v>
      </c>
      <c r="K230" s="637">
        <v>0</v>
      </c>
      <c r="L230" s="637">
        <v>0</v>
      </c>
      <c r="M230" s="637">
        <v>0</v>
      </c>
      <c r="N230" s="637">
        <v>268.73</v>
      </c>
      <c r="O230" s="637">
        <v>161.13999999999999</v>
      </c>
      <c r="P230" s="637">
        <v>489.97</v>
      </c>
      <c r="Q230" s="637">
        <v>36026.769999999997</v>
      </c>
      <c r="R230" s="637">
        <v>108101.06</v>
      </c>
      <c r="S230" s="514">
        <f t="shared" si="65"/>
        <v>7583.0949999999984</v>
      </c>
      <c r="T230" s="638"/>
      <c r="U230" s="675">
        <f>+S230</f>
        <v>7583.0949999999984</v>
      </c>
      <c r="V230" s="713"/>
      <c r="W230" s="713"/>
      <c r="X230" s="736"/>
      <c r="Y230" s="713"/>
      <c r="Z230" s="713"/>
      <c r="AA230" s="675"/>
      <c r="AB230" s="713"/>
      <c r="AC230" s="676"/>
      <c r="AD230" s="677">
        <f>+S230</f>
        <v>7583.0949999999984</v>
      </c>
      <c r="AE230" s="676"/>
      <c r="AF230" s="711"/>
    </row>
    <row r="231" spans="1:32">
      <c r="A231" s="638">
        <v>217</v>
      </c>
      <c r="B231" s="342" t="s">
        <v>1883</v>
      </c>
      <c r="C231" s="342" t="s">
        <v>498</v>
      </c>
      <c r="D231" s="342" t="s">
        <v>382</v>
      </c>
      <c r="E231" s="636" t="s">
        <v>1904</v>
      </c>
      <c r="F231" s="637">
        <v>0</v>
      </c>
      <c r="G231" s="637">
        <v>-6471445.4199999999</v>
      </c>
      <c r="H231" s="637">
        <v>-5663151</v>
      </c>
      <c r="I231" s="637">
        <v>-5418595.4500000002</v>
      </c>
      <c r="J231" s="637">
        <v>-5607880.4199999999</v>
      </c>
      <c r="K231" s="637">
        <v>-5846699.3799999999</v>
      </c>
      <c r="L231" s="637">
        <v>-6398845.7599999998</v>
      </c>
      <c r="M231" s="637">
        <v>-6874331.6200000001</v>
      </c>
      <c r="N231" s="637">
        <v>-7305346.4400000004</v>
      </c>
      <c r="O231" s="637">
        <v>-7626647.4199999999</v>
      </c>
      <c r="P231" s="637">
        <v>-7628693.4400000004</v>
      </c>
      <c r="Q231" s="637">
        <v>-7119703.0800000001</v>
      </c>
      <c r="R231" s="637">
        <v>-6805449.96</v>
      </c>
      <c r="S231" s="514">
        <f t="shared" si="65"/>
        <v>-6280338.7008333327</v>
      </c>
      <c r="T231" s="638"/>
      <c r="U231" s="675">
        <f>+S231</f>
        <v>-6280338.7008333327</v>
      </c>
      <c r="V231" s="713"/>
      <c r="W231" s="713"/>
      <c r="X231" s="736"/>
      <c r="Y231" s="713"/>
      <c r="Z231" s="713"/>
      <c r="AA231" s="675"/>
      <c r="AB231" s="713"/>
      <c r="AC231" s="676"/>
      <c r="AD231" s="677">
        <f>+S231</f>
        <v>-6280338.7008333327</v>
      </c>
      <c r="AE231" s="676"/>
      <c r="AF231" s="711"/>
    </row>
    <row r="232" spans="1:32">
      <c r="A232" s="638">
        <v>218</v>
      </c>
      <c r="B232" s="342" t="s">
        <v>1009</v>
      </c>
      <c r="C232" s="342" t="s">
        <v>498</v>
      </c>
      <c r="D232" s="342" t="s">
        <v>1166</v>
      </c>
      <c r="E232" s="636" t="s">
        <v>1579</v>
      </c>
      <c r="F232" s="637">
        <v>0</v>
      </c>
      <c r="G232" s="637">
        <v>0</v>
      </c>
      <c r="H232" s="637">
        <v>0</v>
      </c>
      <c r="I232" s="637">
        <v>0</v>
      </c>
      <c r="J232" s="637">
        <v>0</v>
      </c>
      <c r="K232" s="637">
        <v>0</v>
      </c>
      <c r="L232" s="637">
        <v>0</v>
      </c>
      <c r="M232" s="637">
        <v>0</v>
      </c>
      <c r="N232" s="637">
        <v>0</v>
      </c>
      <c r="O232" s="637">
        <v>0</v>
      </c>
      <c r="P232" s="637">
        <v>0</v>
      </c>
      <c r="Q232" s="637">
        <v>0</v>
      </c>
      <c r="R232" s="637">
        <v>0</v>
      </c>
      <c r="S232" s="514">
        <f t="shared" si="65"/>
        <v>0</v>
      </c>
      <c r="T232" s="638"/>
      <c r="U232" s="675">
        <f t="shared" si="66"/>
        <v>0</v>
      </c>
      <c r="V232" s="713"/>
      <c r="W232" s="713"/>
      <c r="X232" s="736"/>
      <c r="Y232" s="713"/>
      <c r="Z232" s="713"/>
      <c r="AA232" s="675"/>
      <c r="AB232" s="713"/>
      <c r="AC232" s="676"/>
      <c r="AD232" s="677">
        <f t="shared" si="67"/>
        <v>0</v>
      </c>
      <c r="AE232" s="676"/>
      <c r="AF232" s="711">
        <f t="shared" si="62"/>
        <v>0</v>
      </c>
    </row>
    <row r="233" spans="1:32">
      <c r="A233" s="638">
        <v>219</v>
      </c>
      <c r="B233" s="342" t="s">
        <v>984</v>
      </c>
      <c r="C233" s="342" t="s">
        <v>498</v>
      </c>
      <c r="D233" s="342" t="s">
        <v>1167</v>
      </c>
      <c r="E233" s="636" t="s">
        <v>1168</v>
      </c>
      <c r="F233" s="637">
        <v>47614629.100000001</v>
      </c>
      <c r="G233" s="637">
        <v>47614629.100000001</v>
      </c>
      <c r="H233" s="637">
        <v>47614629.100000001</v>
      </c>
      <c r="I233" s="637">
        <v>47614629.100000001</v>
      </c>
      <c r="J233" s="637">
        <v>47614629.100000001</v>
      </c>
      <c r="K233" s="637">
        <v>41832342</v>
      </c>
      <c r="L233" s="637">
        <v>41832342</v>
      </c>
      <c r="M233" s="637">
        <v>41832342</v>
      </c>
      <c r="N233" s="637">
        <v>41832342</v>
      </c>
      <c r="O233" s="637">
        <v>41832342</v>
      </c>
      <c r="P233" s="637">
        <v>41832342</v>
      </c>
      <c r="Q233" s="637">
        <v>41832342</v>
      </c>
      <c r="R233" s="637">
        <v>38966901</v>
      </c>
      <c r="S233" s="514">
        <f t="shared" si="65"/>
        <v>43881306.287500001</v>
      </c>
      <c r="T233" s="638"/>
      <c r="U233" s="675">
        <f t="shared" si="66"/>
        <v>43881306.287500001</v>
      </c>
      <c r="V233" s="713"/>
      <c r="W233" s="713"/>
      <c r="X233" s="736"/>
      <c r="Y233" s="713"/>
      <c r="Z233" s="713"/>
      <c r="AA233" s="675"/>
      <c r="AB233" s="713"/>
      <c r="AC233" s="676"/>
      <c r="AD233" s="677">
        <f t="shared" si="67"/>
        <v>43881306.287500001</v>
      </c>
      <c r="AE233" s="676"/>
      <c r="AF233" s="711">
        <f t="shared" si="62"/>
        <v>0</v>
      </c>
    </row>
    <row r="234" spans="1:32">
      <c r="A234" s="638">
        <v>220</v>
      </c>
      <c r="B234" s="342" t="s">
        <v>984</v>
      </c>
      <c r="C234" s="342" t="s">
        <v>498</v>
      </c>
      <c r="D234" s="342" t="s">
        <v>1169</v>
      </c>
      <c r="E234" s="636" t="s">
        <v>1428</v>
      </c>
      <c r="F234" s="637">
        <v>974030</v>
      </c>
      <c r="G234" s="637">
        <v>974030</v>
      </c>
      <c r="H234" s="637">
        <v>974030</v>
      </c>
      <c r="I234" s="637">
        <v>974030</v>
      </c>
      <c r="J234" s="637">
        <v>974030</v>
      </c>
      <c r="K234" s="637">
        <v>1088889</v>
      </c>
      <c r="L234" s="637">
        <v>1088889</v>
      </c>
      <c r="M234" s="637">
        <v>1088889</v>
      </c>
      <c r="N234" s="637">
        <v>1088889</v>
      </c>
      <c r="O234" s="637">
        <v>1088889</v>
      </c>
      <c r="P234" s="637">
        <v>1088889</v>
      </c>
      <c r="Q234" s="637">
        <v>1088889</v>
      </c>
      <c r="R234" s="637">
        <v>1045610</v>
      </c>
      <c r="S234" s="514">
        <f t="shared" si="65"/>
        <v>1044013.5833333334</v>
      </c>
      <c r="T234" s="638"/>
      <c r="U234" s="675">
        <f t="shared" si="66"/>
        <v>1044013.5833333334</v>
      </c>
      <c r="V234" s="713"/>
      <c r="W234" s="713"/>
      <c r="X234" s="736"/>
      <c r="Y234" s="713"/>
      <c r="Z234" s="713"/>
      <c r="AA234" s="675"/>
      <c r="AB234" s="713"/>
      <c r="AC234" s="676"/>
      <c r="AD234" s="677">
        <f t="shared" si="67"/>
        <v>1044013.5833333334</v>
      </c>
      <c r="AE234" s="676"/>
      <c r="AF234" s="711">
        <f t="shared" si="62"/>
        <v>0</v>
      </c>
    </row>
    <row r="235" spans="1:32">
      <c r="A235" s="638">
        <v>221</v>
      </c>
      <c r="B235" s="342" t="s">
        <v>1009</v>
      </c>
      <c r="C235" s="342" t="s">
        <v>498</v>
      </c>
      <c r="D235" s="342" t="s">
        <v>1418</v>
      </c>
      <c r="E235" s="636" t="s">
        <v>1580</v>
      </c>
      <c r="F235" s="637">
        <v>572922.88</v>
      </c>
      <c r="G235" s="637">
        <v>576467.22</v>
      </c>
      <c r="H235" s="637">
        <v>579688.36</v>
      </c>
      <c r="I235" s="637">
        <v>583274.55000000005</v>
      </c>
      <c r="J235" s="637">
        <v>-1.16415321826935E-10</v>
      </c>
      <c r="K235" s="637">
        <v>-1.16415321826935E-10</v>
      </c>
      <c r="L235" s="637">
        <v>-1.16415321826935E-10</v>
      </c>
      <c r="M235" s="637">
        <v>-1.16415321826935E-10</v>
      </c>
      <c r="N235" s="637">
        <v>-1.16415321826935E-10</v>
      </c>
      <c r="O235" s="637">
        <v>-1.16415321826935E-10</v>
      </c>
      <c r="P235" s="637">
        <v>-1.16415321826935E-10</v>
      </c>
      <c r="Q235" s="637">
        <v>-1.16415321826935E-10</v>
      </c>
      <c r="R235" s="637">
        <v>-1.16415321826935E-10</v>
      </c>
      <c r="S235" s="514">
        <f t="shared" si="65"/>
        <v>168824.29749999999</v>
      </c>
      <c r="T235" s="638"/>
      <c r="U235" s="675">
        <f t="shared" si="66"/>
        <v>168824.29749999999</v>
      </c>
      <c r="V235" s="713"/>
      <c r="W235" s="713"/>
      <c r="X235" s="736"/>
      <c r="Y235" s="713"/>
      <c r="Z235" s="713"/>
      <c r="AA235" s="675"/>
      <c r="AB235" s="713"/>
      <c r="AC235" s="676"/>
      <c r="AD235" s="677">
        <f t="shared" si="67"/>
        <v>168824.29749999999</v>
      </c>
      <c r="AE235" s="676"/>
      <c r="AF235" s="711">
        <f t="shared" si="62"/>
        <v>0</v>
      </c>
    </row>
    <row r="236" spans="1:32">
      <c r="A236" s="638">
        <v>222</v>
      </c>
      <c r="B236" s="342" t="s">
        <v>984</v>
      </c>
      <c r="C236" s="342" t="s">
        <v>498</v>
      </c>
      <c r="D236" s="552" t="s">
        <v>1419</v>
      </c>
      <c r="E236" s="636" t="s">
        <v>1581</v>
      </c>
      <c r="F236" s="637">
        <v>384645.37</v>
      </c>
      <c r="G236" s="637">
        <v>398905.59999999998</v>
      </c>
      <c r="H236" s="637">
        <v>463777.73</v>
      </c>
      <c r="I236" s="637">
        <v>482988.6</v>
      </c>
      <c r="J236" s="637">
        <v>634060.62</v>
      </c>
      <c r="K236" s="637">
        <v>663797.04</v>
      </c>
      <c r="L236" s="637">
        <v>811772.32</v>
      </c>
      <c r="M236" s="637">
        <v>1016915.43</v>
      </c>
      <c r="N236" s="637">
        <v>1039975.18</v>
      </c>
      <c r="O236" s="637">
        <v>1158662.44</v>
      </c>
      <c r="P236" s="637">
        <v>1330946.1000000001</v>
      </c>
      <c r="Q236" s="637">
        <v>308493.81</v>
      </c>
      <c r="R236" s="637">
        <v>373342.4</v>
      </c>
      <c r="S236" s="514">
        <f t="shared" si="65"/>
        <v>724107.39624999987</v>
      </c>
      <c r="T236" s="638"/>
      <c r="U236" s="675"/>
      <c r="V236" s="713"/>
      <c r="W236" s="713"/>
      <c r="X236" s="736">
        <f>+S236</f>
        <v>724107.39624999987</v>
      </c>
      <c r="Y236" s="713"/>
      <c r="Z236" s="713"/>
      <c r="AA236" s="675"/>
      <c r="AB236" s="713">
        <f>+X236</f>
        <v>724107.39624999987</v>
      </c>
      <c r="AC236" s="676"/>
      <c r="AD236" s="677">
        <f t="shared" si="67"/>
        <v>0</v>
      </c>
      <c r="AE236" s="676"/>
      <c r="AF236" s="711">
        <f t="shared" si="62"/>
        <v>0</v>
      </c>
    </row>
    <row r="237" spans="1:32">
      <c r="A237" s="638">
        <v>223</v>
      </c>
      <c r="B237" s="342" t="s">
        <v>984</v>
      </c>
      <c r="C237" s="342" t="s">
        <v>498</v>
      </c>
      <c r="D237" s="342" t="s">
        <v>1420</v>
      </c>
      <c r="E237" s="636" t="s">
        <v>1582</v>
      </c>
      <c r="F237" s="637">
        <v>99041.79</v>
      </c>
      <c r="G237" s="637">
        <v>112300.24</v>
      </c>
      <c r="H237" s="637">
        <v>134456.17000000001</v>
      </c>
      <c r="I237" s="637">
        <v>210911.94</v>
      </c>
      <c r="J237" s="637">
        <v>221856.71</v>
      </c>
      <c r="K237" s="637">
        <v>329775.45</v>
      </c>
      <c r="L237" s="637">
        <v>459112.21</v>
      </c>
      <c r="M237" s="637">
        <v>508145.7</v>
      </c>
      <c r="N237" s="637">
        <v>642776.54</v>
      </c>
      <c r="O237" s="637">
        <v>693067.49</v>
      </c>
      <c r="P237" s="637">
        <v>696257.88</v>
      </c>
      <c r="Q237" s="637">
        <v>181876.62</v>
      </c>
      <c r="R237" s="637">
        <v>466661.34</v>
      </c>
      <c r="S237" s="514">
        <f t="shared" si="65"/>
        <v>372782.37625000003</v>
      </c>
      <c r="T237" s="638"/>
      <c r="U237" s="675"/>
      <c r="V237" s="713"/>
      <c r="W237" s="713"/>
      <c r="X237" s="736">
        <f t="shared" ref="X237:X240" si="68">+S237</f>
        <v>372782.37625000003</v>
      </c>
      <c r="Y237" s="713"/>
      <c r="Z237" s="713"/>
      <c r="AA237" s="675"/>
      <c r="AB237" s="713">
        <f t="shared" ref="AB237:AB240" si="69">+X237</f>
        <v>372782.37625000003</v>
      </c>
      <c r="AC237" s="676"/>
      <c r="AD237" s="677">
        <f t="shared" si="67"/>
        <v>0</v>
      </c>
      <c r="AE237" s="676"/>
      <c r="AF237" s="711">
        <f t="shared" si="62"/>
        <v>0</v>
      </c>
    </row>
    <row r="238" spans="1:32">
      <c r="A238" s="638">
        <v>224</v>
      </c>
      <c r="B238" s="342" t="s">
        <v>984</v>
      </c>
      <c r="C238" s="342" t="s">
        <v>498</v>
      </c>
      <c r="D238" s="342" t="s">
        <v>1421</v>
      </c>
      <c r="E238" s="636" t="s">
        <v>1583</v>
      </c>
      <c r="F238" s="637">
        <v>951817.28999999899</v>
      </c>
      <c r="G238" s="637">
        <v>1077157.79</v>
      </c>
      <c r="H238" s="637">
        <v>1145627.6499999999</v>
      </c>
      <c r="I238" s="637">
        <v>1494681.19</v>
      </c>
      <c r="J238" s="637">
        <v>1643073.24</v>
      </c>
      <c r="K238" s="637">
        <v>1814291.2</v>
      </c>
      <c r="L238" s="637">
        <v>2092603.55</v>
      </c>
      <c r="M238" s="637">
        <v>2322449.9300000002</v>
      </c>
      <c r="N238" s="637">
        <v>2565013.1800000002</v>
      </c>
      <c r="O238" s="637">
        <v>2777890.12</v>
      </c>
      <c r="P238" s="637">
        <v>3022671.22</v>
      </c>
      <c r="Q238" s="637">
        <v>771831.92</v>
      </c>
      <c r="R238" s="637">
        <v>845715.52</v>
      </c>
      <c r="S238" s="514">
        <f t="shared" si="65"/>
        <v>1802171.4495833337</v>
      </c>
      <c r="T238" s="638"/>
      <c r="U238" s="675"/>
      <c r="V238" s="713"/>
      <c r="W238" s="713"/>
      <c r="X238" s="736">
        <f t="shared" si="68"/>
        <v>1802171.4495833337</v>
      </c>
      <c r="Y238" s="713"/>
      <c r="Z238" s="713"/>
      <c r="AA238" s="675"/>
      <c r="AB238" s="713">
        <f t="shared" si="69"/>
        <v>1802171.4495833337</v>
      </c>
      <c r="AC238" s="676"/>
      <c r="AD238" s="677">
        <f t="shared" si="67"/>
        <v>0</v>
      </c>
      <c r="AE238" s="676"/>
      <c r="AF238" s="711">
        <f t="shared" si="62"/>
        <v>0</v>
      </c>
    </row>
    <row r="239" spans="1:32">
      <c r="A239" s="638">
        <v>225</v>
      </c>
      <c r="B239" s="342" t="s">
        <v>984</v>
      </c>
      <c r="C239" s="342" t="s">
        <v>498</v>
      </c>
      <c r="D239" s="342" t="s">
        <v>1422</v>
      </c>
      <c r="E239" s="636" t="s">
        <v>1584</v>
      </c>
      <c r="F239" s="637">
        <v>1070638.9099999999</v>
      </c>
      <c r="G239" s="637">
        <v>1310660.6299999999</v>
      </c>
      <c r="H239" s="637">
        <v>1504518.3</v>
      </c>
      <c r="I239" s="637">
        <v>1654035.36</v>
      </c>
      <c r="J239" s="637">
        <v>1921879.42</v>
      </c>
      <c r="K239" s="637">
        <v>2116697.35</v>
      </c>
      <c r="L239" s="637">
        <v>2299189.14</v>
      </c>
      <c r="M239" s="637">
        <v>2487571.69</v>
      </c>
      <c r="N239" s="637">
        <v>2649592.5699999998</v>
      </c>
      <c r="O239" s="637">
        <v>2853663.91</v>
      </c>
      <c r="P239" s="637">
        <v>3048675.85</v>
      </c>
      <c r="Q239" s="637">
        <v>688050.37999999896</v>
      </c>
      <c r="R239" s="637">
        <v>881590.07999999903</v>
      </c>
      <c r="S239" s="514">
        <f t="shared" si="65"/>
        <v>1959220.7579166668</v>
      </c>
      <c r="T239" s="638"/>
      <c r="U239" s="675"/>
      <c r="V239" s="713"/>
      <c r="W239" s="713"/>
      <c r="X239" s="736">
        <f t="shared" si="68"/>
        <v>1959220.7579166668</v>
      </c>
      <c r="Y239" s="713"/>
      <c r="Z239" s="713"/>
      <c r="AA239" s="675"/>
      <c r="AB239" s="713">
        <f t="shared" si="69"/>
        <v>1959220.7579166668</v>
      </c>
      <c r="AC239" s="676"/>
      <c r="AD239" s="677">
        <f t="shared" si="67"/>
        <v>0</v>
      </c>
      <c r="AE239" s="676"/>
      <c r="AF239" s="711">
        <f t="shared" si="62"/>
        <v>0</v>
      </c>
    </row>
    <row r="240" spans="1:32">
      <c r="A240" s="638">
        <v>226</v>
      </c>
      <c r="B240" s="342" t="s">
        <v>984</v>
      </c>
      <c r="C240" s="342" t="s">
        <v>498</v>
      </c>
      <c r="D240" s="342" t="s">
        <v>1423</v>
      </c>
      <c r="E240" s="636" t="s">
        <v>1585</v>
      </c>
      <c r="F240" s="637">
        <v>4501119.47</v>
      </c>
      <c r="G240" s="637">
        <v>3572421.16</v>
      </c>
      <c r="H240" s="637">
        <v>2414771.15</v>
      </c>
      <c r="I240" s="637">
        <v>1575978.36</v>
      </c>
      <c r="J240" s="637">
        <v>1187010.43</v>
      </c>
      <c r="K240" s="637">
        <v>922138.33999999904</v>
      </c>
      <c r="L240" s="637">
        <v>736168.53999999899</v>
      </c>
      <c r="M240" s="637">
        <v>539248.86999999895</v>
      </c>
      <c r="N240" s="637">
        <v>407988.96999999898</v>
      </c>
      <c r="O240" s="637">
        <v>143363.459999999</v>
      </c>
      <c r="P240" s="637">
        <v>-469857.61000000098</v>
      </c>
      <c r="Q240" s="637">
        <v>5169450.3499999996</v>
      </c>
      <c r="R240" s="637">
        <v>4238140.62</v>
      </c>
      <c r="S240" s="514">
        <f t="shared" si="65"/>
        <v>1714026.0054166664</v>
      </c>
      <c r="T240" s="638"/>
      <c r="U240" s="675"/>
      <c r="V240" s="713"/>
      <c r="W240" s="713"/>
      <c r="X240" s="736">
        <f t="shared" si="68"/>
        <v>1714026.0054166664</v>
      </c>
      <c r="Y240" s="713"/>
      <c r="Z240" s="713"/>
      <c r="AA240" s="675"/>
      <c r="AB240" s="713">
        <f t="shared" si="69"/>
        <v>1714026.0054166664</v>
      </c>
      <c r="AC240" s="676"/>
      <c r="AD240" s="677">
        <f t="shared" si="67"/>
        <v>0</v>
      </c>
      <c r="AE240" s="676"/>
      <c r="AF240" s="711">
        <f t="shared" si="62"/>
        <v>0</v>
      </c>
    </row>
    <row r="241" spans="1:32">
      <c r="A241" s="638">
        <v>227</v>
      </c>
      <c r="B241" s="342" t="s">
        <v>984</v>
      </c>
      <c r="C241" s="342" t="s">
        <v>498</v>
      </c>
      <c r="D241" s="342" t="s">
        <v>1905</v>
      </c>
      <c r="E241" s="636" t="s">
        <v>1906</v>
      </c>
      <c r="F241" s="637">
        <v>0</v>
      </c>
      <c r="G241" s="637">
        <v>0</v>
      </c>
      <c r="H241" s="637">
        <v>0</v>
      </c>
      <c r="I241" s="637">
        <v>0</v>
      </c>
      <c r="J241" s="637">
        <v>0</v>
      </c>
      <c r="K241" s="637">
        <v>-114859</v>
      </c>
      <c r="L241" s="637">
        <v>-114859</v>
      </c>
      <c r="M241" s="637">
        <v>-114859</v>
      </c>
      <c r="N241" s="637">
        <v>-114859</v>
      </c>
      <c r="O241" s="637">
        <v>-114859</v>
      </c>
      <c r="P241" s="637">
        <v>-114859</v>
      </c>
      <c r="Q241" s="637">
        <v>-114859</v>
      </c>
      <c r="R241" s="637">
        <v>-197919</v>
      </c>
      <c r="S241" s="514">
        <f t="shared" si="65"/>
        <v>-75247.708333333328</v>
      </c>
      <c r="T241" s="638"/>
      <c r="U241" s="675">
        <f>+S241</f>
        <v>-75247.708333333328</v>
      </c>
      <c r="V241" s="713"/>
      <c r="W241" s="713"/>
      <c r="X241" s="736"/>
      <c r="Y241" s="713"/>
      <c r="Z241" s="713"/>
      <c r="AA241" s="675"/>
      <c r="AB241" s="713"/>
      <c r="AC241" s="676"/>
      <c r="AD241" s="677">
        <f>+S241</f>
        <v>-75247.708333333328</v>
      </c>
      <c r="AE241" s="676"/>
      <c r="AF241" s="711"/>
    </row>
    <row r="242" spans="1:32">
      <c r="A242" s="638">
        <v>228</v>
      </c>
      <c r="B242" s="342" t="s">
        <v>984</v>
      </c>
      <c r="C242" s="342" t="s">
        <v>498</v>
      </c>
      <c r="D242" s="342" t="s">
        <v>1907</v>
      </c>
      <c r="E242" s="636" t="s">
        <v>1908</v>
      </c>
      <c r="F242" s="637">
        <v>0</v>
      </c>
      <c r="G242" s="637">
        <v>0</v>
      </c>
      <c r="H242" s="637">
        <v>0</v>
      </c>
      <c r="I242" s="637">
        <v>0</v>
      </c>
      <c r="J242" s="637">
        <v>0</v>
      </c>
      <c r="K242" s="637">
        <v>5782287.0999999996</v>
      </c>
      <c r="L242" s="637">
        <v>5782287.0999999996</v>
      </c>
      <c r="M242" s="637">
        <v>5782287.0999999996</v>
      </c>
      <c r="N242" s="637">
        <v>5782287.0999999996</v>
      </c>
      <c r="O242" s="637">
        <v>5782287.0999999996</v>
      </c>
      <c r="P242" s="637">
        <v>5782287.0999999996</v>
      </c>
      <c r="Q242" s="637">
        <v>3075307.1</v>
      </c>
      <c r="R242" s="637">
        <v>1644093</v>
      </c>
      <c r="S242" s="514">
        <f t="shared" si="65"/>
        <v>3215923.0166666671</v>
      </c>
      <c r="T242" s="638"/>
      <c r="U242" s="675">
        <f>+S242</f>
        <v>3215923.0166666671</v>
      </c>
      <c r="V242" s="713"/>
      <c r="W242" s="713"/>
      <c r="X242" s="736"/>
      <c r="Y242" s="713"/>
      <c r="Z242" s="713"/>
      <c r="AA242" s="675"/>
      <c r="AB242" s="713"/>
      <c r="AC242" s="676"/>
      <c r="AD242" s="677">
        <f>+S242</f>
        <v>3215923.0166666671</v>
      </c>
      <c r="AE242" s="676"/>
      <c r="AF242" s="711"/>
    </row>
    <row r="243" spans="1:32">
      <c r="A243" s="638">
        <v>229</v>
      </c>
      <c r="B243" s="342" t="s">
        <v>981</v>
      </c>
      <c r="C243" s="342" t="s">
        <v>499</v>
      </c>
      <c r="D243" s="342" t="s">
        <v>1170</v>
      </c>
      <c r="E243" s="636" t="s">
        <v>1586</v>
      </c>
      <c r="F243" s="637">
        <v>2.91038304567337E-11</v>
      </c>
      <c r="G243" s="637">
        <v>139109.38</v>
      </c>
      <c r="H243" s="637">
        <v>155252.45000000001</v>
      </c>
      <c r="I243" s="637">
        <v>142839.38</v>
      </c>
      <c r="J243" s="637">
        <v>134737.65</v>
      </c>
      <c r="K243" s="637">
        <v>109902.87</v>
      </c>
      <c r="L243" s="637">
        <v>160900</v>
      </c>
      <c r="M243" s="637">
        <v>97344.49</v>
      </c>
      <c r="N243" s="637">
        <v>32966.9</v>
      </c>
      <c r="O243" s="637">
        <v>0</v>
      </c>
      <c r="P243" s="637">
        <v>0</v>
      </c>
      <c r="Q243" s="637">
        <v>0</v>
      </c>
      <c r="R243" s="637">
        <v>0</v>
      </c>
      <c r="S243" s="514">
        <f t="shared" si="65"/>
        <v>81087.759999999995</v>
      </c>
      <c r="T243" s="638"/>
      <c r="U243" s="675">
        <f t="shared" si="66"/>
        <v>81087.759999999995</v>
      </c>
      <c r="V243" s="713"/>
      <c r="W243" s="713"/>
      <c r="X243" s="736"/>
      <c r="Y243" s="713"/>
      <c r="Z243" s="713"/>
      <c r="AA243" s="675"/>
      <c r="AB243" s="713"/>
      <c r="AC243" s="676"/>
      <c r="AD243" s="677">
        <f t="shared" si="67"/>
        <v>81087.759999999995</v>
      </c>
      <c r="AE243" s="676"/>
      <c r="AF243" s="711">
        <f t="shared" si="62"/>
        <v>0</v>
      </c>
    </row>
    <row r="244" spans="1:32">
      <c r="A244" s="638">
        <v>230</v>
      </c>
      <c r="B244" s="342" t="s">
        <v>981</v>
      </c>
      <c r="C244" s="342" t="s">
        <v>499</v>
      </c>
      <c r="D244" s="552" t="s">
        <v>1171</v>
      </c>
      <c r="E244" s="636" t="s">
        <v>1587</v>
      </c>
      <c r="F244" s="637">
        <v>0</v>
      </c>
      <c r="G244" s="637">
        <v>0</v>
      </c>
      <c r="H244" s="637">
        <v>0</v>
      </c>
      <c r="I244" s="637">
        <v>0</v>
      </c>
      <c r="J244" s="637">
        <v>0</v>
      </c>
      <c r="K244" s="637">
        <v>0</v>
      </c>
      <c r="L244" s="637">
        <v>0</v>
      </c>
      <c r="M244" s="637">
        <v>0</v>
      </c>
      <c r="N244" s="637">
        <v>0</v>
      </c>
      <c r="O244" s="637">
        <v>0</v>
      </c>
      <c r="P244" s="637">
        <v>0</v>
      </c>
      <c r="Q244" s="637">
        <v>0</v>
      </c>
      <c r="R244" s="637">
        <v>0</v>
      </c>
      <c r="S244" s="514">
        <f t="shared" si="65"/>
        <v>0</v>
      </c>
      <c r="T244" s="638"/>
      <c r="U244" s="675">
        <f t="shared" si="66"/>
        <v>0</v>
      </c>
      <c r="V244" s="713"/>
      <c r="W244" s="713"/>
      <c r="X244" s="736"/>
      <c r="Y244" s="713"/>
      <c r="Z244" s="713"/>
      <c r="AA244" s="675"/>
      <c r="AB244" s="713"/>
      <c r="AC244" s="676"/>
      <c r="AD244" s="677">
        <f t="shared" si="67"/>
        <v>0</v>
      </c>
      <c r="AE244" s="676"/>
      <c r="AF244" s="711">
        <f t="shared" si="62"/>
        <v>0</v>
      </c>
    </row>
    <row r="245" spans="1:32">
      <c r="A245" s="638">
        <v>231</v>
      </c>
      <c r="B245" s="342" t="s">
        <v>981</v>
      </c>
      <c r="C245" s="342" t="s">
        <v>499</v>
      </c>
      <c r="D245" s="342" t="s">
        <v>1172</v>
      </c>
      <c r="E245" s="636" t="s">
        <v>1588</v>
      </c>
      <c r="F245" s="637">
        <v>0</v>
      </c>
      <c r="G245" s="637">
        <v>0</v>
      </c>
      <c r="H245" s="637">
        <v>0</v>
      </c>
      <c r="I245" s="637">
        <v>0</v>
      </c>
      <c r="J245" s="637">
        <v>0</v>
      </c>
      <c r="K245" s="637">
        <v>0</v>
      </c>
      <c r="L245" s="637">
        <v>0</v>
      </c>
      <c r="M245" s="637">
        <v>0</v>
      </c>
      <c r="N245" s="637">
        <v>0</v>
      </c>
      <c r="O245" s="637">
        <v>0</v>
      </c>
      <c r="P245" s="637">
        <v>0</v>
      </c>
      <c r="Q245" s="637">
        <v>0</v>
      </c>
      <c r="R245" s="637">
        <v>0</v>
      </c>
      <c r="S245" s="514">
        <f t="shared" si="65"/>
        <v>0</v>
      </c>
      <c r="T245" s="638"/>
      <c r="U245" s="675">
        <f t="shared" si="66"/>
        <v>0</v>
      </c>
      <c r="V245" s="713"/>
      <c r="W245" s="713"/>
      <c r="X245" s="736"/>
      <c r="Y245" s="713"/>
      <c r="Z245" s="713"/>
      <c r="AA245" s="675"/>
      <c r="AB245" s="713"/>
      <c r="AC245" s="676"/>
      <c r="AD245" s="677">
        <f t="shared" si="67"/>
        <v>0</v>
      </c>
      <c r="AE245" s="676"/>
      <c r="AF245" s="711">
        <f t="shared" si="62"/>
        <v>0</v>
      </c>
    </row>
    <row r="246" spans="1:32">
      <c r="A246" s="638">
        <v>232</v>
      </c>
      <c r="B246" s="342" t="s">
        <v>981</v>
      </c>
      <c r="C246" s="342" t="s">
        <v>499</v>
      </c>
      <c r="D246" s="342" t="s">
        <v>1173</v>
      </c>
      <c r="E246" s="636" t="s">
        <v>1589</v>
      </c>
      <c r="F246" s="637">
        <v>4.5474735088646402E-13</v>
      </c>
      <c r="G246" s="637">
        <v>-639.22</v>
      </c>
      <c r="H246" s="637">
        <v>854.74</v>
      </c>
      <c r="I246" s="637">
        <v>-2090.0500000000002</v>
      </c>
      <c r="J246" s="637">
        <v>-994.41</v>
      </c>
      <c r="K246" s="637">
        <v>-732.48</v>
      </c>
      <c r="L246" s="637">
        <v>1032.76</v>
      </c>
      <c r="M246" s="637">
        <v>690.6</v>
      </c>
      <c r="N246" s="637">
        <v>-2900.56</v>
      </c>
      <c r="O246" s="637">
        <v>0</v>
      </c>
      <c r="P246" s="637">
        <v>0</v>
      </c>
      <c r="Q246" s="637">
        <v>0</v>
      </c>
      <c r="R246" s="637">
        <v>0</v>
      </c>
      <c r="S246" s="514">
        <f t="shared" si="65"/>
        <v>-398.21833333333331</v>
      </c>
      <c r="T246" s="638"/>
      <c r="U246" s="675">
        <f t="shared" si="66"/>
        <v>-398.21833333333331</v>
      </c>
      <c r="V246" s="713"/>
      <c r="W246" s="713"/>
      <c r="X246" s="736"/>
      <c r="Y246" s="713"/>
      <c r="Z246" s="713"/>
      <c r="AA246" s="675"/>
      <c r="AB246" s="713"/>
      <c r="AC246" s="676"/>
      <c r="AD246" s="677">
        <f t="shared" si="67"/>
        <v>-398.21833333333331</v>
      </c>
      <c r="AE246" s="676"/>
      <c r="AF246" s="711">
        <f t="shared" si="62"/>
        <v>0</v>
      </c>
    </row>
    <row r="247" spans="1:32">
      <c r="A247" s="638">
        <v>233</v>
      </c>
      <c r="B247" s="342" t="s">
        <v>981</v>
      </c>
      <c r="C247" s="342" t="s">
        <v>499</v>
      </c>
      <c r="D247" s="342" t="s">
        <v>1174</v>
      </c>
      <c r="E247" s="636" t="s">
        <v>1590</v>
      </c>
      <c r="F247" s="637">
        <v>0</v>
      </c>
      <c r="G247" s="637">
        <v>0</v>
      </c>
      <c r="H247" s="637">
        <v>0</v>
      </c>
      <c r="I247" s="637">
        <v>0</v>
      </c>
      <c r="J247" s="637">
        <v>0</v>
      </c>
      <c r="K247" s="637">
        <v>0</v>
      </c>
      <c r="L247" s="637">
        <v>0</v>
      </c>
      <c r="M247" s="637">
        <v>0</v>
      </c>
      <c r="N247" s="637">
        <v>0</v>
      </c>
      <c r="O247" s="637">
        <v>0</v>
      </c>
      <c r="P247" s="637">
        <v>0</v>
      </c>
      <c r="Q247" s="637">
        <v>0</v>
      </c>
      <c r="R247" s="637">
        <v>0</v>
      </c>
      <c r="S247" s="514">
        <f t="shared" si="65"/>
        <v>0</v>
      </c>
      <c r="T247" s="638"/>
      <c r="U247" s="675">
        <f t="shared" si="66"/>
        <v>0</v>
      </c>
      <c r="V247" s="713"/>
      <c r="W247" s="713"/>
      <c r="X247" s="736"/>
      <c r="Y247" s="713"/>
      <c r="Z247" s="713"/>
      <c r="AA247" s="675"/>
      <c r="AB247" s="713"/>
      <c r="AC247" s="676"/>
      <c r="AD247" s="677">
        <f t="shared" si="67"/>
        <v>0</v>
      </c>
      <c r="AE247" s="676"/>
      <c r="AF247" s="711">
        <f t="shared" si="62"/>
        <v>0</v>
      </c>
    </row>
    <row r="248" spans="1:32">
      <c r="A248" s="638">
        <v>234</v>
      </c>
      <c r="B248" s="342" t="s">
        <v>981</v>
      </c>
      <c r="C248" s="342" t="s">
        <v>499</v>
      </c>
      <c r="D248" s="342" t="s">
        <v>1175</v>
      </c>
      <c r="E248" s="636" t="s">
        <v>1591</v>
      </c>
      <c r="F248" s="637">
        <v>0</v>
      </c>
      <c r="G248" s="637">
        <v>0</v>
      </c>
      <c r="H248" s="637">
        <v>0</v>
      </c>
      <c r="I248" s="637">
        <v>0</v>
      </c>
      <c r="J248" s="637">
        <v>0</v>
      </c>
      <c r="K248" s="637">
        <v>0</v>
      </c>
      <c r="L248" s="637">
        <v>0</v>
      </c>
      <c r="M248" s="637">
        <v>0</v>
      </c>
      <c r="N248" s="637">
        <v>0</v>
      </c>
      <c r="O248" s="637">
        <v>0</v>
      </c>
      <c r="P248" s="637">
        <v>0</v>
      </c>
      <c r="Q248" s="637">
        <v>0</v>
      </c>
      <c r="R248" s="637">
        <v>0</v>
      </c>
      <c r="S248" s="514">
        <f t="shared" si="65"/>
        <v>0</v>
      </c>
      <c r="T248" s="638"/>
      <c r="U248" s="675">
        <f t="shared" si="66"/>
        <v>0</v>
      </c>
      <c r="V248" s="713"/>
      <c r="W248" s="713"/>
      <c r="X248" s="736"/>
      <c r="Y248" s="713"/>
      <c r="Z248" s="713"/>
      <c r="AA248" s="675"/>
      <c r="AB248" s="713"/>
      <c r="AC248" s="676"/>
      <c r="AD248" s="677">
        <f t="shared" si="67"/>
        <v>0</v>
      </c>
      <c r="AE248" s="676"/>
      <c r="AF248" s="711">
        <f t="shared" si="62"/>
        <v>0</v>
      </c>
    </row>
    <row r="249" spans="1:32">
      <c r="A249" s="638">
        <v>235</v>
      </c>
      <c r="B249" s="342" t="s">
        <v>981</v>
      </c>
      <c r="C249" s="342" t="s">
        <v>499</v>
      </c>
      <c r="D249" s="342" t="s">
        <v>1176</v>
      </c>
      <c r="E249" s="636" t="s">
        <v>1592</v>
      </c>
      <c r="F249" s="637">
        <v>4.5474735088646402E-13</v>
      </c>
      <c r="G249" s="637">
        <v>426.58</v>
      </c>
      <c r="H249" s="637">
        <v>796.45</v>
      </c>
      <c r="I249" s="637">
        <v>-5598.04</v>
      </c>
      <c r="J249" s="637">
        <v>-599.69000000000005</v>
      </c>
      <c r="K249" s="637">
        <v>-212.59</v>
      </c>
      <c r="L249" s="637">
        <v>134.88</v>
      </c>
      <c r="M249" s="637">
        <v>413.89</v>
      </c>
      <c r="N249" s="637">
        <v>-1340.75</v>
      </c>
      <c r="O249" s="637">
        <v>0</v>
      </c>
      <c r="P249" s="637">
        <v>0</v>
      </c>
      <c r="Q249" s="637">
        <v>0</v>
      </c>
      <c r="R249" s="637">
        <v>0</v>
      </c>
      <c r="S249" s="514">
        <f t="shared" si="65"/>
        <v>-498.27250000000004</v>
      </c>
      <c r="T249" s="638"/>
      <c r="U249" s="675">
        <f t="shared" si="66"/>
        <v>-498.27250000000004</v>
      </c>
      <c r="V249" s="713"/>
      <c r="W249" s="713"/>
      <c r="X249" s="736"/>
      <c r="Y249" s="713"/>
      <c r="Z249" s="713"/>
      <c r="AA249" s="675"/>
      <c r="AB249" s="713"/>
      <c r="AC249" s="676"/>
      <c r="AD249" s="677">
        <f t="shared" si="67"/>
        <v>-498.27250000000004</v>
      </c>
      <c r="AE249" s="676"/>
      <c r="AF249" s="711">
        <f t="shared" si="62"/>
        <v>0</v>
      </c>
    </row>
    <row r="250" spans="1:32">
      <c r="A250" s="638">
        <v>236</v>
      </c>
      <c r="B250" s="342" t="s">
        <v>981</v>
      </c>
      <c r="C250" s="342" t="s">
        <v>499</v>
      </c>
      <c r="D250" s="342" t="s">
        <v>405</v>
      </c>
      <c r="E250" s="636" t="s">
        <v>1593</v>
      </c>
      <c r="F250" s="637">
        <v>0</v>
      </c>
      <c r="G250" s="637">
        <v>0</v>
      </c>
      <c r="H250" s="637">
        <v>0</v>
      </c>
      <c r="I250" s="637">
        <v>0</v>
      </c>
      <c r="J250" s="637">
        <v>0</v>
      </c>
      <c r="K250" s="637">
        <v>0</v>
      </c>
      <c r="L250" s="637">
        <v>0</v>
      </c>
      <c r="M250" s="637">
        <v>0</v>
      </c>
      <c r="N250" s="637">
        <v>0</v>
      </c>
      <c r="O250" s="637">
        <v>0</v>
      </c>
      <c r="P250" s="637">
        <v>0</v>
      </c>
      <c r="Q250" s="637">
        <v>0</v>
      </c>
      <c r="R250" s="637">
        <v>0</v>
      </c>
      <c r="S250" s="514">
        <f t="shared" si="65"/>
        <v>0</v>
      </c>
      <c r="T250" s="638"/>
      <c r="U250" s="675">
        <f t="shared" si="66"/>
        <v>0</v>
      </c>
      <c r="V250" s="713"/>
      <c r="W250" s="713"/>
      <c r="X250" s="736"/>
      <c r="Y250" s="713"/>
      <c r="Z250" s="713"/>
      <c r="AA250" s="675"/>
      <c r="AB250" s="713"/>
      <c r="AC250" s="676"/>
      <c r="AD250" s="677">
        <f t="shared" si="67"/>
        <v>0</v>
      </c>
      <c r="AE250" s="676"/>
      <c r="AF250" s="711">
        <f t="shared" si="62"/>
        <v>0</v>
      </c>
    </row>
    <row r="251" spans="1:32">
      <c r="A251" s="638">
        <v>237</v>
      </c>
      <c r="B251" s="342" t="s">
        <v>981</v>
      </c>
      <c r="C251" s="342" t="s">
        <v>499</v>
      </c>
      <c r="D251" s="342" t="s">
        <v>1177</v>
      </c>
      <c r="E251" s="636" t="s">
        <v>1594</v>
      </c>
      <c r="F251" s="637">
        <v>0</v>
      </c>
      <c r="G251" s="637">
        <v>0</v>
      </c>
      <c r="H251" s="637">
        <v>0</v>
      </c>
      <c r="I251" s="637">
        <v>0</v>
      </c>
      <c r="J251" s="637">
        <v>0</v>
      </c>
      <c r="K251" s="637">
        <v>0</v>
      </c>
      <c r="L251" s="637">
        <v>0</v>
      </c>
      <c r="M251" s="637">
        <v>0</v>
      </c>
      <c r="N251" s="637">
        <v>0</v>
      </c>
      <c r="O251" s="637">
        <v>0</v>
      </c>
      <c r="P251" s="637">
        <v>0</v>
      </c>
      <c r="Q251" s="637">
        <v>0</v>
      </c>
      <c r="R251" s="637">
        <v>0</v>
      </c>
      <c r="S251" s="514">
        <f t="shared" si="65"/>
        <v>0</v>
      </c>
      <c r="T251" s="638"/>
      <c r="U251" s="675">
        <f t="shared" si="66"/>
        <v>0</v>
      </c>
      <c r="V251" s="713"/>
      <c r="W251" s="713"/>
      <c r="X251" s="736"/>
      <c r="Y251" s="713"/>
      <c r="Z251" s="713"/>
      <c r="AA251" s="675"/>
      <c r="AB251" s="713"/>
      <c r="AC251" s="676"/>
      <c r="AD251" s="677">
        <f t="shared" si="67"/>
        <v>0</v>
      </c>
      <c r="AE251" s="676"/>
      <c r="AF251" s="711">
        <f t="shared" si="62"/>
        <v>0</v>
      </c>
    </row>
    <row r="252" spans="1:32">
      <c r="A252" s="638">
        <v>238</v>
      </c>
      <c r="B252" s="342" t="s">
        <v>981</v>
      </c>
      <c r="C252" s="342" t="s">
        <v>499</v>
      </c>
      <c r="D252" s="552" t="s">
        <v>567</v>
      </c>
      <c r="E252" s="636" t="s">
        <v>1595</v>
      </c>
      <c r="F252" s="637">
        <v>-4.5474735088646402E-13</v>
      </c>
      <c r="G252" s="637">
        <v>312.62</v>
      </c>
      <c r="H252" s="637">
        <v>752.48</v>
      </c>
      <c r="I252" s="637">
        <v>-1804.39</v>
      </c>
      <c r="J252" s="637">
        <v>-1365.12</v>
      </c>
      <c r="K252" s="637">
        <v>-816.82</v>
      </c>
      <c r="L252" s="637">
        <v>-382.23</v>
      </c>
      <c r="M252" s="637">
        <v>19.440000000000101</v>
      </c>
      <c r="N252" s="637">
        <v>-2387.5100000000002</v>
      </c>
      <c r="O252" s="637">
        <v>0</v>
      </c>
      <c r="P252" s="637">
        <v>0</v>
      </c>
      <c r="Q252" s="637">
        <v>0</v>
      </c>
      <c r="R252" s="637">
        <v>0</v>
      </c>
      <c r="S252" s="514">
        <f t="shared" si="65"/>
        <v>-472.62750000000005</v>
      </c>
      <c r="T252" s="638"/>
      <c r="U252" s="675">
        <f t="shared" si="66"/>
        <v>-472.62750000000005</v>
      </c>
      <c r="V252" s="713"/>
      <c r="W252" s="713"/>
      <c r="X252" s="736"/>
      <c r="Y252" s="713"/>
      <c r="Z252" s="713"/>
      <c r="AA252" s="675"/>
      <c r="AB252" s="713"/>
      <c r="AC252" s="676"/>
      <c r="AD252" s="677">
        <f t="shared" si="67"/>
        <v>-472.62750000000005</v>
      </c>
      <c r="AE252" s="676"/>
      <c r="AF252" s="711">
        <f t="shared" si="62"/>
        <v>0</v>
      </c>
    </row>
    <row r="253" spans="1:32">
      <c r="A253" s="638">
        <v>239</v>
      </c>
      <c r="B253" s="342" t="s">
        <v>981</v>
      </c>
      <c r="C253" s="342" t="s">
        <v>499</v>
      </c>
      <c r="D253" s="342" t="s">
        <v>1178</v>
      </c>
      <c r="E253" s="636" t="s">
        <v>1596</v>
      </c>
      <c r="F253" s="637">
        <v>-2.2737367544323201E-13</v>
      </c>
      <c r="G253" s="637">
        <v>671.92</v>
      </c>
      <c r="H253" s="637">
        <v>754.85</v>
      </c>
      <c r="I253" s="637">
        <v>410.54</v>
      </c>
      <c r="J253" s="637">
        <v>471.8</v>
      </c>
      <c r="K253" s="637">
        <v>533.36</v>
      </c>
      <c r="L253" s="637">
        <v>621.77</v>
      </c>
      <c r="M253" s="637">
        <v>709.98</v>
      </c>
      <c r="N253" s="637">
        <v>310</v>
      </c>
      <c r="O253" s="637">
        <v>0</v>
      </c>
      <c r="P253" s="637">
        <v>0</v>
      </c>
      <c r="Q253" s="637">
        <v>0</v>
      </c>
      <c r="R253" s="637">
        <v>0</v>
      </c>
      <c r="S253" s="514">
        <f t="shared" si="65"/>
        <v>373.685</v>
      </c>
      <c r="T253" s="638"/>
      <c r="U253" s="675">
        <f t="shared" si="66"/>
        <v>373.685</v>
      </c>
      <c r="V253" s="713"/>
      <c r="W253" s="713"/>
      <c r="X253" s="736"/>
      <c r="Y253" s="713"/>
      <c r="Z253" s="713"/>
      <c r="AA253" s="675"/>
      <c r="AB253" s="713"/>
      <c r="AC253" s="676"/>
      <c r="AD253" s="677">
        <f t="shared" si="67"/>
        <v>373.685</v>
      </c>
      <c r="AE253" s="676"/>
      <c r="AF253" s="711">
        <f t="shared" si="62"/>
        <v>0</v>
      </c>
    </row>
    <row r="254" spans="1:32">
      <c r="A254" s="638">
        <v>240</v>
      </c>
      <c r="B254" s="342" t="s">
        <v>981</v>
      </c>
      <c r="C254" s="342" t="s">
        <v>499</v>
      </c>
      <c r="D254" s="342" t="s">
        <v>1179</v>
      </c>
      <c r="E254" s="636" t="s">
        <v>1597</v>
      </c>
      <c r="F254" s="637">
        <v>0</v>
      </c>
      <c r="G254" s="637">
        <v>0</v>
      </c>
      <c r="H254" s="637">
        <v>0</v>
      </c>
      <c r="I254" s="637">
        <v>0</v>
      </c>
      <c r="J254" s="637">
        <v>0</v>
      </c>
      <c r="K254" s="637">
        <v>0</v>
      </c>
      <c r="L254" s="637">
        <v>0</v>
      </c>
      <c r="M254" s="637">
        <v>0</v>
      </c>
      <c r="N254" s="637">
        <v>0</v>
      </c>
      <c r="O254" s="637">
        <v>0</v>
      </c>
      <c r="P254" s="637">
        <v>0</v>
      </c>
      <c r="Q254" s="637">
        <v>0</v>
      </c>
      <c r="R254" s="637">
        <v>0</v>
      </c>
      <c r="S254" s="514">
        <f t="shared" si="65"/>
        <v>0</v>
      </c>
      <c r="T254" s="638"/>
      <c r="U254" s="675">
        <f t="shared" si="66"/>
        <v>0</v>
      </c>
      <c r="V254" s="713"/>
      <c r="W254" s="713"/>
      <c r="X254" s="736"/>
      <c r="Y254" s="713"/>
      <c r="Z254" s="713"/>
      <c r="AA254" s="675"/>
      <c r="AB254" s="713"/>
      <c r="AC254" s="676"/>
      <c r="AD254" s="677">
        <f t="shared" si="67"/>
        <v>0</v>
      </c>
      <c r="AE254" s="676"/>
      <c r="AF254" s="711">
        <f t="shared" si="62"/>
        <v>0</v>
      </c>
    </row>
    <row r="255" spans="1:32">
      <c r="A255" s="638">
        <v>241</v>
      </c>
      <c r="B255" s="342" t="s">
        <v>981</v>
      </c>
      <c r="C255" s="342" t="s">
        <v>499</v>
      </c>
      <c r="D255" s="342" t="s">
        <v>631</v>
      </c>
      <c r="E255" s="636" t="s">
        <v>1598</v>
      </c>
      <c r="F255" s="637">
        <v>0</v>
      </c>
      <c r="G255" s="637">
        <v>85.58</v>
      </c>
      <c r="H255" s="637">
        <v>235.23</v>
      </c>
      <c r="I255" s="637">
        <v>-497.31</v>
      </c>
      <c r="J255" s="637">
        <v>-454.99</v>
      </c>
      <c r="K255" s="637">
        <v>-334.77</v>
      </c>
      <c r="L255" s="637">
        <v>-214.55</v>
      </c>
      <c r="M255" s="637">
        <v>229.36</v>
      </c>
      <c r="N255" s="637">
        <v>-427.14</v>
      </c>
      <c r="O255" s="637">
        <v>0</v>
      </c>
      <c r="P255" s="637">
        <v>0</v>
      </c>
      <c r="Q255" s="637">
        <v>0</v>
      </c>
      <c r="R255" s="637">
        <v>0</v>
      </c>
      <c r="S255" s="514">
        <f t="shared" si="65"/>
        <v>-114.88249999999999</v>
      </c>
      <c r="T255" s="638"/>
      <c r="U255" s="675">
        <f t="shared" si="66"/>
        <v>-114.88249999999999</v>
      </c>
      <c r="V255" s="713"/>
      <c r="W255" s="713"/>
      <c r="X255" s="736"/>
      <c r="Y255" s="713"/>
      <c r="Z255" s="713"/>
      <c r="AA255" s="675"/>
      <c r="AB255" s="713"/>
      <c r="AC255" s="676"/>
      <c r="AD255" s="677">
        <f t="shared" si="67"/>
        <v>-114.88249999999999</v>
      </c>
      <c r="AE255" s="676"/>
      <c r="AF255" s="711">
        <f t="shared" si="62"/>
        <v>0</v>
      </c>
    </row>
    <row r="256" spans="1:32">
      <c r="A256" s="638">
        <v>242</v>
      </c>
      <c r="B256" s="342" t="s">
        <v>981</v>
      </c>
      <c r="C256" s="342" t="s">
        <v>499</v>
      </c>
      <c r="D256" s="342" t="s">
        <v>1158</v>
      </c>
      <c r="E256" s="636" t="s">
        <v>1599</v>
      </c>
      <c r="F256" s="637">
        <v>7.1054273576010003E-15</v>
      </c>
      <c r="G256" s="637">
        <v>3.14</v>
      </c>
      <c r="H256" s="637">
        <v>6.88</v>
      </c>
      <c r="I256" s="637">
        <v>-14.12</v>
      </c>
      <c r="J256" s="637">
        <v>-10.06</v>
      </c>
      <c r="K256" s="637">
        <v>-5.2</v>
      </c>
      <c r="L256" s="637">
        <v>-1.82</v>
      </c>
      <c r="M256" s="637">
        <v>4.78</v>
      </c>
      <c r="N256" s="637">
        <v>-15.34</v>
      </c>
      <c r="O256" s="637">
        <v>0</v>
      </c>
      <c r="P256" s="637">
        <v>0</v>
      </c>
      <c r="Q256" s="637">
        <v>0</v>
      </c>
      <c r="R256" s="637">
        <v>0</v>
      </c>
      <c r="S256" s="514">
        <f t="shared" si="65"/>
        <v>-2.6449999999999996</v>
      </c>
      <c r="T256" s="638"/>
      <c r="U256" s="675">
        <f t="shared" si="66"/>
        <v>-2.6449999999999996</v>
      </c>
      <c r="V256" s="713"/>
      <c r="W256" s="713"/>
      <c r="X256" s="736"/>
      <c r="Y256" s="713"/>
      <c r="Z256" s="713"/>
      <c r="AA256" s="675"/>
      <c r="AB256" s="713"/>
      <c r="AC256" s="676"/>
      <c r="AD256" s="677">
        <f t="shared" si="67"/>
        <v>-2.6449999999999996</v>
      </c>
      <c r="AE256" s="676"/>
      <c r="AF256" s="711">
        <f t="shared" si="62"/>
        <v>0</v>
      </c>
    </row>
    <row r="257" spans="1:32">
      <c r="A257" s="638">
        <v>243</v>
      </c>
      <c r="B257" s="342" t="s">
        <v>981</v>
      </c>
      <c r="C257" s="342" t="s">
        <v>499</v>
      </c>
      <c r="D257" s="638" t="s">
        <v>1180</v>
      </c>
      <c r="E257" s="636" t="s">
        <v>1600</v>
      </c>
      <c r="F257" s="637">
        <v>0</v>
      </c>
      <c r="G257" s="637">
        <v>6104.55</v>
      </c>
      <c r="H257" s="637">
        <v>5604.67</v>
      </c>
      <c r="I257" s="637">
        <v>5082.45</v>
      </c>
      <c r="J257" s="637">
        <v>4537.05</v>
      </c>
      <c r="K257" s="637">
        <v>3972.45</v>
      </c>
      <c r="L257" s="637">
        <v>3481.2</v>
      </c>
      <c r="M257" s="637">
        <v>2907.75</v>
      </c>
      <c r="N257" s="637">
        <v>2358.4499999999998</v>
      </c>
      <c r="O257" s="637">
        <v>0</v>
      </c>
      <c r="P257" s="637">
        <v>0</v>
      </c>
      <c r="Q257" s="637">
        <v>0</v>
      </c>
      <c r="R257" s="637">
        <v>0</v>
      </c>
      <c r="S257" s="514">
        <f t="shared" si="65"/>
        <v>2837.3808333333332</v>
      </c>
      <c r="T257" s="638"/>
      <c r="U257" s="675">
        <f t="shared" si="66"/>
        <v>2837.3808333333332</v>
      </c>
      <c r="V257" s="713"/>
      <c r="W257" s="713"/>
      <c r="X257" s="736"/>
      <c r="Y257" s="713"/>
      <c r="Z257" s="713"/>
      <c r="AA257" s="675"/>
      <c r="AB257" s="713"/>
      <c r="AC257" s="676"/>
      <c r="AD257" s="677">
        <f t="shared" si="67"/>
        <v>2837.3808333333332</v>
      </c>
      <c r="AE257" s="676"/>
      <c r="AF257" s="711">
        <f t="shared" si="62"/>
        <v>0</v>
      </c>
    </row>
    <row r="258" spans="1:32">
      <c r="A258" s="638">
        <v>244</v>
      </c>
      <c r="B258" s="342" t="s">
        <v>981</v>
      </c>
      <c r="C258" s="342" t="s">
        <v>499</v>
      </c>
      <c r="D258" s="342" t="s">
        <v>1181</v>
      </c>
      <c r="E258" s="636" t="s">
        <v>1601</v>
      </c>
      <c r="F258" s="637">
        <v>6.8212102632969598E-13</v>
      </c>
      <c r="G258" s="637">
        <v>-398.3</v>
      </c>
      <c r="H258" s="637">
        <v>-422.39</v>
      </c>
      <c r="I258" s="637">
        <v>-1355.93</v>
      </c>
      <c r="J258" s="637">
        <v>-1558.94</v>
      </c>
      <c r="K258" s="637">
        <v>-1668.52</v>
      </c>
      <c r="L258" s="637">
        <v>-1466.89</v>
      </c>
      <c r="M258" s="637">
        <v>-1577.53</v>
      </c>
      <c r="N258" s="637">
        <v>-2260.04</v>
      </c>
      <c r="O258" s="637">
        <v>0</v>
      </c>
      <c r="P258" s="637">
        <v>0</v>
      </c>
      <c r="Q258" s="637">
        <v>0</v>
      </c>
      <c r="R258" s="637">
        <v>0</v>
      </c>
      <c r="S258" s="514">
        <f t="shared" si="65"/>
        <v>-892.37833333333344</v>
      </c>
      <c r="T258" s="638"/>
      <c r="U258" s="675">
        <f t="shared" si="66"/>
        <v>-892.37833333333344</v>
      </c>
      <c r="V258" s="713"/>
      <c r="W258" s="713"/>
      <c r="X258" s="736"/>
      <c r="Y258" s="713"/>
      <c r="Z258" s="713"/>
      <c r="AA258" s="675"/>
      <c r="AB258" s="713"/>
      <c r="AC258" s="676"/>
      <c r="AD258" s="677">
        <f t="shared" si="67"/>
        <v>-892.37833333333344</v>
      </c>
      <c r="AE258" s="676"/>
      <c r="AF258" s="711">
        <f t="shared" si="62"/>
        <v>0</v>
      </c>
    </row>
    <row r="259" spans="1:32">
      <c r="A259" s="638">
        <v>245</v>
      </c>
      <c r="B259" s="342" t="s">
        <v>981</v>
      </c>
      <c r="C259" s="342" t="s">
        <v>499</v>
      </c>
      <c r="D259" s="342" t="s">
        <v>1182</v>
      </c>
      <c r="E259" s="636" t="s">
        <v>1602</v>
      </c>
      <c r="F259" s="637">
        <v>-9.0949470177292804E-13</v>
      </c>
      <c r="G259" s="637">
        <v>0</v>
      </c>
      <c r="H259" s="637">
        <v>0</v>
      </c>
      <c r="I259" s="637">
        <v>0</v>
      </c>
      <c r="J259" s="637">
        <v>0</v>
      </c>
      <c r="K259" s="637">
        <v>0</v>
      </c>
      <c r="L259" s="637">
        <v>0</v>
      </c>
      <c r="M259" s="637">
        <v>0</v>
      </c>
      <c r="N259" s="637">
        <v>0</v>
      </c>
      <c r="O259" s="637">
        <v>0</v>
      </c>
      <c r="P259" s="637">
        <v>0</v>
      </c>
      <c r="Q259" s="637">
        <v>0</v>
      </c>
      <c r="R259" s="637">
        <v>0</v>
      </c>
      <c r="S259" s="514">
        <f t="shared" si="65"/>
        <v>-3.7895612573872001E-14</v>
      </c>
      <c r="T259" s="638"/>
      <c r="U259" s="675">
        <f t="shared" si="66"/>
        <v>-3.7895612573872001E-14</v>
      </c>
      <c r="V259" s="713"/>
      <c r="W259" s="713"/>
      <c r="X259" s="736"/>
      <c r="Y259" s="713"/>
      <c r="Z259" s="713"/>
      <c r="AA259" s="675"/>
      <c r="AB259" s="713"/>
      <c r="AC259" s="676"/>
      <c r="AD259" s="677">
        <f t="shared" si="67"/>
        <v>-3.7895612573872001E-14</v>
      </c>
      <c r="AE259" s="676"/>
      <c r="AF259" s="711">
        <f t="shared" si="62"/>
        <v>0</v>
      </c>
    </row>
    <row r="260" spans="1:32">
      <c r="A260" s="638">
        <v>246</v>
      </c>
      <c r="B260" s="342" t="s">
        <v>981</v>
      </c>
      <c r="C260" s="342" t="s">
        <v>499</v>
      </c>
      <c r="D260" s="342" t="s">
        <v>1183</v>
      </c>
      <c r="E260" s="636" t="s">
        <v>1603</v>
      </c>
      <c r="F260" s="637">
        <v>4.5474735088646402E-13</v>
      </c>
      <c r="G260" s="637">
        <v>0</v>
      </c>
      <c r="H260" s="637">
        <v>0</v>
      </c>
      <c r="I260" s="637">
        <v>0</v>
      </c>
      <c r="J260" s="637">
        <v>0</v>
      </c>
      <c r="K260" s="637">
        <v>0</v>
      </c>
      <c r="L260" s="637">
        <v>0</v>
      </c>
      <c r="M260" s="637">
        <v>0</v>
      </c>
      <c r="N260" s="637">
        <v>0</v>
      </c>
      <c r="O260" s="637">
        <v>0</v>
      </c>
      <c r="P260" s="637">
        <v>0</v>
      </c>
      <c r="Q260" s="637">
        <v>0</v>
      </c>
      <c r="R260" s="637">
        <v>0</v>
      </c>
      <c r="S260" s="514">
        <f t="shared" si="65"/>
        <v>1.8947806286936001E-14</v>
      </c>
      <c r="T260" s="638"/>
      <c r="U260" s="675">
        <f t="shared" si="66"/>
        <v>1.8947806286936001E-14</v>
      </c>
      <c r="V260" s="713"/>
      <c r="W260" s="713"/>
      <c r="X260" s="736"/>
      <c r="Y260" s="713"/>
      <c r="Z260" s="713"/>
      <c r="AA260" s="675"/>
      <c r="AB260" s="713"/>
      <c r="AC260" s="676"/>
      <c r="AD260" s="677">
        <f t="shared" si="67"/>
        <v>1.8947806286936001E-14</v>
      </c>
      <c r="AE260" s="676"/>
      <c r="AF260" s="711">
        <f t="shared" si="62"/>
        <v>0</v>
      </c>
    </row>
    <row r="261" spans="1:32">
      <c r="A261" s="638">
        <v>247</v>
      </c>
      <c r="B261" s="342" t="s">
        <v>981</v>
      </c>
      <c r="C261" s="342" t="s">
        <v>499</v>
      </c>
      <c r="D261" s="342" t="s">
        <v>83</v>
      </c>
      <c r="E261" s="636" t="s">
        <v>1604</v>
      </c>
      <c r="F261" s="637">
        <v>0</v>
      </c>
      <c r="G261" s="637">
        <v>4116.9799999999996</v>
      </c>
      <c r="H261" s="637">
        <v>-2315.9699999999998</v>
      </c>
      <c r="I261" s="637">
        <v>-4.5474735088646402E-13</v>
      </c>
      <c r="J261" s="637">
        <v>-10113.19</v>
      </c>
      <c r="K261" s="637">
        <v>-14300.5</v>
      </c>
      <c r="L261" s="637">
        <v>7798.35</v>
      </c>
      <c r="M261" s="637">
        <v>-21758.93</v>
      </c>
      <c r="N261" s="637">
        <v>-25615.66</v>
      </c>
      <c r="O261" s="637">
        <v>0</v>
      </c>
      <c r="P261" s="637">
        <v>0</v>
      </c>
      <c r="Q261" s="637">
        <v>0</v>
      </c>
      <c r="R261" s="637">
        <v>0</v>
      </c>
      <c r="S261" s="514">
        <f t="shared" si="65"/>
        <v>-5182.41</v>
      </c>
      <c r="T261" s="638"/>
      <c r="U261" s="675">
        <f t="shared" si="66"/>
        <v>-5182.41</v>
      </c>
      <c r="V261" s="713"/>
      <c r="W261" s="713"/>
      <c r="X261" s="736"/>
      <c r="Y261" s="713"/>
      <c r="Z261" s="713"/>
      <c r="AA261" s="675"/>
      <c r="AB261" s="713"/>
      <c r="AC261" s="676"/>
      <c r="AD261" s="677">
        <f t="shared" si="67"/>
        <v>-5182.41</v>
      </c>
      <c r="AE261" s="676"/>
      <c r="AF261" s="711">
        <f t="shared" si="62"/>
        <v>0</v>
      </c>
    </row>
    <row r="262" spans="1:32">
      <c r="A262" s="638">
        <v>248</v>
      </c>
      <c r="B262" s="342" t="s">
        <v>981</v>
      </c>
      <c r="C262" s="342" t="s">
        <v>499</v>
      </c>
      <c r="D262" s="342" t="s">
        <v>1184</v>
      </c>
      <c r="E262" s="636" t="s">
        <v>1605</v>
      </c>
      <c r="F262" s="637">
        <v>-1.13686837721616E-13</v>
      </c>
      <c r="G262" s="637">
        <v>-1230.52</v>
      </c>
      <c r="H262" s="637">
        <v>-1472.64</v>
      </c>
      <c r="I262" s="637">
        <v>2.2737367544323201E-13</v>
      </c>
      <c r="J262" s="637">
        <v>-2052</v>
      </c>
      <c r="K262" s="637">
        <v>-2318.9699999999998</v>
      </c>
      <c r="L262" s="637">
        <v>-4.5474735088646402E-13</v>
      </c>
      <c r="M262" s="637">
        <v>-2083.14</v>
      </c>
      <c r="N262" s="637">
        <v>-679.34</v>
      </c>
      <c r="O262" s="637">
        <v>0</v>
      </c>
      <c r="P262" s="637">
        <v>0</v>
      </c>
      <c r="Q262" s="637">
        <v>0</v>
      </c>
      <c r="R262" s="637">
        <v>0</v>
      </c>
      <c r="S262" s="514">
        <f t="shared" si="65"/>
        <v>-819.71749999999986</v>
      </c>
      <c r="T262" s="638"/>
      <c r="U262" s="675">
        <f t="shared" si="66"/>
        <v>-819.71749999999986</v>
      </c>
      <c r="V262" s="713"/>
      <c r="W262" s="713"/>
      <c r="X262" s="736"/>
      <c r="Y262" s="713"/>
      <c r="Z262" s="713"/>
      <c r="AA262" s="675"/>
      <c r="AB262" s="713"/>
      <c r="AC262" s="676"/>
      <c r="AD262" s="677">
        <f t="shared" si="67"/>
        <v>-819.71749999999986</v>
      </c>
      <c r="AE262" s="676"/>
      <c r="AF262" s="711">
        <f t="shared" si="62"/>
        <v>0</v>
      </c>
    </row>
    <row r="263" spans="1:32">
      <c r="A263" s="638">
        <v>249</v>
      </c>
      <c r="B263" s="342" t="s">
        <v>981</v>
      </c>
      <c r="C263" s="342" t="s">
        <v>499</v>
      </c>
      <c r="D263" s="342" t="s">
        <v>106</v>
      </c>
      <c r="E263" s="636" t="s">
        <v>1606</v>
      </c>
      <c r="F263" s="637">
        <v>-7.2759576141834308E-12</v>
      </c>
      <c r="G263" s="637">
        <v>-92131.38</v>
      </c>
      <c r="H263" s="637">
        <v>-53843.67</v>
      </c>
      <c r="I263" s="637">
        <v>-7.2759576141834308E-12</v>
      </c>
      <c r="J263" s="637">
        <v>-102204.33</v>
      </c>
      <c r="K263" s="637">
        <v>-126429.75</v>
      </c>
      <c r="L263" s="637">
        <v>-1.45519152283669E-11</v>
      </c>
      <c r="M263" s="637">
        <v>-169913.37</v>
      </c>
      <c r="N263" s="637">
        <v>-60958.080000000002</v>
      </c>
      <c r="O263" s="637">
        <v>0</v>
      </c>
      <c r="P263" s="637">
        <v>0</v>
      </c>
      <c r="Q263" s="637">
        <v>0</v>
      </c>
      <c r="R263" s="637">
        <v>0</v>
      </c>
      <c r="S263" s="514">
        <f t="shared" si="65"/>
        <v>-50456.714999999997</v>
      </c>
      <c r="T263" s="638"/>
      <c r="U263" s="675">
        <f t="shared" si="66"/>
        <v>-50456.714999999997</v>
      </c>
      <c r="V263" s="713"/>
      <c r="W263" s="713"/>
      <c r="X263" s="736"/>
      <c r="Y263" s="713"/>
      <c r="Z263" s="713"/>
      <c r="AA263" s="675"/>
      <c r="AB263" s="713"/>
      <c r="AC263" s="676"/>
      <c r="AD263" s="677">
        <f t="shared" si="67"/>
        <v>-50456.714999999997</v>
      </c>
      <c r="AE263" s="676"/>
      <c r="AF263" s="711">
        <f t="shared" si="62"/>
        <v>0</v>
      </c>
    </row>
    <row r="264" spans="1:32">
      <c r="A264" s="638">
        <v>250</v>
      </c>
      <c r="B264" s="342" t="s">
        <v>382</v>
      </c>
      <c r="C264" s="342" t="s">
        <v>500</v>
      </c>
      <c r="D264" s="342" t="s">
        <v>382</v>
      </c>
      <c r="E264" s="636" t="s">
        <v>501</v>
      </c>
      <c r="F264" s="637">
        <v>59785.299999999981</v>
      </c>
      <c r="G264" s="637">
        <v>195023.09</v>
      </c>
      <c r="H264" s="637">
        <v>258706.77999999997</v>
      </c>
      <c r="I264" s="637">
        <v>238227.15999999997</v>
      </c>
      <c r="J264" s="637">
        <v>252352.69000000006</v>
      </c>
      <c r="K264" s="637">
        <v>256575.24000000002</v>
      </c>
      <c r="L264" s="637">
        <v>220507.31000000006</v>
      </c>
      <c r="M264" s="637">
        <v>199340.86</v>
      </c>
      <c r="N264" s="637">
        <v>181707.04</v>
      </c>
      <c r="O264" s="637">
        <v>160999.45000000001</v>
      </c>
      <c r="P264" s="637">
        <v>117782.74</v>
      </c>
      <c r="Q264" s="637">
        <v>105294.82</v>
      </c>
      <c r="R264" s="637">
        <v>45130.430000000102</v>
      </c>
      <c r="S264" s="514">
        <f t="shared" si="65"/>
        <v>186581.25375000003</v>
      </c>
      <c r="T264" s="638"/>
      <c r="U264" s="675">
        <f t="shared" si="66"/>
        <v>186581.25375000003</v>
      </c>
      <c r="V264" s="713"/>
      <c r="W264" s="713"/>
      <c r="X264" s="736"/>
      <c r="Y264" s="713"/>
      <c r="Z264" s="713"/>
      <c r="AA264" s="675"/>
      <c r="AB264" s="683"/>
      <c r="AC264" s="676"/>
      <c r="AD264" s="675">
        <f>+S264</f>
        <v>186581.25375000003</v>
      </c>
      <c r="AE264" s="676"/>
      <c r="AF264" s="711">
        <f t="shared" si="62"/>
        <v>0</v>
      </c>
    </row>
    <row r="265" spans="1:32">
      <c r="A265" s="638">
        <v>251</v>
      </c>
      <c r="B265" s="342" t="s">
        <v>1883</v>
      </c>
      <c r="C265" s="342" t="s">
        <v>499</v>
      </c>
      <c r="D265" s="342" t="s">
        <v>460</v>
      </c>
      <c r="E265" s="636" t="s">
        <v>1909</v>
      </c>
      <c r="F265" s="637">
        <v>0</v>
      </c>
      <c r="G265" s="637">
        <v>0</v>
      </c>
      <c r="H265" s="637">
        <v>0</v>
      </c>
      <c r="I265" s="637">
        <v>0</v>
      </c>
      <c r="J265" s="637">
        <v>0</v>
      </c>
      <c r="K265" s="637">
        <v>0</v>
      </c>
      <c r="L265" s="637">
        <v>0</v>
      </c>
      <c r="M265" s="637">
        <v>0</v>
      </c>
      <c r="N265" s="637">
        <v>0</v>
      </c>
      <c r="O265" s="637">
        <v>-160999.45000000001</v>
      </c>
      <c r="P265" s="637">
        <v>-117782.74</v>
      </c>
      <c r="Q265" s="637">
        <v>-95326.51</v>
      </c>
      <c r="R265" s="637">
        <v>-45130.43</v>
      </c>
      <c r="S265" s="514">
        <f t="shared" si="65"/>
        <v>-33056.159583333334</v>
      </c>
      <c r="T265" s="638"/>
      <c r="U265" s="675">
        <f>+S265</f>
        <v>-33056.159583333334</v>
      </c>
      <c r="V265" s="713"/>
      <c r="W265" s="713"/>
      <c r="X265" s="736"/>
      <c r="Y265" s="713"/>
      <c r="Z265" s="713"/>
      <c r="AA265" s="675"/>
      <c r="AB265" s="683"/>
      <c r="AC265" s="676"/>
      <c r="AD265" s="675">
        <f>+S265</f>
        <v>-33056.159583333334</v>
      </c>
      <c r="AE265" s="676"/>
      <c r="AF265" s="711">
        <f t="shared" si="62"/>
        <v>0</v>
      </c>
    </row>
    <row r="266" spans="1:32">
      <c r="A266" s="638">
        <v>252</v>
      </c>
      <c r="B266" s="342" t="s">
        <v>981</v>
      </c>
      <c r="C266" s="342" t="s">
        <v>459</v>
      </c>
      <c r="D266" s="342" t="s">
        <v>1186</v>
      </c>
      <c r="E266" s="636" t="s">
        <v>1607</v>
      </c>
      <c r="F266" s="637">
        <v>2988574.1</v>
      </c>
      <c r="G266" s="637">
        <v>2999372.95</v>
      </c>
      <c r="H266" s="637">
        <v>3011015.48</v>
      </c>
      <c r="I266" s="637">
        <v>3022552.53</v>
      </c>
      <c r="J266" s="637">
        <v>3033980.26</v>
      </c>
      <c r="K266" s="637">
        <v>3024547.99</v>
      </c>
      <c r="L266" s="637">
        <v>3030781.91</v>
      </c>
      <c r="M266" s="637">
        <v>3038151.27</v>
      </c>
      <c r="N266" s="637">
        <v>3045619.03</v>
      </c>
      <c r="O266" s="637">
        <v>3051406.69</v>
      </c>
      <c r="P266" s="637">
        <v>3058727.65</v>
      </c>
      <c r="Q266" s="637">
        <v>3066186.65</v>
      </c>
      <c r="R266" s="637">
        <v>4478392.82</v>
      </c>
      <c r="S266" s="514">
        <f t="shared" si="65"/>
        <v>3092985.4891666663</v>
      </c>
      <c r="T266" s="638"/>
      <c r="U266" s="675">
        <f t="shared" si="66"/>
        <v>3092985.4891666663</v>
      </c>
      <c r="V266" s="713"/>
      <c r="W266" s="713"/>
      <c r="X266" s="736"/>
      <c r="Y266" s="713"/>
      <c r="Z266" s="713"/>
      <c r="AA266" s="675"/>
      <c r="AB266" s="713"/>
      <c r="AC266" s="676"/>
      <c r="AD266" s="677">
        <f>+U266</f>
        <v>3092985.4891666663</v>
      </c>
      <c r="AE266" s="676"/>
      <c r="AF266" s="711">
        <f t="shared" si="62"/>
        <v>0</v>
      </c>
    </row>
    <row r="267" spans="1:32">
      <c r="A267" s="638">
        <v>253</v>
      </c>
      <c r="B267" s="342" t="s">
        <v>1883</v>
      </c>
      <c r="C267" s="342" t="s">
        <v>459</v>
      </c>
      <c r="D267" s="342" t="s">
        <v>1890</v>
      </c>
      <c r="E267" s="636" t="s">
        <v>1618</v>
      </c>
      <c r="F267" s="637">
        <v>0</v>
      </c>
      <c r="G267" s="637">
        <v>-137402.29999999999</v>
      </c>
      <c r="H267" s="637">
        <v>-123637.95</v>
      </c>
      <c r="I267" s="637">
        <v>-108044.38</v>
      </c>
      <c r="J267" s="637">
        <v>-352090.88</v>
      </c>
      <c r="K267" s="637">
        <v>-348666.74</v>
      </c>
      <c r="L267" s="637">
        <v>-346007.64</v>
      </c>
      <c r="M267" s="637">
        <v>-344212.35</v>
      </c>
      <c r="N267" s="637">
        <v>-342762.33</v>
      </c>
      <c r="O267" s="637">
        <v>-341265.44</v>
      </c>
      <c r="P267" s="637">
        <v>-342273.78</v>
      </c>
      <c r="Q267" s="637">
        <v>-331106.38</v>
      </c>
      <c r="R267" s="637">
        <v>-313349.98</v>
      </c>
      <c r="S267" s="514">
        <f t="shared" si="65"/>
        <v>-272845.43</v>
      </c>
      <c r="T267" s="638"/>
      <c r="U267" s="675">
        <f>+S267</f>
        <v>-272845.43</v>
      </c>
      <c r="V267" s="713"/>
      <c r="W267" s="713"/>
      <c r="X267" s="736"/>
      <c r="Y267" s="713"/>
      <c r="Z267" s="713"/>
      <c r="AA267" s="675"/>
      <c r="AB267" s="713"/>
      <c r="AC267" s="676"/>
      <c r="AD267" s="677">
        <f>+S267</f>
        <v>-272845.43</v>
      </c>
      <c r="AE267" s="676"/>
      <c r="AF267" s="711"/>
    </row>
    <row r="268" spans="1:32">
      <c r="A268" s="638">
        <v>254</v>
      </c>
      <c r="B268" s="342" t="s">
        <v>1009</v>
      </c>
      <c r="C268" s="342" t="s">
        <v>459</v>
      </c>
      <c r="D268" s="342" t="s">
        <v>1187</v>
      </c>
      <c r="E268" s="636" t="s">
        <v>1608</v>
      </c>
      <c r="F268" s="637">
        <v>29758.74</v>
      </c>
      <c r="G268" s="637">
        <v>23022.73</v>
      </c>
      <c r="H268" s="637">
        <v>16764.68</v>
      </c>
      <c r="I268" s="637">
        <v>9674.23</v>
      </c>
      <c r="J268" s="637">
        <v>4858.92</v>
      </c>
      <c r="K268" s="637">
        <v>2389.2399999999998</v>
      </c>
      <c r="L268" s="637">
        <v>727.03000000000304</v>
      </c>
      <c r="M268" s="637">
        <v>-384.97999999999701</v>
      </c>
      <c r="N268" s="637">
        <v>-1292.25</v>
      </c>
      <c r="O268" s="637">
        <v>-2209.6</v>
      </c>
      <c r="P268" s="637">
        <v>-4708.13</v>
      </c>
      <c r="Q268" s="637">
        <v>62756.39</v>
      </c>
      <c r="R268" s="637">
        <v>52817.54</v>
      </c>
      <c r="S268" s="514">
        <f t="shared" si="65"/>
        <v>12740.533333333335</v>
      </c>
      <c r="T268" s="638"/>
      <c r="U268" s="675"/>
      <c r="V268" s="713"/>
      <c r="W268" s="713"/>
      <c r="X268" s="736">
        <f>+S268</f>
        <v>12740.533333333335</v>
      </c>
      <c r="Y268" s="713"/>
      <c r="Z268" s="713"/>
      <c r="AA268" s="675"/>
      <c r="AB268" s="713">
        <f>+S268</f>
        <v>12740.533333333335</v>
      </c>
      <c r="AC268" s="676"/>
      <c r="AD268" s="677"/>
      <c r="AE268" s="676"/>
      <c r="AF268" s="711">
        <f t="shared" si="62"/>
        <v>0</v>
      </c>
    </row>
    <row r="269" spans="1:32">
      <c r="A269" s="638">
        <v>255</v>
      </c>
      <c r="B269" s="342" t="s">
        <v>1009</v>
      </c>
      <c r="C269" s="342" t="s">
        <v>459</v>
      </c>
      <c r="D269" s="342" t="s">
        <v>1188</v>
      </c>
      <c r="E269" s="636" t="s">
        <v>1609</v>
      </c>
      <c r="F269" s="637">
        <v>2049.1300000000101</v>
      </c>
      <c r="G269" s="637">
        <v>41561.81</v>
      </c>
      <c r="H269" s="637">
        <v>41794.050000000003</v>
      </c>
      <c r="I269" s="637">
        <v>42052.61</v>
      </c>
      <c r="J269" s="637">
        <v>69691.89</v>
      </c>
      <c r="K269" s="637">
        <v>70122.2</v>
      </c>
      <c r="L269" s="637">
        <v>70541.2</v>
      </c>
      <c r="M269" s="637">
        <v>70976.759999999995</v>
      </c>
      <c r="N269" s="637">
        <v>71415.009999999995</v>
      </c>
      <c r="O269" s="637">
        <v>71841.740000000005</v>
      </c>
      <c r="P269" s="637">
        <v>72285.33</v>
      </c>
      <c r="Q269" s="637">
        <v>9.9999999656574801E-3</v>
      </c>
      <c r="R269" s="637">
        <v>9.9999999656574801E-3</v>
      </c>
      <c r="S269" s="514">
        <f t="shared" si="65"/>
        <v>51942.264999999992</v>
      </c>
      <c r="T269" s="638"/>
      <c r="U269" s="675"/>
      <c r="V269" s="713"/>
      <c r="W269" s="713"/>
      <c r="X269" s="736">
        <f t="shared" ref="X269:X270" si="70">+S269</f>
        <v>51942.264999999992</v>
      </c>
      <c r="Y269" s="713"/>
      <c r="Z269" s="713"/>
      <c r="AA269" s="675"/>
      <c r="AB269" s="713">
        <f t="shared" ref="AB269:AB270" si="71">+S269</f>
        <v>51942.264999999992</v>
      </c>
      <c r="AC269" s="676"/>
      <c r="AD269" s="677"/>
      <c r="AE269" s="676"/>
      <c r="AF269" s="711">
        <f t="shared" si="62"/>
        <v>0</v>
      </c>
    </row>
    <row r="270" spans="1:32">
      <c r="A270" s="638">
        <v>256</v>
      </c>
      <c r="B270" s="342" t="s">
        <v>1009</v>
      </c>
      <c r="C270" s="342" t="s">
        <v>459</v>
      </c>
      <c r="D270" s="342" t="s">
        <v>1189</v>
      </c>
      <c r="E270" s="636" t="s">
        <v>1610</v>
      </c>
      <c r="F270" s="637">
        <v>3298.72</v>
      </c>
      <c r="G270" s="637">
        <v>3003.91</v>
      </c>
      <c r="H270" s="637">
        <v>2728.69</v>
      </c>
      <c r="I270" s="637">
        <v>2421.64</v>
      </c>
      <c r="J270" s="637">
        <v>2168.15</v>
      </c>
      <c r="K270" s="637">
        <v>1888.57</v>
      </c>
      <c r="L270" s="637">
        <v>1614.24</v>
      </c>
      <c r="M270" s="637">
        <v>1342.88</v>
      </c>
      <c r="N270" s="637">
        <v>1077.1600000000001</v>
      </c>
      <c r="O270" s="637">
        <v>809.57</v>
      </c>
      <c r="P270" s="637">
        <v>465.23</v>
      </c>
      <c r="Q270" s="637">
        <v>39036.43</v>
      </c>
      <c r="R270" s="637">
        <v>34796.76</v>
      </c>
      <c r="S270" s="514">
        <f t="shared" si="65"/>
        <v>6300.3508333333339</v>
      </c>
      <c r="T270" s="638"/>
      <c r="U270" s="675"/>
      <c r="V270" s="713"/>
      <c r="W270" s="713"/>
      <c r="X270" s="736">
        <f t="shared" si="70"/>
        <v>6300.3508333333339</v>
      </c>
      <c r="Y270" s="713"/>
      <c r="Z270" s="713"/>
      <c r="AA270" s="675"/>
      <c r="AB270" s="713">
        <f t="shared" si="71"/>
        <v>6300.3508333333339</v>
      </c>
      <c r="AC270" s="676"/>
      <c r="AD270" s="677"/>
      <c r="AE270" s="676"/>
      <c r="AF270" s="711">
        <f t="shared" si="62"/>
        <v>0</v>
      </c>
    </row>
    <row r="271" spans="1:32">
      <c r="A271" s="638">
        <v>257</v>
      </c>
      <c r="B271" s="342" t="s">
        <v>1009</v>
      </c>
      <c r="C271" s="342" t="s">
        <v>459</v>
      </c>
      <c r="D271" s="342" t="s">
        <v>1190</v>
      </c>
      <c r="E271" s="636" t="s">
        <v>1609</v>
      </c>
      <c r="F271" s="637">
        <v>7060.75</v>
      </c>
      <c r="G271" s="637">
        <v>7104.43</v>
      </c>
      <c r="H271" s="637">
        <v>7144.13</v>
      </c>
      <c r="I271" s="637">
        <v>7188.33</v>
      </c>
      <c r="J271" s="637">
        <v>40840.54</v>
      </c>
      <c r="K271" s="637">
        <v>41092.71</v>
      </c>
      <c r="L271" s="637">
        <v>41338.25</v>
      </c>
      <c r="M271" s="637">
        <v>41593.49</v>
      </c>
      <c r="N271" s="637">
        <v>41850.31</v>
      </c>
      <c r="O271" s="637">
        <v>42100.38</v>
      </c>
      <c r="P271" s="637">
        <v>47546.63</v>
      </c>
      <c r="Q271" s="637">
        <v>5217.29</v>
      </c>
      <c r="R271" s="637">
        <v>5249.5</v>
      </c>
      <c r="S271" s="514">
        <f t="shared" si="65"/>
        <v>27430.967916666665</v>
      </c>
      <c r="T271" s="638"/>
      <c r="U271" s="679"/>
      <c r="V271" s="713"/>
      <c r="W271" s="713"/>
      <c r="X271" s="736">
        <f>+S271</f>
        <v>27430.967916666665</v>
      </c>
      <c r="Y271" s="713"/>
      <c r="Z271" s="713"/>
      <c r="AA271" s="675"/>
      <c r="AB271" s="683">
        <f>+S271</f>
        <v>27430.967916666665</v>
      </c>
      <c r="AC271" s="676"/>
      <c r="AD271" s="675"/>
      <c r="AE271" s="676"/>
      <c r="AF271" s="711">
        <f t="shared" si="62"/>
        <v>0</v>
      </c>
    </row>
    <row r="272" spans="1:32">
      <c r="A272" s="638">
        <v>258</v>
      </c>
      <c r="B272" s="342" t="s">
        <v>984</v>
      </c>
      <c r="C272" s="342" t="s">
        <v>459</v>
      </c>
      <c r="D272" s="342" t="s">
        <v>1191</v>
      </c>
      <c r="E272" s="636" t="s">
        <v>1613</v>
      </c>
      <c r="F272" s="637">
        <v>14082715.25</v>
      </c>
      <c r="G272" s="637">
        <v>14082715.25</v>
      </c>
      <c r="H272" s="637">
        <v>14117014.77</v>
      </c>
      <c r="I272" s="637">
        <v>14103400.560000001</v>
      </c>
      <c r="J272" s="637">
        <v>13142221.01</v>
      </c>
      <c r="K272" s="637">
        <v>13168075.51</v>
      </c>
      <c r="L272" s="637">
        <v>13174573.15</v>
      </c>
      <c r="M272" s="637">
        <v>13175998.15</v>
      </c>
      <c r="N272" s="637">
        <v>12807390.439999999</v>
      </c>
      <c r="O272" s="637">
        <v>12850165.449999999</v>
      </c>
      <c r="P272" s="637">
        <v>12853231.449999999</v>
      </c>
      <c r="Q272" s="637">
        <v>12853380.32</v>
      </c>
      <c r="R272" s="637">
        <v>12592136.48</v>
      </c>
      <c r="S272" s="514">
        <f t="shared" si="65"/>
        <v>13305465.99375</v>
      </c>
      <c r="T272" s="638"/>
      <c r="U272" s="679">
        <f>+S272</f>
        <v>13305465.99375</v>
      </c>
      <c r="V272" s="713"/>
      <c r="W272" s="713"/>
      <c r="X272" s="736"/>
      <c r="Y272" s="713"/>
      <c r="Z272" s="713"/>
      <c r="AA272" s="675"/>
      <c r="AB272" s="683"/>
      <c r="AC272" s="676"/>
      <c r="AD272" s="675">
        <f>+S272</f>
        <v>13305465.99375</v>
      </c>
      <c r="AE272" s="676"/>
      <c r="AF272" s="711">
        <f t="shared" si="62"/>
        <v>0</v>
      </c>
    </row>
    <row r="273" spans="1:32">
      <c r="A273" s="638">
        <v>259</v>
      </c>
      <c r="B273" s="342" t="s">
        <v>984</v>
      </c>
      <c r="C273" s="342" t="s">
        <v>459</v>
      </c>
      <c r="D273" s="342" t="s">
        <v>1425</v>
      </c>
      <c r="E273" s="636" t="s">
        <v>1614</v>
      </c>
      <c r="F273" s="637">
        <v>466500</v>
      </c>
      <c r="G273" s="637">
        <v>466500</v>
      </c>
      <c r="H273" s="637">
        <v>466500</v>
      </c>
      <c r="I273" s="637">
        <v>466500</v>
      </c>
      <c r="J273" s="637">
        <v>466500</v>
      </c>
      <c r="K273" s="637">
        <v>466500</v>
      </c>
      <c r="L273" s="637">
        <v>466500</v>
      </c>
      <c r="M273" s="637">
        <v>466500</v>
      </c>
      <c r="N273" s="637">
        <v>466500</v>
      </c>
      <c r="O273" s="637">
        <v>466500</v>
      </c>
      <c r="P273" s="637">
        <v>466500</v>
      </c>
      <c r="Q273" s="637">
        <v>466500</v>
      </c>
      <c r="R273" s="637">
        <v>466500</v>
      </c>
      <c r="S273" s="514">
        <f t="shared" si="65"/>
        <v>466500</v>
      </c>
      <c r="T273" s="638"/>
      <c r="U273" s="679">
        <f>+S273</f>
        <v>466500</v>
      </c>
      <c r="V273" s="713"/>
      <c r="W273" s="713"/>
      <c r="X273" s="736"/>
      <c r="Y273" s="713"/>
      <c r="Z273" s="713"/>
      <c r="AA273" s="675"/>
      <c r="AB273" s="683"/>
      <c r="AC273" s="676"/>
      <c r="AD273" s="675">
        <f>+S273</f>
        <v>466500</v>
      </c>
      <c r="AE273" s="676"/>
      <c r="AF273" s="711">
        <f t="shared" si="62"/>
        <v>0</v>
      </c>
    </row>
    <row r="274" spans="1:32">
      <c r="A274" s="638">
        <v>260</v>
      </c>
      <c r="B274" s="342" t="s">
        <v>1009</v>
      </c>
      <c r="C274" s="342" t="s">
        <v>459</v>
      </c>
      <c r="D274" s="342" t="s">
        <v>1192</v>
      </c>
      <c r="E274" s="636" t="s">
        <v>1611</v>
      </c>
      <c r="F274" s="637">
        <v>1883502.85</v>
      </c>
      <c r="G274" s="637">
        <v>1917787.71</v>
      </c>
      <c r="H274" s="637">
        <v>1888055.06</v>
      </c>
      <c r="I274" s="637">
        <v>1892076.67</v>
      </c>
      <c r="J274" s="637">
        <v>1677901.94</v>
      </c>
      <c r="K274" s="637">
        <v>1677702.78</v>
      </c>
      <c r="L274" s="637">
        <v>1132434.1399999999</v>
      </c>
      <c r="M274" s="637">
        <v>1139554.56</v>
      </c>
      <c r="N274" s="637">
        <v>1141824.44</v>
      </c>
      <c r="O274" s="637">
        <v>1143561.54</v>
      </c>
      <c r="P274" s="637">
        <v>1144594.2</v>
      </c>
      <c r="Q274" s="637">
        <v>1153377.47</v>
      </c>
      <c r="R274" s="637">
        <v>993974.16</v>
      </c>
      <c r="S274" s="514">
        <f t="shared" si="65"/>
        <v>1445634.0845833335</v>
      </c>
      <c r="T274" s="638"/>
      <c r="U274" s="679"/>
      <c r="V274" s="713"/>
      <c r="W274" s="713"/>
      <c r="X274" s="736">
        <f t="shared" ref="X274:X291" si="72">+S274</f>
        <v>1445634.0845833335</v>
      </c>
      <c r="Y274" s="713"/>
      <c r="Z274" s="713"/>
      <c r="AA274" s="675"/>
      <c r="AB274" s="713">
        <f t="shared" ref="AB274:AB294" si="73">+S274</f>
        <v>1445634.0845833335</v>
      </c>
      <c r="AC274" s="676"/>
      <c r="AD274" s="677"/>
      <c r="AE274" s="676"/>
      <c r="AF274" s="711">
        <f t="shared" si="62"/>
        <v>0</v>
      </c>
    </row>
    <row r="275" spans="1:32">
      <c r="A275" s="638">
        <v>261</v>
      </c>
      <c r="B275" s="342" t="s">
        <v>984</v>
      </c>
      <c r="C275" s="342" t="s">
        <v>459</v>
      </c>
      <c r="D275" s="342" t="s">
        <v>1194</v>
      </c>
      <c r="E275" s="636" t="s">
        <v>1615</v>
      </c>
      <c r="F275" s="637">
        <v>5432079.7599999998</v>
      </c>
      <c r="G275" s="637">
        <v>5432079.7599999998</v>
      </c>
      <c r="H275" s="637">
        <v>5433357.4199999999</v>
      </c>
      <c r="I275" s="637">
        <v>5467967.3399999999</v>
      </c>
      <c r="J275" s="637">
        <v>5538241.4100000001</v>
      </c>
      <c r="K275" s="637">
        <v>5543262.6600000001</v>
      </c>
      <c r="L275" s="637">
        <v>5543700.8300000001</v>
      </c>
      <c r="M275" s="637">
        <v>6305032.2699999996</v>
      </c>
      <c r="N275" s="637">
        <v>6486405.6200000001</v>
      </c>
      <c r="O275" s="637">
        <v>6930150.8300000001</v>
      </c>
      <c r="P275" s="637">
        <v>7465365.1200000001</v>
      </c>
      <c r="Q275" s="637">
        <v>7744088.04</v>
      </c>
      <c r="R275" s="637">
        <v>8015406.3799999999</v>
      </c>
      <c r="S275" s="514">
        <f t="shared" si="65"/>
        <v>6217782.8641666668</v>
      </c>
      <c r="T275" s="638"/>
      <c r="U275" s="679">
        <f>+S275</f>
        <v>6217782.8641666668</v>
      </c>
      <c r="V275" s="713"/>
      <c r="W275" s="713"/>
      <c r="X275" s="736"/>
      <c r="Y275" s="713"/>
      <c r="Z275" s="713"/>
      <c r="AA275" s="675"/>
      <c r="AB275" s="713"/>
      <c r="AC275" s="676"/>
      <c r="AD275" s="677">
        <f>+S275</f>
        <v>6217782.8641666668</v>
      </c>
      <c r="AE275" s="676"/>
      <c r="AF275" s="711">
        <f t="shared" si="62"/>
        <v>0</v>
      </c>
    </row>
    <row r="276" spans="1:32">
      <c r="A276" s="638">
        <v>262</v>
      </c>
      <c r="B276" s="342" t="s">
        <v>984</v>
      </c>
      <c r="C276" s="342" t="s">
        <v>459</v>
      </c>
      <c r="D276" s="342" t="s">
        <v>1426</v>
      </c>
      <c r="E276" s="636" t="s">
        <v>1628</v>
      </c>
      <c r="F276" s="637">
        <v>5197058.3</v>
      </c>
      <c r="G276" s="637">
        <v>5151866.49</v>
      </c>
      <c r="H276" s="637">
        <v>5106674.68</v>
      </c>
      <c r="I276" s="637">
        <v>5061482.87</v>
      </c>
      <c r="J276" s="637">
        <v>5016291.0599999996</v>
      </c>
      <c r="K276" s="637">
        <v>4971099.25</v>
      </c>
      <c r="L276" s="637">
        <v>4925907.4400000004</v>
      </c>
      <c r="M276" s="637">
        <v>4880715.63</v>
      </c>
      <c r="N276" s="637">
        <v>4835523.82</v>
      </c>
      <c r="O276" s="637">
        <v>4790332.01</v>
      </c>
      <c r="P276" s="637">
        <v>4745140.2</v>
      </c>
      <c r="Q276" s="637">
        <v>4699948.3899999997</v>
      </c>
      <c r="R276" s="637">
        <v>4654756.58</v>
      </c>
      <c r="S276" s="514">
        <f t="shared" si="65"/>
        <v>4925907.4400000004</v>
      </c>
      <c r="T276" s="638"/>
      <c r="U276" s="679">
        <f>+S276</f>
        <v>4925907.4400000004</v>
      </c>
      <c r="V276" s="713"/>
      <c r="W276" s="713"/>
      <c r="X276" s="736"/>
      <c r="Y276" s="713"/>
      <c r="Z276" s="713"/>
      <c r="AA276" s="675"/>
      <c r="AB276" s="713">
        <f>+X276</f>
        <v>0</v>
      </c>
      <c r="AC276" s="676"/>
      <c r="AD276" s="677">
        <f>+S276</f>
        <v>4925907.4400000004</v>
      </c>
      <c r="AE276" s="676"/>
      <c r="AF276" s="711">
        <f t="shared" si="62"/>
        <v>0</v>
      </c>
    </row>
    <row r="277" spans="1:32">
      <c r="A277" s="638">
        <v>263</v>
      </c>
      <c r="B277" s="342" t="s">
        <v>1009</v>
      </c>
      <c r="C277" s="342" t="s">
        <v>459</v>
      </c>
      <c r="D277" s="342" t="s">
        <v>1427</v>
      </c>
      <c r="E277" s="636" t="s">
        <v>1612</v>
      </c>
      <c r="F277" s="637">
        <v>70723.14</v>
      </c>
      <c r="G277" s="637">
        <v>62709.42</v>
      </c>
      <c r="H277" s="637">
        <v>55206.400000000001</v>
      </c>
      <c r="I277" s="637">
        <v>46707.57</v>
      </c>
      <c r="J277" s="637">
        <v>234531.38</v>
      </c>
      <c r="K277" s="637">
        <v>233174.02</v>
      </c>
      <c r="L277" s="637">
        <v>231786.92</v>
      </c>
      <c r="M277" s="637">
        <v>230684.2</v>
      </c>
      <c r="N277" s="637">
        <v>229712.1</v>
      </c>
      <c r="O277" s="637">
        <v>228723.35</v>
      </c>
      <c r="P277" s="637">
        <v>226684.72</v>
      </c>
      <c r="Q277" s="637">
        <v>224096.26</v>
      </c>
      <c r="R277" s="637">
        <v>220486.17</v>
      </c>
      <c r="S277" s="514">
        <f t="shared" si="65"/>
        <v>179135.08291666667</v>
      </c>
      <c r="T277" s="638"/>
      <c r="U277" s="675"/>
      <c r="V277" s="713"/>
      <c r="W277" s="713"/>
      <c r="X277" s="736">
        <f t="shared" si="72"/>
        <v>179135.08291666667</v>
      </c>
      <c r="Y277" s="713"/>
      <c r="Z277" s="713"/>
      <c r="AA277" s="675"/>
      <c r="AB277" s="713">
        <f>+X277</f>
        <v>179135.08291666667</v>
      </c>
      <c r="AC277" s="676"/>
      <c r="AD277" s="677"/>
      <c r="AE277" s="676"/>
      <c r="AF277" s="711">
        <f t="shared" si="62"/>
        <v>0</v>
      </c>
    </row>
    <row r="278" spans="1:32">
      <c r="A278" s="638">
        <v>264</v>
      </c>
      <c r="B278" s="342" t="s">
        <v>1009</v>
      </c>
      <c r="C278" s="342" t="s">
        <v>459</v>
      </c>
      <c r="D278" s="342" t="s">
        <v>1441</v>
      </c>
      <c r="E278" s="636" t="s">
        <v>1615</v>
      </c>
      <c r="F278" s="637">
        <v>0</v>
      </c>
      <c r="G278" s="637">
        <v>0</v>
      </c>
      <c r="H278" s="637">
        <v>0</v>
      </c>
      <c r="I278" s="637">
        <v>0</v>
      </c>
      <c r="J278" s="637">
        <v>567072.48</v>
      </c>
      <c r="K278" s="637">
        <v>550870.41</v>
      </c>
      <c r="L278" s="637">
        <v>534668.34</v>
      </c>
      <c r="M278" s="637">
        <v>518466.27</v>
      </c>
      <c r="N278" s="637">
        <v>502264.2</v>
      </c>
      <c r="O278" s="637">
        <v>486062.13</v>
      </c>
      <c r="P278" s="637">
        <v>469860.06</v>
      </c>
      <c r="Q278" s="637">
        <v>453657.99</v>
      </c>
      <c r="R278" s="637">
        <v>437455.92</v>
      </c>
      <c r="S278" s="514">
        <f t="shared" si="65"/>
        <v>358470.82</v>
      </c>
      <c r="T278" s="638"/>
      <c r="U278" s="675"/>
      <c r="V278" s="713"/>
      <c r="W278" s="713"/>
      <c r="X278" s="736">
        <f>+S278</f>
        <v>358470.82</v>
      </c>
      <c r="Y278" s="713"/>
      <c r="Z278" s="713"/>
      <c r="AA278" s="675"/>
      <c r="AB278" s="713">
        <f>+S278</f>
        <v>358470.82</v>
      </c>
      <c r="AC278" s="676"/>
      <c r="AD278" s="677"/>
      <c r="AE278" s="676"/>
      <c r="AF278" s="711"/>
    </row>
    <row r="279" spans="1:32">
      <c r="A279" s="638">
        <v>265</v>
      </c>
      <c r="B279" s="342" t="s">
        <v>984</v>
      </c>
      <c r="C279" s="342" t="s">
        <v>459</v>
      </c>
      <c r="D279" s="342" t="s">
        <v>1442</v>
      </c>
      <c r="E279" s="636" t="s">
        <v>1910</v>
      </c>
      <c r="F279" s="637">
        <v>0</v>
      </c>
      <c r="G279" s="637">
        <v>0</v>
      </c>
      <c r="H279" s="637">
        <v>0</v>
      </c>
      <c r="I279" s="637">
        <v>0</v>
      </c>
      <c r="J279" s="637">
        <v>0</v>
      </c>
      <c r="K279" s="637">
        <v>0</v>
      </c>
      <c r="L279" s="637">
        <v>0</v>
      </c>
      <c r="M279" s="637">
        <v>0</v>
      </c>
      <c r="N279" s="637">
        <v>0</v>
      </c>
      <c r="O279" s="637">
        <v>0</v>
      </c>
      <c r="P279" s="637">
        <v>0</v>
      </c>
      <c r="Q279" s="637">
        <v>0</v>
      </c>
      <c r="R279" s="637">
        <v>277480.27</v>
      </c>
      <c r="S279" s="514">
        <f t="shared" si="65"/>
        <v>11561.677916666667</v>
      </c>
      <c r="T279" s="638"/>
      <c r="U279" s="675">
        <f>+S279</f>
        <v>11561.677916666667</v>
      </c>
      <c r="V279" s="713"/>
      <c r="W279" s="713"/>
      <c r="X279" s="736"/>
      <c r="Y279" s="713"/>
      <c r="Z279" s="713"/>
      <c r="AA279" s="675"/>
      <c r="AB279" s="713"/>
      <c r="AC279" s="676"/>
      <c r="AD279" s="677">
        <f>+S279</f>
        <v>11561.677916666667</v>
      </c>
      <c r="AE279" s="676"/>
      <c r="AF279" s="711"/>
    </row>
    <row r="280" spans="1:32">
      <c r="A280" s="638">
        <v>266</v>
      </c>
      <c r="B280" s="342" t="s">
        <v>1883</v>
      </c>
      <c r="C280" s="342" t="s">
        <v>502</v>
      </c>
      <c r="D280" s="342" t="s">
        <v>1890</v>
      </c>
      <c r="E280" s="636" t="s">
        <v>1618</v>
      </c>
      <c r="F280" s="637">
        <v>0</v>
      </c>
      <c r="G280" s="637">
        <v>641534.98</v>
      </c>
      <c r="H280" s="637">
        <v>1111122.68</v>
      </c>
      <c r="I280" s="637">
        <v>2014787.43</v>
      </c>
      <c r="J280" s="637">
        <v>2241907.98</v>
      </c>
      <c r="K280" s="637">
        <v>1798183.13</v>
      </c>
      <c r="L280" s="637">
        <v>1844315.2</v>
      </c>
      <c r="M280" s="637">
        <v>1839483.45</v>
      </c>
      <c r="N280" s="637">
        <v>1589409.23</v>
      </c>
      <c r="O280" s="637">
        <v>1673282.96</v>
      </c>
      <c r="P280" s="637">
        <v>2483085.9500000002</v>
      </c>
      <c r="Q280" s="637">
        <v>2304319.4700000002</v>
      </c>
      <c r="R280" s="637">
        <v>1784571.53</v>
      </c>
      <c r="S280" s="514">
        <f t="shared" si="65"/>
        <v>1702809.8520833331</v>
      </c>
      <c r="T280" s="638"/>
      <c r="U280" s="675"/>
      <c r="V280" s="713">
        <f>+S280</f>
        <v>1702809.8520833331</v>
      </c>
      <c r="W280" s="713"/>
      <c r="X280" s="736"/>
      <c r="Y280" s="713"/>
      <c r="Z280" s="713"/>
      <c r="AA280" s="675"/>
      <c r="AB280" s="713"/>
      <c r="AC280" s="676"/>
      <c r="AD280" s="677">
        <f t="shared" ref="AD280:AD281" si="74">+S280</f>
        <v>1702809.8520833331</v>
      </c>
      <c r="AE280" s="676"/>
      <c r="AF280" s="711"/>
    </row>
    <row r="281" spans="1:32">
      <c r="A281" s="638">
        <v>267</v>
      </c>
      <c r="B281" s="342" t="s">
        <v>1883</v>
      </c>
      <c r="C281" s="342" t="s">
        <v>502</v>
      </c>
      <c r="D281" s="342" t="s">
        <v>1892</v>
      </c>
      <c r="E281" s="636" t="s">
        <v>1618</v>
      </c>
      <c r="F281" s="637">
        <v>0</v>
      </c>
      <c r="G281" s="637">
        <v>1598763.47</v>
      </c>
      <c r="H281" s="637">
        <v>4137153.52</v>
      </c>
      <c r="I281" s="637">
        <v>4682162.58</v>
      </c>
      <c r="J281" s="637">
        <v>3891731.19</v>
      </c>
      <c r="K281" s="637">
        <v>3688842.38</v>
      </c>
      <c r="L281" s="637">
        <v>3465330.59</v>
      </c>
      <c r="M281" s="637">
        <v>3444803.79</v>
      </c>
      <c r="N281" s="637">
        <v>3048805.93</v>
      </c>
      <c r="O281" s="637">
        <v>3133600.3</v>
      </c>
      <c r="P281" s="637">
        <v>3430358.19</v>
      </c>
      <c r="Q281" s="637">
        <v>3793768.43</v>
      </c>
      <c r="R281" s="637">
        <v>2992929.3</v>
      </c>
      <c r="S281" s="514">
        <f t="shared" si="65"/>
        <v>3317648.7516666665</v>
      </c>
      <c r="T281" s="638"/>
      <c r="U281" s="675"/>
      <c r="V281" s="713">
        <f>+S281</f>
        <v>3317648.7516666665</v>
      </c>
      <c r="W281" s="713"/>
      <c r="X281" s="736"/>
      <c r="Y281" s="713"/>
      <c r="Z281" s="713"/>
      <c r="AA281" s="675"/>
      <c r="AB281" s="713"/>
      <c r="AC281" s="676"/>
      <c r="AD281" s="677">
        <f t="shared" si="74"/>
        <v>3317648.7516666665</v>
      </c>
      <c r="AE281" s="676"/>
      <c r="AF281" s="711"/>
    </row>
    <row r="282" spans="1:32">
      <c r="A282" s="638">
        <v>268</v>
      </c>
      <c r="B282" s="342" t="s">
        <v>984</v>
      </c>
      <c r="C282" s="342" t="s">
        <v>502</v>
      </c>
      <c r="D282" s="342" t="s">
        <v>1195</v>
      </c>
      <c r="E282" s="636" t="s">
        <v>1620</v>
      </c>
      <c r="F282" s="637">
        <v>0</v>
      </c>
      <c r="G282" s="637">
        <v>0</v>
      </c>
      <c r="H282" s="637">
        <v>0</v>
      </c>
      <c r="I282" s="637">
        <v>0</v>
      </c>
      <c r="J282" s="637">
        <v>0</v>
      </c>
      <c r="K282" s="637">
        <v>0</v>
      </c>
      <c r="L282" s="637">
        <v>0</v>
      </c>
      <c r="M282" s="637">
        <v>0</v>
      </c>
      <c r="N282" s="637">
        <v>0</v>
      </c>
      <c r="O282" s="637">
        <v>0</v>
      </c>
      <c r="P282" s="637">
        <v>0</v>
      </c>
      <c r="Q282" s="637">
        <v>0</v>
      </c>
      <c r="R282" s="637">
        <v>0</v>
      </c>
      <c r="S282" s="514">
        <f t="shared" si="65"/>
        <v>0</v>
      </c>
      <c r="T282" s="638"/>
      <c r="U282" s="675"/>
      <c r="V282" s="713"/>
      <c r="W282" s="713"/>
      <c r="X282" s="736">
        <f t="shared" si="72"/>
        <v>0</v>
      </c>
      <c r="Y282" s="713"/>
      <c r="Z282" s="713"/>
      <c r="AA282" s="675"/>
      <c r="AB282" s="713">
        <f t="shared" ref="AB282:AB291" si="75">+X282</f>
        <v>0</v>
      </c>
      <c r="AC282" s="676"/>
      <c r="AD282" s="677"/>
      <c r="AE282" s="676"/>
      <c r="AF282" s="711">
        <f t="shared" si="62"/>
        <v>0</v>
      </c>
    </row>
    <row r="283" spans="1:32">
      <c r="A283" s="638">
        <v>269</v>
      </c>
      <c r="B283" s="342" t="s">
        <v>984</v>
      </c>
      <c r="C283" s="342" t="s">
        <v>502</v>
      </c>
      <c r="D283" s="342" t="s">
        <v>1196</v>
      </c>
      <c r="E283" s="636" t="s">
        <v>1621</v>
      </c>
      <c r="F283" s="637">
        <v>0</v>
      </c>
      <c r="G283" s="637">
        <v>0</v>
      </c>
      <c r="H283" s="637">
        <v>0</v>
      </c>
      <c r="I283" s="637">
        <v>0</v>
      </c>
      <c r="J283" s="637">
        <v>0</v>
      </c>
      <c r="K283" s="637">
        <v>0</v>
      </c>
      <c r="L283" s="637">
        <v>0</v>
      </c>
      <c r="M283" s="637">
        <v>0</v>
      </c>
      <c r="N283" s="637">
        <v>0</v>
      </c>
      <c r="O283" s="637">
        <v>0</v>
      </c>
      <c r="P283" s="637">
        <v>0</v>
      </c>
      <c r="Q283" s="637">
        <v>0</v>
      </c>
      <c r="R283" s="637">
        <v>0</v>
      </c>
      <c r="S283" s="514">
        <f t="shared" si="65"/>
        <v>0</v>
      </c>
      <c r="T283" s="638"/>
      <c r="U283" s="675"/>
      <c r="V283" s="713"/>
      <c r="W283" s="713"/>
      <c r="X283" s="736">
        <f t="shared" si="72"/>
        <v>0</v>
      </c>
      <c r="Y283" s="713"/>
      <c r="Z283" s="713"/>
      <c r="AA283" s="675"/>
      <c r="AB283" s="713">
        <f t="shared" si="75"/>
        <v>0</v>
      </c>
      <c r="AC283" s="676"/>
      <c r="AD283" s="677"/>
      <c r="AE283" s="676"/>
      <c r="AF283" s="711">
        <f t="shared" si="62"/>
        <v>0</v>
      </c>
    </row>
    <row r="284" spans="1:32">
      <c r="A284" s="638">
        <v>270</v>
      </c>
      <c r="B284" s="342" t="s">
        <v>984</v>
      </c>
      <c r="C284" s="342" t="s">
        <v>502</v>
      </c>
      <c r="D284" s="342" t="s">
        <v>1188</v>
      </c>
      <c r="E284" s="636" t="s">
        <v>1622</v>
      </c>
      <c r="F284" s="637">
        <v>0</v>
      </c>
      <c r="G284" s="637">
        <v>0</v>
      </c>
      <c r="H284" s="637">
        <v>0</v>
      </c>
      <c r="I284" s="637">
        <v>0</v>
      </c>
      <c r="J284" s="637">
        <v>0</v>
      </c>
      <c r="K284" s="637">
        <v>0</v>
      </c>
      <c r="L284" s="637">
        <v>0</v>
      </c>
      <c r="M284" s="637">
        <v>0</v>
      </c>
      <c r="N284" s="637">
        <v>0</v>
      </c>
      <c r="O284" s="637">
        <v>0</v>
      </c>
      <c r="P284" s="637">
        <v>0</v>
      </c>
      <c r="Q284" s="637">
        <v>0</v>
      </c>
      <c r="R284" s="637">
        <v>0</v>
      </c>
      <c r="S284" s="514">
        <f t="shared" si="65"/>
        <v>0</v>
      </c>
      <c r="T284" s="638"/>
      <c r="U284" s="675"/>
      <c r="V284" s="713"/>
      <c r="W284" s="713"/>
      <c r="X284" s="736">
        <f t="shared" si="72"/>
        <v>0</v>
      </c>
      <c r="Y284" s="713"/>
      <c r="Z284" s="713"/>
      <c r="AA284" s="675"/>
      <c r="AB284" s="713">
        <f t="shared" si="75"/>
        <v>0</v>
      </c>
      <c r="AC284" s="676"/>
      <c r="AD284" s="677"/>
      <c r="AE284" s="676"/>
      <c r="AF284" s="711">
        <f t="shared" si="62"/>
        <v>0</v>
      </c>
    </row>
    <row r="285" spans="1:32">
      <c r="A285" s="638">
        <v>271</v>
      </c>
      <c r="B285" s="342" t="s">
        <v>984</v>
      </c>
      <c r="C285" s="342" t="s">
        <v>502</v>
      </c>
      <c r="D285" s="342" t="s">
        <v>1190</v>
      </c>
      <c r="E285" s="636" t="s">
        <v>1623</v>
      </c>
      <c r="F285" s="637">
        <v>0</v>
      </c>
      <c r="G285" s="637">
        <v>0</v>
      </c>
      <c r="H285" s="637">
        <v>0</v>
      </c>
      <c r="I285" s="637">
        <v>0</v>
      </c>
      <c r="J285" s="637">
        <v>0</v>
      </c>
      <c r="K285" s="637">
        <v>0</v>
      </c>
      <c r="L285" s="637">
        <v>0</v>
      </c>
      <c r="M285" s="637">
        <v>0</v>
      </c>
      <c r="N285" s="637">
        <v>0</v>
      </c>
      <c r="O285" s="637">
        <v>0</v>
      </c>
      <c r="P285" s="637">
        <v>0</v>
      </c>
      <c r="Q285" s="637">
        <v>0</v>
      </c>
      <c r="R285" s="637">
        <v>0</v>
      </c>
      <c r="S285" s="514">
        <f t="shared" si="65"/>
        <v>0</v>
      </c>
      <c r="T285" s="638"/>
      <c r="U285" s="675"/>
      <c r="V285" s="713"/>
      <c r="W285" s="713"/>
      <c r="X285" s="736">
        <f t="shared" si="72"/>
        <v>0</v>
      </c>
      <c r="Y285" s="713"/>
      <c r="Z285" s="713"/>
      <c r="AA285" s="675"/>
      <c r="AB285" s="713">
        <f t="shared" si="75"/>
        <v>0</v>
      </c>
      <c r="AC285" s="676"/>
      <c r="AD285" s="677"/>
      <c r="AE285" s="676"/>
      <c r="AF285" s="711">
        <f t="shared" si="62"/>
        <v>0</v>
      </c>
    </row>
    <row r="286" spans="1:32">
      <c r="A286" s="638">
        <v>272</v>
      </c>
      <c r="B286" s="342" t="s">
        <v>1009</v>
      </c>
      <c r="C286" s="342" t="s">
        <v>502</v>
      </c>
      <c r="D286" s="342" t="s">
        <v>1197</v>
      </c>
      <c r="E286" s="636" t="s">
        <v>1616</v>
      </c>
      <c r="F286" s="637">
        <v>643838.16</v>
      </c>
      <c r="G286" s="637">
        <v>984986.82</v>
      </c>
      <c r="H286" s="637">
        <v>329914.84000000003</v>
      </c>
      <c r="I286" s="637">
        <v>-368987.36</v>
      </c>
      <c r="J286" s="637">
        <v>-123533.88</v>
      </c>
      <c r="K286" s="637">
        <v>166169.65</v>
      </c>
      <c r="L286" s="637">
        <v>207631.55</v>
      </c>
      <c r="M286" s="637">
        <v>208913.58</v>
      </c>
      <c r="N286" s="637">
        <v>210203.51999999999</v>
      </c>
      <c r="O286" s="637">
        <v>205820.39</v>
      </c>
      <c r="P286" s="637">
        <v>-238349.44</v>
      </c>
      <c r="Q286" s="637">
        <v>-513985.37</v>
      </c>
      <c r="R286" s="637">
        <v>-35331.469999999899</v>
      </c>
      <c r="S286" s="514">
        <f t="shared" si="65"/>
        <v>114419.80375000001</v>
      </c>
      <c r="T286" s="638"/>
      <c r="U286" s="675"/>
      <c r="V286" s="713"/>
      <c r="W286" s="713"/>
      <c r="X286" s="736">
        <f t="shared" si="72"/>
        <v>114419.80375000001</v>
      </c>
      <c r="Y286" s="713"/>
      <c r="Z286" s="713"/>
      <c r="AA286" s="675"/>
      <c r="AB286" s="713">
        <f t="shared" si="75"/>
        <v>114419.80375000001</v>
      </c>
      <c r="AC286" s="676"/>
      <c r="AD286" s="677"/>
      <c r="AE286" s="676"/>
      <c r="AF286" s="711">
        <f t="shared" si="62"/>
        <v>0</v>
      </c>
    </row>
    <row r="287" spans="1:32">
      <c r="A287" s="638">
        <v>273</v>
      </c>
      <c r="B287" s="342" t="s">
        <v>1009</v>
      </c>
      <c r="C287" s="342" t="s">
        <v>502</v>
      </c>
      <c r="D287" s="342" t="s">
        <v>1198</v>
      </c>
      <c r="E287" s="636" t="s">
        <v>1617</v>
      </c>
      <c r="F287" s="637">
        <v>-228902.82</v>
      </c>
      <c r="G287" s="637">
        <v>-1130641.23</v>
      </c>
      <c r="H287" s="637">
        <v>-1158532.98</v>
      </c>
      <c r="I287" s="637">
        <v>-1532863.72</v>
      </c>
      <c r="J287" s="637">
        <v>-2118355.13</v>
      </c>
      <c r="K287" s="637">
        <v>-2008163.65</v>
      </c>
      <c r="L287" s="637">
        <v>-2142432.1</v>
      </c>
      <c r="M287" s="637">
        <v>-2174164.87</v>
      </c>
      <c r="N287" s="637">
        <v>-1947628.44</v>
      </c>
      <c r="O287" s="637">
        <v>-2078140.8</v>
      </c>
      <c r="P287" s="637">
        <v>-2580194.39</v>
      </c>
      <c r="Q287" s="637">
        <v>-360682.3</v>
      </c>
      <c r="R287" s="637">
        <v>-590581.18999999994</v>
      </c>
      <c r="S287" s="514">
        <f t="shared" si="65"/>
        <v>-1636795.1345833333</v>
      </c>
      <c r="T287" s="638"/>
      <c r="U287" s="675"/>
      <c r="V287" s="713"/>
      <c r="W287" s="713"/>
      <c r="X287" s="736">
        <f t="shared" si="72"/>
        <v>-1636795.1345833333</v>
      </c>
      <c r="Y287" s="713"/>
      <c r="Z287" s="713"/>
      <c r="AA287" s="675"/>
      <c r="AB287" s="713">
        <f t="shared" si="75"/>
        <v>-1636795.1345833333</v>
      </c>
      <c r="AC287" s="676"/>
      <c r="AD287" s="677"/>
      <c r="AE287" s="676"/>
      <c r="AF287" s="711">
        <f t="shared" si="62"/>
        <v>0</v>
      </c>
    </row>
    <row r="288" spans="1:32">
      <c r="A288" s="638">
        <v>274</v>
      </c>
      <c r="B288" s="342" t="s">
        <v>1009</v>
      </c>
      <c r="C288" s="342" t="s">
        <v>502</v>
      </c>
      <c r="D288" s="342" t="s">
        <v>1199</v>
      </c>
      <c r="E288" s="636" t="s">
        <v>1618</v>
      </c>
      <c r="F288" s="637">
        <v>444461.68</v>
      </c>
      <c r="G288" s="637">
        <v>0</v>
      </c>
      <c r="H288" s="637">
        <v>0</v>
      </c>
      <c r="I288" s="637">
        <v>0</v>
      </c>
      <c r="J288" s="637">
        <v>0</v>
      </c>
      <c r="K288" s="637">
        <v>0</v>
      </c>
      <c r="L288" s="637">
        <v>0</v>
      </c>
      <c r="M288" s="637">
        <v>0</v>
      </c>
      <c r="N288" s="637">
        <v>0</v>
      </c>
      <c r="O288" s="637">
        <v>0</v>
      </c>
      <c r="P288" s="637">
        <v>0</v>
      </c>
      <c r="Q288" s="637">
        <v>0</v>
      </c>
      <c r="R288" s="637">
        <v>0</v>
      </c>
      <c r="S288" s="514">
        <f t="shared" si="65"/>
        <v>18519.236666666668</v>
      </c>
      <c r="T288" s="638"/>
      <c r="U288" s="675"/>
      <c r="V288" s="713">
        <f>+S288</f>
        <v>18519.236666666668</v>
      </c>
      <c r="W288" s="713"/>
      <c r="X288" s="736"/>
      <c r="Y288" s="713"/>
      <c r="Z288" s="713"/>
      <c r="AA288" s="675"/>
      <c r="AB288" s="713">
        <f t="shared" si="75"/>
        <v>0</v>
      </c>
      <c r="AC288" s="676"/>
      <c r="AD288" s="677">
        <f>+S288</f>
        <v>18519.236666666668</v>
      </c>
      <c r="AE288" s="676"/>
      <c r="AF288" s="711">
        <f t="shared" si="62"/>
        <v>0</v>
      </c>
    </row>
    <row r="289" spans="1:32">
      <c r="A289" s="638">
        <v>275</v>
      </c>
      <c r="B289" s="342" t="s">
        <v>1009</v>
      </c>
      <c r="C289" s="342" t="s">
        <v>502</v>
      </c>
      <c r="D289" s="342" t="s">
        <v>1200</v>
      </c>
      <c r="E289" s="636" t="s">
        <v>1619</v>
      </c>
      <c r="F289" s="637">
        <v>-859397.02</v>
      </c>
      <c r="G289" s="637">
        <v>-647935</v>
      </c>
      <c r="H289" s="637">
        <v>-449843.62</v>
      </c>
      <c r="I289" s="637">
        <v>-224713.82</v>
      </c>
      <c r="J289" s="637">
        <v>-72025.13</v>
      </c>
      <c r="K289" s="637">
        <v>7716.5999999999904</v>
      </c>
      <c r="L289" s="637">
        <v>62336.9</v>
      </c>
      <c r="M289" s="637">
        <v>102130.51</v>
      </c>
      <c r="N289" s="637">
        <v>135575.28</v>
      </c>
      <c r="O289" s="637">
        <v>168612.3</v>
      </c>
      <c r="P289" s="637">
        <v>247812.78</v>
      </c>
      <c r="Q289" s="637">
        <v>-1598765.05</v>
      </c>
      <c r="R289" s="637">
        <v>-1349763.52</v>
      </c>
      <c r="S289" s="514">
        <f t="shared" si="65"/>
        <v>-281139.87666666665</v>
      </c>
      <c r="T289" s="638"/>
      <c r="U289" s="675"/>
      <c r="V289" s="713"/>
      <c r="W289" s="713"/>
      <c r="X289" s="736">
        <f t="shared" si="72"/>
        <v>-281139.87666666665</v>
      </c>
      <c r="Y289" s="713"/>
      <c r="Z289" s="713"/>
      <c r="AA289" s="675"/>
      <c r="AB289" s="713">
        <f t="shared" si="75"/>
        <v>-281139.87666666665</v>
      </c>
      <c r="AC289" s="676"/>
      <c r="AD289" s="677"/>
      <c r="AE289" s="676"/>
      <c r="AF289" s="711">
        <f t="shared" si="62"/>
        <v>0</v>
      </c>
    </row>
    <row r="290" spans="1:32">
      <c r="A290" s="638">
        <v>276</v>
      </c>
      <c r="B290" s="342" t="s">
        <v>984</v>
      </c>
      <c r="C290" s="342" t="s">
        <v>502</v>
      </c>
      <c r="D290" s="342" t="s">
        <v>1911</v>
      </c>
      <c r="E290" s="636" t="s">
        <v>1912</v>
      </c>
      <c r="F290" s="637">
        <v>0</v>
      </c>
      <c r="G290" s="637">
        <v>152054.43</v>
      </c>
      <c r="H290" s="637">
        <v>167339.07999999999</v>
      </c>
      <c r="I290" s="637">
        <v>111777.47</v>
      </c>
      <c r="J290" s="637">
        <v>72006.16</v>
      </c>
      <c r="K290" s="637">
        <v>36094.269999999997</v>
      </c>
      <c r="L290" s="637">
        <v>28148.45</v>
      </c>
      <c r="M290" s="637">
        <v>23637.33</v>
      </c>
      <c r="N290" s="637">
        <v>12440.41</v>
      </c>
      <c r="O290" s="637">
        <v>30425.15</v>
      </c>
      <c r="P290" s="637">
        <v>87645.1</v>
      </c>
      <c r="Q290" s="637">
        <v>169113.25</v>
      </c>
      <c r="R290" s="637">
        <v>191104.65</v>
      </c>
      <c r="S290" s="514">
        <f t="shared" si="65"/>
        <v>82186.118749999994</v>
      </c>
      <c r="T290" s="638"/>
      <c r="U290" s="675"/>
      <c r="V290" s="713"/>
      <c r="W290" s="713"/>
      <c r="X290" s="736">
        <f t="shared" si="72"/>
        <v>82186.118749999994</v>
      </c>
      <c r="Y290" s="713"/>
      <c r="Z290" s="713"/>
      <c r="AA290" s="675"/>
      <c r="AB290" s="713">
        <f t="shared" si="75"/>
        <v>82186.118749999994</v>
      </c>
      <c r="AC290" s="676"/>
      <c r="AD290" s="677"/>
      <c r="AE290" s="676"/>
      <c r="AF290" s="711">
        <f t="shared" si="62"/>
        <v>0</v>
      </c>
    </row>
    <row r="291" spans="1:32">
      <c r="A291" s="638">
        <v>277</v>
      </c>
      <c r="B291" s="342" t="s">
        <v>984</v>
      </c>
      <c r="C291" s="342" t="s">
        <v>502</v>
      </c>
      <c r="D291" s="342" t="s">
        <v>1193</v>
      </c>
      <c r="E291" s="636" t="s">
        <v>1624</v>
      </c>
      <c r="F291" s="637">
        <v>0</v>
      </c>
      <c r="G291" s="637">
        <v>0</v>
      </c>
      <c r="H291" s="637">
        <v>0</v>
      </c>
      <c r="I291" s="637">
        <v>0</v>
      </c>
      <c r="J291" s="637">
        <v>0</v>
      </c>
      <c r="K291" s="637">
        <v>0</v>
      </c>
      <c r="L291" s="637">
        <v>0</v>
      </c>
      <c r="M291" s="637">
        <v>0</v>
      </c>
      <c r="N291" s="637">
        <v>0</v>
      </c>
      <c r="O291" s="637">
        <v>0</v>
      </c>
      <c r="P291" s="637">
        <v>0</v>
      </c>
      <c r="Q291" s="637">
        <v>0</v>
      </c>
      <c r="R291" s="637">
        <v>0</v>
      </c>
      <c r="S291" s="514">
        <f t="shared" si="65"/>
        <v>0</v>
      </c>
      <c r="T291" s="638"/>
      <c r="U291" s="675"/>
      <c r="V291" s="713"/>
      <c r="W291" s="713"/>
      <c r="X291" s="736">
        <f t="shared" si="72"/>
        <v>0</v>
      </c>
      <c r="Y291" s="713"/>
      <c r="Z291" s="713"/>
      <c r="AA291" s="675"/>
      <c r="AB291" s="713">
        <f t="shared" si="75"/>
        <v>0</v>
      </c>
      <c r="AC291" s="676"/>
      <c r="AD291" s="677"/>
      <c r="AE291" s="676"/>
      <c r="AF291" s="711">
        <f t="shared" si="62"/>
        <v>0</v>
      </c>
    </row>
    <row r="292" spans="1:32">
      <c r="A292" s="638">
        <v>278</v>
      </c>
      <c r="B292" s="342" t="s">
        <v>984</v>
      </c>
      <c r="C292" s="342" t="s">
        <v>502</v>
      </c>
      <c r="D292" s="342" t="s">
        <v>1194</v>
      </c>
      <c r="E292" s="636" t="s">
        <v>1625</v>
      </c>
      <c r="F292" s="637">
        <v>4075395.82</v>
      </c>
      <c r="G292" s="637">
        <v>0</v>
      </c>
      <c r="H292" s="637">
        <v>0</v>
      </c>
      <c r="I292" s="637">
        <v>0</v>
      </c>
      <c r="J292" s="637">
        <v>0</v>
      </c>
      <c r="K292" s="637">
        <v>0</v>
      </c>
      <c r="L292" s="637">
        <v>0</v>
      </c>
      <c r="M292" s="637">
        <v>0</v>
      </c>
      <c r="N292" s="637">
        <v>0</v>
      </c>
      <c r="O292" s="637">
        <v>0</v>
      </c>
      <c r="P292" s="637">
        <v>0</v>
      </c>
      <c r="Q292" s="637">
        <v>0</v>
      </c>
      <c r="R292" s="637">
        <v>0</v>
      </c>
      <c r="S292" s="514">
        <f t="shared" si="65"/>
        <v>169808.15916666665</v>
      </c>
      <c r="T292" s="638"/>
      <c r="U292" s="675"/>
      <c r="V292" s="713">
        <f>+S292</f>
        <v>169808.15916666665</v>
      </c>
      <c r="W292" s="713"/>
      <c r="X292" s="736"/>
      <c r="Y292" s="713"/>
      <c r="Z292" s="713"/>
      <c r="AA292" s="675"/>
      <c r="AB292" s="713"/>
      <c r="AC292" s="676"/>
      <c r="AD292" s="677">
        <f>+S292</f>
        <v>169808.15916666665</v>
      </c>
      <c r="AE292" s="676"/>
      <c r="AF292" s="711">
        <f t="shared" si="62"/>
        <v>0</v>
      </c>
    </row>
    <row r="293" spans="1:32">
      <c r="A293" s="638">
        <v>279</v>
      </c>
      <c r="B293" s="342" t="s">
        <v>984</v>
      </c>
      <c r="C293" s="342" t="s">
        <v>502</v>
      </c>
      <c r="D293" s="342" t="s">
        <v>1427</v>
      </c>
      <c r="E293" s="636" t="s">
        <v>1626</v>
      </c>
      <c r="F293" s="637">
        <v>-5089098.99</v>
      </c>
      <c r="G293" s="637">
        <v>-4124640.33</v>
      </c>
      <c r="H293" s="637">
        <v>-3089840.52</v>
      </c>
      <c r="I293" s="637">
        <v>-1945226.2</v>
      </c>
      <c r="J293" s="637">
        <v>-1296286.46</v>
      </c>
      <c r="K293" s="637">
        <v>-902155.4</v>
      </c>
      <c r="L293" s="637">
        <v>-660483.6</v>
      </c>
      <c r="M293" s="637">
        <v>-453451.97</v>
      </c>
      <c r="N293" s="637">
        <v>-263237.06</v>
      </c>
      <c r="O293" s="637">
        <v>-83052.119999999806</v>
      </c>
      <c r="P293" s="637">
        <v>346885.78</v>
      </c>
      <c r="Q293" s="637">
        <v>1797161.5</v>
      </c>
      <c r="R293" s="637">
        <v>1618895.22</v>
      </c>
      <c r="S293" s="514">
        <f t="shared" ref="S293:S297" si="76">((F293+R293)+((G293+H293+I293+J293+K293+L293+M293+N293+O293+P293+Q293)*2))/24</f>
        <v>-1034119.0220833332</v>
      </c>
      <c r="T293" s="638"/>
      <c r="U293" s="675"/>
      <c r="V293" s="713"/>
      <c r="W293" s="713"/>
      <c r="X293" s="736">
        <f>+S293</f>
        <v>-1034119.0220833332</v>
      </c>
      <c r="Y293" s="713"/>
      <c r="Z293" s="713"/>
      <c r="AA293" s="675"/>
      <c r="AB293" s="713">
        <f t="shared" si="73"/>
        <v>-1034119.0220833332</v>
      </c>
      <c r="AC293" s="676"/>
      <c r="AD293" s="677"/>
      <c r="AE293" s="676"/>
      <c r="AF293" s="711">
        <f t="shared" si="62"/>
        <v>0</v>
      </c>
    </row>
    <row r="294" spans="1:32">
      <c r="A294" s="638">
        <v>280</v>
      </c>
      <c r="B294" s="342" t="s">
        <v>981</v>
      </c>
      <c r="C294" s="342" t="s">
        <v>503</v>
      </c>
      <c r="D294" s="342" t="s">
        <v>463</v>
      </c>
      <c r="E294" s="636" t="s">
        <v>1627</v>
      </c>
      <c r="F294" s="637">
        <v>4405213</v>
      </c>
      <c r="G294" s="637">
        <v>4405213</v>
      </c>
      <c r="H294" s="637">
        <v>4405213</v>
      </c>
      <c r="I294" s="637">
        <v>4405213</v>
      </c>
      <c r="J294" s="637">
        <v>4405213</v>
      </c>
      <c r="K294" s="637">
        <v>4405213</v>
      </c>
      <c r="L294" s="637">
        <v>4405213</v>
      </c>
      <c r="M294" s="637">
        <v>4405213</v>
      </c>
      <c r="N294" s="637">
        <v>4405213</v>
      </c>
      <c r="O294" s="637">
        <v>4405213</v>
      </c>
      <c r="P294" s="637">
        <v>4405213</v>
      </c>
      <c r="Q294" s="637">
        <v>4405213</v>
      </c>
      <c r="R294" s="637">
        <v>5114217</v>
      </c>
      <c r="S294" s="514">
        <f t="shared" si="76"/>
        <v>4434754.833333333</v>
      </c>
      <c r="T294" s="638"/>
      <c r="U294" s="675"/>
      <c r="V294" s="713"/>
      <c r="W294" s="713"/>
      <c r="X294" s="736">
        <f>+S294</f>
        <v>4434754.833333333</v>
      </c>
      <c r="Y294" s="713"/>
      <c r="Z294" s="713"/>
      <c r="AA294" s="675"/>
      <c r="AB294" s="713">
        <f t="shared" si="73"/>
        <v>4434754.833333333</v>
      </c>
      <c r="AC294" s="676"/>
      <c r="AD294" s="677"/>
      <c r="AE294" s="676"/>
      <c r="AF294" s="711">
        <f t="shared" si="62"/>
        <v>0</v>
      </c>
    </row>
    <row r="295" spans="1:32">
      <c r="A295" s="638">
        <v>281</v>
      </c>
      <c r="B295" s="342" t="s">
        <v>984</v>
      </c>
      <c r="C295" s="342" t="s">
        <v>502</v>
      </c>
      <c r="D295" s="342" t="s">
        <v>1201</v>
      </c>
      <c r="E295" s="636" t="s">
        <v>1913</v>
      </c>
      <c r="F295" s="637">
        <v>1013703.17</v>
      </c>
      <c r="G295" s="637">
        <v>1862122.14</v>
      </c>
      <c r="H295" s="637">
        <v>-1875742.37</v>
      </c>
      <c r="I295" s="637">
        <v>-3284598.31</v>
      </c>
      <c r="J295" s="637">
        <v>-2886883.79</v>
      </c>
      <c r="K295" s="637">
        <v>-2954889.15</v>
      </c>
      <c r="L295" s="637">
        <v>-2925317.55</v>
      </c>
      <c r="M295" s="637">
        <v>-3111066.99</v>
      </c>
      <c r="N295" s="637">
        <v>-2851899.68</v>
      </c>
      <c r="O295" s="637">
        <v>-3210940.66</v>
      </c>
      <c r="P295" s="637">
        <v>-4163630.2</v>
      </c>
      <c r="Q295" s="637">
        <v>-5420059.8200000003</v>
      </c>
      <c r="R295" s="637">
        <v>-4410222.42</v>
      </c>
      <c r="S295" s="514">
        <f t="shared" si="76"/>
        <v>-2710097.1670833337</v>
      </c>
      <c r="T295" s="638"/>
      <c r="U295" s="675"/>
      <c r="V295" s="713"/>
      <c r="W295" s="713"/>
      <c r="X295" s="736">
        <f>+S295</f>
        <v>-2710097.1670833337</v>
      </c>
      <c r="Y295" s="713"/>
      <c r="Z295" s="713"/>
      <c r="AA295" s="675"/>
      <c r="AB295" s="713">
        <f>+S295</f>
        <v>-2710097.1670833337</v>
      </c>
      <c r="AC295" s="676"/>
      <c r="AD295" s="677"/>
      <c r="AE295" s="676"/>
      <c r="AF295" s="711"/>
    </row>
    <row r="296" spans="1:32">
      <c r="A296" s="638">
        <v>282</v>
      </c>
      <c r="B296" s="342" t="s">
        <v>984</v>
      </c>
      <c r="C296" s="342" t="s">
        <v>502</v>
      </c>
      <c r="D296" s="342" t="s">
        <v>1911</v>
      </c>
      <c r="E296" s="636" t="s">
        <v>1912</v>
      </c>
      <c r="F296" s="637">
        <v>0</v>
      </c>
      <c r="G296" s="637">
        <v>663754.72</v>
      </c>
      <c r="H296" s="637">
        <v>828429.37</v>
      </c>
      <c r="I296" s="637">
        <v>547661.93000000005</v>
      </c>
      <c r="J296" s="637">
        <v>291439.06</v>
      </c>
      <c r="K296" s="637">
        <v>168202.17</v>
      </c>
      <c r="L296" s="637">
        <v>120470.56</v>
      </c>
      <c r="M296" s="637">
        <v>119715.17</v>
      </c>
      <c r="N296" s="637">
        <v>66330.809999999896</v>
      </c>
      <c r="O296" s="637">
        <v>160392.48000000001</v>
      </c>
      <c r="P296" s="637">
        <v>386386.23</v>
      </c>
      <c r="Q296" s="637">
        <v>-170858.55</v>
      </c>
      <c r="R296" s="637">
        <v>-201602.1</v>
      </c>
      <c r="S296" s="514">
        <f t="shared" si="76"/>
        <v>256760.2416666667</v>
      </c>
      <c r="T296" s="638"/>
      <c r="U296" s="675"/>
      <c r="V296" s="713"/>
      <c r="W296" s="713"/>
      <c r="X296" s="736">
        <f>+S296</f>
        <v>256760.2416666667</v>
      </c>
      <c r="Y296" s="713"/>
      <c r="Z296" s="713"/>
      <c r="AA296" s="675"/>
      <c r="AB296" s="713">
        <f>+S296</f>
        <v>256760.2416666667</v>
      </c>
      <c r="AC296" s="676"/>
      <c r="AD296" s="677"/>
      <c r="AE296" s="676"/>
      <c r="AF296" s="711"/>
    </row>
    <row r="297" spans="1:32">
      <c r="A297" s="638">
        <v>283</v>
      </c>
      <c r="B297" s="342" t="s">
        <v>1883</v>
      </c>
      <c r="C297" s="342" t="s">
        <v>1914</v>
      </c>
      <c r="D297" s="342" t="s">
        <v>457</v>
      </c>
      <c r="E297" s="636" t="s">
        <v>1915</v>
      </c>
      <c r="F297" s="637">
        <v>0</v>
      </c>
      <c r="G297" s="637">
        <v>0</v>
      </c>
      <c r="H297" s="637">
        <v>289719.78000000003</v>
      </c>
      <c r="I297" s="637">
        <v>283311.46000000002</v>
      </c>
      <c r="J297" s="637">
        <v>278107.78999999998</v>
      </c>
      <c r="K297" s="637">
        <v>272887.74</v>
      </c>
      <c r="L297" s="637">
        <v>266375.51</v>
      </c>
      <c r="M297" s="637">
        <v>251531.02</v>
      </c>
      <c r="N297" s="637">
        <v>246178.54</v>
      </c>
      <c r="O297" s="637">
        <v>239584.91</v>
      </c>
      <c r="P297" s="637">
        <v>234195.48</v>
      </c>
      <c r="Q297" s="637">
        <v>228789.27</v>
      </c>
      <c r="R297" s="637">
        <v>220703.66</v>
      </c>
      <c r="S297" s="514">
        <f t="shared" si="76"/>
        <v>225086.11083333334</v>
      </c>
      <c r="T297" s="638"/>
      <c r="U297" s="675"/>
      <c r="V297" s="713">
        <f>+S297</f>
        <v>225086.11083333334</v>
      </c>
      <c r="W297" s="713"/>
      <c r="X297" s="736"/>
      <c r="Y297" s="713"/>
      <c r="Z297" s="713"/>
      <c r="AA297" s="675"/>
      <c r="AB297" s="713"/>
      <c r="AC297" s="676"/>
      <c r="AD297" s="677">
        <f>+S297</f>
        <v>225086.11083333334</v>
      </c>
      <c r="AE297" s="676"/>
      <c r="AF297" s="711"/>
    </row>
    <row r="298" spans="1:32">
      <c r="A298" s="638">
        <v>284</v>
      </c>
      <c r="B298" s="638"/>
      <c r="C298" s="638"/>
      <c r="D298" s="638"/>
      <c r="E298" s="636" t="s">
        <v>504</v>
      </c>
      <c r="F298" s="516">
        <f>SUM(F229:F297)</f>
        <v>90797163.850000009</v>
      </c>
      <c r="G298" s="516">
        <f t="shared" ref="G298:S298" si="77">SUM(G229:G297)</f>
        <v>83872115.900000006</v>
      </c>
      <c r="H298" s="516">
        <f t="shared" si="77"/>
        <v>84250807.50999999</v>
      </c>
      <c r="I298" s="516">
        <f t="shared" si="77"/>
        <v>84249637.769999996</v>
      </c>
      <c r="J298" s="516">
        <f t="shared" si="77"/>
        <v>82986934.51000002</v>
      </c>
      <c r="K298" s="516">
        <f t="shared" si="77"/>
        <v>82892982.759999961</v>
      </c>
      <c r="L298" s="516">
        <f t="shared" si="77"/>
        <v>82461224.200000063</v>
      </c>
      <c r="M298" s="516">
        <f t="shared" si="77"/>
        <v>82876149.450000018</v>
      </c>
      <c r="N298" s="516">
        <f t="shared" si="77"/>
        <v>82646604.889999986</v>
      </c>
      <c r="O298" s="516">
        <f t="shared" si="77"/>
        <v>82951796.799999997</v>
      </c>
      <c r="P298" s="516">
        <f t="shared" si="77"/>
        <v>83443873.230000019</v>
      </c>
      <c r="Q298" s="516">
        <f t="shared" si="77"/>
        <v>80998826.870000005</v>
      </c>
      <c r="R298" s="516">
        <f t="shared" si="77"/>
        <v>78817809.329999998</v>
      </c>
      <c r="S298" s="516">
        <f t="shared" si="77"/>
        <v>83203203.373333305</v>
      </c>
      <c r="T298" s="638"/>
      <c r="U298" s="675"/>
      <c r="V298" s="713"/>
      <c r="W298" s="713"/>
      <c r="X298" s="736"/>
      <c r="Y298" s="713"/>
      <c r="Z298" s="713"/>
      <c r="AA298" s="675"/>
      <c r="AB298" s="713"/>
      <c r="AC298" s="676"/>
      <c r="AD298" s="676"/>
      <c r="AE298" s="676"/>
      <c r="AF298" s="711">
        <f t="shared" si="62"/>
        <v>0</v>
      </c>
    </row>
    <row r="299" spans="1:32">
      <c r="A299" s="638">
        <v>285</v>
      </c>
      <c r="B299" s="638"/>
      <c r="C299" s="638"/>
      <c r="D299" s="638"/>
      <c r="E299" s="623"/>
      <c r="F299" s="637"/>
      <c r="G299" s="340"/>
      <c r="H299" s="331"/>
      <c r="I299" s="331"/>
      <c r="J299" s="332"/>
      <c r="K299" s="333"/>
      <c r="L299" s="334"/>
      <c r="M299" s="335"/>
      <c r="N299" s="336"/>
      <c r="O299" s="624"/>
      <c r="P299" s="337"/>
      <c r="Q299" s="341"/>
      <c r="R299" s="637"/>
      <c r="S299" s="320"/>
      <c r="T299" s="638"/>
      <c r="U299" s="675"/>
      <c r="V299" s="713"/>
      <c r="W299" s="713"/>
      <c r="X299" s="736"/>
      <c r="Y299" s="713"/>
      <c r="Z299" s="713"/>
      <c r="AA299" s="675"/>
      <c r="AB299" s="713"/>
      <c r="AC299" s="676"/>
      <c r="AD299" s="676"/>
      <c r="AE299" s="676"/>
      <c r="AF299" s="711">
        <f t="shared" si="62"/>
        <v>0</v>
      </c>
    </row>
    <row r="300" spans="1:32">
      <c r="A300" s="638">
        <v>286</v>
      </c>
      <c r="B300" s="342" t="s">
        <v>382</v>
      </c>
      <c r="C300" s="342" t="s">
        <v>505</v>
      </c>
      <c r="D300" s="342" t="s">
        <v>382</v>
      </c>
      <c r="E300" s="636" t="s">
        <v>506</v>
      </c>
      <c r="F300" s="637">
        <v>139413148.13</v>
      </c>
      <c r="G300" s="637">
        <v>19498287.82</v>
      </c>
      <c r="H300" s="637">
        <v>42963718.759999998</v>
      </c>
      <c r="I300" s="637">
        <v>60184862.039999999</v>
      </c>
      <c r="J300" s="637">
        <v>70104690.230000004</v>
      </c>
      <c r="K300" s="637">
        <v>76135787.719999999</v>
      </c>
      <c r="L300" s="637">
        <v>80684630.609999999</v>
      </c>
      <c r="M300" s="637">
        <v>85208369.680000007</v>
      </c>
      <c r="N300" s="637">
        <v>88234764.299999997</v>
      </c>
      <c r="O300" s="637">
        <v>94309037.239999995</v>
      </c>
      <c r="P300" s="637">
        <v>108758984.14</v>
      </c>
      <c r="Q300" s="637">
        <v>130579212.08</v>
      </c>
      <c r="R300" s="637">
        <v>156654971.69999999</v>
      </c>
      <c r="S300" s="514">
        <f>((F300+R300)+((G300+H300+I300+J300+K300+L300+M300+N300+O300+P300+Q300)*2))/24</f>
        <v>83724700.377916679</v>
      </c>
      <c r="T300" s="638"/>
      <c r="U300" s="675"/>
      <c r="V300" s="713"/>
      <c r="W300" s="713">
        <f t="shared" ref="W300:W303" si="78">+S300</f>
        <v>83724700.377916679</v>
      </c>
      <c r="X300" s="736"/>
      <c r="Y300" s="713"/>
      <c r="Z300" s="713"/>
      <c r="AA300" s="675"/>
      <c r="AB300" s="713"/>
      <c r="AC300" s="677">
        <f>+S300</f>
        <v>83724700.377916679</v>
      </c>
      <c r="AD300" s="676"/>
      <c r="AE300" s="676"/>
      <c r="AF300" s="711">
        <f t="shared" si="62"/>
        <v>0</v>
      </c>
    </row>
    <row r="301" spans="1:32">
      <c r="A301" s="638">
        <v>287</v>
      </c>
      <c r="B301" s="342" t="s">
        <v>382</v>
      </c>
      <c r="C301" s="342" t="s">
        <v>507</v>
      </c>
      <c r="D301" s="342" t="s">
        <v>382</v>
      </c>
      <c r="E301" s="636" t="s">
        <v>508</v>
      </c>
      <c r="F301" s="637">
        <v>53526616.649999999</v>
      </c>
      <c r="G301" s="637">
        <v>5902548.9699999997</v>
      </c>
      <c r="H301" s="637">
        <v>10693985.939999999</v>
      </c>
      <c r="I301" s="637">
        <v>15974280.960000001</v>
      </c>
      <c r="J301" s="637">
        <v>20516668.18</v>
      </c>
      <c r="K301" s="637">
        <v>25771922.5</v>
      </c>
      <c r="L301" s="637">
        <v>29912106.329999998</v>
      </c>
      <c r="M301" s="637">
        <v>34604558.259999998</v>
      </c>
      <c r="N301" s="637">
        <v>38762060.390000001</v>
      </c>
      <c r="O301" s="637">
        <v>43384306.619999997</v>
      </c>
      <c r="P301" s="637">
        <v>48722937.189999998</v>
      </c>
      <c r="Q301" s="637">
        <v>53673859.75</v>
      </c>
      <c r="R301" s="637">
        <v>59786976.289999999</v>
      </c>
      <c r="S301" s="514">
        <f>((F301+R301)+((G301+H301+I301+J301+K301+L301+M301+N301+O301+P301+Q301)*2))/24</f>
        <v>32048002.629999995</v>
      </c>
      <c r="T301" s="638"/>
      <c r="U301" s="675"/>
      <c r="V301" s="713"/>
      <c r="W301" s="713">
        <f t="shared" si="78"/>
        <v>32048002.629999995</v>
      </c>
      <c r="X301" s="736"/>
      <c r="Y301" s="713"/>
      <c r="Z301" s="713"/>
      <c r="AA301" s="675"/>
      <c r="AB301" s="713"/>
      <c r="AC301" s="677">
        <f t="shared" ref="AC301:AC303" si="79">+S301</f>
        <v>32048002.629999995</v>
      </c>
      <c r="AD301" s="676"/>
      <c r="AE301" s="676"/>
      <c r="AF301" s="711">
        <f t="shared" ref="AF301:AF369" si="80">+U301+V301-AD301</f>
        <v>0</v>
      </c>
    </row>
    <row r="302" spans="1:32">
      <c r="A302" s="638">
        <v>288</v>
      </c>
      <c r="B302" s="342" t="s">
        <v>382</v>
      </c>
      <c r="C302" s="342" t="s">
        <v>509</v>
      </c>
      <c r="D302" s="342" t="s">
        <v>510</v>
      </c>
      <c r="E302" s="636" t="s">
        <v>511</v>
      </c>
      <c r="F302" s="637">
        <v>0</v>
      </c>
      <c r="G302" s="637">
        <v>0</v>
      </c>
      <c r="H302" s="637">
        <v>0</v>
      </c>
      <c r="I302" s="637">
        <v>0</v>
      </c>
      <c r="J302" s="637">
        <v>0</v>
      </c>
      <c r="K302" s="637">
        <v>0</v>
      </c>
      <c r="L302" s="637">
        <v>0</v>
      </c>
      <c r="M302" s="637">
        <v>0</v>
      </c>
      <c r="N302" s="637">
        <v>0</v>
      </c>
      <c r="O302" s="637">
        <v>0</v>
      </c>
      <c r="P302" s="637">
        <v>0</v>
      </c>
      <c r="Q302" s="637">
        <v>0</v>
      </c>
      <c r="R302" s="637">
        <v>0</v>
      </c>
      <c r="S302" s="514">
        <f>((F302+R302)+((G302+H302+I302+J302+K302+L302+M302+N302+O302+P302+Q302)*2))/24</f>
        <v>0</v>
      </c>
      <c r="T302" s="638"/>
      <c r="U302" s="675"/>
      <c r="V302" s="713"/>
      <c r="W302" s="713">
        <f t="shared" si="78"/>
        <v>0</v>
      </c>
      <c r="X302" s="736"/>
      <c r="Y302" s="713"/>
      <c r="Z302" s="713"/>
      <c r="AA302" s="675"/>
      <c r="AB302" s="713"/>
      <c r="AC302" s="677">
        <f t="shared" si="79"/>
        <v>0</v>
      </c>
      <c r="AD302" s="676"/>
      <c r="AE302" s="676"/>
      <c r="AF302" s="711">
        <f t="shared" si="80"/>
        <v>0</v>
      </c>
    </row>
    <row r="303" spans="1:32">
      <c r="A303" s="638">
        <v>289</v>
      </c>
      <c r="B303" s="342" t="s">
        <v>382</v>
      </c>
      <c r="C303" s="342" t="s">
        <v>512</v>
      </c>
      <c r="D303" s="342" t="s">
        <v>382</v>
      </c>
      <c r="E303" s="636" t="s">
        <v>513</v>
      </c>
      <c r="F303" s="329">
        <v>8005145.8399999999</v>
      </c>
      <c r="G303" s="329">
        <v>608458.04</v>
      </c>
      <c r="H303" s="329">
        <v>1195964.1399999999</v>
      </c>
      <c r="I303" s="329">
        <v>1854951.61</v>
      </c>
      <c r="J303" s="329">
        <v>2642517.87</v>
      </c>
      <c r="K303" s="329">
        <v>3362523.23</v>
      </c>
      <c r="L303" s="329">
        <v>3945487.04</v>
      </c>
      <c r="M303" s="329">
        <v>4778990.8600000003</v>
      </c>
      <c r="N303" s="329">
        <v>5481968.5499999998</v>
      </c>
      <c r="O303" s="329">
        <v>6115121.4000000004</v>
      </c>
      <c r="P303" s="329">
        <v>6909520.1299999999</v>
      </c>
      <c r="Q303" s="329">
        <v>7549900.5300000003</v>
      </c>
      <c r="R303" s="329">
        <v>8302733.6799999997</v>
      </c>
      <c r="S303" s="514">
        <f>((F303+R303)+((G303+H303+I303+J303+K303+L303+M303+N303+O303+P303+Q303)*2))/24</f>
        <v>4383278.5966666667</v>
      </c>
      <c r="T303" s="638"/>
      <c r="U303" s="675"/>
      <c r="V303" s="713"/>
      <c r="W303" s="713">
        <f t="shared" si="78"/>
        <v>4383278.5966666667</v>
      </c>
      <c r="X303" s="736"/>
      <c r="Y303" s="713"/>
      <c r="Z303" s="713"/>
      <c r="AA303" s="675"/>
      <c r="AB303" s="713"/>
      <c r="AC303" s="677">
        <f t="shared" si="79"/>
        <v>4383278.5966666667</v>
      </c>
      <c r="AD303" s="676"/>
      <c r="AE303" s="676"/>
      <c r="AF303" s="711">
        <f t="shared" si="80"/>
        <v>0</v>
      </c>
    </row>
    <row r="304" spans="1:32">
      <c r="A304" s="638">
        <v>290</v>
      </c>
      <c r="B304" s="342"/>
      <c r="C304" s="342"/>
      <c r="D304" s="342"/>
      <c r="E304" s="636" t="s">
        <v>514</v>
      </c>
      <c r="F304" s="321">
        <f>SUM(F300:F303)</f>
        <v>200944910.62</v>
      </c>
      <c r="G304" s="321">
        <f t="shared" ref="G304:S304" si="81">SUM(G300:G303)</f>
        <v>26009294.829999998</v>
      </c>
      <c r="H304" s="321">
        <f t="shared" si="81"/>
        <v>54853668.839999996</v>
      </c>
      <c r="I304" s="321">
        <f t="shared" si="81"/>
        <v>78014094.609999999</v>
      </c>
      <c r="J304" s="321">
        <f t="shared" si="81"/>
        <v>93263876.280000001</v>
      </c>
      <c r="K304" s="321">
        <f t="shared" si="81"/>
        <v>105270233.45</v>
      </c>
      <c r="L304" s="321">
        <f t="shared" si="81"/>
        <v>114542223.98</v>
      </c>
      <c r="M304" s="321">
        <f t="shared" si="81"/>
        <v>124591918.8</v>
      </c>
      <c r="N304" s="321">
        <f t="shared" si="81"/>
        <v>132478793.23999999</v>
      </c>
      <c r="O304" s="321">
        <f t="shared" si="81"/>
        <v>143808465.25999999</v>
      </c>
      <c r="P304" s="321">
        <f t="shared" si="81"/>
        <v>164391441.45999998</v>
      </c>
      <c r="Q304" s="321">
        <f t="shared" si="81"/>
        <v>191802972.35999998</v>
      </c>
      <c r="R304" s="321">
        <f t="shared" si="81"/>
        <v>224744681.66999999</v>
      </c>
      <c r="S304" s="516">
        <f t="shared" si="81"/>
        <v>120155981.60458334</v>
      </c>
      <c r="T304" s="638"/>
      <c r="U304" s="675"/>
      <c r="V304" s="713"/>
      <c r="W304" s="713"/>
      <c r="X304" s="736"/>
      <c r="Y304" s="713"/>
      <c r="Z304" s="713"/>
      <c r="AA304" s="675"/>
      <c r="AB304" s="713"/>
      <c r="AC304" s="676"/>
      <c r="AD304" s="676"/>
      <c r="AE304" s="676"/>
      <c r="AF304" s="711">
        <f t="shared" si="80"/>
        <v>0</v>
      </c>
    </row>
    <row r="305" spans="1:32">
      <c r="A305" s="638">
        <v>291</v>
      </c>
      <c r="B305" s="638"/>
      <c r="C305" s="638"/>
      <c r="D305" s="638"/>
      <c r="E305" s="623"/>
      <c r="F305" s="637"/>
      <c r="G305" s="340"/>
      <c r="H305" s="331"/>
      <c r="I305" s="331"/>
      <c r="J305" s="332"/>
      <c r="K305" s="333"/>
      <c r="L305" s="334"/>
      <c r="M305" s="335"/>
      <c r="N305" s="336"/>
      <c r="O305" s="624"/>
      <c r="P305" s="337"/>
      <c r="Q305" s="341"/>
      <c r="R305" s="637"/>
      <c r="S305" s="320"/>
      <c r="T305" s="638"/>
      <c r="U305" s="675"/>
      <c r="V305" s="713"/>
      <c r="W305" s="713"/>
      <c r="X305" s="736"/>
      <c r="Y305" s="713"/>
      <c r="Z305" s="713"/>
      <c r="AA305" s="675"/>
      <c r="AB305" s="713"/>
      <c r="AC305" s="676"/>
      <c r="AD305" s="676"/>
      <c r="AE305" s="676"/>
      <c r="AF305" s="711">
        <f t="shared" si="80"/>
        <v>0</v>
      </c>
    </row>
    <row r="306" spans="1:32">
      <c r="A306" s="638">
        <v>292</v>
      </c>
      <c r="B306" s="342" t="s">
        <v>1009</v>
      </c>
      <c r="C306" s="342" t="s">
        <v>515</v>
      </c>
      <c r="D306" s="638"/>
      <c r="E306" s="636" t="s">
        <v>516</v>
      </c>
      <c r="F306" s="637">
        <v>0</v>
      </c>
      <c r="G306" s="637">
        <v>0</v>
      </c>
      <c r="H306" s="637">
        <v>0</v>
      </c>
      <c r="I306" s="637">
        <v>0</v>
      </c>
      <c r="J306" s="637">
        <v>0</v>
      </c>
      <c r="K306" s="637">
        <v>0</v>
      </c>
      <c r="L306" s="637">
        <v>0</v>
      </c>
      <c r="M306" s="637">
        <v>0</v>
      </c>
      <c r="N306" s="637">
        <v>0</v>
      </c>
      <c r="O306" s="637">
        <v>0</v>
      </c>
      <c r="P306" s="637">
        <v>0</v>
      </c>
      <c r="Q306" s="637">
        <v>0</v>
      </c>
      <c r="R306" s="637">
        <v>0</v>
      </c>
      <c r="S306" s="320">
        <f>((F306+R306)+((G306+H306+I306+J306+K306+L306+M306+N306+O306+P306+Q306)*2))/24</f>
        <v>0</v>
      </c>
      <c r="T306" s="638"/>
      <c r="U306" s="675"/>
      <c r="V306" s="713"/>
      <c r="W306" s="713">
        <f t="shared" ref="W306:W324" si="82">+S306</f>
        <v>0</v>
      </c>
      <c r="X306" s="736"/>
      <c r="Y306" s="713"/>
      <c r="Z306" s="713"/>
      <c r="AA306" s="675"/>
      <c r="AB306" s="713"/>
      <c r="AC306" s="677">
        <f t="shared" ref="AC306:AC324" si="83">+S306</f>
        <v>0</v>
      </c>
      <c r="AD306" s="676"/>
      <c r="AE306" s="676"/>
      <c r="AF306" s="711">
        <f t="shared" si="80"/>
        <v>0</v>
      </c>
    </row>
    <row r="307" spans="1:32">
      <c r="A307" s="638">
        <v>293</v>
      </c>
      <c r="B307" s="342" t="s">
        <v>984</v>
      </c>
      <c r="C307" s="342" t="s">
        <v>515</v>
      </c>
      <c r="D307" s="638"/>
      <c r="E307" s="636" t="s">
        <v>516</v>
      </c>
      <c r="F307" s="637">
        <v>0</v>
      </c>
      <c r="G307" s="637">
        <v>0</v>
      </c>
      <c r="H307" s="637">
        <v>0</v>
      </c>
      <c r="I307" s="637">
        <v>0</v>
      </c>
      <c r="J307" s="637">
        <v>0</v>
      </c>
      <c r="K307" s="637">
        <v>0</v>
      </c>
      <c r="L307" s="637">
        <v>0</v>
      </c>
      <c r="M307" s="637">
        <v>0</v>
      </c>
      <c r="N307" s="637">
        <v>0</v>
      </c>
      <c r="O307" s="637">
        <v>0</v>
      </c>
      <c r="P307" s="637">
        <v>0</v>
      </c>
      <c r="Q307" s="637">
        <v>0</v>
      </c>
      <c r="R307" s="637">
        <v>0</v>
      </c>
      <c r="S307" s="320">
        <f>((F307+R307)+((G307+H307+I307+J307+K307+L307+M307+N307+O307+P307+Q307)*2))/24</f>
        <v>0</v>
      </c>
      <c r="T307" s="638"/>
      <c r="U307" s="675"/>
      <c r="V307" s="713"/>
      <c r="W307" s="713">
        <f t="shared" si="82"/>
        <v>0</v>
      </c>
      <c r="X307" s="736"/>
      <c r="Y307" s="713"/>
      <c r="Z307" s="713"/>
      <c r="AA307" s="675"/>
      <c r="AB307" s="713"/>
      <c r="AC307" s="677">
        <f t="shared" si="83"/>
        <v>0</v>
      </c>
      <c r="AD307" s="676"/>
      <c r="AE307" s="676"/>
      <c r="AF307" s="711">
        <f t="shared" si="80"/>
        <v>0</v>
      </c>
    </row>
    <row r="308" spans="1:32">
      <c r="A308" s="638">
        <v>294</v>
      </c>
      <c r="B308" s="342"/>
      <c r="C308" s="342"/>
      <c r="D308" s="638"/>
      <c r="E308" s="636"/>
      <c r="F308" s="637"/>
      <c r="G308" s="637"/>
      <c r="H308" s="637"/>
      <c r="I308" s="637"/>
      <c r="J308" s="637"/>
      <c r="K308" s="637"/>
      <c r="L308" s="637"/>
      <c r="M308" s="637"/>
      <c r="N308" s="637"/>
      <c r="O308" s="637"/>
      <c r="P308" s="637"/>
      <c r="Q308" s="637"/>
      <c r="R308" s="637"/>
      <c r="S308" s="320"/>
      <c r="T308" s="638"/>
      <c r="U308" s="675"/>
      <c r="V308" s="713"/>
      <c r="W308" s="713"/>
      <c r="X308" s="736"/>
      <c r="Y308" s="713"/>
      <c r="Z308" s="713"/>
      <c r="AA308" s="675"/>
      <c r="AB308" s="713"/>
      <c r="AC308" s="677"/>
      <c r="AD308" s="676"/>
      <c r="AE308" s="676"/>
      <c r="AF308" s="711"/>
    </row>
    <row r="309" spans="1:32">
      <c r="A309" s="638">
        <v>295</v>
      </c>
      <c r="B309" s="638" t="s">
        <v>981</v>
      </c>
      <c r="C309" s="638" t="s">
        <v>517</v>
      </c>
      <c r="D309" s="638" t="s">
        <v>1916</v>
      </c>
      <c r="E309" s="623" t="s">
        <v>1917</v>
      </c>
      <c r="F309" s="637">
        <v>0</v>
      </c>
      <c r="G309" s="340">
        <v>0</v>
      </c>
      <c r="H309" s="331">
        <v>0</v>
      </c>
      <c r="I309" s="331">
        <v>0</v>
      </c>
      <c r="J309" s="332">
        <v>0</v>
      </c>
      <c r="K309" s="333">
        <v>0</v>
      </c>
      <c r="L309" s="334">
        <v>15645</v>
      </c>
      <c r="M309" s="335">
        <v>21777</v>
      </c>
      <c r="N309" s="336">
        <v>24843</v>
      </c>
      <c r="O309" s="624">
        <v>27909</v>
      </c>
      <c r="P309" s="337">
        <v>30975</v>
      </c>
      <c r="Q309" s="341">
        <v>34041</v>
      </c>
      <c r="R309" s="637">
        <v>36822.300000000003</v>
      </c>
      <c r="S309" s="514">
        <f>((F309+R309)+((G309+H309+I309+J309+K309+L309+M309+N309+O309+P309+Q309)*2))/24</f>
        <v>14466.762499999999</v>
      </c>
      <c r="T309" s="638"/>
      <c r="U309" s="675"/>
      <c r="V309" s="713"/>
      <c r="W309" s="713">
        <f t="shared" si="82"/>
        <v>14466.762499999999</v>
      </c>
      <c r="X309" s="736"/>
      <c r="Y309" s="713"/>
      <c r="Z309" s="713"/>
      <c r="AA309" s="675"/>
      <c r="AB309" s="713"/>
      <c r="AC309" s="677">
        <f t="shared" si="83"/>
        <v>14466.762499999999</v>
      </c>
      <c r="AD309" s="676"/>
      <c r="AE309" s="676"/>
      <c r="AF309" s="711">
        <f t="shared" si="80"/>
        <v>0</v>
      </c>
    </row>
    <row r="310" spans="1:32">
      <c r="A310" s="638">
        <v>296</v>
      </c>
      <c r="B310" s="342" t="s">
        <v>1009</v>
      </c>
      <c r="C310" s="342" t="s">
        <v>517</v>
      </c>
      <c r="D310" s="342" t="s">
        <v>1202</v>
      </c>
      <c r="E310" s="636" t="s">
        <v>1630</v>
      </c>
      <c r="F310" s="637">
        <v>192824.35</v>
      </c>
      <c r="G310" s="637">
        <v>16075.52</v>
      </c>
      <c r="H310" s="637">
        <v>32151.040000000001</v>
      </c>
      <c r="I310" s="637">
        <v>47638.3</v>
      </c>
      <c r="J310" s="637">
        <v>63125.56</v>
      </c>
      <c r="K310" s="637">
        <v>78612.820000000007</v>
      </c>
      <c r="L310" s="637">
        <v>94100.08</v>
      </c>
      <c r="M310" s="637">
        <v>109587.34</v>
      </c>
      <c r="N310" s="637">
        <v>125074.6</v>
      </c>
      <c r="O310" s="637">
        <v>140561.85999999999</v>
      </c>
      <c r="P310" s="637">
        <v>156049.12</v>
      </c>
      <c r="Q310" s="637">
        <v>171536.38</v>
      </c>
      <c r="R310" s="637">
        <v>187023.64</v>
      </c>
      <c r="S310" s="514">
        <f>((F310+R310)+((G310+H310+I310+J310+K310+L310+M310+N310+O310+P310+Q310)*2))/24</f>
        <v>102036.38458333333</v>
      </c>
      <c r="T310" s="638"/>
      <c r="U310" s="675"/>
      <c r="V310" s="713"/>
      <c r="W310" s="713">
        <f t="shared" si="82"/>
        <v>102036.38458333333</v>
      </c>
      <c r="X310" s="736"/>
      <c r="Y310" s="713"/>
      <c r="Z310" s="713"/>
      <c r="AA310" s="675"/>
      <c r="AB310" s="713"/>
      <c r="AC310" s="677">
        <f t="shared" si="83"/>
        <v>102036.38458333333</v>
      </c>
      <c r="AD310" s="676"/>
      <c r="AE310" s="676"/>
      <c r="AF310" s="711">
        <f t="shared" si="80"/>
        <v>0</v>
      </c>
    </row>
    <row r="311" spans="1:32">
      <c r="A311" s="638">
        <v>297</v>
      </c>
      <c r="B311" s="342" t="s">
        <v>984</v>
      </c>
      <c r="C311" s="342" t="s">
        <v>517</v>
      </c>
      <c r="D311" s="342" t="s">
        <v>1202</v>
      </c>
      <c r="E311" s="636" t="s">
        <v>1629</v>
      </c>
      <c r="F311" s="637">
        <v>441440.08</v>
      </c>
      <c r="G311" s="637">
        <v>58775.53</v>
      </c>
      <c r="H311" s="637">
        <v>121314.8</v>
      </c>
      <c r="I311" s="637">
        <v>189419.16</v>
      </c>
      <c r="J311" s="637">
        <v>232166.32</v>
      </c>
      <c r="K311" s="637">
        <v>250545.63</v>
      </c>
      <c r="L311" s="637">
        <v>271208.3</v>
      </c>
      <c r="M311" s="637">
        <v>289762.34999999998</v>
      </c>
      <c r="N311" s="637">
        <v>307709.62</v>
      </c>
      <c r="O311" s="637">
        <v>325464.8</v>
      </c>
      <c r="P311" s="637">
        <v>354222.54</v>
      </c>
      <c r="Q311" s="637">
        <v>399806.24</v>
      </c>
      <c r="R311" s="637">
        <v>467665.9</v>
      </c>
      <c r="S311" s="514">
        <f t="shared" ref="S311:S323" si="84">((F311+R311)+((G311+H311+I311+J311+K311+L311+M311+N311+O311+P311+Q311)*2))/24</f>
        <v>271245.69</v>
      </c>
      <c r="T311" s="638"/>
      <c r="U311" s="675"/>
      <c r="V311" s="713"/>
      <c r="W311" s="713">
        <f t="shared" si="82"/>
        <v>271245.69</v>
      </c>
      <c r="X311" s="736"/>
      <c r="Y311" s="713"/>
      <c r="Z311" s="713"/>
      <c r="AA311" s="675"/>
      <c r="AB311" s="713"/>
      <c r="AC311" s="677">
        <f t="shared" si="83"/>
        <v>271245.69</v>
      </c>
      <c r="AD311" s="676"/>
      <c r="AE311" s="676"/>
      <c r="AF311" s="711">
        <f t="shared" si="80"/>
        <v>0</v>
      </c>
    </row>
    <row r="312" spans="1:32">
      <c r="A312" s="638">
        <v>298</v>
      </c>
      <c r="B312" s="342" t="s">
        <v>984</v>
      </c>
      <c r="C312" s="342" t="s">
        <v>517</v>
      </c>
      <c r="D312" s="342" t="s">
        <v>442</v>
      </c>
      <c r="E312" s="636" t="s">
        <v>1636</v>
      </c>
      <c r="F312" s="637">
        <v>9826025.0600000005</v>
      </c>
      <c r="G312" s="637">
        <v>1330854.8700000001</v>
      </c>
      <c r="H312" s="637">
        <v>2753725.76</v>
      </c>
      <c r="I312" s="637">
        <v>4331125.0999999996</v>
      </c>
      <c r="J312" s="637">
        <v>5281304.3499999996</v>
      </c>
      <c r="K312" s="637">
        <v>5900267.8399999999</v>
      </c>
      <c r="L312" s="637">
        <v>6320072.2400000002</v>
      </c>
      <c r="M312" s="637">
        <v>6691861.2599999998</v>
      </c>
      <c r="N312" s="637">
        <v>7047148.79</v>
      </c>
      <c r="O312" s="637">
        <v>7385522.6399999997</v>
      </c>
      <c r="P312" s="637">
        <v>7965182.3099999996</v>
      </c>
      <c r="Q312" s="637">
        <v>8954706.1400000006</v>
      </c>
      <c r="R312" s="637">
        <v>10518223.220000001</v>
      </c>
      <c r="S312" s="514">
        <f t="shared" si="84"/>
        <v>6177824.6200000001</v>
      </c>
      <c r="T312" s="638"/>
      <c r="U312" s="675"/>
      <c r="V312" s="713"/>
      <c r="W312" s="713">
        <f t="shared" si="82"/>
        <v>6177824.6200000001</v>
      </c>
      <c r="X312" s="736"/>
      <c r="Y312" s="713"/>
      <c r="Z312" s="713"/>
      <c r="AA312" s="675"/>
      <c r="AB312" s="713"/>
      <c r="AC312" s="677">
        <f t="shared" si="83"/>
        <v>6177824.6200000001</v>
      </c>
      <c r="AD312" s="676"/>
      <c r="AE312" s="676"/>
      <c r="AF312" s="711">
        <f t="shared" si="80"/>
        <v>0</v>
      </c>
    </row>
    <row r="313" spans="1:32">
      <c r="A313" s="638">
        <v>299</v>
      </c>
      <c r="B313" s="342" t="s">
        <v>984</v>
      </c>
      <c r="C313" s="342" t="s">
        <v>517</v>
      </c>
      <c r="D313" s="342" t="s">
        <v>443</v>
      </c>
      <c r="E313" s="636" t="s">
        <v>1637</v>
      </c>
      <c r="F313" s="637">
        <v>8579658.0999999996</v>
      </c>
      <c r="G313" s="637">
        <v>1130343.76</v>
      </c>
      <c r="H313" s="637">
        <v>2489322.56</v>
      </c>
      <c r="I313" s="637">
        <v>3523896.71</v>
      </c>
      <c r="J313" s="637">
        <v>4124001.15</v>
      </c>
      <c r="K313" s="637">
        <v>4562856.3499999996</v>
      </c>
      <c r="L313" s="637">
        <v>4905032.3899999997</v>
      </c>
      <c r="M313" s="637">
        <v>5260591.8499999996</v>
      </c>
      <c r="N313" s="637">
        <v>5546447.9800000004</v>
      </c>
      <c r="O313" s="637">
        <v>5977545.0199999996</v>
      </c>
      <c r="P313" s="637">
        <v>6793463.6500000004</v>
      </c>
      <c r="Q313" s="637">
        <v>7994039.8399999999</v>
      </c>
      <c r="R313" s="637">
        <v>9428488.2300000004</v>
      </c>
      <c r="S313" s="514">
        <f t="shared" si="84"/>
        <v>5109301.2020833325</v>
      </c>
      <c r="T313" s="638"/>
      <c r="U313" s="675"/>
      <c r="V313" s="713"/>
      <c r="W313" s="713">
        <f t="shared" si="82"/>
        <v>5109301.2020833325</v>
      </c>
      <c r="X313" s="736"/>
      <c r="Y313" s="713"/>
      <c r="Z313" s="713"/>
      <c r="AA313" s="675"/>
      <c r="AB313" s="713"/>
      <c r="AC313" s="677">
        <f t="shared" si="83"/>
        <v>5109301.2020833325</v>
      </c>
      <c r="AD313" s="676"/>
      <c r="AE313" s="676"/>
      <c r="AF313" s="711">
        <f t="shared" si="80"/>
        <v>0</v>
      </c>
    </row>
    <row r="314" spans="1:32">
      <c r="A314" s="638">
        <v>300</v>
      </c>
      <c r="B314" s="342" t="s">
        <v>1009</v>
      </c>
      <c r="C314" s="342" t="s">
        <v>517</v>
      </c>
      <c r="D314" s="552" t="s">
        <v>1203</v>
      </c>
      <c r="E314" s="636" t="s">
        <v>1633</v>
      </c>
      <c r="F314" s="637">
        <v>85001.3</v>
      </c>
      <c r="G314" s="637">
        <v>6897.58</v>
      </c>
      <c r="H314" s="637">
        <v>13795.16</v>
      </c>
      <c r="I314" s="637">
        <v>20692.740000000002</v>
      </c>
      <c r="J314" s="637">
        <v>27590.32</v>
      </c>
      <c r="K314" s="637">
        <v>34487.9</v>
      </c>
      <c r="L314" s="637">
        <v>41385.480000000003</v>
      </c>
      <c r="M314" s="637">
        <v>48283.06</v>
      </c>
      <c r="N314" s="637">
        <v>54360.84</v>
      </c>
      <c r="O314" s="637">
        <v>60438.62</v>
      </c>
      <c r="P314" s="637">
        <v>66516.399999999994</v>
      </c>
      <c r="Q314" s="637">
        <v>72594.179999999993</v>
      </c>
      <c r="R314" s="637">
        <v>78671.960000000006</v>
      </c>
      <c r="S314" s="514">
        <f t="shared" si="84"/>
        <v>44073.242499999993</v>
      </c>
      <c r="T314" s="638"/>
      <c r="U314" s="675"/>
      <c r="V314" s="713"/>
      <c r="W314" s="713">
        <f t="shared" si="82"/>
        <v>44073.242499999993</v>
      </c>
      <c r="X314" s="736"/>
      <c r="Y314" s="713"/>
      <c r="Z314" s="713"/>
      <c r="AA314" s="675"/>
      <c r="AB314" s="713"/>
      <c r="AC314" s="677">
        <f t="shared" si="83"/>
        <v>44073.242499999993</v>
      </c>
      <c r="AD314" s="676"/>
      <c r="AE314" s="676"/>
      <c r="AF314" s="711">
        <f t="shared" si="80"/>
        <v>0</v>
      </c>
    </row>
    <row r="315" spans="1:32">
      <c r="A315" s="638">
        <v>301</v>
      </c>
      <c r="B315" s="342" t="s">
        <v>1009</v>
      </c>
      <c r="C315" s="342" t="s">
        <v>517</v>
      </c>
      <c r="D315" s="552" t="s">
        <v>1204</v>
      </c>
      <c r="E315" s="636" t="s">
        <v>1634</v>
      </c>
      <c r="F315" s="637">
        <v>1424187.05</v>
      </c>
      <c r="G315" s="637">
        <v>226798.65</v>
      </c>
      <c r="H315" s="637">
        <v>450539.53</v>
      </c>
      <c r="I315" s="637">
        <v>638883.72</v>
      </c>
      <c r="J315" s="637">
        <v>771798.77</v>
      </c>
      <c r="K315" s="637">
        <v>835906.93</v>
      </c>
      <c r="L315" s="637">
        <v>898115.42</v>
      </c>
      <c r="M315" s="637">
        <v>945799.7</v>
      </c>
      <c r="N315" s="637">
        <v>981155.53</v>
      </c>
      <c r="O315" s="637">
        <v>1042395.09</v>
      </c>
      <c r="P315" s="637">
        <v>1184892.1100000001</v>
      </c>
      <c r="Q315" s="637">
        <v>1365899.69</v>
      </c>
      <c r="R315" s="637">
        <v>1595454.84</v>
      </c>
      <c r="S315" s="514">
        <f t="shared" si="84"/>
        <v>904333.8404166667</v>
      </c>
      <c r="T315" s="638"/>
      <c r="U315" s="675"/>
      <c r="V315" s="713"/>
      <c r="W315" s="713">
        <f t="shared" si="82"/>
        <v>904333.8404166667</v>
      </c>
      <c r="X315" s="736"/>
      <c r="Y315" s="713"/>
      <c r="Z315" s="713"/>
      <c r="AA315" s="675"/>
      <c r="AB315" s="713"/>
      <c r="AC315" s="677">
        <f t="shared" si="83"/>
        <v>904333.8404166667</v>
      </c>
      <c r="AD315" s="676"/>
      <c r="AE315" s="676"/>
      <c r="AF315" s="711">
        <f t="shared" si="80"/>
        <v>0</v>
      </c>
    </row>
    <row r="316" spans="1:32">
      <c r="A316" s="638">
        <v>302</v>
      </c>
      <c r="B316" s="342" t="s">
        <v>984</v>
      </c>
      <c r="C316" s="342" t="s">
        <v>517</v>
      </c>
      <c r="D316" s="342" t="s">
        <v>1204</v>
      </c>
      <c r="E316" s="636" t="s">
        <v>1634</v>
      </c>
      <c r="F316" s="637">
        <v>208767.15</v>
      </c>
      <c r="G316" s="637">
        <v>28074.04</v>
      </c>
      <c r="H316" s="637">
        <v>56328.07</v>
      </c>
      <c r="I316" s="637">
        <v>88208.68</v>
      </c>
      <c r="J316" s="637">
        <v>109657.23</v>
      </c>
      <c r="K316" s="637">
        <v>126784.31</v>
      </c>
      <c r="L316" s="637">
        <v>136473.24</v>
      </c>
      <c r="M316" s="637">
        <v>145011.71</v>
      </c>
      <c r="N316" s="637">
        <v>152642.22</v>
      </c>
      <c r="O316" s="637">
        <v>160059.82</v>
      </c>
      <c r="P316" s="637">
        <v>170421.06</v>
      </c>
      <c r="Q316" s="637">
        <v>189387.09</v>
      </c>
      <c r="R316" s="637">
        <v>217905.58</v>
      </c>
      <c r="S316" s="514">
        <f t="shared" si="84"/>
        <v>131365.31958333333</v>
      </c>
      <c r="T316" s="638"/>
      <c r="U316" s="675"/>
      <c r="V316" s="713"/>
      <c r="W316" s="713">
        <f t="shared" si="82"/>
        <v>131365.31958333333</v>
      </c>
      <c r="X316" s="736"/>
      <c r="Y316" s="713"/>
      <c r="Z316" s="713"/>
      <c r="AA316" s="675"/>
      <c r="AB316" s="713"/>
      <c r="AC316" s="677">
        <f t="shared" si="83"/>
        <v>131365.31958333333</v>
      </c>
      <c r="AD316" s="676"/>
      <c r="AE316" s="676"/>
      <c r="AF316" s="711">
        <f t="shared" si="80"/>
        <v>0</v>
      </c>
    </row>
    <row r="317" spans="1:32">
      <c r="A317" s="638">
        <v>303</v>
      </c>
      <c r="B317" s="342" t="s">
        <v>1009</v>
      </c>
      <c r="C317" s="342" t="s">
        <v>517</v>
      </c>
      <c r="D317" s="342" t="s">
        <v>1205</v>
      </c>
      <c r="E317" s="636" t="s">
        <v>1635</v>
      </c>
      <c r="F317" s="637">
        <v>1111049.94</v>
      </c>
      <c r="G317" s="637">
        <v>171653.98</v>
      </c>
      <c r="H317" s="637">
        <v>334372.89</v>
      </c>
      <c r="I317" s="637">
        <v>517885.19</v>
      </c>
      <c r="J317" s="637">
        <v>647470.17000000004</v>
      </c>
      <c r="K317" s="637">
        <v>720626.82</v>
      </c>
      <c r="L317" s="637">
        <v>772105.24</v>
      </c>
      <c r="M317" s="637">
        <v>823398.98</v>
      </c>
      <c r="N317" s="637">
        <v>873249.75</v>
      </c>
      <c r="O317" s="637">
        <v>922405.42</v>
      </c>
      <c r="P317" s="637">
        <v>1020907.49</v>
      </c>
      <c r="Q317" s="637">
        <v>1171886.22</v>
      </c>
      <c r="R317" s="637">
        <v>1400826.71</v>
      </c>
      <c r="S317" s="514">
        <f t="shared" si="84"/>
        <v>769325.0395833333</v>
      </c>
      <c r="T317" s="638"/>
      <c r="U317" s="675"/>
      <c r="V317" s="713"/>
      <c r="W317" s="713">
        <f t="shared" si="82"/>
        <v>769325.0395833333</v>
      </c>
      <c r="X317" s="736"/>
      <c r="Y317" s="713"/>
      <c r="Z317" s="713"/>
      <c r="AA317" s="675"/>
      <c r="AB317" s="713"/>
      <c r="AC317" s="677">
        <f t="shared" si="83"/>
        <v>769325.0395833333</v>
      </c>
      <c r="AD317" s="676"/>
      <c r="AE317" s="676"/>
      <c r="AF317" s="711">
        <f t="shared" si="80"/>
        <v>0</v>
      </c>
    </row>
    <row r="318" spans="1:32">
      <c r="A318" s="638">
        <v>304</v>
      </c>
      <c r="B318" s="342" t="s">
        <v>981</v>
      </c>
      <c r="C318" s="342" t="s">
        <v>517</v>
      </c>
      <c r="D318" s="342" t="s">
        <v>1206</v>
      </c>
      <c r="E318" s="636" t="s">
        <v>1631</v>
      </c>
      <c r="F318" s="637">
        <v>275293.73</v>
      </c>
      <c r="G318" s="637">
        <v>19332</v>
      </c>
      <c r="H318" s="637">
        <v>38664</v>
      </c>
      <c r="I318" s="637">
        <v>57996</v>
      </c>
      <c r="J318" s="637">
        <v>35187.17</v>
      </c>
      <c r="K318" s="637">
        <v>48970.17</v>
      </c>
      <c r="L318" s="637">
        <v>65561.17</v>
      </c>
      <c r="M318" s="637">
        <v>82152.17</v>
      </c>
      <c r="N318" s="637">
        <v>107031.17</v>
      </c>
      <c r="O318" s="637">
        <v>124658.17</v>
      </c>
      <c r="P318" s="637">
        <v>142285.17000000001</v>
      </c>
      <c r="Q318" s="637">
        <v>159912.17000000001</v>
      </c>
      <c r="R318" s="637">
        <v>177539.17</v>
      </c>
      <c r="S318" s="514">
        <f t="shared" si="84"/>
        <v>92347.150833333333</v>
      </c>
      <c r="T318" s="638"/>
      <c r="U318" s="675"/>
      <c r="V318" s="713"/>
      <c r="W318" s="713">
        <f t="shared" si="82"/>
        <v>92347.150833333333</v>
      </c>
      <c r="X318" s="736"/>
      <c r="Y318" s="713"/>
      <c r="Z318" s="713"/>
      <c r="AA318" s="675"/>
      <c r="AB318" s="713"/>
      <c r="AC318" s="677">
        <f t="shared" si="83"/>
        <v>92347.150833333333</v>
      </c>
      <c r="AD318" s="676"/>
      <c r="AE318" s="676"/>
      <c r="AF318" s="711">
        <f t="shared" si="80"/>
        <v>0</v>
      </c>
    </row>
    <row r="319" spans="1:32">
      <c r="A319" s="638">
        <v>305</v>
      </c>
      <c r="B319" s="342" t="s">
        <v>1009</v>
      </c>
      <c r="C319" s="342" t="s">
        <v>517</v>
      </c>
      <c r="D319" s="342" t="s">
        <v>1206</v>
      </c>
      <c r="E319" s="636" t="s">
        <v>1631</v>
      </c>
      <c r="F319" s="637">
        <v>1616657.04</v>
      </c>
      <c r="G319" s="637">
        <v>140517</v>
      </c>
      <c r="H319" s="637">
        <v>281034</v>
      </c>
      <c r="I319" s="637">
        <v>421551</v>
      </c>
      <c r="J319" s="637">
        <v>562068</v>
      </c>
      <c r="K319" s="637">
        <v>702585</v>
      </c>
      <c r="L319" s="637">
        <v>843102</v>
      </c>
      <c r="M319" s="637">
        <v>1000496</v>
      </c>
      <c r="N319" s="637">
        <v>1157890</v>
      </c>
      <c r="O319" s="637">
        <v>1315284</v>
      </c>
      <c r="P319" s="637">
        <v>1472678</v>
      </c>
      <c r="Q319" s="637">
        <v>1629206.24</v>
      </c>
      <c r="R319" s="637">
        <v>1785732.24</v>
      </c>
      <c r="S319" s="514">
        <f>((F319+R319)+((G319+H319+I319+J319+K319+L319+M319+N319+O319+P319+Q319)*2))/24</f>
        <v>935633.82333333336</v>
      </c>
      <c r="T319" s="638"/>
      <c r="U319" s="675"/>
      <c r="V319" s="713"/>
      <c r="W319" s="713">
        <f t="shared" si="82"/>
        <v>935633.82333333336</v>
      </c>
      <c r="X319" s="736"/>
      <c r="Y319" s="713"/>
      <c r="Z319" s="713"/>
      <c r="AA319" s="675"/>
      <c r="AB319" s="713"/>
      <c r="AC319" s="677">
        <f t="shared" si="83"/>
        <v>935633.82333333336</v>
      </c>
      <c r="AD319" s="676"/>
      <c r="AE319" s="676"/>
      <c r="AF319" s="711">
        <f t="shared" si="80"/>
        <v>0</v>
      </c>
    </row>
    <row r="320" spans="1:32">
      <c r="A320" s="638">
        <v>306</v>
      </c>
      <c r="B320" s="342" t="s">
        <v>984</v>
      </c>
      <c r="C320" s="342" t="s">
        <v>517</v>
      </c>
      <c r="D320" s="342" t="s">
        <v>1206</v>
      </c>
      <c r="E320" s="636" t="s">
        <v>1631</v>
      </c>
      <c r="F320" s="637">
        <v>2348751.16</v>
      </c>
      <c r="G320" s="637">
        <v>209006</v>
      </c>
      <c r="H320" s="637">
        <v>418012</v>
      </c>
      <c r="I320" s="637">
        <v>627018</v>
      </c>
      <c r="J320" s="637">
        <v>442240.22</v>
      </c>
      <c r="K320" s="637">
        <v>610455.22</v>
      </c>
      <c r="L320" s="637">
        <v>812934.22</v>
      </c>
      <c r="M320" s="637">
        <v>1015413.22</v>
      </c>
      <c r="N320" s="637">
        <v>1319034.22</v>
      </c>
      <c r="O320" s="637">
        <v>1534156.22</v>
      </c>
      <c r="P320" s="637">
        <v>1749278.22</v>
      </c>
      <c r="Q320" s="637">
        <v>1964400.22</v>
      </c>
      <c r="R320" s="637">
        <v>2179522.2200000002</v>
      </c>
      <c r="S320" s="514">
        <f t="shared" si="84"/>
        <v>1080507.0374999999</v>
      </c>
      <c r="T320" s="638"/>
      <c r="U320" s="675"/>
      <c r="V320" s="713"/>
      <c r="W320" s="713">
        <f t="shared" si="82"/>
        <v>1080507.0374999999</v>
      </c>
      <c r="X320" s="736"/>
      <c r="Y320" s="713"/>
      <c r="Z320" s="713"/>
      <c r="AA320" s="675"/>
      <c r="AB320" s="713"/>
      <c r="AC320" s="677">
        <f t="shared" si="83"/>
        <v>1080507.0374999999</v>
      </c>
      <c r="AD320" s="676"/>
      <c r="AE320" s="676"/>
      <c r="AF320" s="711">
        <f t="shared" si="80"/>
        <v>0</v>
      </c>
    </row>
    <row r="321" spans="1:32">
      <c r="A321" s="638">
        <v>307</v>
      </c>
      <c r="B321" s="342" t="s">
        <v>981</v>
      </c>
      <c r="C321" s="342" t="s">
        <v>517</v>
      </c>
      <c r="D321" s="342" t="s">
        <v>1207</v>
      </c>
      <c r="E321" s="636" t="s">
        <v>1632</v>
      </c>
      <c r="F321" s="637">
        <v>2223.23</v>
      </c>
      <c r="G321" s="637">
        <v>105.15</v>
      </c>
      <c r="H321" s="637">
        <v>105.15</v>
      </c>
      <c r="I321" s="637">
        <v>553.16</v>
      </c>
      <c r="J321" s="637">
        <v>1039.1099999999999</v>
      </c>
      <c r="K321" s="637">
        <v>1039.1099999999999</v>
      </c>
      <c r="L321" s="637">
        <v>1039.1099999999999</v>
      </c>
      <c r="M321" s="637">
        <v>1039.1099999999999</v>
      </c>
      <c r="N321" s="637">
        <v>1137.29</v>
      </c>
      <c r="O321" s="637">
        <v>1137.29</v>
      </c>
      <c r="P321" s="637">
        <v>1315.87</v>
      </c>
      <c r="Q321" s="637">
        <v>1315.87</v>
      </c>
      <c r="R321" s="637">
        <v>1315.87</v>
      </c>
      <c r="S321" s="514">
        <f t="shared" si="84"/>
        <v>966.31416666666644</v>
      </c>
      <c r="T321" s="638"/>
      <c r="U321" s="675"/>
      <c r="V321" s="713"/>
      <c r="W321" s="713">
        <f t="shared" si="82"/>
        <v>966.31416666666644</v>
      </c>
      <c r="X321" s="736"/>
      <c r="Y321" s="713"/>
      <c r="Z321" s="713"/>
      <c r="AA321" s="675"/>
      <c r="AB321" s="713"/>
      <c r="AC321" s="677">
        <f t="shared" si="83"/>
        <v>966.31416666666644</v>
      </c>
      <c r="AD321" s="676"/>
      <c r="AE321" s="676"/>
      <c r="AF321" s="711">
        <f t="shared" si="80"/>
        <v>0</v>
      </c>
    </row>
    <row r="322" spans="1:32">
      <c r="A322" s="638">
        <v>308</v>
      </c>
      <c r="B322" s="342" t="s">
        <v>1009</v>
      </c>
      <c r="C322" s="342" t="s">
        <v>517</v>
      </c>
      <c r="D322" s="342" t="s">
        <v>1207</v>
      </c>
      <c r="E322" s="636" t="s">
        <v>1632</v>
      </c>
      <c r="F322" s="637">
        <v>26450.98</v>
      </c>
      <c r="G322" s="637">
        <v>291</v>
      </c>
      <c r="H322" s="637">
        <v>814.83</v>
      </c>
      <c r="I322" s="637">
        <v>1120.78</v>
      </c>
      <c r="J322" s="637">
        <v>1244.54</v>
      </c>
      <c r="K322" s="637">
        <v>1623.2</v>
      </c>
      <c r="L322" s="637">
        <v>2082.31</v>
      </c>
      <c r="M322" s="637">
        <v>2624.81</v>
      </c>
      <c r="N322" s="637">
        <v>3267.91</v>
      </c>
      <c r="O322" s="637">
        <v>3725.11</v>
      </c>
      <c r="P322" s="637">
        <v>26823.8</v>
      </c>
      <c r="Q322" s="637">
        <v>27291.8</v>
      </c>
      <c r="R322" s="637">
        <v>27706.880000000001</v>
      </c>
      <c r="S322" s="514">
        <f t="shared" si="84"/>
        <v>8165.7516666666661</v>
      </c>
      <c r="T322" s="638"/>
      <c r="U322" s="675"/>
      <c r="V322" s="713"/>
      <c r="W322" s="713">
        <f t="shared" si="82"/>
        <v>8165.7516666666661</v>
      </c>
      <c r="X322" s="736"/>
      <c r="Y322" s="713"/>
      <c r="Z322" s="713"/>
      <c r="AA322" s="675"/>
      <c r="AB322" s="713"/>
      <c r="AC322" s="677">
        <f t="shared" si="83"/>
        <v>8165.7516666666661</v>
      </c>
      <c r="AD322" s="676"/>
      <c r="AE322" s="676"/>
      <c r="AF322" s="711">
        <f t="shared" si="80"/>
        <v>0</v>
      </c>
    </row>
    <row r="323" spans="1:32">
      <c r="A323" s="638">
        <v>309</v>
      </c>
      <c r="B323" s="342" t="s">
        <v>984</v>
      </c>
      <c r="C323" s="342" t="s">
        <v>517</v>
      </c>
      <c r="D323" s="342" t="s">
        <v>1207</v>
      </c>
      <c r="E323" s="636" t="s">
        <v>1632</v>
      </c>
      <c r="F323" s="637">
        <v>34335.31</v>
      </c>
      <c r="G323" s="637">
        <v>141.65</v>
      </c>
      <c r="H323" s="637">
        <v>791.36</v>
      </c>
      <c r="I323" s="637">
        <v>16005.09</v>
      </c>
      <c r="J323" s="637">
        <v>6911.61</v>
      </c>
      <c r="K323" s="637">
        <v>7607.94</v>
      </c>
      <c r="L323" s="637">
        <v>7851.93</v>
      </c>
      <c r="M323" s="637">
        <v>8879.27</v>
      </c>
      <c r="N323" s="637">
        <v>14413.81</v>
      </c>
      <c r="O323" s="637">
        <v>17217.419999999998</v>
      </c>
      <c r="P323" s="637">
        <v>17223.32</v>
      </c>
      <c r="Q323" s="637">
        <v>22366.77</v>
      </c>
      <c r="R323" s="637">
        <v>23966.93</v>
      </c>
      <c r="S323" s="514">
        <f t="shared" si="84"/>
        <v>12380.1075</v>
      </c>
      <c r="T323" s="638"/>
      <c r="U323" s="675"/>
      <c r="V323" s="713"/>
      <c r="W323" s="713">
        <f t="shared" si="82"/>
        <v>12380.1075</v>
      </c>
      <c r="X323" s="736"/>
      <c r="Y323" s="713"/>
      <c r="Z323" s="713"/>
      <c r="AA323" s="675"/>
      <c r="AB323" s="713"/>
      <c r="AC323" s="677">
        <f t="shared" si="83"/>
        <v>12380.1075</v>
      </c>
      <c r="AD323" s="676"/>
      <c r="AE323" s="676"/>
      <c r="AF323" s="711">
        <f t="shared" si="80"/>
        <v>0</v>
      </c>
    </row>
    <row r="324" spans="1:32">
      <c r="A324" s="638">
        <v>310</v>
      </c>
      <c r="B324" s="638" t="s">
        <v>382</v>
      </c>
      <c r="C324" s="638" t="s">
        <v>518</v>
      </c>
      <c r="D324" s="638" t="s">
        <v>382</v>
      </c>
      <c r="E324" s="636" t="s">
        <v>1638</v>
      </c>
      <c r="F324" s="329">
        <v>2257640.98</v>
      </c>
      <c r="G324" s="329">
        <v>227876.63</v>
      </c>
      <c r="H324" s="329">
        <v>435984.76</v>
      </c>
      <c r="I324" s="329">
        <v>635136.4</v>
      </c>
      <c r="J324" s="329">
        <v>841363.86</v>
      </c>
      <c r="K324" s="329">
        <v>1045796.29</v>
      </c>
      <c r="L324" s="329">
        <v>1224380.81</v>
      </c>
      <c r="M324" s="329">
        <v>1426816.56</v>
      </c>
      <c r="N324" s="329">
        <v>1614952.02</v>
      </c>
      <c r="O324" s="329">
        <v>1799163.64</v>
      </c>
      <c r="P324" s="329">
        <v>2000828.68</v>
      </c>
      <c r="Q324" s="329">
        <v>2171032.12</v>
      </c>
      <c r="R324" s="329">
        <v>2415606.38</v>
      </c>
      <c r="S324" s="514">
        <f>((F324+R324)+((G324+H324+I324+J324+K324+L324+M324+N324+O324+P324+Q324)*2))/24</f>
        <v>1313329.6208333333</v>
      </c>
      <c r="T324" s="638"/>
      <c r="U324" s="675"/>
      <c r="V324" s="713"/>
      <c r="W324" s="713">
        <f t="shared" si="82"/>
        <v>1313329.6208333333</v>
      </c>
      <c r="X324" s="736"/>
      <c r="Y324" s="713"/>
      <c r="Z324" s="713"/>
      <c r="AA324" s="675"/>
      <c r="AB324" s="713"/>
      <c r="AC324" s="677">
        <f t="shared" si="83"/>
        <v>1313329.6208333333</v>
      </c>
      <c r="AD324" s="676"/>
      <c r="AE324" s="676"/>
      <c r="AF324" s="711">
        <f t="shared" si="80"/>
        <v>0</v>
      </c>
    </row>
    <row r="325" spans="1:32">
      <c r="A325" s="638">
        <v>311</v>
      </c>
      <c r="B325" s="638"/>
      <c r="C325" s="638"/>
      <c r="D325" s="638"/>
      <c r="E325" s="623" t="s">
        <v>519</v>
      </c>
      <c r="F325" s="321">
        <f>SUM(F309:F324)</f>
        <v>28430305.460000001</v>
      </c>
      <c r="G325" s="321">
        <f t="shared" ref="G325:S325" si="85">SUM(G309:G324)</f>
        <v>3566743.36</v>
      </c>
      <c r="H325" s="321">
        <f t="shared" si="85"/>
        <v>7426955.9100000011</v>
      </c>
      <c r="I325" s="321">
        <f t="shared" si="85"/>
        <v>11117130.029999999</v>
      </c>
      <c r="J325" s="321">
        <f t="shared" si="85"/>
        <v>13147168.379999997</v>
      </c>
      <c r="K325" s="321">
        <f t="shared" si="85"/>
        <v>14928165.530000001</v>
      </c>
      <c r="L325" s="321">
        <f t="shared" si="85"/>
        <v>16411088.940000001</v>
      </c>
      <c r="M325" s="321">
        <f t="shared" si="85"/>
        <v>17873494.390000001</v>
      </c>
      <c r="N325" s="321">
        <f t="shared" si="85"/>
        <v>19330358.749999996</v>
      </c>
      <c r="O325" s="321">
        <f t="shared" si="85"/>
        <v>20837644.119999997</v>
      </c>
      <c r="P325" s="321">
        <f t="shared" si="85"/>
        <v>23153062.740000002</v>
      </c>
      <c r="Q325" s="321">
        <f t="shared" si="85"/>
        <v>26329421.970000003</v>
      </c>
      <c r="R325" s="321">
        <f t="shared" si="85"/>
        <v>30542472.069999997</v>
      </c>
      <c r="S325" s="321">
        <f t="shared" si="85"/>
        <v>16967301.907083333</v>
      </c>
      <c r="T325" s="638"/>
      <c r="U325" s="675"/>
      <c r="V325" s="713"/>
      <c r="W325" s="713"/>
      <c r="X325" s="736"/>
      <c r="Y325" s="713"/>
      <c r="Z325" s="713"/>
      <c r="AA325" s="675"/>
      <c r="AB325" s="713"/>
      <c r="AC325" s="676"/>
      <c r="AD325" s="676"/>
      <c r="AE325" s="676"/>
      <c r="AF325" s="711">
        <f t="shared" si="80"/>
        <v>0</v>
      </c>
    </row>
    <row r="326" spans="1:32">
      <c r="A326" s="638">
        <v>312</v>
      </c>
      <c r="B326" s="638"/>
      <c r="C326" s="638"/>
      <c r="D326" s="638"/>
      <c r="E326" s="623"/>
      <c r="F326" s="637"/>
      <c r="G326" s="340"/>
      <c r="H326" s="331"/>
      <c r="I326" s="331"/>
      <c r="J326" s="332"/>
      <c r="K326" s="333"/>
      <c r="L326" s="334"/>
      <c r="M326" s="335"/>
      <c r="N326" s="336"/>
      <c r="O326" s="624"/>
      <c r="P326" s="337"/>
      <c r="Q326" s="341"/>
      <c r="R326" s="637"/>
      <c r="S326" s="320"/>
      <c r="T326" s="638"/>
      <c r="U326" s="675"/>
      <c r="V326" s="713"/>
      <c r="W326" s="713"/>
      <c r="X326" s="736"/>
      <c r="Y326" s="713"/>
      <c r="Z326" s="713"/>
      <c r="AA326" s="675"/>
      <c r="AB326" s="713"/>
      <c r="AC326" s="676"/>
      <c r="AD326" s="676"/>
      <c r="AE326" s="676"/>
      <c r="AF326" s="711">
        <f t="shared" si="80"/>
        <v>0</v>
      </c>
    </row>
    <row r="327" spans="1:32">
      <c r="A327" s="638">
        <v>313</v>
      </c>
      <c r="B327" s="342" t="s">
        <v>981</v>
      </c>
      <c r="C327" s="342" t="s">
        <v>520</v>
      </c>
      <c r="D327" s="638"/>
      <c r="E327" s="636" t="s">
        <v>1639</v>
      </c>
      <c r="F327" s="637">
        <v>26303412.609999999</v>
      </c>
      <c r="G327" s="637">
        <v>2356483.42</v>
      </c>
      <c r="H327" s="637">
        <v>4726032.16</v>
      </c>
      <c r="I327" s="637">
        <v>7104545.4199999999</v>
      </c>
      <c r="J327" s="637">
        <v>9497469.6799999997</v>
      </c>
      <c r="K327" s="637">
        <v>11907578.300000001</v>
      </c>
      <c r="L327" s="637">
        <v>14334782.939999999</v>
      </c>
      <c r="M327" s="637">
        <v>16782480.190000001</v>
      </c>
      <c r="N327" s="637">
        <v>19235705.48</v>
      </c>
      <c r="O327" s="637">
        <v>21703420.32</v>
      </c>
      <c r="P327" s="637">
        <v>24188691.23</v>
      </c>
      <c r="Q327" s="637">
        <v>26702769.57</v>
      </c>
      <c r="R327" s="637">
        <v>29230447.98</v>
      </c>
      <c r="S327" s="320">
        <f>((F327+R327)+((G327+H327+I327+J327+K327+L327+M327+N327+O327+P327+Q327)*2))/24</f>
        <v>15525574.08375</v>
      </c>
      <c r="T327" s="638"/>
      <c r="U327" s="675"/>
      <c r="V327" s="713"/>
      <c r="W327" s="713">
        <f t="shared" ref="W327:W329" si="86">+S327</f>
        <v>15525574.08375</v>
      </c>
      <c r="X327" s="736"/>
      <c r="Y327" s="713"/>
      <c r="Z327" s="713"/>
      <c r="AA327" s="675"/>
      <c r="AB327" s="713"/>
      <c r="AC327" s="677">
        <f t="shared" ref="AC327:AC328" si="87">+S327</f>
        <v>15525574.08375</v>
      </c>
      <c r="AD327" s="676"/>
      <c r="AE327" s="676"/>
      <c r="AF327" s="711">
        <f t="shared" si="80"/>
        <v>0</v>
      </c>
    </row>
    <row r="328" spans="1:32">
      <c r="A328" s="638">
        <v>314</v>
      </c>
      <c r="B328" s="342" t="s">
        <v>981</v>
      </c>
      <c r="C328" s="342" t="s">
        <v>521</v>
      </c>
      <c r="D328" s="638"/>
      <c r="E328" s="636" t="s">
        <v>1640</v>
      </c>
      <c r="F328" s="637">
        <v>3486360.4</v>
      </c>
      <c r="G328" s="637">
        <v>288580.90000000002</v>
      </c>
      <c r="H328" s="637">
        <v>577130.34</v>
      </c>
      <c r="I328" s="637">
        <v>865679.78</v>
      </c>
      <c r="J328" s="637">
        <v>1151676.1000000001</v>
      </c>
      <c r="K328" s="637">
        <v>1438514.42</v>
      </c>
      <c r="L328" s="637">
        <v>1725352.74</v>
      </c>
      <c r="M328" s="637">
        <v>2012192.61</v>
      </c>
      <c r="N328" s="637">
        <v>2299181.62</v>
      </c>
      <c r="O328" s="637">
        <v>2586176.0699999998</v>
      </c>
      <c r="P328" s="637">
        <v>2876670.55</v>
      </c>
      <c r="Q328" s="637">
        <v>3166291.48</v>
      </c>
      <c r="R328" s="637">
        <v>3457659.27</v>
      </c>
      <c r="S328" s="320">
        <f>((F328+R328)+((G328+H328+I328+J328+K328+L328+M328+N328+O328+P328+Q328)*2))/24</f>
        <v>1871621.3704166671</v>
      </c>
      <c r="T328" s="638"/>
      <c r="U328" s="675"/>
      <c r="V328" s="713"/>
      <c r="W328" s="713">
        <f t="shared" si="86"/>
        <v>1871621.3704166671</v>
      </c>
      <c r="X328" s="736"/>
      <c r="Y328" s="713"/>
      <c r="Z328" s="713"/>
      <c r="AA328" s="675"/>
      <c r="AB328" s="713"/>
      <c r="AC328" s="677">
        <f t="shared" si="87"/>
        <v>1871621.3704166671</v>
      </c>
      <c r="AD328" s="676"/>
      <c r="AE328" s="676"/>
      <c r="AF328" s="711">
        <f t="shared" si="80"/>
        <v>0</v>
      </c>
    </row>
    <row r="329" spans="1:32">
      <c r="A329" s="638">
        <v>315</v>
      </c>
      <c r="B329" s="342" t="s">
        <v>981</v>
      </c>
      <c r="C329" s="552" t="s">
        <v>522</v>
      </c>
      <c r="D329" s="638"/>
      <c r="E329" s="636" t="s">
        <v>1641</v>
      </c>
      <c r="F329" s="329">
        <v>0</v>
      </c>
      <c r="G329" s="329">
        <v>0</v>
      </c>
      <c r="H329" s="329">
        <v>0</v>
      </c>
      <c r="I329" s="329">
        <v>0</v>
      </c>
      <c r="J329" s="329">
        <v>0</v>
      </c>
      <c r="K329" s="329">
        <v>0</v>
      </c>
      <c r="L329" s="329">
        <v>0</v>
      </c>
      <c r="M329" s="329">
        <v>0</v>
      </c>
      <c r="N329" s="329">
        <v>0</v>
      </c>
      <c r="O329" s="329">
        <v>0</v>
      </c>
      <c r="P329" s="329">
        <v>0</v>
      </c>
      <c r="Q329" s="329">
        <v>0</v>
      </c>
      <c r="R329" s="329">
        <v>0</v>
      </c>
      <c r="S329" s="320">
        <f>((F329+R329)+((G329+H329+I329+J329+K329+L329+M329+N329+O329+P329+Q329)*2))/24</f>
        <v>0</v>
      </c>
      <c r="T329" s="638"/>
      <c r="U329" s="675"/>
      <c r="V329" s="713"/>
      <c r="W329" s="713">
        <f t="shared" si="86"/>
        <v>0</v>
      </c>
      <c r="X329" s="736"/>
      <c r="Y329" s="713"/>
      <c r="Z329" s="713"/>
      <c r="AA329" s="675"/>
      <c r="AB329" s="713"/>
      <c r="AC329" s="677">
        <f>+S329</f>
        <v>0</v>
      </c>
      <c r="AD329" s="676"/>
      <c r="AE329" s="676"/>
      <c r="AF329" s="711">
        <f t="shared" si="80"/>
        <v>0</v>
      </c>
    </row>
    <row r="330" spans="1:32">
      <c r="A330" s="638">
        <v>316</v>
      </c>
      <c r="B330" s="638"/>
      <c r="C330" s="638"/>
      <c r="D330" s="638"/>
      <c r="E330" s="636" t="s">
        <v>523</v>
      </c>
      <c r="F330" s="321">
        <f>SUM(F327:F329)</f>
        <v>29789773.009999998</v>
      </c>
      <c r="G330" s="321">
        <f t="shared" ref="G330:S330" si="88">SUM(G327:G329)</f>
        <v>2645064.3199999998</v>
      </c>
      <c r="H330" s="321">
        <f t="shared" si="88"/>
        <v>5303162.5</v>
      </c>
      <c r="I330" s="321">
        <f t="shared" si="88"/>
        <v>7970225.2000000002</v>
      </c>
      <c r="J330" s="321">
        <f t="shared" si="88"/>
        <v>10649145.779999999</v>
      </c>
      <c r="K330" s="321">
        <f t="shared" si="88"/>
        <v>13346092.720000001</v>
      </c>
      <c r="L330" s="321">
        <f t="shared" si="88"/>
        <v>16060135.68</v>
      </c>
      <c r="M330" s="321">
        <f t="shared" si="88"/>
        <v>18794672.800000001</v>
      </c>
      <c r="N330" s="321">
        <f t="shared" si="88"/>
        <v>21534887.100000001</v>
      </c>
      <c r="O330" s="321">
        <f t="shared" si="88"/>
        <v>24289596.390000001</v>
      </c>
      <c r="P330" s="321">
        <f t="shared" si="88"/>
        <v>27065361.780000001</v>
      </c>
      <c r="Q330" s="321">
        <f t="shared" si="88"/>
        <v>29869061.050000001</v>
      </c>
      <c r="R330" s="321">
        <f t="shared" si="88"/>
        <v>32688107.25</v>
      </c>
      <c r="S330" s="516">
        <f t="shared" si="88"/>
        <v>17397195.454166666</v>
      </c>
      <c r="T330" s="638"/>
      <c r="U330" s="675"/>
      <c r="V330" s="713"/>
      <c r="W330" s="713"/>
      <c r="X330" s="736"/>
      <c r="Y330" s="713"/>
      <c r="Z330" s="713"/>
      <c r="AA330" s="675"/>
      <c r="AB330" s="713"/>
      <c r="AC330" s="676"/>
      <c r="AD330" s="676"/>
      <c r="AE330" s="676"/>
      <c r="AF330" s="711">
        <f t="shared" si="80"/>
        <v>0</v>
      </c>
    </row>
    <row r="331" spans="1:32">
      <c r="A331" s="638">
        <v>317</v>
      </c>
      <c r="B331" s="638"/>
      <c r="C331" s="638"/>
      <c r="D331" s="638"/>
      <c r="E331" s="623"/>
      <c r="F331" s="637"/>
      <c r="G331" s="340"/>
      <c r="H331" s="331"/>
      <c r="I331" s="331"/>
      <c r="J331" s="332"/>
      <c r="K331" s="333"/>
      <c r="L331" s="334"/>
      <c r="M331" s="335"/>
      <c r="N331" s="336"/>
      <c r="O331" s="624"/>
      <c r="P331" s="337"/>
      <c r="Q331" s="341"/>
      <c r="R331" s="637"/>
      <c r="S331" s="320"/>
      <c r="T331" s="638"/>
      <c r="U331" s="675"/>
      <c r="V331" s="713"/>
      <c r="W331" s="713"/>
      <c r="X331" s="736"/>
      <c r="Y331" s="713"/>
      <c r="Z331" s="713"/>
      <c r="AA331" s="675"/>
      <c r="AB331" s="713"/>
      <c r="AC331" s="676"/>
      <c r="AD331" s="676"/>
      <c r="AE331" s="676"/>
      <c r="AF331" s="711">
        <f t="shared" si="80"/>
        <v>0</v>
      </c>
    </row>
    <row r="332" spans="1:32">
      <c r="A332" s="638">
        <v>318</v>
      </c>
      <c r="B332" s="342" t="s">
        <v>981</v>
      </c>
      <c r="C332" s="342" t="s">
        <v>524</v>
      </c>
      <c r="D332" s="638"/>
      <c r="E332" s="636" t="s">
        <v>525</v>
      </c>
      <c r="F332" s="637">
        <v>0</v>
      </c>
      <c r="G332" s="637">
        <v>0</v>
      </c>
      <c r="H332" s="637">
        <v>0</v>
      </c>
      <c r="I332" s="637">
        <v>0</v>
      </c>
      <c r="J332" s="637">
        <v>0</v>
      </c>
      <c r="K332" s="637">
        <v>0</v>
      </c>
      <c r="L332" s="637">
        <v>0</v>
      </c>
      <c r="M332" s="637">
        <v>0</v>
      </c>
      <c r="N332" s="637">
        <v>0</v>
      </c>
      <c r="O332" s="637">
        <v>0</v>
      </c>
      <c r="P332" s="637">
        <v>0</v>
      </c>
      <c r="Q332" s="637">
        <v>0</v>
      </c>
      <c r="R332" s="637">
        <v>0</v>
      </c>
      <c r="S332" s="514">
        <f>((F332+R332)+((G332+H332+I332+J332+K332+L332+M332+N332+O332+P332+Q332)*2))/24</f>
        <v>0</v>
      </c>
      <c r="T332" s="638"/>
      <c r="U332" s="675"/>
      <c r="V332" s="713"/>
      <c r="W332" s="713"/>
      <c r="X332" s="736"/>
      <c r="Y332" s="713"/>
      <c r="Z332" s="713"/>
      <c r="AA332" s="675"/>
      <c r="AB332" s="713"/>
      <c r="AC332" s="676"/>
      <c r="AD332" s="676"/>
      <c r="AE332" s="676"/>
      <c r="AF332" s="711">
        <f t="shared" si="80"/>
        <v>0</v>
      </c>
    </row>
    <row r="333" spans="1:32">
      <c r="A333" s="638">
        <v>319</v>
      </c>
      <c r="B333" s="342" t="s">
        <v>981</v>
      </c>
      <c r="C333" s="342" t="s">
        <v>526</v>
      </c>
      <c r="D333" s="638"/>
      <c r="E333" s="636" t="s">
        <v>527</v>
      </c>
      <c r="F333" s="637">
        <v>11139099.369999999</v>
      </c>
      <c r="G333" s="637">
        <v>928096.05</v>
      </c>
      <c r="H333" s="637">
        <v>1856104.6</v>
      </c>
      <c r="I333" s="637">
        <v>2784113.15</v>
      </c>
      <c r="J333" s="637">
        <v>3712121.68</v>
      </c>
      <c r="K333" s="637">
        <v>4639727.7300000004</v>
      </c>
      <c r="L333" s="637">
        <v>5812917.1200000001</v>
      </c>
      <c r="M333" s="637">
        <v>6986106.4900000002</v>
      </c>
      <c r="N333" s="637">
        <v>8159252.1100000003</v>
      </c>
      <c r="O333" s="637">
        <v>9332397.75</v>
      </c>
      <c r="P333" s="637">
        <v>10505543.369999999</v>
      </c>
      <c r="Q333" s="637">
        <v>11678579.609999999</v>
      </c>
      <c r="R333" s="637">
        <v>12851615.869999999</v>
      </c>
      <c r="S333" s="514">
        <f>((F333+R333)+((G333+H333+I333+J333+K333+L333+M333+N333+O333+P333+Q333)*2))/24</f>
        <v>6532526.4400000004</v>
      </c>
      <c r="T333" s="638"/>
      <c r="U333" s="675"/>
      <c r="V333" s="713"/>
      <c r="W333" s="713">
        <f t="shared" ref="W333:W347" si="89">+S333</f>
        <v>6532526.4400000004</v>
      </c>
      <c r="X333" s="736"/>
      <c r="Y333" s="713"/>
      <c r="Z333" s="713"/>
      <c r="AA333" s="675"/>
      <c r="AB333" s="713"/>
      <c r="AC333" s="677">
        <f t="shared" ref="AC333:AC347" si="90">+S333</f>
        <v>6532526.4400000004</v>
      </c>
      <c r="AD333" s="676"/>
      <c r="AE333" s="676"/>
      <c r="AF333" s="711">
        <f t="shared" si="80"/>
        <v>0</v>
      </c>
    </row>
    <row r="334" spans="1:32">
      <c r="A334" s="638">
        <v>320</v>
      </c>
      <c r="B334" s="342" t="s">
        <v>981</v>
      </c>
      <c r="C334" s="342" t="s">
        <v>526</v>
      </c>
      <c r="D334" s="342" t="s">
        <v>528</v>
      </c>
      <c r="E334" s="624" t="s">
        <v>529</v>
      </c>
      <c r="F334" s="637">
        <v>548333.80000000005</v>
      </c>
      <c r="G334" s="637">
        <v>165230.87</v>
      </c>
      <c r="H334" s="637">
        <v>320019.8</v>
      </c>
      <c r="I334" s="637">
        <v>478537.68</v>
      </c>
      <c r="J334" s="637">
        <v>580989.74</v>
      </c>
      <c r="K334" s="637">
        <v>789188.57</v>
      </c>
      <c r="L334" s="637">
        <v>873005.23</v>
      </c>
      <c r="M334" s="637">
        <v>917419.62</v>
      </c>
      <c r="N334" s="637">
        <v>993359.71</v>
      </c>
      <c r="O334" s="637">
        <v>1067622.68</v>
      </c>
      <c r="P334" s="637">
        <v>1095507.58</v>
      </c>
      <c r="Q334" s="637">
        <v>1146976.75</v>
      </c>
      <c r="R334" s="637">
        <v>1237444.53</v>
      </c>
      <c r="S334" s="514">
        <f>((F334+R334)+((G334+H334+I334+J334+K334+L334+M334+N334+O334+P334+Q334)*2))/24</f>
        <v>776728.94958333333</v>
      </c>
      <c r="T334" s="638"/>
      <c r="U334" s="675"/>
      <c r="V334" s="713"/>
      <c r="W334" s="713">
        <f t="shared" si="89"/>
        <v>776728.94958333333</v>
      </c>
      <c r="X334" s="736"/>
      <c r="Y334" s="713"/>
      <c r="Z334" s="713"/>
      <c r="AA334" s="675"/>
      <c r="AB334" s="713"/>
      <c r="AC334" s="677">
        <f t="shared" si="90"/>
        <v>776728.94958333333</v>
      </c>
      <c r="AD334" s="676"/>
      <c r="AE334" s="676"/>
      <c r="AF334" s="711">
        <f t="shared" si="80"/>
        <v>0</v>
      </c>
    </row>
    <row r="335" spans="1:32">
      <c r="A335" s="638">
        <v>321</v>
      </c>
      <c r="B335" s="342" t="s">
        <v>981</v>
      </c>
      <c r="C335" s="342" t="s">
        <v>526</v>
      </c>
      <c r="D335" s="342" t="s">
        <v>562</v>
      </c>
      <c r="E335" s="624" t="s">
        <v>1918</v>
      </c>
      <c r="F335" s="637">
        <v>0</v>
      </c>
      <c r="G335" s="637">
        <v>0</v>
      </c>
      <c r="H335" s="637">
        <v>0</v>
      </c>
      <c r="I335" s="637">
        <v>0</v>
      </c>
      <c r="J335" s="637">
        <v>31250.01</v>
      </c>
      <c r="K335" s="637">
        <v>39322.93</v>
      </c>
      <c r="L335" s="637">
        <v>48958.35</v>
      </c>
      <c r="M335" s="637">
        <v>59722.239999999998</v>
      </c>
      <c r="N335" s="637">
        <v>70486.13</v>
      </c>
      <c r="O335" s="637">
        <v>81076.39</v>
      </c>
      <c r="P335" s="637">
        <v>91840.28</v>
      </c>
      <c r="Q335" s="637">
        <v>102256.95</v>
      </c>
      <c r="R335" s="637">
        <v>113020.83</v>
      </c>
      <c r="S335" s="514">
        <f t="shared" ref="S335:S339" si="91">((F335+R335)+((G335+H335+I335+J335+K335+L335+M335+N335+O335+P335+Q335)*2))/24</f>
        <v>48451.974583333329</v>
      </c>
      <c r="T335" s="638"/>
      <c r="U335" s="675"/>
      <c r="V335" s="713"/>
      <c r="W335" s="713">
        <f t="shared" si="89"/>
        <v>48451.974583333329</v>
      </c>
      <c r="X335" s="736"/>
      <c r="Y335" s="713"/>
      <c r="Z335" s="713"/>
      <c r="AA335" s="675"/>
      <c r="AB335" s="713"/>
      <c r="AC335" s="677">
        <f>+W335</f>
        <v>48451.974583333329</v>
      </c>
      <c r="AD335" s="676"/>
      <c r="AE335" s="676"/>
      <c r="AF335" s="711"/>
    </row>
    <row r="336" spans="1:32">
      <c r="A336" s="638">
        <v>322</v>
      </c>
      <c r="B336" s="342" t="s">
        <v>981</v>
      </c>
      <c r="C336" s="342" t="s">
        <v>530</v>
      </c>
      <c r="D336" s="342" t="s">
        <v>1919</v>
      </c>
      <c r="E336" s="624" t="s">
        <v>1920</v>
      </c>
      <c r="F336" s="637">
        <v>0</v>
      </c>
      <c r="G336" s="637">
        <v>0</v>
      </c>
      <c r="H336" s="637">
        <v>0</v>
      </c>
      <c r="I336" s="637">
        <v>1110</v>
      </c>
      <c r="J336" s="637">
        <v>1110</v>
      </c>
      <c r="K336" s="637">
        <v>1110</v>
      </c>
      <c r="L336" s="637">
        <v>1682</v>
      </c>
      <c r="M336" s="637">
        <v>1682</v>
      </c>
      <c r="N336" s="637">
        <v>1682</v>
      </c>
      <c r="O336" s="637">
        <v>2191</v>
      </c>
      <c r="P336" s="637">
        <v>2191</v>
      </c>
      <c r="Q336" s="637">
        <v>2191</v>
      </c>
      <c r="R336" s="637">
        <v>3227</v>
      </c>
      <c r="S336" s="514">
        <f t="shared" si="91"/>
        <v>1380.2083333333333</v>
      </c>
      <c r="T336" s="638"/>
      <c r="U336" s="675"/>
      <c r="V336" s="713"/>
      <c r="W336" s="713">
        <f t="shared" si="89"/>
        <v>1380.2083333333333</v>
      </c>
      <c r="X336" s="736"/>
      <c r="Y336" s="713"/>
      <c r="Z336" s="713"/>
      <c r="AA336" s="675"/>
      <c r="AB336" s="713"/>
      <c r="AC336" s="677">
        <f>+W336</f>
        <v>1380.2083333333333</v>
      </c>
      <c r="AD336" s="676"/>
      <c r="AE336" s="676"/>
      <c r="AF336" s="711"/>
    </row>
    <row r="337" spans="1:32">
      <c r="A337" s="638">
        <v>323</v>
      </c>
      <c r="B337" s="342" t="s">
        <v>981</v>
      </c>
      <c r="C337" s="342" t="s">
        <v>530</v>
      </c>
      <c r="D337" s="342" t="s">
        <v>392</v>
      </c>
      <c r="E337" s="636" t="s">
        <v>1643</v>
      </c>
      <c r="F337" s="637">
        <v>95052.07</v>
      </c>
      <c r="G337" s="637">
        <v>8072.92</v>
      </c>
      <c r="H337" s="637">
        <v>15364.59</v>
      </c>
      <c r="I337" s="637">
        <v>23437.51</v>
      </c>
      <c r="J337" s="637">
        <v>3.6379788070917101E-12</v>
      </c>
      <c r="K337" s="637">
        <v>3.6379788070917101E-12</v>
      </c>
      <c r="L337" s="637">
        <v>3.6379788070917101E-12</v>
      </c>
      <c r="M337" s="637">
        <v>3.6379788070917101E-12</v>
      </c>
      <c r="N337" s="637">
        <v>3.6379788070917101E-12</v>
      </c>
      <c r="O337" s="637">
        <v>3.6379788070917101E-12</v>
      </c>
      <c r="P337" s="637">
        <v>3.6379788070917101E-12</v>
      </c>
      <c r="Q337" s="637">
        <v>3.6379788070917101E-12</v>
      </c>
      <c r="R337" s="637">
        <v>3.6379788070917101E-12</v>
      </c>
      <c r="S337" s="514">
        <f t="shared" si="91"/>
        <v>7866.7545833333343</v>
      </c>
      <c r="T337" s="638"/>
      <c r="U337" s="675"/>
      <c r="V337" s="713"/>
      <c r="W337" s="713">
        <f t="shared" si="89"/>
        <v>7866.7545833333343</v>
      </c>
      <c r="X337" s="736"/>
      <c r="Y337" s="713"/>
      <c r="Z337" s="713"/>
      <c r="AA337" s="675"/>
      <c r="AB337" s="713"/>
      <c r="AC337" s="677">
        <f t="shared" si="90"/>
        <v>7866.7545833333343</v>
      </c>
      <c r="AD337" s="676"/>
      <c r="AE337" s="676"/>
      <c r="AF337" s="711">
        <f t="shared" si="80"/>
        <v>0</v>
      </c>
    </row>
    <row r="338" spans="1:32">
      <c r="A338" s="638">
        <v>324</v>
      </c>
      <c r="B338" s="342" t="s">
        <v>981</v>
      </c>
      <c r="C338" s="342" t="s">
        <v>530</v>
      </c>
      <c r="D338" s="342" t="s">
        <v>1921</v>
      </c>
      <c r="E338" s="636" t="s">
        <v>1922</v>
      </c>
      <c r="F338" s="637">
        <v>0</v>
      </c>
      <c r="G338" s="637">
        <v>34533.33</v>
      </c>
      <c r="H338" s="637">
        <v>103337.65</v>
      </c>
      <c r="I338" s="637">
        <v>205798.22</v>
      </c>
      <c r="J338" s="637">
        <v>377331.64</v>
      </c>
      <c r="K338" s="637">
        <v>556400.62</v>
      </c>
      <c r="L338" s="637">
        <v>702228.65</v>
      </c>
      <c r="M338" s="637">
        <v>801606.15</v>
      </c>
      <c r="N338" s="637">
        <v>896076.18</v>
      </c>
      <c r="O338" s="637">
        <v>984024.68</v>
      </c>
      <c r="P338" s="637">
        <v>1069734.94</v>
      </c>
      <c r="Q338" s="637">
        <v>1146529.3899999999</v>
      </c>
      <c r="R338" s="637">
        <v>1212769.3899999999</v>
      </c>
      <c r="S338" s="514">
        <f t="shared" si="91"/>
        <v>623665.51208333333</v>
      </c>
      <c r="T338" s="638"/>
      <c r="U338" s="675"/>
      <c r="V338" s="713"/>
      <c r="W338" s="713">
        <f t="shared" si="89"/>
        <v>623665.51208333333</v>
      </c>
      <c r="X338" s="736"/>
      <c r="Y338" s="713"/>
      <c r="Z338" s="713"/>
      <c r="AA338" s="675"/>
      <c r="AB338" s="713"/>
      <c r="AC338" s="677">
        <f t="shared" si="90"/>
        <v>623665.51208333333</v>
      </c>
      <c r="AD338" s="676"/>
      <c r="AE338" s="676"/>
      <c r="AF338" s="711"/>
    </row>
    <row r="339" spans="1:32">
      <c r="A339" s="638">
        <v>325</v>
      </c>
      <c r="B339" s="342" t="s">
        <v>981</v>
      </c>
      <c r="C339" s="342" t="s">
        <v>530</v>
      </c>
      <c r="D339" s="342" t="s">
        <v>539</v>
      </c>
      <c r="E339" s="636" t="s">
        <v>1923</v>
      </c>
      <c r="F339" s="637">
        <v>0</v>
      </c>
      <c r="G339" s="637">
        <v>0</v>
      </c>
      <c r="H339" s="637">
        <v>0</v>
      </c>
      <c r="I339" s="637">
        <v>7555.44</v>
      </c>
      <c r="J339" s="637">
        <v>7555.44</v>
      </c>
      <c r="K339" s="637">
        <v>7555.44</v>
      </c>
      <c r="L339" s="637">
        <v>17094.7</v>
      </c>
      <c r="M339" s="637">
        <v>17094.7</v>
      </c>
      <c r="N339" s="637">
        <v>17094.7</v>
      </c>
      <c r="O339" s="637">
        <v>25258.66</v>
      </c>
      <c r="P339" s="637">
        <v>25258.66</v>
      </c>
      <c r="Q339" s="637">
        <v>25258.66</v>
      </c>
      <c r="R339" s="637">
        <v>33252.980000000003</v>
      </c>
      <c r="S339" s="514">
        <f t="shared" si="91"/>
        <v>13862.740833333331</v>
      </c>
      <c r="T339" s="638"/>
      <c r="U339" s="675"/>
      <c r="V339" s="713"/>
      <c r="W339" s="713">
        <f t="shared" si="89"/>
        <v>13862.740833333331</v>
      </c>
      <c r="X339" s="736"/>
      <c r="Y339" s="713"/>
      <c r="Z339" s="713"/>
      <c r="AA339" s="675"/>
      <c r="AB339" s="713"/>
      <c r="AC339" s="677">
        <f t="shared" si="90"/>
        <v>13862.740833333331</v>
      </c>
      <c r="AD339" s="676"/>
      <c r="AE339" s="676"/>
      <c r="AF339" s="711"/>
    </row>
    <row r="340" spans="1:32">
      <c r="A340" s="638">
        <v>326</v>
      </c>
      <c r="B340" s="342" t="s">
        <v>1009</v>
      </c>
      <c r="C340" s="342" t="s">
        <v>530</v>
      </c>
      <c r="D340" s="342" t="s">
        <v>1208</v>
      </c>
      <c r="E340" s="636" t="s">
        <v>1644</v>
      </c>
      <c r="F340" s="637">
        <v>3105.24</v>
      </c>
      <c r="G340" s="637">
        <v>50.32</v>
      </c>
      <c r="H340" s="637">
        <v>117.73</v>
      </c>
      <c r="I340" s="637">
        <v>241.09</v>
      </c>
      <c r="J340" s="637">
        <v>481.33</v>
      </c>
      <c r="K340" s="637">
        <v>732.42</v>
      </c>
      <c r="L340" s="637">
        <v>949.16</v>
      </c>
      <c r="M340" s="637">
        <v>1236.6300000000001</v>
      </c>
      <c r="N340" s="637">
        <v>1532.37</v>
      </c>
      <c r="O340" s="637">
        <v>1820.65</v>
      </c>
      <c r="P340" s="637">
        <v>2317.12</v>
      </c>
      <c r="Q340" s="637">
        <v>2571.5300000000002</v>
      </c>
      <c r="R340" s="637">
        <v>4567.83</v>
      </c>
      <c r="S340" s="514">
        <f t="shared" ref="S340:S345" si="92">((F340+R340)+((G340+H340+I340+J340+K340+L340+M340+N340+O340+P340+Q340)*2))/24</f>
        <v>1323.9070833333333</v>
      </c>
      <c r="T340" s="638"/>
      <c r="U340" s="675"/>
      <c r="V340" s="713"/>
      <c r="W340" s="713">
        <f t="shared" si="89"/>
        <v>1323.9070833333333</v>
      </c>
      <c r="X340" s="736"/>
      <c r="Y340" s="713"/>
      <c r="Z340" s="713"/>
      <c r="AA340" s="675"/>
      <c r="AB340" s="713"/>
      <c r="AC340" s="677">
        <f t="shared" si="90"/>
        <v>1323.9070833333333</v>
      </c>
      <c r="AD340" s="676"/>
      <c r="AE340" s="676"/>
      <c r="AF340" s="711">
        <f t="shared" si="80"/>
        <v>0</v>
      </c>
    </row>
    <row r="341" spans="1:32">
      <c r="A341" s="638">
        <v>327</v>
      </c>
      <c r="B341" s="342" t="s">
        <v>1009</v>
      </c>
      <c r="C341" s="342" t="s">
        <v>530</v>
      </c>
      <c r="D341" s="342" t="s">
        <v>1209</v>
      </c>
      <c r="E341" s="636" t="s">
        <v>1645</v>
      </c>
      <c r="F341" s="637">
        <v>156518.59</v>
      </c>
      <c r="G341" s="637">
        <v>0</v>
      </c>
      <c r="H341" s="637">
        <v>0</v>
      </c>
      <c r="I341" s="637">
        <v>0</v>
      </c>
      <c r="J341" s="637">
        <v>0</v>
      </c>
      <c r="K341" s="637">
        <v>0</v>
      </c>
      <c r="L341" s="637">
        <v>0</v>
      </c>
      <c r="M341" s="637">
        <v>0</v>
      </c>
      <c r="N341" s="637">
        <v>0</v>
      </c>
      <c r="O341" s="637">
        <v>0</v>
      </c>
      <c r="P341" s="637">
        <v>0</v>
      </c>
      <c r="Q341" s="637">
        <v>0</v>
      </c>
      <c r="R341" s="637">
        <v>0</v>
      </c>
      <c r="S341" s="514">
        <f t="shared" si="92"/>
        <v>6521.6079166666668</v>
      </c>
      <c r="T341" s="638"/>
      <c r="U341" s="675"/>
      <c r="V341" s="713"/>
      <c r="W341" s="713">
        <f t="shared" si="89"/>
        <v>6521.6079166666668</v>
      </c>
      <c r="X341" s="736"/>
      <c r="Y341" s="713"/>
      <c r="Z341" s="713"/>
      <c r="AA341" s="675"/>
      <c r="AB341" s="713"/>
      <c r="AC341" s="677">
        <f t="shared" si="90"/>
        <v>6521.6079166666668</v>
      </c>
      <c r="AD341" s="676"/>
      <c r="AE341" s="676"/>
      <c r="AF341" s="711">
        <f t="shared" si="80"/>
        <v>0</v>
      </c>
    </row>
    <row r="342" spans="1:32">
      <c r="A342" s="638">
        <v>328</v>
      </c>
      <c r="B342" s="342" t="s">
        <v>1009</v>
      </c>
      <c r="C342" s="342" t="s">
        <v>530</v>
      </c>
      <c r="D342" s="342" t="s">
        <v>1210</v>
      </c>
      <c r="E342" s="636" t="s">
        <v>1646</v>
      </c>
      <c r="F342" s="637">
        <v>39378.44</v>
      </c>
      <c r="G342" s="637">
        <v>0</v>
      </c>
      <c r="H342" s="637">
        <v>0</v>
      </c>
      <c r="I342" s="637">
        <v>0</v>
      </c>
      <c r="J342" s="637">
        <v>9490.2900000000009</v>
      </c>
      <c r="K342" s="637">
        <v>21965.360000000001</v>
      </c>
      <c r="L342" s="637">
        <v>31077.74</v>
      </c>
      <c r="M342" s="637">
        <v>40780.449999999997</v>
      </c>
      <c r="N342" s="637">
        <v>50530.43</v>
      </c>
      <c r="O342" s="637">
        <v>58370.19</v>
      </c>
      <c r="P342" s="637">
        <v>67212.75</v>
      </c>
      <c r="Q342" s="637">
        <v>79771.240000000005</v>
      </c>
      <c r="R342" s="637">
        <v>92377.64</v>
      </c>
      <c r="S342" s="514">
        <f t="shared" si="92"/>
        <v>35423.040833333333</v>
      </c>
      <c r="T342" s="638"/>
      <c r="U342" s="675"/>
      <c r="V342" s="713"/>
      <c r="W342" s="713">
        <f t="shared" si="89"/>
        <v>35423.040833333333</v>
      </c>
      <c r="X342" s="736"/>
      <c r="Y342" s="713"/>
      <c r="Z342" s="713"/>
      <c r="AA342" s="675"/>
      <c r="AB342" s="713"/>
      <c r="AC342" s="677">
        <f t="shared" si="90"/>
        <v>35423.040833333333</v>
      </c>
      <c r="AD342" s="676"/>
      <c r="AE342" s="676"/>
      <c r="AF342" s="711">
        <f t="shared" si="80"/>
        <v>0</v>
      </c>
    </row>
    <row r="343" spans="1:32">
      <c r="A343" s="638">
        <v>329</v>
      </c>
      <c r="B343" s="342" t="s">
        <v>984</v>
      </c>
      <c r="C343" s="342" t="s">
        <v>530</v>
      </c>
      <c r="D343" s="342" t="s">
        <v>1208</v>
      </c>
      <c r="E343" s="636" t="s">
        <v>1644</v>
      </c>
      <c r="F343" s="637">
        <v>12321.35</v>
      </c>
      <c r="G343" s="637">
        <v>144.74</v>
      </c>
      <c r="H343" s="637">
        <v>424.49</v>
      </c>
      <c r="I343" s="637">
        <v>944.89</v>
      </c>
      <c r="J343" s="637">
        <v>1674.17</v>
      </c>
      <c r="K343" s="637">
        <v>2379.8200000000002</v>
      </c>
      <c r="L343" s="637">
        <v>3131.36</v>
      </c>
      <c r="M343" s="637">
        <v>4037.04</v>
      </c>
      <c r="N343" s="637">
        <v>5172.18</v>
      </c>
      <c r="O343" s="637">
        <v>6230.27</v>
      </c>
      <c r="P343" s="637">
        <v>7596.28</v>
      </c>
      <c r="Q343" s="637">
        <v>8494.06</v>
      </c>
      <c r="R343" s="637">
        <v>16599.79</v>
      </c>
      <c r="S343" s="514">
        <f t="shared" si="92"/>
        <v>4557.4891666666672</v>
      </c>
      <c r="T343" s="638"/>
      <c r="U343" s="675"/>
      <c r="V343" s="713"/>
      <c r="W343" s="713">
        <f t="shared" si="89"/>
        <v>4557.4891666666672</v>
      </c>
      <c r="X343" s="736"/>
      <c r="Y343" s="713"/>
      <c r="Z343" s="713"/>
      <c r="AA343" s="675"/>
      <c r="AB343" s="713"/>
      <c r="AC343" s="677">
        <f t="shared" si="90"/>
        <v>4557.4891666666672</v>
      </c>
      <c r="AD343" s="676"/>
      <c r="AE343" s="676"/>
      <c r="AF343" s="711">
        <f t="shared" si="80"/>
        <v>0</v>
      </c>
    </row>
    <row r="344" spans="1:32">
      <c r="A344" s="638">
        <v>330</v>
      </c>
      <c r="B344" s="342" t="s">
        <v>984</v>
      </c>
      <c r="C344" s="342" t="s">
        <v>530</v>
      </c>
      <c r="D344" s="342" t="s">
        <v>1209</v>
      </c>
      <c r="E344" s="636" t="s">
        <v>1645</v>
      </c>
      <c r="F344" s="637">
        <v>0</v>
      </c>
      <c r="G344" s="637">
        <v>0</v>
      </c>
      <c r="H344" s="637">
        <v>0</v>
      </c>
      <c r="I344" s="637">
        <v>0</v>
      </c>
      <c r="J344" s="637">
        <v>0</v>
      </c>
      <c r="K344" s="637">
        <v>0</v>
      </c>
      <c r="L344" s="637">
        <v>0</v>
      </c>
      <c r="M344" s="637">
        <v>0</v>
      </c>
      <c r="N344" s="637">
        <v>0</v>
      </c>
      <c r="O344" s="637">
        <v>0</v>
      </c>
      <c r="P344" s="637">
        <v>0</v>
      </c>
      <c r="Q344" s="637">
        <v>0</v>
      </c>
      <c r="R344" s="637">
        <v>0</v>
      </c>
      <c r="S344" s="514">
        <f t="shared" si="92"/>
        <v>0</v>
      </c>
      <c r="T344" s="638"/>
      <c r="U344" s="675"/>
      <c r="V344" s="713"/>
      <c r="W344" s="713">
        <f t="shared" si="89"/>
        <v>0</v>
      </c>
      <c r="X344" s="736"/>
      <c r="Y344" s="713"/>
      <c r="Z344" s="713"/>
      <c r="AA344" s="675"/>
      <c r="AB344" s="713"/>
      <c r="AC344" s="677">
        <f t="shared" si="90"/>
        <v>0</v>
      </c>
      <c r="AD344" s="676"/>
      <c r="AE344" s="676"/>
      <c r="AF344" s="711">
        <f t="shared" si="80"/>
        <v>0</v>
      </c>
    </row>
    <row r="345" spans="1:32">
      <c r="A345" s="638">
        <v>331</v>
      </c>
      <c r="B345" s="342" t="s">
        <v>984</v>
      </c>
      <c r="C345" s="342" t="s">
        <v>530</v>
      </c>
      <c r="D345" s="342" t="s">
        <v>1210</v>
      </c>
      <c r="E345" s="636" t="s">
        <v>1646</v>
      </c>
      <c r="F345" s="637">
        <v>53464.6</v>
      </c>
      <c r="G345" s="637">
        <v>0</v>
      </c>
      <c r="H345" s="637">
        <v>0</v>
      </c>
      <c r="I345" s="637">
        <v>0</v>
      </c>
      <c r="J345" s="637">
        <v>0</v>
      </c>
      <c r="K345" s="637">
        <v>0</v>
      </c>
      <c r="L345" s="637">
        <v>0</v>
      </c>
      <c r="M345" s="637">
        <v>0</v>
      </c>
      <c r="N345" s="637">
        <v>0</v>
      </c>
      <c r="O345" s="637">
        <v>0</v>
      </c>
      <c r="P345" s="637">
        <v>0</v>
      </c>
      <c r="Q345" s="637">
        <v>0</v>
      </c>
      <c r="R345" s="637">
        <v>0</v>
      </c>
      <c r="S345" s="514">
        <f t="shared" si="92"/>
        <v>2227.6916666666666</v>
      </c>
      <c r="T345" s="638"/>
      <c r="U345" s="675"/>
      <c r="V345" s="713"/>
      <c r="W345" s="713">
        <f t="shared" si="89"/>
        <v>2227.6916666666666</v>
      </c>
      <c r="X345" s="736"/>
      <c r="Y345" s="713"/>
      <c r="Z345" s="713"/>
      <c r="AA345" s="675"/>
      <c r="AB345" s="713"/>
      <c r="AC345" s="677">
        <f t="shared" si="90"/>
        <v>2227.6916666666666</v>
      </c>
      <c r="AD345" s="676"/>
      <c r="AE345" s="676"/>
      <c r="AF345" s="711">
        <f t="shared" si="80"/>
        <v>0</v>
      </c>
    </row>
    <row r="346" spans="1:32">
      <c r="A346" s="638">
        <v>332</v>
      </c>
      <c r="B346" s="342" t="s">
        <v>981</v>
      </c>
      <c r="C346" s="342" t="s">
        <v>531</v>
      </c>
      <c r="D346" s="638"/>
      <c r="E346" s="636" t="s">
        <v>532</v>
      </c>
      <c r="F346" s="637">
        <v>200172.75</v>
      </c>
      <c r="G346" s="637">
        <v>16464.189999999999</v>
      </c>
      <c r="H346" s="637">
        <v>33621.160000000003</v>
      </c>
      <c r="I346" s="637">
        <v>50081.73</v>
      </c>
      <c r="J346" s="637">
        <v>66542.3</v>
      </c>
      <c r="K346" s="637">
        <v>86139.56</v>
      </c>
      <c r="L346" s="637">
        <v>169066.61</v>
      </c>
      <c r="M346" s="637">
        <v>186772.98</v>
      </c>
      <c r="N346" s="637">
        <v>142055.23000000001</v>
      </c>
      <c r="O346" s="637">
        <v>160580.14000000001</v>
      </c>
      <c r="P346" s="637">
        <v>179105.05</v>
      </c>
      <c r="Q346" s="637">
        <v>198455.11</v>
      </c>
      <c r="R346" s="637">
        <v>216975.49</v>
      </c>
      <c r="S346" s="514">
        <f>((F346+R346)+((G346+H346+I346+J346+K346+L346+M346+N346+O346+P346+Q346)*2))/24</f>
        <v>124788.18166666669</v>
      </c>
      <c r="T346" s="638"/>
      <c r="U346" s="675"/>
      <c r="V346" s="713"/>
      <c r="W346" s="713">
        <f t="shared" si="89"/>
        <v>124788.18166666669</v>
      </c>
      <c r="X346" s="736"/>
      <c r="Y346" s="713"/>
      <c r="Z346" s="713"/>
      <c r="AA346" s="675"/>
      <c r="AB346" s="713"/>
      <c r="AC346" s="677">
        <f t="shared" si="90"/>
        <v>124788.18166666669</v>
      </c>
      <c r="AD346" s="676"/>
      <c r="AE346" s="676"/>
      <c r="AF346" s="711">
        <f t="shared" si="80"/>
        <v>0</v>
      </c>
    </row>
    <row r="347" spans="1:32">
      <c r="A347" s="638">
        <v>333</v>
      </c>
      <c r="B347" s="342" t="s">
        <v>981</v>
      </c>
      <c r="C347" s="342" t="s">
        <v>533</v>
      </c>
      <c r="D347" s="638"/>
      <c r="E347" s="636" t="s">
        <v>1642</v>
      </c>
      <c r="F347" s="329">
        <v>40970.639999999999</v>
      </c>
      <c r="G347" s="329">
        <v>3414.22</v>
      </c>
      <c r="H347" s="329">
        <v>6828.44</v>
      </c>
      <c r="I347" s="329">
        <v>10242.66</v>
      </c>
      <c r="J347" s="329">
        <v>13656.88</v>
      </c>
      <c r="K347" s="329">
        <v>17071.099999999999</v>
      </c>
      <c r="L347" s="329">
        <v>20485.32</v>
      </c>
      <c r="M347" s="329">
        <v>23899.54</v>
      </c>
      <c r="N347" s="329">
        <v>27313.759999999998</v>
      </c>
      <c r="O347" s="329">
        <v>30727.98</v>
      </c>
      <c r="P347" s="329">
        <v>34142.199999999997</v>
      </c>
      <c r="Q347" s="329">
        <v>37556.42</v>
      </c>
      <c r="R347" s="329">
        <v>40970.639999999999</v>
      </c>
      <c r="S347" s="514">
        <f>((F347+R347)+((G347+H347+I347+J347+K347+L347+M347+N347+O347+P347+Q347)*2))/24</f>
        <v>22192.429999999997</v>
      </c>
      <c r="T347" s="638"/>
      <c r="U347" s="675"/>
      <c r="V347" s="713"/>
      <c r="W347" s="713">
        <f t="shared" si="89"/>
        <v>22192.429999999997</v>
      </c>
      <c r="X347" s="736"/>
      <c r="Y347" s="713"/>
      <c r="Z347" s="713"/>
      <c r="AA347" s="675"/>
      <c r="AB347" s="713"/>
      <c r="AC347" s="677">
        <f t="shared" si="90"/>
        <v>22192.429999999997</v>
      </c>
      <c r="AD347" s="676"/>
      <c r="AE347" s="676"/>
      <c r="AF347" s="711">
        <f t="shared" si="80"/>
        <v>0</v>
      </c>
    </row>
    <row r="348" spans="1:32">
      <c r="A348" s="638">
        <v>334</v>
      </c>
      <c r="B348" s="638"/>
      <c r="C348" s="638"/>
      <c r="D348" s="638"/>
      <c r="E348" s="636" t="s">
        <v>534</v>
      </c>
      <c r="F348" s="321">
        <f t="shared" ref="F348:S348" si="93">SUM(F332:F347)</f>
        <v>12288416.85</v>
      </c>
      <c r="G348" s="321">
        <f t="shared" si="93"/>
        <v>1156006.6399999999</v>
      </c>
      <c r="H348" s="321">
        <f t="shared" si="93"/>
        <v>2335818.46</v>
      </c>
      <c r="I348" s="321">
        <f t="shared" si="93"/>
        <v>3562062.37</v>
      </c>
      <c r="J348" s="321">
        <f t="shared" si="93"/>
        <v>4802203.4799999995</v>
      </c>
      <c r="K348" s="321">
        <f t="shared" si="93"/>
        <v>6161593.5500000007</v>
      </c>
      <c r="L348" s="321">
        <f t="shared" si="93"/>
        <v>7680596.2400000012</v>
      </c>
      <c r="M348" s="321">
        <f t="shared" si="93"/>
        <v>9040357.839999998</v>
      </c>
      <c r="N348" s="321">
        <f t="shared" si="93"/>
        <v>10364554.799999999</v>
      </c>
      <c r="O348" s="321">
        <f t="shared" si="93"/>
        <v>11750300.390000001</v>
      </c>
      <c r="P348" s="321">
        <f t="shared" si="93"/>
        <v>13080449.229999997</v>
      </c>
      <c r="Q348" s="321">
        <f t="shared" si="93"/>
        <v>14428640.719999999</v>
      </c>
      <c r="R348" s="321">
        <f t="shared" si="93"/>
        <v>15822821.99</v>
      </c>
      <c r="S348" s="516">
        <f t="shared" si="93"/>
        <v>8201516.9283333337</v>
      </c>
      <c r="T348" s="638"/>
      <c r="U348" s="675"/>
      <c r="V348" s="713"/>
      <c r="W348" s="713"/>
      <c r="X348" s="736"/>
      <c r="Y348" s="713"/>
      <c r="Z348" s="713"/>
      <c r="AA348" s="675"/>
      <c r="AB348" s="713"/>
      <c r="AC348" s="676"/>
      <c r="AD348" s="676"/>
      <c r="AE348" s="676"/>
      <c r="AF348" s="711">
        <f t="shared" si="80"/>
        <v>0</v>
      </c>
    </row>
    <row r="349" spans="1:32">
      <c r="A349" s="638">
        <v>335</v>
      </c>
      <c r="B349" s="638"/>
      <c r="C349" s="638"/>
      <c r="D349" s="638"/>
      <c r="E349" s="636"/>
      <c r="F349" s="637"/>
      <c r="G349" s="340"/>
      <c r="H349" s="331"/>
      <c r="I349" s="331"/>
      <c r="J349" s="332"/>
      <c r="K349" s="333"/>
      <c r="L349" s="334"/>
      <c r="M349" s="335"/>
      <c r="N349" s="336"/>
      <c r="O349" s="624"/>
      <c r="P349" s="337"/>
      <c r="Q349" s="341"/>
      <c r="R349" s="637"/>
      <c r="S349" s="320"/>
      <c r="T349" s="638"/>
      <c r="U349" s="675"/>
      <c r="V349" s="713"/>
      <c r="W349" s="713"/>
      <c r="X349" s="736"/>
      <c r="Y349" s="713"/>
      <c r="Z349" s="713"/>
      <c r="AA349" s="675"/>
      <c r="AB349" s="713"/>
      <c r="AC349" s="676"/>
      <c r="AD349" s="676"/>
      <c r="AE349" s="676"/>
      <c r="AF349" s="711">
        <f t="shared" si="80"/>
        <v>0</v>
      </c>
    </row>
    <row r="350" spans="1:32">
      <c r="A350" s="638">
        <v>336</v>
      </c>
      <c r="B350" s="342" t="s">
        <v>1009</v>
      </c>
      <c r="C350" s="342" t="s">
        <v>535</v>
      </c>
      <c r="D350" s="342" t="s">
        <v>1211</v>
      </c>
      <c r="E350" s="636" t="s">
        <v>1649</v>
      </c>
      <c r="F350" s="637">
        <v>477754.1</v>
      </c>
      <c r="G350" s="637">
        <v>-1106116.25</v>
      </c>
      <c r="H350" s="637">
        <v>360934.49</v>
      </c>
      <c r="I350" s="637">
        <v>304626.49</v>
      </c>
      <c r="J350" s="637">
        <v>60968.1</v>
      </c>
      <c r="K350" s="637">
        <v>-120515.98</v>
      </c>
      <c r="L350" s="637">
        <v>-340927.21</v>
      </c>
      <c r="M350" s="637">
        <v>-656514.9</v>
      </c>
      <c r="N350" s="637">
        <v>-1034313.55</v>
      </c>
      <c r="O350" s="637">
        <v>-900351.67</v>
      </c>
      <c r="P350" s="637">
        <v>-972430.98</v>
      </c>
      <c r="Q350" s="637">
        <v>-1075747.08</v>
      </c>
      <c r="R350" s="637">
        <v>-638181.51</v>
      </c>
      <c r="S350" s="514">
        <f t="shared" ref="S350:S370" si="94">((F350+R350)+((G350+H350+I350+J350+K350+L350+M350+N350+O350+P350+Q350)*2))/24</f>
        <v>-463383.52041666675</v>
      </c>
      <c r="T350" s="638"/>
      <c r="U350" s="675"/>
      <c r="V350" s="713"/>
      <c r="W350" s="713">
        <f t="shared" ref="W350:W370" si="95">+S350</f>
        <v>-463383.52041666675</v>
      </c>
      <c r="X350" s="736"/>
      <c r="Y350" s="713"/>
      <c r="Z350" s="713"/>
      <c r="AA350" s="675"/>
      <c r="AB350" s="713"/>
      <c r="AC350" s="677">
        <f t="shared" ref="AC350:AC370" si="96">+S350</f>
        <v>-463383.52041666675</v>
      </c>
      <c r="AD350" s="676"/>
      <c r="AE350" s="676"/>
      <c r="AF350" s="711">
        <f t="shared" si="80"/>
        <v>0</v>
      </c>
    </row>
    <row r="351" spans="1:32">
      <c r="A351" s="638">
        <v>337</v>
      </c>
      <c r="B351" s="342" t="s">
        <v>1009</v>
      </c>
      <c r="C351" s="342" t="s">
        <v>535</v>
      </c>
      <c r="D351" s="342" t="s">
        <v>1212</v>
      </c>
      <c r="E351" s="636" t="s">
        <v>1650</v>
      </c>
      <c r="F351" s="637">
        <v>-461581.72</v>
      </c>
      <c r="G351" s="637">
        <v>4449.66</v>
      </c>
      <c r="H351" s="637">
        <v>-310132.34000000003</v>
      </c>
      <c r="I351" s="637">
        <v>-655617.5</v>
      </c>
      <c r="J351" s="637">
        <v>-653131</v>
      </c>
      <c r="K351" s="637">
        <v>-734062.41</v>
      </c>
      <c r="L351" s="637">
        <v>-843428.71</v>
      </c>
      <c r="M351" s="637">
        <v>-983006.67</v>
      </c>
      <c r="N351" s="637">
        <v>-1116988.21</v>
      </c>
      <c r="O351" s="637">
        <v>-1049291.58</v>
      </c>
      <c r="P351" s="637">
        <v>-1068975.5</v>
      </c>
      <c r="Q351" s="637">
        <v>-1029140.04</v>
      </c>
      <c r="R351" s="637">
        <v>-941388.15</v>
      </c>
      <c r="S351" s="514">
        <f t="shared" si="94"/>
        <v>-761734.10291666677</v>
      </c>
      <c r="T351" s="638"/>
      <c r="U351" s="675"/>
      <c r="V351" s="713"/>
      <c r="W351" s="713">
        <f t="shared" si="95"/>
        <v>-761734.10291666677</v>
      </c>
      <c r="X351" s="736"/>
      <c r="Y351" s="713"/>
      <c r="Z351" s="713"/>
      <c r="AA351" s="675"/>
      <c r="AB351" s="713"/>
      <c r="AC351" s="677">
        <f t="shared" si="96"/>
        <v>-761734.10291666677</v>
      </c>
      <c r="AD351" s="676"/>
      <c r="AE351" s="676"/>
      <c r="AF351" s="711">
        <f t="shared" si="80"/>
        <v>0</v>
      </c>
    </row>
    <row r="352" spans="1:32">
      <c r="A352" s="638">
        <v>338</v>
      </c>
      <c r="B352" s="342" t="s">
        <v>984</v>
      </c>
      <c r="C352" s="342" t="s">
        <v>535</v>
      </c>
      <c r="D352" s="342" t="s">
        <v>1211</v>
      </c>
      <c r="E352" s="636" t="s">
        <v>1649</v>
      </c>
      <c r="F352" s="637">
        <v>-5897972.5800000001</v>
      </c>
      <c r="G352" s="637">
        <v>1164652.29</v>
      </c>
      <c r="H352" s="637">
        <v>-3906190.58</v>
      </c>
      <c r="I352" s="637">
        <v>-7792882.1500000004</v>
      </c>
      <c r="J352" s="637">
        <v>-7521783.9699999997</v>
      </c>
      <c r="K352" s="637">
        <v>-8265924.8300000001</v>
      </c>
      <c r="L352" s="637">
        <v>-9301275.4000000004</v>
      </c>
      <c r="M352" s="637">
        <v>-10583539.939999999</v>
      </c>
      <c r="N352" s="637">
        <v>-11739653.470000001</v>
      </c>
      <c r="O352" s="637">
        <v>-11096809.800000001</v>
      </c>
      <c r="P352" s="637">
        <v>-11252771.48</v>
      </c>
      <c r="Q352" s="637">
        <v>-11444564.33</v>
      </c>
      <c r="R352" s="637">
        <v>-10887316.07</v>
      </c>
      <c r="S352" s="514">
        <f t="shared" si="94"/>
        <v>-8344448.9987500003</v>
      </c>
      <c r="T352" s="638"/>
      <c r="U352" s="675"/>
      <c r="V352" s="713"/>
      <c r="W352" s="713">
        <f t="shared" si="95"/>
        <v>-8344448.9987500003</v>
      </c>
      <c r="X352" s="736"/>
      <c r="Y352" s="713"/>
      <c r="Z352" s="713"/>
      <c r="AA352" s="675"/>
      <c r="AB352" s="713"/>
      <c r="AC352" s="677">
        <f t="shared" si="96"/>
        <v>-8344448.9987500003</v>
      </c>
      <c r="AD352" s="676"/>
      <c r="AE352" s="676"/>
      <c r="AF352" s="711">
        <f t="shared" si="80"/>
        <v>0</v>
      </c>
    </row>
    <row r="353" spans="1:32">
      <c r="A353" s="638">
        <v>339</v>
      </c>
      <c r="B353" s="342" t="s">
        <v>981</v>
      </c>
      <c r="C353" s="342" t="s">
        <v>536</v>
      </c>
      <c r="D353" s="342" t="s">
        <v>1211</v>
      </c>
      <c r="E353" s="636" t="s">
        <v>1647</v>
      </c>
      <c r="F353" s="637">
        <v>-0.66000000003987203</v>
      </c>
      <c r="G353" s="637">
        <v>0</v>
      </c>
      <c r="H353" s="637">
        <v>0</v>
      </c>
      <c r="I353" s="637">
        <v>0</v>
      </c>
      <c r="J353" s="637">
        <v>0</v>
      </c>
      <c r="K353" s="637">
        <v>0</v>
      </c>
      <c r="L353" s="637">
        <v>0</v>
      </c>
      <c r="M353" s="637">
        <v>0</v>
      </c>
      <c r="N353" s="637">
        <v>0</v>
      </c>
      <c r="O353" s="637">
        <v>0</v>
      </c>
      <c r="P353" s="637">
        <v>0</v>
      </c>
      <c r="Q353" s="637">
        <v>0</v>
      </c>
      <c r="R353" s="637">
        <v>0</v>
      </c>
      <c r="S353" s="514">
        <f t="shared" si="94"/>
        <v>-2.7500000001661334E-2</v>
      </c>
      <c r="T353" s="638"/>
      <c r="U353" s="675"/>
      <c r="V353" s="713"/>
      <c r="W353" s="713">
        <f t="shared" si="95"/>
        <v>-2.7500000001661334E-2</v>
      </c>
      <c r="X353" s="736"/>
      <c r="Y353" s="713"/>
      <c r="Z353" s="713"/>
      <c r="AA353" s="675"/>
      <c r="AB353" s="713"/>
      <c r="AC353" s="677">
        <f t="shared" si="96"/>
        <v>-2.7500000001661334E-2</v>
      </c>
      <c r="AD353" s="676"/>
      <c r="AE353" s="676"/>
      <c r="AF353" s="711">
        <f t="shared" si="80"/>
        <v>0</v>
      </c>
    </row>
    <row r="354" spans="1:32">
      <c r="A354" s="638">
        <v>340</v>
      </c>
      <c r="B354" s="342" t="s">
        <v>984</v>
      </c>
      <c r="C354" s="342" t="s">
        <v>536</v>
      </c>
      <c r="D354" s="342" t="s">
        <v>1211</v>
      </c>
      <c r="E354" s="636" t="s">
        <v>1647</v>
      </c>
      <c r="F354" s="637">
        <v>-202795.88</v>
      </c>
      <c r="G354" s="637">
        <v>33862.14</v>
      </c>
      <c r="H354" s="637">
        <v>-114363.35</v>
      </c>
      <c r="I354" s="637">
        <v>-62698.27</v>
      </c>
      <c r="J354" s="637">
        <v>436.49000000001303</v>
      </c>
      <c r="K354" s="637">
        <v>105548.77</v>
      </c>
      <c r="L354" s="637">
        <v>184457.71</v>
      </c>
      <c r="M354" s="637">
        <v>236745.25</v>
      </c>
      <c r="N354" s="637">
        <v>325665.51</v>
      </c>
      <c r="O354" s="637">
        <v>405737.39</v>
      </c>
      <c r="P354" s="637">
        <v>482461.55</v>
      </c>
      <c r="Q354" s="637">
        <v>511190.11</v>
      </c>
      <c r="R354" s="637">
        <v>616283.49</v>
      </c>
      <c r="S354" s="514">
        <f t="shared" si="94"/>
        <v>192982.25875000004</v>
      </c>
      <c r="T354" s="638"/>
      <c r="U354" s="675"/>
      <c r="V354" s="713"/>
      <c r="W354" s="713">
        <f t="shared" si="95"/>
        <v>192982.25875000004</v>
      </c>
      <c r="X354" s="736"/>
      <c r="Y354" s="713"/>
      <c r="Z354" s="713"/>
      <c r="AA354" s="675"/>
      <c r="AB354" s="713"/>
      <c r="AC354" s="677">
        <f t="shared" si="96"/>
        <v>192982.25875000004</v>
      </c>
      <c r="AD354" s="676"/>
      <c r="AE354" s="676"/>
      <c r="AF354" s="711">
        <f t="shared" si="80"/>
        <v>0</v>
      </c>
    </row>
    <row r="355" spans="1:32">
      <c r="A355" s="638">
        <v>341</v>
      </c>
      <c r="B355" s="342" t="s">
        <v>1009</v>
      </c>
      <c r="C355" s="342" t="s">
        <v>536</v>
      </c>
      <c r="D355" s="342" t="s">
        <v>1211</v>
      </c>
      <c r="E355" s="636" t="s">
        <v>1647</v>
      </c>
      <c r="F355" s="637">
        <v>-41879.49</v>
      </c>
      <c r="G355" s="637">
        <v>165.09</v>
      </c>
      <c r="H355" s="637">
        <v>-58971.95</v>
      </c>
      <c r="I355" s="637">
        <v>-56500.07</v>
      </c>
      <c r="J355" s="637">
        <v>-53017.59</v>
      </c>
      <c r="K355" s="637">
        <v>-48856.44</v>
      </c>
      <c r="L355" s="637">
        <v>-45565.31</v>
      </c>
      <c r="M355" s="637">
        <v>-53413.01</v>
      </c>
      <c r="N355" s="637">
        <v>-51639.28</v>
      </c>
      <c r="O355" s="637">
        <v>-50790.29</v>
      </c>
      <c r="P355" s="637">
        <v>-49747.69</v>
      </c>
      <c r="Q355" s="637">
        <v>-34705.440000000002</v>
      </c>
      <c r="R355" s="637">
        <v>-29139.84</v>
      </c>
      <c r="S355" s="514">
        <f t="shared" si="94"/>
        <v>-44879.303749999999</v>
      </c>
      <c r="T355" s="638"/>
      <c r="U355" s="675"/>
      <c r="V355" s="713"/>
      <c r="W355" s="713">
        <f t="shared" si="95"/>
        <v>-44879.303749999999</v>
      </c>
      <c r="X355" s="736"/>
      <c r="Y355" s="713"/>
      <c r="Z355" s="713"/>
      <c r="AA355" s="675"/>
      <c r="AB355" s="713"/>
      <c r="AC355" s="677">
        <f t="shared" si="96"/>
        <v>-44879.303749999999</v>
      </c>
      <c r="AD355" s="676"/>
      <c r="AE355" s="676"/>
      <c r="AF355" s="711">
        <f t="shared" si="80"/>
        <v>0</v>
      </c>
    </row>
    <row r="356" spans="1:32">
      <c r="A356" s="638">
        <v>342</v>
      </c>
      <c r="B356" s="342" t="s">
        <v>1009</v>
      </c>
      <c r="C356" s="342" t="s">
        <v>536</v>
      </c>
      <c r="D356" s="342" t="s">
        <v>1212</v>
      </c>
      <c r="E356" s="636" t="s">
        <v>1651</v>
      </c>
      <c r="F356" s="637">
        <v>-27118.1</v>
      </c>
      <c r="G356" s="637">
        <v>2978.26</v>
      </c>
      <c r="H356" s="637">
        <v>-15171.34</v>
      </c>
      <c r="I356" s="637">
        <v>-10432.950000000001</v>
      </c>
      <c r="J356" s="637">
        <v>-4602.22</v>
      </c>
      <c r="K356" s="637">
        <v>4962.05</v>
      </c>
      <c r="L356" s="637">
        <v>12156.69</v>
      </c>
      <c r="M356" s="637">
        <v>16046.33</v>
      </c>
      <c r="N356" s="637">
        <v>23984.41</v>
      </c>
      <c r="O356" s="637">
        <v>31067.09</v>
      </c>
      <c r="P356" s="637">
        <v>37873.699999999997</v>
      </c>
      <c r="Q356" s="637">
        <v>-100224.79</v>
      </c>
      <c r="R356" s="637">
        <v>-89092.800000000003</v>
      </c>
      <c r="S356" s="514">
        <f t="shared" si="94"/>
        <v>-4955.6850000000004</v>
      </c>
      <c r="T356" s="638"/>
      <c r="U356" s="675"/>
      <c r="V356" s="713"/>
      <c r="W356" s="713">
        <f t="shared" si="95"/>
        <v>-4955.6850000000004</v>
      </c>
      <c r="X356" s="736"/>
      <c r="Y356" s="713"/>
      <c r="Z356" s="713"/>
      <c r="AA356" s="675"/>
      <c r="AB356" s="713"/>
      <c r="AC356" s="677">
        <f t="shared" si="96"/>
        <v>-4955.6850000000004</v>
      </c>
      <c r="AD356" s="676"/>
      <c r="AE356" s="676"/>
      <c r="AF356" s="711">
        <f t="shared" si="80"/>
        <v>0</v>
      </c>
    </row>
    <row r="357" spans="1:32">
      <c r="A357" s="638">
        <v>343</v>
      </c>
      <c r="B357" s="342" t="s">
        <v>1009</v>
      </c>
      <c r="C357" s="342" t="s">
        <v>537</v>
      </c>
      <c r="D357" s="342" t="s">
        <v>1211</v>
      </c>
      <c r="E357" s="636" t="s">
        <v>1652</v>
      </c>
      <c r="F357" s="637">
        <v>1030111.29</v>
      </c>
      <c r="G357" s="637">
        <v>1502122.64</v>
      </c>
      <c r="H357" s="637">
        <v>1584002.58</v>
      </c>
      <c r="I357" s="637">
        <v>1824710.85</v>
      </c>
      <c r="J357" s="637">
        <v>2132970.7000000002</v>
      </c>
      <c r="K357" s="637">
        <v>6942868.6699999999</v>
      </c>
      <c r="L357" s="637">
        <v>7148657.1100000003</v>
      </c>
      <c r="M357" s="637">
        <v>7259055.5899999999</v>
      </c>
      <c r="N357" s="637">
        <v>7487450.7599999998</v>
      </c>
      <c r="O357" s="637">
        <v>7513531.9000000004</v>
      </c>
      <c r="P357" s="637">
        <v>7616251.2300000004</v>
      </c>
      <c r="Q357" s="637">
        <v>8169856.7300000004</v>
      </c>
      <c r="R357" s="637">
        <v>9119545.7400000002</v>
      </c>
      <c r="S357" s="514">
        <f t="shared" si="94"/>
        <v>5354692.2729166672</v>
      </c>
      <c r="T357" s="638"/>
      <c r="U357" s="675"/>
      <c r="V357" s="713"/>
      <c r="W357" s="713">
        <f t="shared" si="95"/>
        <v>5354692.2729166672</v>
      </c>
      <c r="X357" s="736"/>
      <c r="Y357" s="713"/>
      <c r="Z357" s="713"/>
      <c r="AA357" s="675"/>
      <c r="AB357" s="713"/>
      <c r="AC357" s="677">
        <f t="shared" si="96"/>
        <v>5354692.2729166672</v>
      </c>
      <c r="AD357" s="676"/>
      <c r="AE357" s="676"/>
      <c r="AF357" s="711">
        <f t="shared" si="80"/>
        <v>0</v>
      </c>
    </row>
    <row r="358" spans="1:32">
      <c r="A358" s="638">
        <v>344</v>
      </c>
      <c r="B358" s="342" t="s">
        <v>1009</v>
      </c>
      <c r="C358" s="342" t="s">
        <v>537</v>
      </c>
      <c r="D358" s="638" t="s">
        <v>1212</v>
      </c>
      <c r="E358" s="636" t="s">
        <v>1653</v>
      </c>
      <c r="F358" s="637">
        <v>1414436.22</v>
      </c>
      <c r="G358" s="637">
        <v>156745.59</v>
      </c>
      <c r="H358" s="637">
        <v>692716.72</v>
      </c>
      <c r="I358" s="637">
        <v>1115086</v>
      </c>
      <c r="J358" s="637">
        <v>1171393.23</v>
      </c>
      <c r="K358" s="637">
        <v>2824593.05</v>
      </c>
      <c r="L358" s="637">
        <v>2904628.65</v>
      </c>
      <c r="M358" s="637">
        <v>2989308.51</v>
      </c>
      <c r="N358" s="637">
        <v>3089196.77</v>
      </c>
      <c r="O358" s="637">
        <v>3126799.81</v>
      </c>
      <c r="P358" s="637">
        <v>3170217.26</v>
      </c>
      <c r="Q358" s="637">
        <v>3390773.84</v>
      </c>
      <c r="R358" s="637">
        <v>3692365.67</v>
      </c>
      <c r="S358" s="514">
        <f t="shared" si="94"/>
        <v>2265405.0312499995</v>
      </c>
      <c r="T358" s="638"/>
      <c r="U358" s="675"/>
      <c r="V358" s="713"/>
      <c r="W358" s="713">
        <f t="shared" si="95"/>
        <v>2265405.0312499995</v>
      </c>
      <c r="X358" s="736"/>
      <c r="Y358" s="713"/>
      <c r="Z358" s="713"/>
      <c r="AA358" s="675"/>
      <c r="AB358" s="713"/>
      <c r="AC358" s="677">
        <f t="shared" si="96"/>
        <v>2265405.0312499995</v>
      </c>
      <c r="AD358" s="676"/>
      <c r="AE358" s="676"/>
      <c r="AF358" s="711">
        <f t="shared" si="80"/>
        <v>0</v>
      </c>
    </row>
    <row r="359" spans="1:32">
      <c r="A359" s="638">
        <v>345</v>
      </c>
      <c r="B359" s="342" t="s">
        <v>984</v>
      </c>
      <c r="C359" s="342" t="s">
        <v>537</v>
      </c>
      <c r="D359" s="638" t="s">
        <v>1211</v>
      </c>
      <c r="E359" s="636" t="s">
        <v>1652</v>
      </c>
      <c r="F359" s="637">
        <v>14687003.68</v>
      </c>
      <c r="G359" s="637">
        <v>157170.60999999999</v>
      </c>
      <c r="H359" s="637">
        <v>6165862.3399999999</v>
      </c>
      <c r="I359" s="637">
        <v>10673719.439999999</v>
      </c>
      <c r="J359" s="637">
        <v>10858290.310000001</v>
      </c>
      <c r="K359" s="637">
        <v>25464210.609999999</v>
      </c>
      <c r="L359" s="637">
        <v>26022982.27</v>
      </c>
      <c r="M359" s="637">
        <v>26728626.530000001</v>
      </c>
      <c r="N359" s="637">
        <v>27495811.370000001</v>
      </c>
      <c r="O359" s="637">
        <v>27756122.93</v>
      </c>
      <c r="P359" s="637">
        <v>27991593.460000001</v>
      </c>
      <c r="Q359" s="637">
        <v>29920866.98</v>
      </c>
      <c r="R359" s="637">
        <v>32227813.57</v>
      </c>
      <c r="S359" s="514">
        <f t="shared" si="94"/>
        <v>20224388.789583333</v>
      </c>
      <c r="T359" s="638"/>
      <c r="U359" s="675"/>
      <c r="V359" s="713"/>
      <c r="W359" s="713">
        <f t="shared" si="95"/>
        <v>20224388.789583333</v>
      </c>
      <c r="X359" s="736"/>
      <c r="Y359" s="713"/>
      <c r="Z359" s="713"/>
      <c r="AA359" s="675"/>
      <c r="AB359" s="713"/>
      <c r="AC359" s="677">
        <f t="shared" si="96"/>
        <v>20224388.789583333</v>
      </c>
      <c r="AD359" s="676"/>
      <c r="AE359" s="676"/>
      <c r="AF359" s="711">
        <f t="shared" si="80"/>
        <v>0</v>
      </c>
    </row>
    <row r="360" spans="1:32">
      <c r="A360" s="638">
        <v>346</v>
      </c>
      <c r="B360" s="342" t="s">
        <v>981</v>
      </c>
      <c r="C360" s="342" t="s">
        <v>538</v>
      </c>
      <c r="D360" s="638" t="s">
        <v>1211</v>
      </c>
      <c r="E360" s="636" t="s">
        <v>1648</v>
      </c>
      <c r="F360" s="637">
        <v>-9.9999999947613105E-3</v>
      </c>
      <c r="G360" s="637">
        <v>0</v>
      </c>
      <c r="H360" s="637">
        <v>0</v>
      </c>
      <c r="I360" s="637">
        <v>0</v>
      </c>
      <c r="J360" s="637">
        <v>0</v>
      </c>
      <c r="K360" s="637">
        <v>0</v>
      </c>
      <c r="L360" s="637">
        <v>0</v>
      </c>
      <c r="M360" s="637">
        <v>0</v>
      </c>
      <c r="N360" s="637">
        <v>0</v>
      </c>
      <c r="O360" s="637">
        <v>0</v>
      </c>
      <c r="P360" s="637">
        <v>0</v>
      </c>
      <c r="Q360" s="637">
        <v>0</v>
      </c>
      <c r="R360" s="637">
        <v>0</v>
      </c>
      <c r="S360" s="514">
        <f t="shared" si="94"/>
        <v>-4.1666666644838796E-4</v>
      </c>
      <c r="T360" s="638"/>
      <c r="U360" s="675"/>
      <c r="V360" s="713"/>
      <c r="W360" s="713">
        <f t="shared" si="95"/>
        <v>-4.1666666644838796E-4</v>
      </c>
      <c r="X360" s="736"/>
      <c r="Y360" s="713"/>
      <c r="Z360" s="713"/>
      <c r="AA360" s="675"/>
      <c r="AB360" s="713"/>
      <c r="AC360" s="677">
        <f t="shared" si="96"/>
        <v>-4.1666666644838796E-4</v>
      </c>
      <c r="AD360" s="676"/>
      <c r="AE360" s="676"/>
      <c r="AF360" s="711">
        <f t="shared" si="80"/>
        <v>0</v>
      </c>
    </row>
    <row r="361" spans="1:32">
      <c r="A361" s="638">
        <v>347</v>
      </c>
      <c r="B361" s="342" t="s">
        <v>984</v>
      </c>
      <c r="C361" s="342" t="s">
        <v>538</v>
      </c>
      <c r="D361" s="638" t="s">
        <v>1211</v>
      </c>
      <c r="E361" s="636" t="s">
        <v>1648</v>
      </c>
      <c r="F361" s="637">
        <v>107145.27</v>
      </c>
      <c r="G361" s="637">
        <v>16577.55</v>
      </c>
      <c r="H361" s="637">
        <v>16600.02</v>
      </c>
      <c r="I361" s="637">
        <v>16622.5</v>
      </c>
      <c r="J361" s="637">
        <v>16782.759999999998</v>
      </c>
      <c r="K361" s="637">
        <v>505882.98</v>
      </c>
      <c r="L361" s="637">
        <v>506037.91</v>
      </c>
      <c r="M361" s="637">
        <v>527991.24</v>
      </c>
      <c r="N361" s="637">
        <v>528008.38</v>
      </c>
      <c r="O361" s="637">
        <v>528025.52</v>
      </c>
      <c r="P361" s="637">
        <v>528042.66</v>
      </c>
      <c r="Q361" s="637">
        <v>528059.80000000005</v>
      </c>
      <c r="R361" s="637">
        <v>528076.93999999994</v>
      </c>
      <c r="S361" s="514">
        <f t="shared" si="94"/>
        <v>336353.53541666671</v>
      </c>
      <c r="T361" s="638"/>
      <c r="U361" s="675"/>
      <c r="V361" s="713"/>
      <c r="W361" s="713">
        <f t="shared" si="95"/>
        <v>336353.53541666671</v>
      </c>
      <c r="X361" s="736"/>
      <c r="Y361" s="713"/>
      <c r="Z361" s="713"/>
      <c r="AA361" s="675"/>
      <c r="AB361" s="713"/>
      <c r="AC361" s="677">
        <f t="shared" si="96"/>
        <v>336353.53541666671</v>
      </c>
      <c r="AD361" s="676"/>
      <c r="AE361" s="676"/>
      <c r="AF361" s="711">
        <f t="shared" si="80"/>
        <v>0</v>
      </c>
    </row>
    <row r="362" spans="1:32">
      <c r="A362" s="638">
        <v>348</v>
      </c>
      <c r="B362" s="342" t="s">
        <v>1009</v>
      </c>
      <c r="C362" s="342" t="s">
        <v>538</v>
      </c>
      <c r="D362" s="638" t="s">
        <v>1211</v>
      </c>
      <c r="E362" s="636" t="s">
        <v>1648</v>
      </c>
      <c r="F362" s="637">
        <v>36001.379999999997</v>
      </c>
      <c r="G362" s="637">
        <v>5475.86</v>
      </c>
      <c r="H362" s="637">
        <v>5483.28</v>
      </c>
      <c r="I362" s="637">
        <v>5490.7</v>
      </c>
      <c r="J362" s="637">
        <v>5543.64</v>
      </c>
      <c r="K362" s="637">
        <v>167102.23000000001</v>
      </c>
      <c r="L362" s="637">
        <v>167153.4</v>
      </c>
      <c r="M362" s="637">
        <v>174404.98</v>
      </c>
      <c r="N362" s="637">
        <v>174410.64</v>
      </c>
      <c r="O362" s="637">
        <v>174416.3</v>
      </c>
      <c r="P362" s="637">
        <v>174421.97</v>
      </c>
      <c r="Q362" s="637">
        <v>174427.64</v>
      </c>
      <c r="R362" s="637">
        <v>174433.3</v>
      </c>
      <c r="S362" s="514">
        <f t="shared" si="94"/>
        <v>111128.99833333335</v>
      </c>
      <c r="T362" s="638"/>
      <c r="U362" s="675"/>
      <c r="V362" s="713"/>
      <c r="W362" s="713">
        <f t="shared" si="95"/>
        <v>111128.99833333335</v>
      </c>
      <c r="X362" s="736"/>
      <c r="Y362" s="713"/>
      <c r="Z362" s="713"/>
      <c r="AA362" s="675"/>
      <c r="AB362" s="713"/>
      <c r="AC362" s="677">
        <f t="shared" si="96"/>
        <v>111128.99833333335</v>
      </c>
      <c r="AD362" s="676"/>
      <c r="AE362" s="676"/>
      <c r="AF362" s="711">
        <f t="shared" si="80"/>
        <v>0</v>
      </c>
    </row>
    <row r="363" spans="1:32">
      <c r="A363" s="638">
        <v>349</v>
      </c>
      <c r="B363" s="342" t="s">
        <v>1009</v>
      </c>
      <c r="C363" s="342" t="s">
        <v>538</v>
      </c>
      <c r="D363" s="638" t="s">
        <v>1212</v>
      </c>
      <c r="E363" s="636" t="s">
        <v>1654</v>
      </c>
      <c r="F363" s="637">
        <v>9512.19</v>
      </c>
      <c r="G363" s="637">
        <v>1895.4</v>
      </c>
      <c r="H363" s="637">
        <v>1895.4</v>
      </c>
      <c r="I363" s="637">
        <v>1895.4</v>
      </c>
      <c r="J363" s="637">
        <v>1895.4</v>
      </c>
      <c r="K363" s="637">
        <v>57801.8</v>
      </c>
      <c r="L363" s="637">
        <v>57801.8</v>
      </c>
      <c r="M363" s="637">
        <v>60311.839999999997</v>
      </c>
      <c r="N363" s="637">
        <v>60311.839999999997</v>
      </c>
      <c r="O363" s="637">
        <v>60311.839999999997</v>
      </c>
      <c r="P363" s="637">
        <v>60311.839999999997</v>
      </c>
      <c r="Q363" s="637">
        <v>60311.85</v>
      </c>
      <c r="R363" s="637">
        <v>60311.85</v>
      </c>
      <c r="S363" s="514">
        <f t="shared" si="94"/>
        <v>38304.702499999992</v>
      </c>
      <c r="T363" s="638"/>
      <c r="U363" s="675"/>
      <c r="V363" s="713"/>
      <c r="W363" s="713">
        <f t="shared" si="95"/>
        <v>38304.702499999992</v>
      </c>
      <c r="X363" s="736"/>
      <c r="Y363" s="713"/>
      <c r="Z363" s="713"/>
      <c r="AA363" s="675"/>
      <c r="AB363" s="713"/>
      <c r="AC363" s="677">
        <f t="shared" si="96"/>
        <v>38304.702499999992</v>
      </c>
      <c r="AD363" s="676"/>
      <c r="AE363" s="676"/>
      <c r="AF363" s="711">
        <f t="shared" si="80"/>
        <v>0</v>
      </c>
    </row>
    <row r="364" spans="1:32">
      <c r="A364" s="638">
        <v>350</v>
      </c>
      <c r="B364" s="342" t="s">
        <v>1009</v>
      </c>
      <c r="C364" s="342" t="s">
        <v>539</v>
      </c>
      <c r="D364" s="638" t="s">
        <v>1211</v>
      </c>
      <c r="E364" s="636" t="s">
        <v>1655</v>
      </c>
      <c r="F364" s="637">
        <v>-1752961.74</v>
      </c>
      <c r="G364" s="637">
        <v>-156734.28</v>
      </c>
      <c r="H364" s="637">
        <v>-1374074.62</v>
      </c>
      <c r="I364" s="637">
        <v>-1500419.21</v>
      </c>
      <c r="J364" s="637">
        <v>-1570383.62</v>
      </c>
      <c r="K364" s="637">
        <v>-6529214.7000000002</v>
      </c>
      <c r="L364" s="637">
        <v>-6710913.8399999999</v>
      </c>
      <c r="M364" s="637">
        <v>-6772071.4500000002</v>
      </c>
      <c r="N364" s="637">
        <v>-6850954.8600000003</v>
      </c>
      <c r="O364" s="637">
        <v>-7235545.7400000002</v>
      </c>
      <c r="P364" s="637">
        <v>-7308183.5499999998</v>
      </c>
      <c r="Q364" s="637">
        <v>-7527273.8300000001</v>
      </c>
      <c r="R364" s="637">
        <v>-8574114.7400000002</v>
      </c>
      <c r="S364" s="514">
        <f t="shared" si="94"/>
        <v>-4891608.9950000001</v>
      </c>
      <c r="T364" s="638"/>
      <c r="U364" s="675"/>
      <c r="V364" s="713"/>
      <c r="W364" s="713">
        <f t="shared" si="95"/>
        <v>-4891608.9950000001</v>
      </c>
      <c r="X364" s="736"/>
      <c r="Y364" s="713"/>
      <c r="Z364" s="713"/>
      <c r="AA364" s="675"/>
      <c r="AB364" s="713"/>
      <c r="AC364" s="677">
        <f t="shared" si="96"/>
        <v>-4891608.9950000001</v>
      </c>
      <c r="AD364" s="676"/>
      <c r="AE364" s="676"/>
      <c r="AF364" s="711">
        <f t="shared" si="80"/>
        <v>0</v>
      </c>
    </row>
    <row r="365" spans="1:32">
      <c r="A365" s="638">
        <v>351</v>
      </c>
      <c r="B365" s="342" t="s">
        <v>1009</v>
      </c>
      <c r="C365" s="342" t="s">
        <v>539</v>
      </c>
      <c r="D365" s="638" t="s">
        <v>1212</v>
      </c>
      <c r="E365" s="636" t="s">
        <v>1656</v>
      </c>
      <c r="F365" s="637">
        <v>-603695.05000000005</v>
      </c>
      <c r="G365" s="637">
        <v>-29214.48</v>
      </c>
      <c r="H365" s="637">
        <v>-148530</v>
      </c>
      <c r="I365" s="637">
        <v>-171518.93</v>
      </c>
      <c r="J365" s="637">
        <v>-211000.63</v>
      </c>
      <c r="K365" s="637">
        <v>-1883516.22</v>
      </c>
      <c r="L365" s="637">
        <v>-1902261.41</v>
      </c>
      <c r="M365" s="637">
        <v>-1908844.55</v>
      </c>
      <c r="N365" s="637">
        <v>-1927738.13</v>
      </c>
      <c r="O365" s="637">
        <v>-2074194.28</v>
      </c>
      <c r="P365" s="637">
        <v>-2091457.23</v>
      </c>
      <c r="Q365" s="637">
        <v>-2197694.86</v>
      </c>
      <c r="R365" s="637">
        <v>-2456542.67</v>
      </c>
      <c r="S365" s="514">
        <f t="shared" si="94"/>
        <v>-1339674.1316666666</v>
      </c>
      <c r="T365" s="638"/>
      <c r="U365" s="675"/>
      <c r="V365" s="713"/>
      <c r="W365" s="713">
        <f t="shared" si="95"/>
        <v>-1339674.1316666666</v>
      </c>
      <c r="X365" s="736"/>
      <c r="Y365" s="713"/>
      <c r="Z365" s="713"/>
      <c r="AA365" s="675"/>
      <c r="AB365" s="713"/>
      <c r="AC365" s="677">
        <f t="shared" si="96"/>
        <v>-1339674.1316666666</v>
      </c>
      <c r="AD365" s="676"/>
      <c r="AE365" s="676"/>
      <c r="AF365" s="711">
        <f t="shared" si="80"/>
        <v>0</v>
      </c>
    </row>
    <row r="366" spans="1:32">
      <c r="A366" s="638">
        <v>352</v>
      </c>
      <c r="B366" s="342" t="s">
        <v>984</v>
      </c>
      <c r="C366" s="342" t="s">
        <v>539</v>
      </c>
      <c r="D366" s="638" t="s">
        <v>1211</v>
      </c>
      <c r="E366" s="636" t="s">
        <v>1655</v>
      </c>
      <c r="F366" s="637">
        <v>-8395783.8699999992</v>
      </c>
      <c r="G366" s="637">
        <v>-369161.04</v>
      </c>
      <c r="H366" s="637">
        <v>-805695.08</v>
      </c>
      <c r="I366" s="637">
        <v>-1188591.5</v>
      </c>
      <c r="J366" s="637">
        <v>-1742891.06</v>
      </c>
      <c r="K366" s="637">
        <v>-16744232.460000001</v>
      </c>
      <c r="L366" s="637">
        <v>-16950507.079999998</v>
      </c>
      <c r="M366" s="637">
        <v>-17136791.32</v>
      </c>
      <c r="N366" s="637">
        <v>-17451777.640000001</v>
      </c>
      <c r="O366" s="637">
        <v>-18920913.670000002</v>
      </c>
      <c r="P366" s="637">
        <v>-19211314.190000001</v>
      </c>
      <c r="Q366" s="637">
        <v>-20428021.890000001</v>
      </c>
      <c r="R366" s="637">
        <v>-22532955.920000002</v>
      </c>
      <c r="S366" s="514">
        <f t="shared" si="94"/>
        <v>-12201188.902083335</v>
      </c>
      <c r="T366" s="638"/>
      <c r="U366" s="675"/>
      <c r="V366" s="713"/>
      <c r="W366" s="713">
        <f t="shared" si="95"/>
        <v>-12201188.902083335</v>
      </c>
      <c r="X366" s="736"/>
      <c r="Y366" s="713"/>
      <c r="Z366" s="713"/>
      <c r="AA366" s="675"/>
      <c r="AB366" s="713"/>
      <c r="AC366" s="677">
        <f t="shared" si="96"/>
        <v>-12201188.902083335</v>
      </c>
      <c r="AD366" s="676"/>
      <c r="AE366" s="676"/>
      <c r="AF366" s="711">
        <f t="shared" si="80"/>
        <v>0</v>
      </c>
    </row>
    <row r="367" spans="1:32">
      <c r="A367" s="638">
        <v>353</v>
      </c>
      <c r="B367" s="342" t="s">
        <v>1009</v>
      </c>
      <c r="C367" s="342" t="s">
        <v>540</v>
      </c>
      <c r="D367" s="638" t="s">
        <v>1211</v>
      </c>
      <c r="E367" s="636" t="s">
        <v>1657</v>
      </c>
      <c r="F367" s="637">
        <v>-27116.89</v>
      </c>
      <c r="G367" s="637">
        <v>-98.83</v>
      </c>
      <c r="H367" s="637">
        <v>-510.13</v>
      </c>
      <c r="I367" s="637">
        <v>-921.42</v>
      </c>
      <c r="J367" s="637">
        <v>-3854.47</v>
      </c>
      <c r="K367" s="637">
        <v>-9214.41</v>
      </c>
      <c r="L367" s="637">
        <v>-12049.81</v>
      </c>
      <c r="M367" s="637">
        <v>-12180.69</v>
      </c>
      <c r="N367" s="637">
        <v>-12494.34</v>
      </c>
      <c r="O367" s="637">
        <v>-12807.99</v>
      </c>
      <c r="P367" s="637">
        <v>-13121.64</v>
      </c>
      <c r="Q367" s="637">
        <v>-13435.3</v>
      </c>
      <c r="R367" s="637">
        <v>-13748.91</v>
      </c>
      <c r="S367" s="514">
        <f t="shared" si="94"/>
        <v>-9260.1608333333352</v>
      </c>
      <c r="T367" s="638"/>
      <c r="U367" s="675"/>
      <c r="V367" s="713"/>
      <c r="W367" s="713">
        <f t="shared" si="95"/>
        <v>-9260.1608333333352</v>
      </c>
      <c r="X367" s="736"/>
      <c r="Y367" s="713"/>
      <c r="Z367" s="713"/>
      <c r="AA367" s="675"/>
      <c r="AB367" s="713"/>
      <c r="AC367" s="677">
        <f t="shared" si="96"/>
        <v>-9260.1608333333352</v>
      </c>
      <c r="AD367" s="676"/>
      <c r="AE367" s="676"/>
      <c r="AF367" s="711">
        <f t="shared" si="80"/>
        <v>0</v>
      </c>
    </row>
    <row r="368" spans="1:32">
      <c r="A368" s="638">
        <v>354</v>
      </c>
      <c r="B368" s="342" t="s">
        <v>1009</v>
      </c>
      <c r="C368" s="342" t="s">
        <v>540</v>
      </c>
      <c r="D368" s="638" t="s">
        <v>1212</v>
      </c>
      <c r="E368" s="636" t="s">
        <v>1658</v>
      </c>
      <c r="F368" s="637">
        <v>-6420.25</v>
      </c>
      <c r="G368" s="637">
        <v>0</v>
      </c>
      <c r="H368" s="637">
        <v>-142.36000000000001</v>
      </c>
      <c r="I368" s="637">
        <v>-284.72000000000003</v>
      </c>
      <c r="J368" s="637">
        <v>-1299.97</v>
      </c>
      <c r="K368" s="637">
        <v>-2146.1999999999998</v>
      </c>
      <c r="L368" s="637">
        <v>-3127.64</v>
      </c>
      <c r="M368" s="637">
        <v>-3127.64</v>
      </c>
      <c r="N368" s="637">
        <v>-3236.2</v>
      </c>
      <c r="O368" s="637">
        <v>-3344.77</v>
      </c>
      <c r="P368" s="637">
        <v>-3453.34</v>
      </c>
      <c r="Q368" s="637">
        <v>-3561.92</v>
      </c>
      <c r="R368" s="637">
        <v>-3670.46</v>
      </c>
      <c r="S368" s="514">
        <f t="shared" si="94"/>
        <v>-2397.5095833333335</v>
      </c>
      <c r="T368" s="638"/>
      <c r="U368" s="675"/>
      <c r="V368" s="713"/>
      <c r="W368" s="713">
        <f t="shared" si="95"/>
        <v>-2397.5095833333335</v>
      </c>
      <c r="X368" s="736"/>
      <c r="Y368" s="713"/>
      <c r="Z368" s="713"/>
      <c r="AA368" s="675"/>
      <c r="AB368" s="713"/>
      <c r="AC368" s="677">
        <f t="shared" si="96"/>
        <v>-2397.5095833333335</v>
      </c>
      <c r="AD368" s="676"/>
      <c r="AE368" s="676"/>
      <c r="AF368" s="711">
        <f t="shared" si="80"/>
        <v>0</v>
      </c>
    </row>
    <row r="369" spans="1:32">
      <c r="A369" s="638">
        <v>355</v>
      </c>
      <c r="B369" s="342" t="s">
        <v>984</v>
      </c>
      <c r="C369" s="342" t="s">
        <v>540</v>
      </c>
      <c r="D369" s="638" t="s">
        <v>1211</v>
      </c>
      <c r="E369" s="636" t="s">
        <v>1657</v>
      </c>
      <c r="F369" s="637">
        <v>-80703.789999999994</v>
      </c>
      <c r="G369" s="637">
        <v>-299.2</v>
      </c>
      <c r="H369" s="637">
        <v>-1544.36</v>
      </c>
      <c r="I369" s="637">
        <v>-2789.52</v>
      </c>
      <c r="J369" s="637">
        <v>-11668.98</v>
      </c>
      <c r="K369" s="637">
        <v>-27895.599999999999</v>
      </c>
      <c r="L369" s="637">
        <v>-36479.440000000002</v>
      </c>
      <c r="M369" s="637">
        <v>-36875.67</v>
      </c>
      <c r="N369" s="637">
        <v>-37825.21</v>
      </c>
      <c r="O369" s="637">
        <v>-38774.76</v>
      </c>
      <c r="P369" s="637">
        <v>-39724.31</v>
      </c>
      <c r="Q369" s="637">
        <v>-40673.870000000003</v>
      </c>
      <c r="R369" s="637">
        <v>-41623.26</v>
      </c>
      <c r="S369" s="514">
        <f t="shared" si="94"/>
        <v>-27976.203750000004</v>
      </c>
      <c r="T369" s="638"/>
      <c r="U369" s="675"/>
      <c r="V369" s="713"/>
      <c r="W369" s="713">
        <f t="shared" si="95"/>
        <v>-27976.203750000004</v>
      </c>
      <c r="X369" s="736"/>
      <c r="Y369" s="713"/>
      <c r="Z369" s="713"/>
      <c r="AA369" s="675"/>
      <c r="AB369" s="713"/>
      <c r="AC369" s="677">
        <f t="shared" si="96"/>
        <v>-27976.203750000004</v>
      </c>
      <c r="AD369" s="676"/>
      <c r="AE369" s="676"/>
      <c r="AF369" s="711">
        <f t="shared" si="80"/>
        <v>0</v>
      </c>
    </row>
    <row r="370" spans="1:32">
      <c r="A370" s="638">
        <v>356</v>
      </c>
      <c r="B370" s="342" t="s">
        <v>981</v>
      </c>
      <c r="C370" s="342" t="s">
        <v>1213</v>
      </c>
      <c r="D370" s="638"/>
      <c r="E370" s="636" t="s">
        <v>541</v>
      </c>
      <c r="F370" s="637">
        <v>-42184</v>
      </c>
      <c r="G370" s="637">
        <v>-3501.58</v>
      </c>
      <c r="H370" s="637">
        <v>-7003.17</v>
      </c>
      <c r="I370" s="637">
        <v>-10504.95</v>
      </c>
      <c r="J370" s="637">
        <v>-14006.33</v>
      </c>
      <c r="K370" s="637">
        <v>-17507.900000000001</v>
      </c>
      <c r="L370" s="637">
        <v>-21009.48</v>
      </c>
      <c r="M370" s="637">
        <v>-24511.06</v>
      </c>
      <c r="N370" s="637">
        <v>-28012.639999999999</v>
      </c>
      <c r="O370" s="637">
        <v>-31514.22</v>
      </c>
      <c r="P370" s="637">
        <v>-35015.800000000003</v>
      </c>
      <c r="Q370" s="637">
        <v>-38517.379999999997</v>
      </c>
      <c r="R370" s="637">
        <v>-42018.96</v>
      </c>
      <c r="S370" s="514">
        <f t="shared" si="94"/>
        <v>-22767.165833333333</v>
      </c>
      <c r="T370" s="638"/>
      <c r="U370" s="675"/>
      <c r="V370" s="713"/>
      <c r="W370" s="713">
        <f t="shared" si="95"/>
        <v>-22767.165833333333</v>
      </c>
      <c r="X370" s="736"/>
      <c r="Y370" s="713"/>
      <c r="Z370" s="713"/>
      <c r="AA370" s="675"/>
      <c r="AB370" s="713"/>
      <c r="AC370" s="677">
        <f t="shared" si="96"/>
        <v>-22767.165833333333</v>
      </c>
      <c r="AD370" s="676"/>
      <c r="AE370" s="676"/>
      <c r="AF370" s="711">
        <f t="shared" ref="AF370:AF440" si="97">+U370+V370-AD370</f>
        <v>0</v>
      </c>
    </row>
    <row r="371" spans="1:32">
      <c r="A371" s="638">
        <v>357</v>
      </c>
      <c r="B371" s="638"/>
      <c r="C371" s="638"/>
      <c r="D371" s="638"/>
      <c r="E371" s="636" t="s">
        <v>542</v>
      </c>
      <c r="F371" s="321">
        <f t="shared" ref="F371:S371" si="98">SUM(F350:F370)</f>
        <v>221750.09999999934</v>
      </c>
      <c r="G371" s="321">
        <f t="shared" si="98"/>
        <v>1380969.4299999997</v>
      </c>
      <c r="H371" s="321">
        <f t="shared" si="98"/>
        <v>2085165.5499999993</v>
      </c>
      <c r="I371" s="321">
        <f t="shared" si="98"/>
        <v>2488990.19</v>
      </c>
      <c r="J371" s="321">
        <f t="shared" si="98"/>
        <v>2460640.79</v>
      </c>
      <c r="K371" s="321">
        <f t="shared" si="98"/>
        <v>1689883.0100000012</v>
      </c>
      <c r="L371" s="321">
        <f t="shared" si="98"/>
        <v>836330.21000000183</v>
      </c>
      <c r="M371" s="321">
        <f t="shared" si="98"/>
        <v>-178386.6300000003</v>
      </c>
      <c r="N371" s="321">
        <f t="shared" si="98"/>
        <v>-1069793.8499999971</v>
      </c>
      <c r="O371" s="321">
        <f t="shared" si="98"/>
        <v>-1818325.99</v>
      </c>
      <c r="P371" s="321">
        <f t="shared" si="98"/>
        <v>-1985022.0400000031</v>
      </c>
      <c r="Q371" s="321">
        <f t="shared" si="98"/>
        <v>-1178073.7799999949</v>
      </c>
      <c r="R371" s="321">
        <f t="shared" si="98"/>
        <v>169037.26999999196</v>
      </c>
      <c r="S371" s="516">
        <f t="shared" si="98"/>
        <v>408980.88124999689</v>
      </c>
      <c r="T371" s="638"/>
      <c r="U371" s="675"/>
      <c r="V371" s="713"/>
      <c r="W371" s="713"/>
      <c r="X371" s="736"/>
      <c r="Y371" s="713"/>
      <c r="Z371" s="713"/>
      <c r="AA371" s="675"/>
      <c r="AB371" s="713"/>
      <c r="AC371" s="676"/>
      <c r="AD371" s="676"/>
      <c r="AE371" s="676"/>
      <c r="AF371" s="711">
        <f t="shared" si="97"/>
        <v>0</v>
      </c>
    </row>
    <row r="372" spans="1:32">
      <c r="A372" s="638">
        <v>358</v>
      </c>
      <c r="B372" s="638"/>
      <c r="C372" s="638"/>
      <c r="D372" s="638"/>
      <c r="E372" s="636"/>
      <c r="F372" s="637"/>
      <c r="G372" s="340"/>
      <c r="H372" s="331"/>
      <c r="I372" s="331"/>
      <c r="J372" s="332"/>
      <c r="K372" s="333"/>
      <c r="L372" s="334"/>
      <c r="M372" s="335"/>
      <c r="N372" s="336"/>
      <c r="O372" s="624"/>
      <c r="P372" s="337"/>
      <c r="Q372" s="341"/>
      <c r="R372" s="637"/>
      <c r="S372" s="320"/>
      <c r="T372" s="638"/>
      <c r="U372" s="675"/>
      <c r="V372" s="713"/>
      <c r="W372" s="713"/>
      <c r="X372" s="736"/>
      <c r="Y372" s="713"/>
      <c r="Z372" s="713"/>
      <c r="AA372" s="675"/>
      <c r="AB372" s="713"/>
      <c r="AC372" s="676"/>
      <c r="AD372" s="676"/>
      <c r="AE372" s="676"/>
      <c r="AF372" s="711">
        <f t="shared" si="97"/>
        <v>0</v>
      </c>
    </row>
    <row r="373" spans="1:32">
      <c r="A373" s="638">
        <v>359</v>
      </c>
      <c r="B373" s="638"/>
      <c r="C373" s="638"/>
      <c r="D373" s="638"/>
      <c r="E373" s="636"/>
      <c r="F373" s="637"/>
      <c r="G373" s="340"/>
      <c r="H373" s="331"/>
      <c r="I373" s="331"/>
      <c r="J373" s="332"/>
      <c r="K373" s="333"/>
      <c r="L373" s="334"/>
      <c r="M373" s="335"/>
      <c r="N373" s="336"/>
      <c r="O373" s="624"/>
      <c r="P373" s="337"/>
      <c r="Q373" s="341"/>
      <c r="R373" s="637"/>
      <c r="S373" s="320"/>
      <c r="T373" s="638"/>
      <c r="U373" s="675"/>
      <c r="V373" s="713"/>
      <c r="W373" s="713"/>
      <c r="X373" s="736"/>
      <c r="Y373" s="713"/>
      <c r="Z373" s="713"/>
      <c r="AA373" s="675"/>
      <c r="AB373" s="713"/>
      <c r="AC373" s="676"/>
      <c r="AD373" s="676"/>
      <c r="AE373" s="676"/>
      <c r="AF373" s="711">
        <f t="shared" si="97"/>
        <v>0</v>
      </c>
    </row>
    <row r="374" spans="1:32">
      <c r="A374" s="638">
        <v>360</v>
      </c>
      <c r="B374" s="342" t="s">
        <v>981</v>
      </c>
      <c r="C374" s="342" t="s">
        <v>543</v>
      </c>
      <c r="D374" s="638"/>
      <c r="E374" s="636" t="s">
        <v>1659</v>
      </c>
      <c r="F374" s="637">
        <v>0</v>
      </c>
      <c r="G374" s="637">
        <v>0</v>
      </c>
      <c r="H374" s="637">
        <v>0</v>
      </c>
      <c r="I374" s="637">
        <v>0</v>
      </c>
      <c r="J374" s="637">
        <v>0</v>
      </c>
      <c r="K374" s="637">
        <v>0</v>
      </c>
      <c r="L374" s="637">
        <v>-934.33</v>
      </c>
      <c r="M374" s="637">
        <v>-934.33</v>
      </c>
      <c r="N374" s="637">
        <v>-934.33</v>
      </c>
      <c r="O374" s="637">
        <v>-934.33</v>
      </c>
      <c r="P374" s="637">
        <v>-934.33</v>
      </c>
      <c r="Q374" s="637">
        <v>-934.33</v>
      </c>
      <c r="R374" s="637">
        <v>-934.33</v>
      </c>
      <c r="S374" s="514">
        <f t="shared" ref="S374:S383" si="99">((F374+R374)+((G374+H374+I374+J374+K374+L374+M374+N374+O374+P374+Q374)*2))/24</f>
        <v>-506.09541666666672</v>
      </c>
      <c r="T374" s="638"/>
      <c r="U374" s="675"/>
      <c r="V374" s="713"/>
      <c r="W374" s="713">
        <f t="shared" ref="W374:W382" si="100">+S374</f>
        <v>-506.09541666666672</v>
      </c>
      <c r="X374" s="736"/>
      <c r="Y374" s="713"/>
      <c r="Z374" s="713"/>
      <c r="AA374" s="675"/>
      <c r="AB374" s="713"/>
      <c r="AC374" s="677">
        <f t="shared" ref="AC374:AC383" si="101">+S374</f>
        <v>-506.09541666666672</v>
      </c>
      <c r="AD374" s="676"/>
      <c r="AE374" s="676"/>
      <c r="AF374" s="711">
        <f t="shared" si="97"/>
        <v>0</v>
      </c>
    </row>
    <row r="375" spans="1:32">
      <c r="A375" s="638">
        <v>361</v>
      </c>
      <c r="B375" s="342" t="s">
        <v>981</v>
      </c>
      <c r="C375" s="342" t="s">
        <v>545</v>
      </c>
      <c r="D375" s="638"/>
      <c r="E375" s="636" t="s">
        <v>1660</v>
      </c>
      <c r="F375" s="637">
        <v>0</v>
      </c>
      <c r="G375" s="637">
        <v>0</v>
      </c>
      <c r="H375" s="637">
        <v>0</v>
      </c>
      <c r="I375" s="637">
        <v>0</v>
      </c>
      <c r="J375" s="637">
        <v>0</v>
      </c>
      <c r="K375" s="637">
        <v>0</v>
      </c>
      <c r="L375" s="637">
        <v>0</v>
      </c>
      <c r="M375" s="637">
        <v>0</v>
      </c>
      <c r="N375" s="637">
        <v>0</v>
      </c>
      <c r="O375" s="637">
        <v>0</v>
      </c>
      <c r="P375" s="637">
        <v>0</v>
      </c>
      <c r="Q375" s="637">
        <v>0</v>
      </c>
      <c r="R375" s="637">
        <v>0</v>
      </c>
      <c r="S375" s="514">
        <f t="shared" si="99"/>
        <v>0</v>
      </c>
      <c r="T375" s="638"/>
      <c r="U375" s="675"/>
      <c r="V375" s="713"/>
      <c r="W375" s="713">
        <f t="shared" si="100"/>
        <v>0</v>
      </c>
      <c r="X375" s="736"/>
      <c r="Y375" s="713"/>
      <c r="Z375" s="713"/>
      <c r="AA375" s="675"/>
      <c r="AB375" s="713"/>
      <c r="AC375" s="677">
        <f t="shared" si="101"/>
        <v>0</v>
      </c>
      <c r="AD375" s="676"/>
      <c r="AE375" s="676"/>
      <c r="AF375" s="711">
        <f t="shared" si="97"/>
        <v>0</v>
      </c>
    </row>
    <row r="376" spans="1:32">
      <c r="A376" s="638">
        <v>362</v>
      </c>
      <c r="B376" s="554" t="s">
        <v>382</v>
      </c>
      <c r="C376" s="554" t="s">
        <v>382</v>
      </c>
      <c r="D376" s="342" t="s">
        <v>546</v>
      </c>
      <c r="E376" s="636" t="s">
        <v>1661</v>
      </c>
      <c r="F376" s="637">
        <v>147336.4</v>
      </c>
      <c r="G376" s="637">
        <v>11595.3</v>
      </c>
      <c r="H376" s="637">
        <v>36289.72</v>
      </c>
      <c r="I376" s="637">
        <v>63881.3</v>
      </c>
      <c r="J376" s="637">
        <v>72384.92</v>
      </c>
      <c r="K376" s="637">
        <v>79709.919999999998</v>
      </c>
      <c r="L376" s="637">
        <v>94660.39</v>
      </c>
      <c r="M376" s="637">
        <v>114137.21</v>
      </c>
      <c r="N376" s="637">
        <v>114936.66</v>
      </c>
      <c r="O376" s="637">
        <v>153413.89000000001</v>
      </c>
      <c r="P376" s="637">
        <v>162223.39000000001</v>
      </c>
      <c r="Q376" s="637">
        <v>167773.39</v>
      </c>
      <c r="R376" s="637">
        <v>251618.91</v>
      </c>
      <c r="S376" s="514">
        <f t="shared" si="99"/>
        <v>105873.64541666668</v>
      </c>
      <c r="T376" s="638"/>
      <c r="U376" s="675"/>
      <c r="V376" s="713"/>
      <c r="W376" s="713">
        <f t="shared" si="100"/>
        <v>105873.64541666668</v>
      </c>
      <c r="X376" s="736"/>
      <c r="Y376" s="713"/>
      <c r="Z376" s="713"/>
      <c r="AA376" s="675"/>
      <c r="AB376" s="713"/>
      <c r="AC376" s="677">
        <f t="shared" si="101"/>
        <v>105873.64541666668</v>
      </c>
      <c r="AD376" s="676"/>
      <c r="AE376" s="676"/>
      <c r="AF376" s="711">
        <f t="shared" si="97"/>
        <v>0</v>
      </c>
    </row>
    <row r="377" spans="1:32">
      <c r="A377" s="638">
        <v>363</v>
      </c>
      <c r="B377" s="554" t="s">
        <v>382</v>
      </c>
      <c r="C377" s="554" t="s">
        <v>382</v>
      </c>
      <c r="D377" s="342" t="s">
        <v>1430</v>
      </c>
      <c r="E377" s="636" t="s">
        <v>1662</v>
      </c>
      <c r="F377" s="637">
        <v>452956.61</v>
      </c>
      <c r="G377" s="637">
        <v>-311902.46000000002</v>
      </c>
      <c r="H377" s="637">
        <v>-376410.95</v>
      </c>
      <c r="I377" s="637">
        <v>-507107.83</v>
      </c>
      <c r="J377" s="637">
        <v>-556812.68000000005</v>
      </c>
      <c r="K377" s="637">
        <v>-355694.12</v>
      </c>
      <c r="L377" s="637">
        <v>-641758.32999999996</v>
      </c>
      <c r="M377" s="637">
        <v>-619867.71</v>
      </c>
      <c r="N377" s="637">
        <v>-671236.85</v>
      </c>
      <c r="O377" s="637">
        <v>-711010.69</v>
      </c>
      <c r="P377" s="637">
        <v>-713523.32</v>
      </c>
      <c r="Q377" s="637">
        <v>-813020.16000000003</v>
      </c>
      <c r="R377" s="637">
        <v>-783272.35</v>
      </c>
      <c r="S377" s="514">
        <f t="shared" si="99"/>
        <v>-536958.58083333343</v>
      </c>
      <c r="T377" s="638"/>
      <c r="U377" s="675"/>
      <c r="V377" s="713"/>
      <c r="W377" s="713">
        <f t="shared" si="100"/>
        <v>-536958.58083333343</v>
      </c>
      <c r="X377" s="736"/>
      <c r="Y377" s="713"/>
      <c r="Z377" s="713"/>
      <c r="AA377" s="675"/>
      <c r="AB377" s="713"/>
      <c r="AC377" s="677">
        <f t="shared" si="101"/>
        <v>-536958.58083333343</v>
      </c>
      <c r="AD377" s="676"/>
      <c r="AE377" s="676"/>
      <c r="AF377" s="711">
        <f t="shared" si="97"/>
        <v>0</v>
      </c>
    </row>
    <row r="378" spans="1:32">
      <c r="A378" s="638">
        <v>364</v>
      </c>
      <c r="B378" s="554" t="s">
        <v>382</v>
      </c>
      <c r="C378" s="554" t="s">
        <v>382</v>
      </c>
      <c r="D378" s="342" t="s">
        <v>547</v>
      </c>
      <c r="E378" s="636" t="s">
        <v>1663</v>
      </c>
      <c r="F378" s="637">
        <v>50.76</v>
      </c>
      <c r="G378" s="637">
        <v>50.35</v>
      </c>
      <c r="H378" s="637">
        <v>50.35</v>
      </c>
      <c r="I378" s="637">
        <v>50.35</v>
      </c>
      <c r="J378" s="637">
        <v>50.35</v>
      </c>
      <c r="K378" s="637">
        <v>50.35</v>
      </c>
      <c r="L378" s="637">
        <v>50.35</v>
      </c>
      <c r="M378" s="637">
        <v>94.63</v>
      </c>
      <c r="N378" s="637">
        <v>94.63</v>
      </c>
      <c r="O378" s="637">
        <v>158.94</v>
      </c>
      <c r="P378" s="637">
        <v>94.63</v>
      </c>
      <c r="Q378" s="637">
        <v>94.63</v>
      </c>
      <c r="R378" s="637">
        <v>94.63</v>
      </c>
      <c r="S378" s="514">
        <f t="shared" si="99"/>
        <v>76.021249999999995</v>
      </c>
      <c r="T378" s="638"/>
      <c r="U378" s="675"/>
      <c r="V378" s="713"/>
      <c r="W378" s="713">
        <f t="shared" si="100"/>
        <v>76.021249999999995</v>
      </c>
      <c r="X378" s="736"/>
      <c r="Y378" s="713"/>
      <c r="Z378" s="713"/>
      <c r="AA378" s="675"/>
      <c r="AB378" s="713"/>
      <c r="AC378" s="677">
        <f t="shared" si="101"/>
        <v>76.021249999999995</v>
      </c>
      <c r="AD378" s="676"/>
      <c r="AE378" s="676"/>
      <c r="AF378" s="711">
        <f t="shared" si="97"/>
        <v>0</v>
      </c>
    </row>
    <row r="379" spans="1:32">
      <c r="A379" s="638">
        <v>365</v>
      </c>
      <c r="B379" s="554" t="s">
        <v>382</v>
      </c>
      <c r="C379" s="554" t="s">
        <v>382</v>
      </c>
      <c r="D379" s="342" t="s">
        <v>548</v>
      </c>
      <c r="E379" s="636" t="s">
        <v>1664</v>
      </c>
      <c r="F379" s="637">
        <v>165577.54</v>
      </c>
      <c r="G379" s="637">
        <v>13951</v>
      </c>
      <c r="H379" s="637">
        <v>24015</v>
      </c>
      <c r="I379" s="637">
        <v>33665</v>
      </c>
      <c r="J379" s="637">
        <v>43359.35</v>
      </c>
      <c r="K379" s="637">
        <v>56439.81</v>
      </c>
      <c r="L379" s="637">
        <v>66385.31</v>
      </c>
      <c r="M379" s="637">
        <v>76108.460000000006</v>
      </c>
      <c r="N379" s="637">
        <v>85608.46</v>
      </c>
      <c r="O379" s="637">
        <v>96108.46</v>
      </c>
      <c r="P379" s="637">
        <v>106250.3</v>
      </c>
      <c r="Q379" s="637">
        <v>115750.3</v>
      </c>
      <c r="R379" s="637">
        <v>306253.81</v>
      </c>
      <c r="S379" s="514">
        <f t="shared" si="99"/>
        <v>79463.09375</v>
      </c>
      <c r="T379" s="638"/>
      <c r="U379" s="675"/>
      <c r="V379" s="713"/>
      <c r="W379" s="713">
        <f t="shared" si="100"/>
        <v>79463.09375</v>
      </c>
      <c r="X379" s="736"/>
      <c r="Y379" s="713"/>
      <c r="Z379" s="713"/>
      <c r="AA379" s="675"/>
      <c r="AB379" s="713"/>
      <c r="AC379" s="677">
        <f t="shared" si="101"/>
        <v>79463.09375</v>
      </c>
      <c r="AD379" s="676"/>
      <c r="AE379" s="676"/>
      <c r="AF379" s="711">
        <f t="shared" si="97"/>
        <v>0</v>
      </c>
    </row>
    <row r="380" spans="1:32">
      <c r="A380" s="638">
        <v>366</v>
      </c>
      <c r="B380" s="555" t="s">
        <v>382</v>
      </c>
      <c r="C380" s="555" t="s">
        <v>382</v>
      </c>
      <c r="D380" s="342" t="s">
        <v>549</v>
      </c>
      <c r="E380" s="636" t="s">
        <v>1665</v>
      </c>
      <c r="F380" s="637">
        <v>615677.14</v>
      </c>
      <c r="G380" s="637">
        <v>0</v>
      </c>
      <c r="H380" s="637">
        <v>0</v>
      </c>
      <c r="I380" s="637">
        <v>1555.78</v>
      </c>
      <c r="J380" s="637">
        <v>1555.78</v>
      </c>
      <c r="K380" s="637">
        <v>1555.78</v>
      </c>
      <c r="L380" s="637">
        <v>1555.78</v>
      </c>
      <c r="M380" s="637">
        <v>1555.78</v>
      </c>
      <c r="N380" s="637">
        <v>1555.78</v>
      </c>
      <c r="O380" s="637">
        <v>1555.78</v>
      </c>
      <c r="P380" s="637">
        <v>1555.78</v>
      </c>
      <c r="Q380" s="637">
        <v>1555.78</v>
      </c>
      <c r="R380" s="637">
        <v>1555.78</v>
      </c>
      <c r="S380" s="514">
        <f t="shared" si="99"/>
        <v>26884.873333333337</v>
      </c>
      <c r="T380" s="638"/>
      <c r="U380" s="675"/>
      <c r="V380" s="713"/>
      <c r="W380" s="713">
        <f t="shared" si="100"/>
        <v>26884.873333333337</v>
      </c>
      <c r="X380" s="736"/>
      <c r="Y380" s="713"/>
      <c r="Z380" s="713"/>
      <c r="AA380" s="675"/>
      <c r="AB380" s="713"/>
      <c r="AC380" s="677">
        <f t="shared" si="101"/>
        <v>26884.873333333337</v>
      </c>
      <c r="AD380" s="676"/>
      <c r="AE380" s="676"/>
      <c r="AF380" s="711">
        <f t="shared" si="97"/>
        <v>0</v>
      </c>
    </row>
    <row r="381" spans="1:32">
      <c r="A381" s="638">
        <v>367</v>
      </c>
      <c r="B381" s="556" t="s">
        <v>382</v>
      </c>
      <c r="C381" s="556" t="s">
        <v>382</v>
      </c>
      <c r="D381" s="342" t="s">
        <v>550</v>
      </c>
      <c r="E381" s="636" t="s">
        <v>1666</v>
      </c>
      <c r="F381" s="637">
        <v>0</v>
      </c>
      <c r="G381" s="637">
        <v>0</v>
      </c>
      <c r="H381" s="637">
        <v>0</v>
      </c>
      <c r="I381" s="637">
        <v>0</v>
      </c>
      <c r="J381" s="637">
        <v>0</v>
      </c>
      <c r="K381" s="637">
        <v>0</v>
      </c>
      <c r="L381" s="637">
        <v>0</v>
      </c>
      <c r="M381" s="637">
        <v>0</v>
      </c>
      <c r="N381" s="637">
        <v>0</v>
      </c>
      <c r="O381" s="637">
        <v>0</v>
      </c>
      <c r="P381" s="637">
        <v>0</v>
      </c>
      <c r="Q381" s="637">
        <v>0</v>
      </c>
      <c r="R381" s="637">
        <v>0</v>
      </c>
      <c r="S381" s="514">
        <f t="shared" si="99"/>
        <v>0</v>
      </c>
      <c r="T381" s="638"/>
      <c r="U381" s="675"/>
      <c r="V381" s="713"/>
      <c r="W381" s="713">
        <f t="shared" si="100"/>
        <v>0</v>
      </c>
      <c r="X381" s="736"/>
      <c r="Y381" s="713"/>
      <c r="Z381" s="713"/>
      <c r="AA381" s="675"/>
      <c r="AB381" s="713"/>
      <c r="AC381" s="677">
        <f t="shared" si="101"/>
        <v>0</v>
      </c>
      <c r="AD381" s="676"/>
      <c r="AE381" s="676"/>
      <c r="AF381" s="711">
        <f t="shared" si="97"/>
        <v>0</v>
      </c>
    </row>
    <row r="382" spans="1:32">
      <c r="A382" s="638">
        <v>368</v>
      </c>
      <c r="B382" s="342" t="s">
        <v>382</v>
      </c>
      <c r="C382" s="342" t="s">
        <v>551</v>
      </c>
      <c r="D382" s="342" t="s">
        <v>550</v>
      </c>
      <c r="E382" s="345" t="s">
        <v>1667</v>
      </c>
      <c r="F382" s="637">
        <v>0</v>
      </c>
      <c r="G382" s="637">
        <v>0</v>
      </c>
      <c r="H382" s="637">
        <v>0</v>
      </c>
      <c r="I382" s="637">
        <v>0</v>
      </c>
      <c r="J382" s="637">
        <v>0</v>
      </c>
      <c r="K382" s="637">
        <v>0</v>
      </c>
      <c r="L382" s="637">
        <v>0</v>
      </c>
      <c r="M382" s="637">
        <v>0</v>
      </c>
      <c r="N382" s="637">
        <v>0</v>
      </c>
      <c r="O382" s="637">
        <v>0</v>
      </c>
      <c r="P382" s="637">
        <v>0</v>
      </c>
      <c r="Q382" s="637">
        <v>0</v>
      </c>
      <c r="R382" s="637">
        <v>0</v>
      </c>
      <c r="S382" s="514">
        <f t="shared" si="99"/>
        <v>0</v>
      </c>
      <c r="T382" s="638"/>
      <c r="U382" s="675"/>
      <c r="V382" s="713"/>
      <c r="W382" s="713">
        <f t="shared" si="100"/>
        <v>0</v>
      </c>
      <c r="X382" s="736"/>
      <c r="Y382" s="713"/>
      <c r="Z382" s="713"/>
      <c r="AA382" s="675"/>
      <c r="AB382" s="713"/>
      <c r="AC382" s="677">
        <f t="shared" si="101"/>
        <v>0</v>
      </c>
      <c r="AD382" s="676"/>
      <c r="AE382" s="676"/>
      <c r="AF382" s="711">
        <f t="shared" si="97"/>
        <v>0</v>
      </c>
    </row>
    <row r="383" spans="1:32">
      <c r="A383" s="638">
        <v>369</v>
      </c>
      <c r="B383" s="342" t="s">
        <v>984</v>
      </c>
      <c r="C383" s="342" t="s">
        <v>552</v>
      </c>
      <c r="D383" s="342" t="s">
        <v>1206</v>
      </c>
      <c r="E383" s="636" t="s">
        <v>1668</v>
      </c>
      <c r="F383" s="329">
        <v>1144.68</v>
      </c>
      <c r="G383" s="329">
        <v>0</v>
      </c>
      <c r="H383" s="329">
        <v>0</v>
      </c>
      <c r="I383" s="329">
        <v>0</v>
      </c>
      <c r="J383" s="329">
        <v>536.05999999999995</v>
      </c>
      <c r="K383" s="329">
        <v>536.05999999999995</v>
      </c>
      <c r="L383" s="329">
        <v>536.05999999999995</v>
      </c>
      <c r="M383" s="329">
        <v>536.05999999999995</v>
      </c>
      <c r="N383" s="329">
        <v>1072.1199999999999</v>
      </c>
      <c r="O383" s="329">
        <v>1072.1199999999999</v>
      </c>
      <c r="P383" s="329">
        <v>1072.1199999999999</v>
      </c>
      <c r="Q383" s="329">
        <v>1072.1199999999999</v>
      </c>
      <c r="R383" s="329">
        <v>1072.1199999999999</v>
      </c>
      <c r="S383" s="514">
        <f t="shared" si="99"/>
        <v>628.42666666666662</v>
      </c>
      <c r="T383" s="638"/>
      <c r="U383" s="675"/>
      <c r="V383" s="713"/>
      <c r="W383" s="713">
        <f>+S383</f>
        <v>628.42666666666662</v>
      </c>
      <c r="X383" s="736"/>
      <c r="Y383" s="713"/>
      <c r="Z383" s="713"/>
      <c r="AA383" s="675"/>
      <c r="AB383" s="713"/>
      <c r="AC383" s="677">
        <f t="shared" si="101"/>
        <v>628.42666666666662</v>
      </c>
      <c r="AD383" s="676"/>
      <c r="AE383" s="676"/>
      <c r="AF383" s="711">
        <f t="shared" si="97"/>
        <v>0</v>
      </c>
    </row>
    <row r="384" spans="1:32">
      <c r="A384" s="638">
        <v>370</v>
      </c>
      <c r="B384" s="638"/>
      <c r="C384" s="638"/>
      <c r="D384" s="638"/>
      <c r="E384" s="636" t="s">
        <v>553</v>
      </c>
      <c r="F384" s="321">
        <f>SUM(F374:F383)</f>
        <v>1382743.1300000001</v>
      </c>
      <c r="G384" s="321">
        <f t="shared" ref="G384:S384" si="102">SUM(G374:G383)</f>
        <v>-286305.81000000006</v>
      </c>
      <c r="H384" s="321">
        <f t="shared" si="102"/>
        <v>-316055.88</v>
      </c>
      <c r="I384" s="321">
        <f t="shared" si="102"/>
        <v>-407955.4</v>
      </c>
      <c r="J384" s="321">
        <f t="shared" si="102"/>
        <v>-438926.22000000009</v>
      </c>
      <c r="K384" s="321">
        <f t="shared" si="102"/>
        <v>-217402.20000000004</v>
      </c>
      <c r="L384" s="321">
        <f t="shared" si="102"/>
        <v>-479504.77</v>
      </c>
      <c r="M384" s="321">
        <f t="shared" si="102"/>
        <v>-428369.89999999991</v>
      </c>
      <c r="N384" s="321">
        <f t="shared" si="102"/>
        <v>-468903.52999999997</v>
      </c>
      <c r="O384" s="321">
        <f t="shared" si="102"/>
        <v>-459635.8299999999</v>
      </c>
      <c r="P384" s="321">
        <f t="shared" si="102"/>
        <v>-443261.42999999988</v>
      </c>
      <c r="Q384" s="321">
        <f t="shared" si="102"/>
        <v>-527708.2699999999</v>
      </c>
      <c r="R384" s="321">
        <f t="shared" si="102"/>
        <v>-223611.43000000002</v>
      </c>
      <c r="S384" s="516">
        <f t="shared" si="102"/>
        <v>-324538.61583333334</v>
      </c>
      <c r="T384" s="638"/>
      <c r="U384" s="675"/>
      <c r="V384" s="713"/>
      <c r="W384" s="713"/>
      <c r="X384" s="736"/>
      <c r="Y384" s="713"/>
      <c r="Z384" s="713"/>
      <c r="AA384" s="675"/>
      <c r="AB384" s="713"/>
      <c r="AC384" s="676"/>
      <c r="AD384" s="676"/>
      <c r="AE384" s="676"/>
      <c r="AF384" s="711">
        <f t="shared" si="97"/>
        <v>0</v>
      </c>
    </row>
    <row r="385" spans="1:32">
      <c r="A385" s="638">
        <v>371</v>
      </c>
      <c r="B385" s="638"/>
      <c r="C385" s="638"/>
      <c r="D385" s="638"/>
      <c r="E385" s="636"/>
      <c r="F385" s="637"/>
      <c r="G385" s="340"/>
      <c r="H385" s="331"/>
      <c r="I385" s="331"/>
      <c r="J385" s="332"/>
      <c r="K385" s="333"/>
      <c r="L385" s="334"/>
      <c r="M385" s="335"/>
      <c r="N385" s="336"/>
      <c r="O385" s="624"/>
      <c r="P385" s="337"/>
      <c r="Q385" s="341"/>
      <c r="R385" s="637"/>
      <c r="S385" s="320"/>
      <c r="T385" s="638"/>
      <c r="U385" s="675"/>
      <c r="V385" s="713"/>
      <c r="W385" s="713"/>
      <c r="X385" s="736"/>
      <c r="Y385" s="713"/>
      <c r="Z385" s="713"/>
      <c r="AA385" s="675"/>
      <c r="AB385" s="713"/>
      <c r="AC385" s="676"/>
      <c r="AD385" s="676"/>
      <c r="AE385" s="676"/>
      <c r="AF385" s="711">
        <f t="shared" si="97"/>
        <v>0</v>
      </c>
    </row>
    <row r="386" spans="1:32">
      <c r="A386" s="638">
        <v>372</v>
      </c>
      <c r="B386" s="342" t="s">
        <v>981</v>
      </c>
      <c r="C386" s="342" t="s">
        <v>554</v>
      </c>
      <c r="D386" s="342" t="s">
        <v>528</v>
      </c>
      <c r="E386" s="636" t="s">
        <v>555</v>
      </c>
      <c r="F386" s="329">
        <v>10610000</v>
      </c>
      <c r="G386" s="329">
        <v>0</v>
      </c>
      <c r="H386" s="329">
        <v>2960000</v>
      </c>
      <c r="I386" s="329">
        <v>2960000</v>
      </c>
      <c r="J386" s="329">
        <v>2960000</v>
      </c>
      <c r="K386" s="329">
        <v>5440000</v>
      </c>
      <c r="L386" s="329">
        <v>5440000</v>
      </c>
      <c r="M386" s="329">
        <v>5440000</v>
      </c>
      <c r="N386" s="329">
        <v>7920000</v>
      </c>
      <c r="O386" s="329">
        <v>7920000</v>
      </c>
      <c r="P386" s="329">
        <v>7920000</v>
      </c>
      <c r="Q386" s="329">
        <v>10400000</v>
      </c>
      <c r="R386" s="329">
        <v>10400000</v>
      </c>
      <c r="S386" s="514">
        <f>((F386+R386)+((G386+H386+I386+J386+K386+L386+M386+N386+O386+P386+Q386)*2))/24</f>
        <v>5822083.333333333</v>
      </c>
      <c r="T386" s="638"/>
      <c r="U386" s="675"/>
      <c r="V386" s="713"/>
      <c r="W386" s="713">
        <f>+S386</f>
        <v>5822083.333333333</v>
      </c>
      <c r="X386" s="736"/>
      <c r="Y386" s="713"/>
      <c r="Z386" s="713"/>
      <c r="AA386" s="675"/>
      <c r="AB386" s="713"/>
      <c r="AC386" s="677">
        <f>+S386</f>
        <v>5822083.333333333</v>
      </c>
      <c r="AD386" s="676"/>
      <c r="AE386" s="676"/>
      <c r="AF386" s="711">
        <f t="shared" si="97"/>
        <v>0</v>
      </c>
    </row>
    <row r="387" spans="1:32">
      <c r="A387" s="638">
        <v>373</v>
      </c>
      <c r="B387" s="638"/>
      <c r="C387" s="638"/>
      <c r="D387" s="638"/>
      <c r="E387" s="636" t="s">
        <v>556</v>
      </c>
      <c r="F387" s="321">
        <f>+F386</f>
        <v>10610000</v>
      </c>
      <c r="G387" s="321">
        <f t="shared" ref="G387:S387" si="103">+G386</f>
        <v>0</v>
      </c>
      <c r="H387" s="321">
        <f t="shared" si="103"/>
        <v>2960000</v>
      </c>
      <c r="I387" s="321">
        <f t="shared" si="103"/>
        <v>2960000</v>
      </c>
      <c r="J387" s="321">
        <f t="shared" si="103"/>
        <v>2960000</v>
      </c>
      <c r="K387" s="321">
        <f t="shared" si="103"/>
        <v>5440000</v>
      </c>
      <c r="L387" s="321">
        <f t="shared" si="103"/>
        <v>5440000</v>
      </c>
      <c r="M387" s="321">
        <f t="shared" si="103"/>
        <v>5440000</v>
      </c>
      <c r="N387" s="321">
        <f t="shared" si="103"/>
        <v>7920000</v>
      </c>
      <c r="O387" s="321">
        <f t="shared" si="103"/>
        <v>7920000</v>
      </c>
      <c r="P387" s="321">
        <f t="shared" si="103"/>
        <v>7920000</v>
      </c>
      <c r="Q387" s="321">
        <f t="shared" si="103"/>
        <v>10400000</v>
      </c>
      <c r="R387" s="321">
        <f t="shared" si="103"/>
        <v>10400000</v>
      </c>
      <c r="S387" s="516">
        <f t="shared" si="103"/>
        <v>5822083.333333333</v>
      </c>
      <c r="T387" s="638"/>
      <c r="U387" s="675"/>
      <c r="V387" s="713"/>
      <c r="W387" s="713"/>
      <c r="X387" s="736"/>
      <c r="Y387" s="713"/>
      <c r="Z387" s="713"/>
      <c r="AA387" s="675"/>
      <c r="AB387" s="713"/>
      <c r="AC387" s="676"/>
      <c r="AD387" s="676"/>
      <c r="AE387" s="676"/>
      <c r="AF387" s="711">
        <f t="shared" si="97"/>
        <v>0</v>
      </c>
    </row>
    <row r="388" spans="1:32">
      <c r="A388" s="638">
        <v>374</v>
      </c>
      <c r="B388" s="638"/>
      <c r="C388" s="638"/>
      <c r="D388" s="638"/>
      <c r="E388" s="636"/>
      <c r="F388" s="322"/>
      <c r="G388" s="346"/>
      <c r="H388" s="628"/>
      <c r="I388" s="628"/>
      <c r="J388" s="323"/>
      <c r="K388" s="632"/>
      <c r="L388" s="324"/>
      <c r="M388" s="325"/>
      <c r="N388" s="326"/>
      <c r="O388" s="327"/>
      <c r="P388" s="328"/>
      <c r="Q388" s="347"/>
      <c r="R388" s="322"/>
      <c r="S388" s="320"/>
      <c r="T388" s="638"/>
      <c r="U388" s="675"/>
      <c r="V388" s="713"/>
      <c r="W388" s="713"/>
      <c r="X388" s="736"/>
      <c r="Y388" s="713"/>
      <c r="Z388" s="713"/>
      <c r="AA388" s="675"/>
      <c r="AB388" s="713"/>
      <c r="AC388" s="676"/>
      <c r="AD388" s="676"/>
      <c r="AE388" s="676"/>
      <c r="AF388" s="711">
        <f t="shared" si="97"/>
        <v>0</v>
      </c>
    </row>
    <row r="389" spans="1:32" ht="15" thickBot="1">
      <c r="A389" s="638">
        <v>375</v>
      </c>
      <c r="B389" s="557"/>
      <c r="C389" s="557"/>
      <c r="D389" s="557"/>
      <c r="E389" s="631" t="s">
        <v>557</v>
      </c>
      <c r="F389" s="348">
        <f t="shared" ref="F389:R389" si="104">+F387+F384+F371+F348+F330+F325+F307+F306+F304+F298+F227+F224+F202+F200+F181+F169+F149+F122+F63+F46+F39+F36+F59+F183+F184+F185+F186+F187+F188+F189+F190+F191+F192+F193+F195+F194+F198+F199+F201+F203+F204+F205+F196+F197</f>
        <v>1117173255.4100006</v>
      </c>
      <c r="G389" s="348">
        <f t="shared" si="104"/>
        <v>874125722.07999992</v>
      </c>
      <c r="H389" s="348">
        <f t="shared" si="104"/>
        <v>939569369.3599999</v>
      </c>
      <c r="I389" s="348">
        <f t="shared" si="104"/>
        <v>996037968.9599998</v>
      </c>
      <c r="J389" s="348">
        <f t="shared" si="104"/>
        <v>998465333.8499999</v>
      </c>
      <c r="K389" s="348">
        <f t="shared" si="104"/>
        <v>1006979612.1500003</v>
      </c>
      <c r="L389" s="348">
        <f t="shared" si="104"/>
        <v>1026172554.4400002</v>
      </c>
      <c r="M389" s="348">
        <f t="shared" si="104"/>
        <v>1052630814.3600003</v>
      </c>
      <c r="N389" s="348">
        <f t="shared" si="104"/>
        <v>1077947351.5200002</v>
      </c>
      <c r="O389" s="348">
        <f t="shared" si="104"/>
        <v>1095026663.5400002</v>
      </c>
      <c r="P389" s="348">
        <f t="shared" si="104"/>
        <v>1143148336.5700002</v>
      </c>
      <c r="Q389" s="348">
        <f t="shared" si="104"/>
        <v>1193037825.99</v>
      </c>
      <c r="R389" s="348">
        <f t="shared" si="104"/>
        <v>1262198971.2999995</v>
      </c>
      <c r="S389" s="348">
        <f>+S387+S384+S371+S348+S330+S325+S307+S306+S304+S298+S227+S224+S202+S200+S181+S169+S149+S122+S63+S46+S39+S36+S59+S183+S184+S185+S186+S187+S188+S189+S190+S191+S192+S193+S195+S194+S198+S199+S201+S203+S204+S205+S196+S197</f>
        <v>1049402305.5145835</v>
      </c>
      <c r="T389" s="557"/>
      <c r="U389" s="680"/>
      <c r="V389" s="714"/>
      <c r="W389" s="714"/>
      <c r="X389" s="739"/>
      <c r="Y389" s="714"/>
      <c r="Z389" s="714"/>
      <c r="AA389" s="680"/>
      <c r="AB389" s="714"/>
      <c r="AC389" s="681"/>
      <c r="AD389" s="681"/>
      <c r="AE389" s="681"/>
      <c r="AF389" s="711">
        <f t="shared" si="97"/>
        <v>0</v>
      </c>
    </row>
    <row r="390" spans="1:32" ht="15" thickTop="1">
      <c r="A390" s="638">
        <v>376</v>
      </c>
      <c r="B390" s="638"/>
      <c r="C390" s="638"/>
      <c r="D390" s="638"/>
      <c r="E390" s="636"/>
      <c r="F390" s="637"/>
      <c r="G390" s="340"/>
      <c r="H390" s="331"/>
      <c r="I390" s="331"/>
      <c r="J390" s="332"/>
      <c r="K390" s="333"/>
      <c r="L390" s="334"/>
      <c r="M390" s="335"/>
      <c r="N390" s="336"/>
      <c r="O390" s="624"/>
      <c r="P390" s="337"/>
      <c r="Q390" s="341"/>
      <c r="R390" s="637"/>
      <c r="S390" s="320"/>
      <c r="T390" s="638"/>
      <c r="U390" s="675"/>
      <c r="V390" s="713"/>
      <c r="W390" s="713"/>
      <c r="X390" s="736"/>
      <c r="Y390" s="713"/>
      <c r="Z390" s="713"/>
      <c r="AA390" s="675"/>
      <c r="AB390" s="713"/>
      <c r="AC390" s="676"/>
      <c r="AD390" s="676"/>
      <c r="AE390" s="676"/>
      <c r="AF390" s="711">
        <f t="shared" si="97"/>
        <v>0</v>
      </c>
    </row>
    <row r="391" spans="1:32">
      <c r="A391" s="638">
        <v>377</v>
      </c>
      <c r="B391" s="638"/>
      <c r="C391" s="638"/>
      <c r="D391" s="638"/>
      <c r="E391" s="636"/>
      <c r="F391" s="637"/>
      <c r="G391" s="340"/>
      <c r="H391" s="331"/>
      <c r="I391" s="331"/>
      <c r="J391" s="332"/>
      <c r="K391" s="333"/>
      <c r="L391" s="334"/>
      <c r="M391" s="335"/>
      <c r="N391" s="336"/>
      <c r="O391" s="624"/>
      <c r="P391" s="337"/>
      <c r="Q391" s="341"/>
      <c r="R391" s="637"/>
      <c r="S391" s="320"/>
      <c r="T391" s="638"/>
      <c r="U391" s="675"/>
      <c r="V391" s="713"/>
      <c r="W391" s="713"/>
      <c r="X391" s="736"/>
      <c r="Y391" s="713"/>
      <c r="Z391" s="713"/>
      <c r="AA391" s="675"/>
      <c r="AB391" s="713"/>
      <c r="AC391" s="676"/>
      <c r="AD391" s="676"/>
      <c r="AE391" s="676"/>
      <c r="AF391" s="711">
        <f t="shared" si="97"/>
        <v>0</v>
      </c>
    </row>
    <row r="392" spans="1:32">
      <c r="A392" s="638">
        <v>378</v>
      </c>
      <c r="B392" s="342" t="s">
        <v>981</v>
      </c>
      <c r="C392" s="342" t="s">
        <v>558</v>
      </c>
      <c r="D392" s="342" t="s">
        <v>1214</v>
      </c>
      <c r="E392" s="623" t="s">
        <v>559</v>
      </c>
      <c r="F392" s="637">
        <v>-1000</v>
      </c>
      <c r="G392" s="637">
        <v>-1000</v>
      </c>
      <c r="H392" s="637">
        <v>-1000</v>
      </c>
      <c r="I392" s="637">
        <v>-1000</v>
      </c>
      <c r="J392" s="637">
        <v>-1000</v>
      </c>
      <c r="K392" s="637">
        <v>-1000</v>
      </c>
      <c r="L392" s="637">
        <v>-1000</v>
      </c>
      <c r="M392" s="637">
        <v>-1000</v>
      </c>
      <c r="N392" s="637">
        <v>-1000</v>
      </c>
      <c r="O392" s="637">
        <v>-1000</v>
      </c>
      <c r="P392" s="637">
        <v>-1000</v>
      </c>
      <c r="Q392" s="637">
        <v>-1000</v>
      </c>
      <c r="R392" s="637">
        <v>-1000</v>
      </c>
      <c r="S392" s="514">
        <f>((F392+R392)+((G392+H392+I392+J392+K392+L392+M392+N392+O392+P392+Q392)*2))/24</f>
        <v>-1000</v>
      </c>
      <c r="T392" s="638"/>
      <c r="U392" s="675"/>
      <c r="V392" s="713"/>
      <c r="W392" s="713">
        <f>+S392</f>
        <v>-1000</v>
      </c>
      <c r="X392" s="736"/>
      <c r="Y392" s="713"/>
      <c r="Z392" s="713"/>
      <c r="AA392" s="675"/>
      <c r="AB392" s="713"/>
      <c r="AC392" s="677">
        <f>+S392</f>
        <v>-1000</v>
      </c>
      <c r="AD392" s="676"/>
      <c r="AE392" s="676"/>
      <c r="AF392" s="711">
        <f t="shared" si="97"/>
        <v>0</v>
      </c>
    </row>
    <row r="393" spans="1:32">
      <c r="A393" s="638">
        <v>379</v>
      </c>
      <c r="B393" s="342" t="s">
        <v>981</v>
      </c>
      <c r="C393" s="342" t="s">
        <v>560</v>
      </c>
      <c r="D393" s="342" t="s">
        <v>528</v>
      </c>
      <c r="E393" s="623" t="s">
        <v>561</v>
      </c>
      <c r="F393" s="637">
        <v>-30688673.449999999</v>
      </c>
      <c r="G393" s="637">
        <v>-34416893.780000001</v>
      </c>
      <c r="H393" s="637">
        <v>-34416893.780000001</v>
      </c>
      <c r="I393" s="637">
        <v>-34416893.780000001</v>
      </c>
      <c r="J393" s="637">
        <v>-34416893.780000001</v>
      </c>
      <c r="K393" s="637">
        <v>-34416893.780000001</v>
      </c>
      <c r="L393" s="637">
        <v>-34416893.780000001</v>
      </c>
      <c r="M393" s="637">
        <v>-34416893.780000001</v>
      </c>
      <c r="N393" s="637">
        <v>-34416893.780000001</v>
      </c>
      <c r="O393" s="637">
        <v>-34416893.780000001</v>
      </c>
      <c r="P393" s="637">
        <v>-34416893.780000001</v>
      </c>
      <c r="Q393" s="637">
        <v>-34416893.780000001</v>
      </c>
      <c r="R393" s="637">
        <v>-34416893.780000001</v>
      </c>
      <c r="S393" s="514">
        <f>((F393+R393)+((G393+H393+I393+J393+K393+L393+M393+N393+O393+P393+Q393)*2))/24</f>
        <v>-34261551.266249992</v>
      </c>
      <c r="T393" s="638"/>
      <c r="U393" s="675"/>
      <c r="V393" s="713"/>
      <c r="W393" s="713">
        <f>+S393</f>
        <v>-34261551.266249992</v>
      </c>
      <c r="X393" s="736"/>
      <c r="Y393" s="713"/>
      <c r="Z393" s="713"/>
      <c r="AA393" s="675"/>
      <c r="AB393" s="713"/>
      <c r="AC393" s="677">
        <f>+W393</f>
        <v>-34261551.266249992</v>
      </c>
      <c r="AD393" s="676"/>
      <c r="AE393" s="676"/>
      <c r="AF393" s="711">
        <f t="shared" si="97"/>
        <v>0</v>
      </c>
    </row>
    <row r="394" spans="1:32">
      <c r="A394" s="638">
        <v>381</v>
      </c>
      <c r="B394" s="342" t="s">
        <v>981</v>
      </c>
      <c r="C394" s="342" t="s">
        <v>560</v>
      </c>
      <c r="D394" s="342" t="s">
        <v>563</v>
      </c>
      <c r="E394" s="623" t="s">
        <v>564</v>
      </c>
      <c r="F394" s="637">
        <v>42776</v>
      </c>
      <c r="G394" s="637">
        <v>2144</v>
      </c>
      <c r="H394" s="637">
        <v>4288</v>
      </c>
      <c r="I394" s="637">
        <v>6635</v>
      </c>
      <c r="J394" s="637">
        <v>8982</v>
      </c>
      <c r="K394" s="637">
        <v>11329</v>
      </c>
      <c r="L394" s="637">
        <v>13676</v>
      </c>
      <c r="M394" s="637">
        <v>16023</v>
      </c>
      <c r="N394" s="637">
        <v>18370</v>
      </c>
      <c r="O394" s="637">
        <v>20717</v>
      </c>
      <c r="P394" s="637">
        <v>23064</v>
      </c>
      <c r="Q394" s="637">
        <v>25411</v>
      </c>
      <c r="R394" s="637">
        <v>13231</v>
      </c>
      <c r="S394" s="514">
        <f t="shared" ref="S394:S456" si="105">((F394+R394)+((G394+H394+I394+J394+K394+L394+M394+N394+O394+P394+Q394)*2))/24</f>
        <v>14886.875</v>
      </c>
      <c r="T394" s="638"/>
      <c r="U394" s="675"/>
      <c r="V394" s="713"/>
      <c r="W394" s="713">
        <f t="shared" ref="W394:W398" si="106">+S394</f>
        <v>14886.875</v>
      </c>
      <c r="X394" s="736"/>
      <c r="Y394" s="713"/>
      <c r="Z394" s="713"/>
      <c r="AA394" s="675"/>
      <c r="AB394" s="713"/>
      <c r="AC394" s="677">
        <f t="shared" ref="AC394:AC398" si="107">+S394</f>
        <v>14886.875</v>
      </c>
      <c r="AD394" s="676"/>
      <c r="AE394" s="676"/>
      <c r="AF394" s="711">
        <f t="shared" si="97"/>
        <v>0</v>
      </c>
    </row>
    <row r="395" spans="1:32">
      <c r="A395" s="638">
        <v>383</v>
      </c>
      <c r="B395" s="342" t="s">
        <v>981</v>
      </c>
      <c r="C395" s="342" t="s">
        <v>565</v>
      </c>
      <c r="D395" s="342" t="s">
        <v>528</v>
      </c>
      <c r="E395" s="623" t="s">
        <v>566</v>
      </c>
      <c r="F395" s="637">
        <v>-222117553.21000001</v>
      </c>
      <c r="G395" s="637">
        <v>-222117553.21000001</v>
      </c>
      <c r="H395" s="637">
        <v>-222117553.21000001</v>
      </c>
      <c r="I395" s="637">
        <v>-222117553.21000001</v>
      </c>
      <c r="J395" s="637">
        <v>-222117553.21000001</v>
      </c>
      <c r="K395" s="637">
        <v>-227117553.21000001</v>
      </c>
      <c r="L395" s="637">
        <v>-232117553.21000001</v>
      </c>
      <c r="M395" s="637">
        <v>-239117553.21000001</v>
      </c>
      <c r="N395" s="637">
        <v>-239117553.21000001</v>
      </c>
      <c r="O395" s="637">
        <v>-259117553.21000001</v>
      </c>
      <c r="P395" s="637">
        <v>-266117553.21000001</v>
      </c>
      <c r="Q395" s="637">
        <v>-266117553.21000001</v>
      </c>
      <c r="R395" s="637">
        <v>-266117553.21000001</v>
      </c>
      <c r="S395" s="514">
        <f>((F395+R395)+((G395+H395+I395+J395+K395+L395+M395+N395+O395+P395+Q395)*2))/24</f>
        <v>-238450886.54333332</v>
      </c>
      <c r="T395" s="638"/>
      <c r="U395" s="675"/>
      <c r="V395" s="713"/>
      <c r="W395" s="713">
        <f t="shared" si="106"/>
        <v>-238450886.54333332</v>
      </c>
      <c r="X395" s="736"/>
      <c r="Y395" s="713"/>
      <c r="Z395" s="713"/>
      <c r="AA395" s="675"/>
      <c r="AB395" s="713"/>
      <c r="AC395" s="677">
        <f t="shared" si="107"/>
        <v>-238450886.54333332</v>
      </c>
      <c r="AD395" s="676"/>
      <c r="AE395" s="676"/>
      <c r="AF395" s="711">
        <f t="shared" si="97"/>
        <v>0</v>
      </c>
    </row>
    <row r="396" spans="1:32">
      <c r="A396" s="638">
        <v>384</v>
      </c>
      <c r="B396" s="342" t="s">
        <v>981</v>
      </c>
      <c r="C396" s="342" t="s">
        <v>1431</v>
      </c>
      <c r="D396" s="342"/>
      <c r="E396" s="623" t="s">
        <v>568</v>
      </c>
      <c r="F396" s="637">
        <v>273680.51</v>
      </c>
      <c r="G396" s="637">
        <v>0</v>
      </c>
      <c r="H396" s="637">
        <v>0</v>
      </c>
      <c r="I396" s="637">
        <v>0</v>
      </c>
      <c r="J396" s="637">
        <v>0</v>
      </c>
      <c r="K396" s="637">
        <v>0</v>
      </c>
      <c r="L396" s="637">
        <v>0</v>
      </c>
      <c r="M396" s="637">
        <v>0</v>
      </c>
      <c r="N396" s="637">
        <v>0</v>
      </c>
      <c r="O396" s="637">
        <v>0</v>
      </c>
      <c r="P396" s="637">
        <v>0</v>
      </c>
      <c r="Q396" s="637">
        <v>0</v>
      </c>
      <c r="R396" s="637">
        <v>0</v>
      </c>
      <c r="S396" s="514">
        <f t="shared" si="105"/>
        <v>11403.354583333334</v>
      </c>
      <c r="T396" s="638"/>
      <c r="U396" s="675"/>
      <c r="V396" s="713"/>
      <c r="W396" s="713">
        <f t="shared" si="106"/>
        <v>11403.354583333334</v>
      </c>
      <c r="X396" s="736"/>
      <c r="Y396" s="713"/>
      <c r="Z396" s="713"/>
      <c r="AA396" s="675"/>
      <c r="AB396" s="713"/>
      <c r="AC396" s="677">
        <f t="shared" si="107"/>
        <v>11403.354583333334</v>
      </c>
      <c r="AD396" s="676"/>
      <c r="AE396" s="676"/>
      <c r="AF396" s="711">
        <f t="shared" si="97"/>
        <v>0</v>
      </c>
    </row>
    <row r="397" spans="1:32">
      <c r="A397" s="638">
        <v>385</v>
      </c>
      <c r="B397" s="342" t="s">
        <v>981</v>
      </c>
      <c r="C397" s="342" t="s">
        <v>569</v>
      </c>
      <c r="D397" s="638" t="s">
        <v>382</v>
      </c>
      <c r="E397" s="623" t="s">
        <v>1669</v>
      </c>
      <c r="F397" s="637">
        <v>-2402882.85</v>
      </c>
      <c r="G397" s="637">
        <v>-2402882.85</v>
      </c>
      <c r="H397" s="637">
        <v>-2402882.85</v>
      </c>
      <c r="I397" s="637">
        <v>-2402882.85</v>
      </c>
      <c r="J397" s="637">
        <v>-2402882.85</v>
      </c>
      <c r="K397" s="637">
        <v>-2402882.85</v>
      </c>
      <c r="L397" s="637">
        <v>-2402882.85</v>
      </c>
      <c r="M397" s="637">
        <v>-2402882.85</v>
      </c>
      <c r="N397" s="637">
        <v>-2402882.85</v>
      </c>
      <c r="O397" s="637">
        <v>-2402882.85</v>
      </c>
      <c r="P397" s="637">
        <v>-2402882.85</v>
      </c>
      <c r="Q397" s="637">
        <v>-2402882.85</v>
      </c>
      <c r="R397" s="637">
        <v>-2506034.75</v>
      </c>
      <c r="S397" s="514">
        <f t="shared" si="105"/>
        <v>-2407180.8458333337</v>
      </c>
      <c r="T397" s="638"/>
      <c r="U397" s="675"/>
      <c r="V397" s="713"/>
      <c r="W397" s="713">
        <f t="shared" si="106"/>
        <v>-2407180.8458333337</v>
      </c>
      <c r="X397" s="736"/>
      <c r="Y397" s="713"/>
      <c r="Z397" s="713"/>
      <c r="AA397" s="675"/>
      <c r="AB397" s="713"/>
      <c r="AC397" s="677">
        <f t="shared" si="107"/>
        <v>-2407180.8458333337</v>
      </c>
      <c r="AD397" s="676"/>
      <c r="AE397" s="676"/>
      <c r="AF397" s="711">
        <f t="shared" si="97"/>
        <v>0</v>
      </c>
    </row>
    <row r="398" spans="1:32">
      <c r="A398" s="638">
        <v>386</v>
      </c>
      <c r="B398" s="342" t="s">
        <v>981</v>
      </c>
      <c r="C398" s="342" t="s">
        <v>570</v>
      </c>
      <c r="D398" s="342" t="s">
        <v>1214</v>
      </c>
      <c r="E398" s="623" t="s">
        <v>1670</v>
      </c>
      <c r="F398" s="329">
        <v>84425.49</v>
      </c>
      <c r="G398" s="329">
        <v>84425.49</v>
      </c>
      <c r="H398" s="329">
        <v>84425.49</v>
      </c>
      <c r="I398" s="329">
        <v>84425.49</v>
      </c>
      <c r="J398" s="329">
        <v>84425.49</v>
      </c>
      <c r="K398" s="329">
        <v>84425.49</v>
      </c>
      <c r="L398" s="329">
        <v>84425.49</v>
      </c>
      <c r="M398" s="329">
        <v>84425.49</v>
      </c>
      <c r="N398" s="329">
        <v>84425.49</v>
      </c>
      <c r="O398" s="329">
        <v>84425.49</v>
      </c>
      <c r="P398" s="329">
        <v>84425.49</v>
      </c>
      <c r="Q398" s="329">
        <v>84425.49</v>
      </c>
      <c r="R398" s="329">
        <v>430592.4</v>
      </c>
      <c r="S398" s="515">
        <f t="shared" si="105"/>
        <v>98849.111250000002</v>
      </c>
      <c r="T398" s="638"/>
      <c r="U398" s="675"/>
      <c r="V398" s="713"/>
      <c r="W398" s="713">
        <f t="shared" si="106"/>
        <v>98849.111250000002</v>
      </c>
      <c r="X398" s="736"/>
      <c r="Y398" s="713"/>
      <c r="Z398" s="713"/>
      <c r="AA398" s="675"/>
      <c r="AB398" s="713"/>
      <c r="AC398" s="677">
        <f t="shared" si="107"/>
        <v>98849.111250000002</v>
      </c>
      <c r="AD398" s="676"/>
      <c r="AE398" s="676"/>
      <c r="AF398" s="711">
        <f t="shared" si="97"/>
        <v>0</v>
      </c>
    </row>
    <row r="399" spans="1:32">
      <c r="A399" s="638">
        <v>387</v>
      </c>
      <c r="B399" s="638"/>
      <c r="C399" s="638"/>
      <c r="D399" s="638"/>
      <c r="E399" s="623" t="s">
        <v>571</v>
      </c>
      <c r="F399" s="321">
        <f t="shared" ref="F399:S399" si="108">SUM(F392:F398)</f>
        <v>-254809227.50999999</v>
      </c>
      <c r="G399" s="321">
        <f t="shared" si="108"/>
        <v>-258851760.34999999</v>
      </c>
      <c r="H399" s="321">
        <f t="shared" si="108"/>
        <v>-258849616.34999999</v>
      </c>
      <c r="I399" s="321">
        <f t="shared" si="108"/>
        <v>-258847269.34999999</v>
      </c>
      <c r="J399" s="321">
        <f t="shared" si="108"/>
        <v>-258844922.34999999</v>
      </c>
      <c r="K399" s="321">
        <f t="shared" si="108"/>
        <v>-263842575.34999999</v>
      </c>
      <c r="L399" s="321">
        <f t="shared" si="108"/>
        <v>-268840228.35000002</v>
      </c>
      <c r="M399" s="321">
        <f t="shared" si="108"/>
        <v>-275837881.35000002</v>
      </c>
      <c r="N399" s="321">
        <f t="shared" si="108"/>
        <v>-275835534.35000002</v>
      </c>
      <c r="O399" s="321">
        <f t="shared" si="108"/>
        <v>-295833187.35000002</v>
      </c>
      <c r="P399" s="321">
        <f t="shared" si="108"/>
        <v>-302830840.35000002</v>
      </c>
      <c r="Q399" s="321">
        <f t="shared" si="108"/>
        <v>-302828493.35000002</v>
      </c>
      <c r="R399" s="321">
        <f t="shared" si="108"/>
        <v>-302597658.34000003</v>
      </c>
      <c r="S399" s="516">
        <f t="shared" si="108"/>
        <v>-274995479.31458336</v>
      </c>
      <c r="T399" s="638"/>
      <c r="U399" s="675"/>
      <c r="V399" s="713"/>
      <c r="W399" s="713"/>
      <c r="X399" s="736"/>
      <c r="Y399" s="713"/>
      <c r="Z399" s="713"/>
      <c r="AA399" s="675"/>
      <c r="AB399" s="713"/>
      <c r="AC399" s="676"/>
      <c r="AD399" s="676"/>
      <c r="AE399" s="676"/>
      <c r="AF399" s="711">
        <f t="shared" si="97"/>
        <v>0</v>
      </c>
    </row>
    <row r="400" spans="1:32">
      <c r="A400" s="638">
        <v>388</v>
      </c>
      <c r="B400" s="638"/>
      <c r="C400" s="638"/>
      <c r="D400" s="638"/>
      <c r="E400" s="623"/>
      <c r="F400" s="635"/>
      <c r="G400" s="349"/>
      <c r="H400" s="350"/>
      <c r="I400" s="350"/>
      <c r="J400" s="351"/>
      <c r="K400" s="352"/>
      <c r="L400" s="353"/>
      <c r="M400" s="354"/>
      <c r="N400" s="355"/>
      <c r="O400" s="339"/>
      <c r="P400" s="356"/>
      <c r="Q400" s="357"/>
      <c r="R400" s="635"/>
      <c r="S400" s="320"/>
      <c r="T400" s="638"/>
      <c r="U400" s="675"/>
      <c r="V400" s="713"/>
      <c r="W400" s="713"/>
      <c r="X400" s="736"/>
      <c r="Y400" s="713"/>
      <c r="Z400" s="713"/>
      <c r="AA400" s="675"/>
      <c r="AB400" s="713"/>
      <c r="AC400" s="676"/>
      <c r="AD400" s="676"/>
      <c r="AE400" s="676"/>
      <c r="AF400" s="711">
        <f t="shared" si="97"/>
        <v>0</v>
      </c>
    </row>
    <row r="401" spans="1:32">
      <c r="A401" s="638">
        <v>389</v>
      </c>
      <c r="B401" s="342" t="s">
        <v>981</v>
      </c>
      <c r="C401" s="342" t="s">
        <v>572</v>
      </c>
      <c r="D401" s="342" t="s">
        <v>473</v>
      </c>
      <c r="E401" s="627" t="s">
        <v>573</v>
      </c>
      <c r="F401" s="637">
        <v>-20000000</v>
      </c>
      <c r="G401" s="637">
        <v>-20000000</v>
      </c>
      <c r="H401" s="637">
        <v>-20000000</v>
      </c>
      <c r="I401" s="637">
        <v>-20000000</v>
      </c>
      <c r="J401" s="637">
        <v>-20000000</v>
      </c>
      <c r="K401" s="637">
        <v>-20000000</v>
      </c>
      <c r="L401" s="637">
        <v>-20000000</v>
      </c>
      <c r="M401" s="637">
        <v>-20000000</v>
      </c>
      <c r="N401" s="637">
        <v>-20000000</v>
      </c>
      <c r="O401" s="637">
        <v>-20000000</v>
      </c>
      <c r="P401" s="637">
        <v>-20000000</v>
      </c>
      <c r="Q401" s="637">
        <v>-20000000</v>
      </c>
      <c r="R401" s="637">
        <v>-20000000</v>
      </c>
      <c r="S401" s="514">
        <f t="shared" si="105"/>
        <v>-20000000</v>
      </c>
      <c r="T401" s="638"/>
      <c r="U401" s="675"/>
      <c r="V401" s="713"/>
      <c r="W401" s="713">
        <f t="shared" ref="W401:W418" si="109">+S401</f>
        <v>-20000000</v>
      </c>
      <c r="X401" s="736"/>
      <c r="Y401" s="713"/>
      <c r="Z401" s="713"/>
      <c r="AA401" s="675"/>
      <c r="AB401" s="713"/>
      <c r="AC401" s="677">
        <f t="shared" ref="AC401:AC418" si="110">+S401</f>
        <v>-20000000</v>
      </c>
      <c r="AD401" s="676"/>
      <c r="AE401" s="676"/>
      <c r="AF401" s="711">
        <f t="shared" si="97"/>
        <v>0</v>
      </c>
    </row>
    <row r="402" spans="1:32">
      <c r="A402" s="638">
        <v>390</v>
      </c>
      <c r="B402" s="342" t="s">
        <v>981</v>
      </c>
      <c r="C402" s="342" t="s">
        <v>572</v>
      </c>
      <c r="D402" s="342" t="s">
        <v>475</v>
      </c>
      <c r="E402" s="627" t="s">
        <v>574</v>
      </c>
      <c r="F402" s="637">
        <v>-15000000</v>
      </c>
      <c r="G402" s="637">
        <v>-15000000</v>
      </c>
      <c r="H402" s="637">
        <v>-15000000</v>
      </c>
      <c r="I402" s="637">
        <v>-15000000</v>
      </c>
      <c r="J402" s="637">
        <v>-15000000</v>
      </c>
      <c r="K402" s="637">
        <v>-15000000</v>
      </c>
      <c r="L402" s="637">
        <v>-15000000</v>
      </c>
      <c r="M402" s="637">
        <v>-15000000</v>
      </c>
      <c r="N402" s="637">
        <v>-15000000</v>
      </c>
      <c r="O402" s="637">
        <v>-15000000</v>
      </c>
      <c r="P402" s="637">
        <v>-15000000</v>
      </c>
      <c r="Q402" s="637">
        <v>-15000000</v>
      </c>
      <c r="R402" s="637">
        <v>-15000000</v>
      </c>
      <c r="S402" s="514">
        <f t="shared" si="105"/>
        <v>-15000000</v>
      </c>
      <c r="T402" s="638"/>
      <c r="U402" s="675"/>
      <c r="V402" s="713"/>
      <c r="W402" s="713">
        <f t="shared" si="109"/>
        <v>-15000000</v>
      </c>
      <c r="X402" s="736"/>
      <c r="Y402" s="713"/>
      <c r="Z402" s="713"/>
      <c r="AA402" s="675"/>
      <c r="AB402" s="713"/>
      <c r="AC402" s="677">
        <f t="shared" si="110"/>
        <v>-15000000</v>
      </c>
      <c r="AD402" s="676"/>
      <c r="AE402" s="676"/>
      <c r="AF402" s="711">
        <f t="shared" si="97"/>
        <v>0</v>
      </c>
    </row>
    <row r="403" spans="1:32">
      <c r="A403" s="638">
        <v>391</v>
      </c>
      <c r="B403" s="342" t="s">
        <v>981</v>
      </c>
      <c r="C403" s="342" t="s">
        <v>572</v>
      </c>
      <c r="D403" s="342" t="s">
        <v>477</v>
      </c>
      <c r="E403" s="627" t="s">
        <v>575</v>
      </c>
      <c r="F403" s="637">
        <v>-24361000</v>
      </c>
      <c r="G403" s="637">
        <v>-24361000</v>
      </c>
      <c r="H403" s="637">
        <v>-24341000</v>
      </c>
      <c r="I403" s="637">
        <v>-24341000</v>
      </c>
      <c r="J403" s="637">
        <v>-24341000</v>
      </c>
      <c r="K403" s="637">
        <v>-24249000</v>
      </c>
      <c r="L403" s="637">
        <v>-24249000</v>
      </c>
      <c r="M403" s="637">
        <v>-24249000</v>
      </c>
      <c r="N403" s="637">
        <v>-24239000</v>
      </c>
      <c r="O403" s="637">
        <v>-24239000</v>
      </c>
      <c r="P403" s="637">
        <v>-24239000</v>
      </c>
      <c r="Q403" s="637">
        <v>-24214000</v>
      </c>
      <c r="R403" s="637">
        <v>-24214000</v>
      </c>
      <c r="S403" s="514">
        <f t="shared" si="105"/>
        <v>-24279125</v>
      </c>
      <c r="T403" s="638"/>
      <c r="U403" s="675"/>
      <c r="V403" s="713"/>
      <c r="W403" s="713">
        <f t="shared" si="109"/>
        <v>-24279125</v>
      </c>
      <c r="X403" s="736"/>
      <c r="Y403" s="713"/>
      <c r="Z403" s="713"/>
      <c r="AA403" s="675"/>
      <c r="AB403" s="713"/>
      <c r="AC403" s="677">
        <f t="shared" si="110"/>
        <v>-24279125</v>
      </c>
      <c r="AD403" s="676"/>
      <c r="AE403" s="676"/>
      <c r="AF403" s="711">
        <f t="shared" si="97"/>
        <v>0</v>
      </c>
    </row>
    <row r="404" spans="1:32">
      <c r="A404" s="638">
        <v>392</v>
      </c>
      <c r="B404" s="342" t="s">
        <v>981</v>
      </c>
      <c r="C404" s="342" t="s">
        <v>572</v>
      </c>
      <c r="D404" s="342" t="s">
        <v>479</v>
      </c>
      <c r="E404" s="627" t="s">
        <v>576</v>
      </c>
      <c r="F404" s="637">
        <v>-15000000</v>
      </c>
      <c r="G404" s="637">
        <v>-15000000</v>
      </c>
      <c r="H404" s="637">
        <v>-15000000</v>
      </c>
      <c r="I404" s="637">
        <v>-15000000</v>
      </c>
      <c r="J404" s="637">
        <v>-15000000</v>
      </c>
      <c r="K404" s="637">
        <v>-15000000</v>
      </c>
      <c r="L404" s="637">
        <v>-15000000</v>
      </c>
      <c r="M404" s="637">
        <v>-15000000</v>
      </c>
      <c r="N404" s="637">
        <v>-15000000</v>
      </c>
      <c r="O404" s="637">
        <v>0</v>
      </c>
      <c r="P404" s="637">
        <v>0</v>
      </c>
      <c r="Q404" s="637">
        <v>0</v>
      </c>
      <c r="R404" s="637">
        <v>0</v>
      </c>
      <c r="S404" s="514">
        <f t="shared" si="105"/>
        <v>-10625000</v>
      </c>
      <c r="T404" s="638"/>
      <c r="U404" s="675"/>
      <c r="V404" s="713"/>
      <c r="W404" s="713">
        <f t="shared" si="109"/>
        <v>-10625000</v>
      </c>
      <c r="X404" s="736"/>
      <c r="Y404" s="713"/>
      <c r="Z404" s="713"/>
      <c r="AA404" s="675"/>
      <c r="AB404" s="713"/>
      <c r="AC404" s="677">
        <f t="shared" si="110"/>
        <v>-10625000</v>
      </c>
      <c r="AD404" s="676"/>
      <c r="AE404" s="676"/>
      <c r="AF404" s="711">
        <f t="shared" si="97"/>
        <v>0</v>
      </c>
    </row>
    <row r="405" spans="1:32">
      <c r="A405" s="638">
        <v>393</v>
      </c>
      <c r="B405" s="342" t="s">
        <v>981</v>
      </c>
      <c r="C405" s="342" t="s">
        <v>572</v>
      </c>
      <c r="D405" s="342" t="s">
        <v>481</v>
      </c>
      <c r="E405" s="627" t="s">
        <v>577</v>
      </c>
      <c r="F405" s="637">
        <v>-40000000</v>
      </c>
      <c r="G405" s="637">
        <v>-40000000</v>
      </c>
      <c r="H405" s="637">
        <v>-40000000</v>
      </c>
      <c r="I405" s="637">
        <v>-40000000</v>
      </c>
      <c r="J405" s="637">
        <v>-40000000</v>
      </c>
      <c r="K405" s="637">
        <v>-40000000</v>
      </c>
      <c r="L405" s="637">
        <v>-40000000</v>
      </c>
      <c r="M405" s="637">
        <v>-40000000</v>
      </c>
      <c r="N405" s="637">
        <v>-40000000</v>
      </c>
      <c r="O405" s="637">
        <v>-40000000</v>
      </c>
      <c r="P405" s="637">
        <v>-40000000</v>
      </c>
      <c r="Q405" s="637">
        <v>-40000000</v>
      </c>
      <c r="R405" s="637">
        <v>-40000000</v>
      </c>
      <c r="S405" s="514">
        <f t="shared" si="105"/>
        <v>-40000000</v>
      </c>
      <c r="T405" s="638"/>
      <c r="U405" s="675"/>
      <c r="V405" s="713"/>
      <c r="W405" s="713">
        <f t="shared" si="109"/>
        <v>-40000000</v>
      </c>
      <c r="X405" s="736"/>
      <c r="Y405" s="713"/>
      <c r="Z405" s="713"/>
      <c r="AA405" s="675"/>
      <c r="AB405" s="713"/>
      <c r="AC405" s="677">
        <f t="shared" si="110"/>
        <v>-40000000</v>
      </c>
      <c r="AD405" s="676"/>
      <c r="AE405" s="676"/>
      <c r="AF405" s="711">
        <f t="shared" si="97"/>
        <v>0</v>
      </c>
    </row>
    <row r="406" spans="1:32">
      <c r="A406" s="638">
        <v>394</v>
      </c>
      <c r="B406" s="342" t="s">
        <v>981</v>
      </c>
      <c r="C406" s="342" t="s">
        <v>572</v>
      </c>
      <c r="D406" s="342" t="s">
        <v>483</v>
      </c>
      <c r="E406" s="558" t="s">
        <v>578</v>
      </c>
      <c r="F406" s="637">
        <v>-25000000</v>
      </c>
      <c r="G406" s="637">
        <v>-25000000</v>
      </c>
      <c r="H406" s="637">
        <v>-25000000</v>
      </c>
      <c r="I406" s="637">
        <v>-25000000</v>
      </c>
      <c r="J406" s="637">
        <v>-25000000</v>
      </c>
      <c r="K406" s="637">
        <v>-25000000</v>
      </c>
      <c r="L406" s="637">
        <v>-25000000</v>
      </c>
      <c r="M406" s="637">
        <v>-25000000</v>
      </c>
      <c r="N406" s="637">
        <v>-25000000</v>
      </c>
      <c r="O406" s="637">
        <v>-25000000</v>
      </c>
      <c r="P406" s="637">
        <v>-25000000</v>
      </c>
      <c r="Q406" s="637">
        <v>-25000000</v>
      </c>
      <c r="R406" s="637">
        <v>-25000000</v>
      </c>
      <c r="S406" s="514">
        <f t="shared" si="105"/>
        <v>-25000000</v>
      </c>
      <c r="T406" s="638"/>
      <c r="U406" s="675"/>
      <c r="V406" s="713"/>
      <c r="W406" s="713">
        <f t="shared" si="109"/>
        <v>-25000000</v>
      </c>
      <c r="X406" s="736"/>
      <c r="Y406" s="713"/>
      <c r="Z406" s="713"/>
      <c r="AA406" s="675"/>
      <c r="AB406" s="713"/>
      <c r="AC406" s="677">
        <f t="shared" si="110"/>
        <v>-25000000</v>
      </c>
      <c r="AD406" s="676"/>
      <c r="AE406" s="676"/>
      <c r="AF406" s="711">
        <f t="shared" si="97"/>
        <v>0</v>
      </c>
    </row>
    <row r="407" spans="1:32">
      <c r="A407" s="638">
        <v>395</v>
      </c>
      <c r="B407" s="342" t="s">
        <v>981</v>
      </c>
      <c r="C407" s="342" t="s">
        <v>572</v>
      </c>
      <c r="D407" s="342" t="s">
        <v>485</v>
      </c>
      <c r="E407" s="558" t="s">
        <v>579</v>
      </c>
      <c r="F407" s="637">
        <v>-25000000</v>
      </c>
      <c r="G407" s="637">
        <v>-25000000</v>
      </c>
      <c r="H407" s="637">
        <v>-25000000</v>
      </c>
      <c r="I407" s="637">
        <v>-25000000</v>
      </c>
      <c r="J407" s="637">
        <v>-25000000</v>
      </c>
      <c r="K407" s="637">
        <v>-25000000</v>
      </c>
      <c r="L407" s="637">
        <v>-25000000</v>
      </c>
      <c r="M407" s="637">
        <v>-25000000</v>
      </c>
      <c r="N407" s="637">
        <v>-25000000</v>
      </c>
      <c r="O407" s="637">
        <v>-25000000</v>
      </c>
      <c r="P407" s="637">
        <v>-25000000</v>
      </c>
      <c r="Q407" s="637">
        <v>-25000000</v>
      </c>
      <c r="R407" s="637">
        <v>-25000000</v>
      </c>
      <c r="S407" s="514">
        <f t="shared" si="105"/>
        <v>-25000000</v>
      </c>
      <c r="T407" s="638"/>
      <c r="U407" s="675"/>
      <c r="V407" s="713"/>
      <c r="W407" s="713">
        <f t="shared" si="109"/>
        <v>-25000000</v>
      </c>
      <c r="X407" s="736"/>
      <c r="Y407" s="713"/>
      <c r="Z407" s="713"/>
      <c r="AA407" s="675"/>
      <c r="AB407" s="713"/>
      <c r="AC407" s="677">
        <f t="shared" si="110"/>
        <v>-25000000</v>
      </c>
      <c r="AD407" s="676"/>
      <c r="AE407" s="676"/>
      <c r="AF407" s="711">
        <f t="shared" si="97"/>
        <v>0</v>
      </c>
    </row>
    <row r="408" spans="1:32">
      <c r="A408" s="638">
        <v>396</v>
      </c>
      <c r="B408" s="342" t="s">
        <v>981</v>
      </c>
      <c r="C408" s="342" t="s">
        <v>572</v>
      </c>
      <c r="D408" s="342" t="s">
        <v>488</v>
      </c>
      <c r="E408" s="558" t="s">
        <v>1671</v>
      </c>
      <c r="F408" s="637">
        <v>-12500000</v>
      </c>
      <c r="G408" s="637">
        <v>-12500000</v>
      </c>
      <c r="H408" s="637">
        <v>-12500000</v>
      </c>
      <c r="I408" s="637">
        <v>-12500000</v>
      </c>
      <c r="J408" s="637">
        <v>-12500000</v>
      </c>
      <c r="K408" s="637">
        <v>-12500000</v>
      </c>
      <c r="L408" s="637">
        <v>-12500000</v>
      </c>
      <c r="M408" s="637">
        <v>-12500000</v>
      </c>
      <c r="N408" s="637">
        <v>-12500000</v>
      </c>
      <c r="O408" s="637">
        <v>-12500000</v>
      </c>
      <c r="P408" s="637">
        <v>-12500000</v>
      </c>
      <c r="Q408" s="637">
        <v>-12500000</v>
      </c>
      <c r="R408" s="637">
        <v>-12500000</v>
      </c>
      <c r="S408" s="514">
        <f t="shared" si="105"/>
        <v>-12500000</v>
      </c>
      <c r="T408" s="638"/>
      <c r="U408" s="675"/>
      <c r="V408" s="713"/>
      <c r="W408" s="713">
        <f t="shared" si="109"/>
        <v>-12500000</v>
      </c>
      <c r="X408" s="736"/>
      <c r="Y408" s="713"/>
      <c r="Z408" s="713"/>
      <c r="AA408" s="675"/>
      <c r="AB408" s="713"/>
      <c r="AC408" s="677">
        <f t="shared" si="110"/>
        <v>-12500000</v>
      </c>
      <c r="AD408" s="676"/>
      <c r="AE408" s="676"/>
      <c r="AF408" s="711">
        <f t="shared" si="97"/>
        <v>0</v>
      </c>
    </row>
    <row r="409" spans="1:32">
      <c r="A409" s="638">
        <v>397</v>
      </c>
      <c r="B409" s="342" t="s">
        <v>981</v>
      </c>
      <c r="C409" s="342" t="s">
        <v>572</v>
      </c>
      <c r="D409" s="342" t="s">
        <v>489</v>
      </c>
      <c r="E409" s="558" t="s">
        <v>1672</v>
      </c>
      <c r="F409" s="637">
        <v>-12500000</v>
      </c>
      <c r="G409" s="637">
        <v>-12500000</v>
      </c>
      <c r="H409" s="637">
        <v>-12500000</v>
      </c>
      <c r="I409" s="637">
        <v>-12500000</v>
      </c>
      <c r="J409" s="637">
        <v>-12500000</v>
      </c>
      <c r="K409" s="637">
        <v>-12500000</v>
      </c>
      <c r="L409" s="637">
        <v>-12500000</v>
      </c>
      <c r="M409" s="637">
        <v>-12500000</v>
      </c>
      <c r="N409" s="637">
        <v>-12500000</v>
      </c>
      <c r="O409" s="637">
        <v>-12500000</v>
      </c>
      <c r="P409" s="637">
        <v>-12500000</v>
      </c>
      <c r="Q409" s="637">
        <v>-12500000</v>
      </c>
      <c r="R409" s="637">
        <v>-12500000</v>
      </c>
      <c r="S409" s="514">
        <f t="shared" si="105"/>
        <v>-12500000</v>
      </c>
      <c r="T409" s="638"/>
      <c r="U409" s="675"/>
      <c r="V409" s="713"/>
      <c r="W409" s="713">
        <f t="shared" si="109"/>
        <v>-12500000</v>
      </c>
      <c r="X409" s="736"/>
      <c r="Y409" s="713"/>
      <c r="Z409" s="713"/>
      <c r="AA409" s="675"/>
      <c r="AB409" s="713"/>
      <c r="AC409" s="677">
        <f t="shared" si="110"/>
        <v>-12500000</v>
      </c>
      <c r="AD409" s="676"/>
      <c r="AE409" s="676"/>
      <c r="AF409" s="711">
        <f t="shared" si="97"/>
        <v>0</v>
      </c>
    </row>
    <row r="410" spans="1:32">
      <c r="A410" s="638">
        <v>398</v>
      </c>
      <c r="B410" s="342" t="s">
        <v>981</v>
      </c>
      <c r="C410" s="342" t="s">
        <v>572</v>
      </c>
      <c r="D410" s="342" t="s">
        <v>490</v>
      </c>
      <c r="E410" s="558" t="s">
        <v>1673</v>
      </c>
      <c r="F410" s="637">
        <v>-12500000</v>
      </c>
      <c r="G410" s="637">
        <v>-12500000</v>
      </c>
      <c r="H410" s="637">
        <v>-12500000</v>
      </c>
      <c r="I410" s="637">
        <v>-12500000</v>
      </c>
      <c r="J410" s="637">
        <v>-12500000</v>
      </c>
      <c r="K410" s="637">
        <v>-12500000</v>
      </c>
      <c r="L410" s="637">
        <v>-12500000</v>
      </c>
      <c r="M410" s="637">
        <v>-12500000</v>
      </c>
      <c r="N410" s="637">
        <v>-12500000</v>
      </c>
      <c r="O410" s="637">
        <v>-12500000</v>
      </c>
      <c r="P410" s="637">
        <v>-12500000</v>
      </c>
      <c r="Q410" s="637">
        <v>-12500000</v>
      </c>
      <c r="R410" s="637">
        <v>-12500000</v>
      </c>
      <c r="S410" s="514">
        <f t="shared" si="105"/>
        <v>-12500000</v>
      </c>
      <c r="T410" s="638"/>
      <c r="U410" s="675"/>
      <c r="V410" s="713"/>
      <c r="W410" s="713">
        <f t="shared" si="109"/>
        <v>-12500000</v>
      </c>
      <c r="X410" s="736"/>
      <c r="Y410" s="713"/>
      <c r="Z410" s="713"/>
      <c r="AA410" s="675"/>
      <c r="AB410" s="713"/>
      <c r="AC410" s="677">
        <f t="shared" si="110"/>
        <v>-12500000</v>
      </c>
      <c r="AD410" s="676"/>
      <c r="AE410" s="676"/>
      <c r="AF410" s="711">
        <f t="shared" si="97"/>
        <v>0</v>
      </c>
    </row>
    <row r="411" spans="1:32">
      <c r="A411" s="638">
        <v>399</v>
      </c>
      <c r="B411" s="342" t="s">
        <v>981</v>
      </c>
      <c r="C411" s="342" t="s">
        <v>572</v>
      </c>
      <c r="D411" s="342" t="s">
        <v>491</v>
      </c>
      <c r="E411" s="558" t="s">
        <v>1674</v>
      </c>
      <c r="F411" s="637">
        <v>-12500000</v>
      </c>
      <c r="G411" s="637">
        <v>-12500000</v>
      </c>
      <c r="H411" s="637">
        <v>-12500000</v>
      </c>
      <c r="I411" s="637">
        <v>-12500000</v>
      </c>
      <c r="J411" s="637">
        <v>-12500000</v>
      </c>
      <c r="K411" s="637">
        <v>-12500000</v>
      </c>
      <c r="L411" s="637">
        <v>-12500000</v>
      </c>
      <c r="M411" s="637">
        <v>-12500000</v>
      </c>
      <c r="N411" s="637">
        <v>-12500000</v>
      </c>
      <c r="O411" s="637">
        <v>-12500000</v>
      </c>
      <c r="P411" s="637">
        <v>-12500000</v>
      </c>
      <c r="Q411" s="637">
        <v>-12500000</v>
      </c>
      <c r="R411" s="637">
        <v>-12500000</v>
      </c>
      <c r="S411" s="514">
        <f t="shared" si="105"/>
        <v>-12500000</v>
      </c>
      <c r="T411" s="638"/>
      <c r="U411" s="675"/>
      <c r="V411" s="713"/>
      <c r="W411" s="713">
        <f t="shared" si="109"/>
        <v>-12500000</v>
      </c>
      <c r="X411" s="736"/>
      <c r="Y411" s="713"/>
      <c r="Z411" s="713"/>
      <c r="AA411" s="675"/>
      <c r="AB411" s="713"/>
      <c r="AC411" s="677">
        <f t="shared" si="110"/>
        <v>-12500000</v>
      </c>
      <c r="AD411" s="676"/>
      <c r="AE411" s="676"/>
      <c r="AF411" s="711">
        <f t="shared" si="97"/>
        <v>0</v>
      </c>
    </row>
    <row r="412" spans="1:32">
      <c r="A412" s="638">
        <v>400</v>
      </c>
      <c r="B412" s="342" t="s">
        <v>981</v>
      </c>
      <c r="C412" s="342" t="s">
        <v>572</v>
      </c>
      <c r="D412" s="342" t="s">
        <v>1898</v>
      </c>
      <c r="E412" s="558" t="s">
        <v>1924</v>
      </c>
      <c r="F412" s="637">
        <v>0</v>
      </c>
      <c r="G412" s="637">
        <v>0</v>
      </c>
      <c r="H412" s="637">
        <v>0</v>
      </c>
      <c r="I412" s="637">
        <v>0</v>
      </c>
      <c r="J412" s="637">
        <v>0</v>
      </c>
      <c r="K412" s="637">
        <v>0</v>
      </c>
      <c r="L412" s="637">
        <v>-25000000</v>
      </c>
      <c r="M412" s="637">
        <v>-25000000</v>
      </c>
      <c r="N412" s="637">
        <v>-25000000</v>
      </c>
      <c r="O412" s="637">
        <v>-25000000</v>
      </c>
      <c r="P412" s="637">
        <v>-25000000</v>
      </c>
      <c r="Q412" s="637">
        <v>-25000000</v>
      </c>
      <c r="R412" s="637">
        <v>-25000000</v>
      </c>
      <c r="S412" s="514">
        <f t="shared" si="105"/>
        <v>-13541666.666666666</v>
      </c>
      <c r="T412" s="638"/>
      <c r="U412" s="675"/>
      <c r="V412" s="713"/>
      <c r="W412" s="713">
        <f t="shared" si="109"/>
        <v>-13541666.666666666</v>
      </c>
      <c r="X412" s="736"/>
      <c r="Y412" s="713"/>
      <c r="Z412" s="713"/>
      <c r="AA412" s="675"/>
      <c r="AB412" s="713"/>
      <c r="AC412" s="677">
        <f t="shared" si="110"/>
        <v>-13541666.666666666</v>
      </c>
      <c r="AD412" s="676"/>
      <c r="AE412" s="676"/>
      <c r="AF412" s="711"/>
    </row>
    <row r="413" spans="1:32">
      <c r="A413" s="638">
        <v>401</v>
      </c>
      <c r="B413" s="342" t="s">
        <v>981</v>
      </c>
      <c r="C413" s="342" t="s">
        <v>572</v>
      </c>
      <c r="D413" s="342" t="s">
        <v>1900</v>
      </c>
      <c r="E413" s="558" t="s">
        <v>1925</v>
      </c>
      <c r="F413" s="637">
        <v>0</v>
      </c>
      <c r="G413" s="637">
        <v>0</v>
      </c>
      <c r="H413" s="637">
        <v>0</v>
      </c>
      <c r="I413" s="637">
        <v>0</v>
      </c>
      <c r="J413" s="637">
        <v>0</v>
      </c>
      <c r="K413" s="637">
        <v>0</v>
      </c>
      <c r="L413" s="637">
        <v>-20000000</v>
      </c>
      <c r="M413" s="637">
        <v>-20000000</v>
      </c>
      <c r="N413" s="637">
        <v>-20000000</v>
      </c>
      <c r="O413" s="637">
        <v>-20000000</v>
      </c>
      <c r="P413" s="637">
        <v>-20000000</v>
      </c>
      <c r="Q413" s="637">
        <v>-20000000</v>
      </c>
      <c r="R413" s="637">
        <v>-20000000</v>
      </c>
      <c r="S413" s="514">
        <f t="shared" si="105"/>
        <v>-10833333.333333334</v>
      </c>
      <c r="T413" s="638"/>
      <c r="U413" s="675"/>
      <c r="V413" s="713"/>
      <c r="W413" s="713">
        <f t="shared" si="109"/>
        <v>-10833333.333333334</v>
      </c>
      <c r="X413" s="736"/>
      <c r="Y413" s="713"/>
      <c r="Z413" s="713"/>
      <c r="AA413" s="675"/>
      <c r="AB413" s="713"/>
      <c r="AC413" s="677">
        <f t="shared" si="110"/>
        <v>-10833333.333333334</v>
      </c>
      <c r="AD413" s="676"/>
      <c r="AE413" s="676"/>
      <c r="AF413" s="711"/>
    </row>
    <row r="414" spans="1:32">
      <c r="A414" s="638">
        <v>402</v>
      </c>
      <c r="B414" s="342" t="s">
        <v>981</v>
      </c>
      <c r="C414" s="342" t="s">
        <v>572</v>
      </c>
      <c r="D414" s="342" t="s">
        <v>1902</v>
      </c>
      <c r="E414" s="558" t="s">
        <v>1926</v>
      </c>
      <c r="F414" s="637">
        <v>0</v>
      </c>
      <c r="G414" s="637">
        <v>0</v>
      </c>
      <c r="H414" s="637">
        <v>0</v>
      </c>
      <c r="I414" s="637">
        <v>0</v>
      </c>
      <c r="J414" s="637">
        <v>0</v>
      </c>
      <c r="K414" s="637">
        <v>0</v>
      </c>
      <c r="L414" s="637">
        <v>-30000000</v>
      </c>
      <c r="M414" s="637">
        <v>-30000000</v>
      </c>
      <c r="N414" s="637">
        <v>-30000000</v>
      </c>
      <c r="O414" s="637">
        <v>-30000000</v>
      </c>
      <c r="P414" s="637">
        <v>-30000000</v>
      </c>
      <c r="Q414" s="637">
        <v>-30000000</v>
      </c>
      <c r="R414" s="637">
        <v>-30000000</v>
      </c>
      <c r="S414" s="514">
        <f t="shared" si="105"/>
        <v>-16250000</v>
      </c>
      <c r="T414" s="638"/>
      <c r="U414" s="675"/>
      <c r="V414" s="713"/>
      <c r="W414" s="713">
        <f t="shared" si="109"/>
        <v>-16250000</v>
      </c>
      <c r="X414" s="736"/>
      <c r="Y414" s="713"/>
      <c r="Z414" s="713"/>
      <c r="AA414" s="675"/>
      <c r="AB414" s="713"/>
      <c r="AC414" s="677">
        <f t="shared" si="110"/>
        <v>-16250000</v>
      </c>
      <c r="AD414" s="676"/>
      <c r="AE414" s="676"/>
      <c r="AF414" s="711"/>
    </row>
    <row r="415" spans="1:32">
      <c r="A415" s="638">
        <v>403</v>
      </c>
      <c r="B415" s="342" t="s">
        <v>1883</v>
      </c>
      <c r="C415" s="342" t="s">
        <v>572</v>
      </c>
      <c r="D415" s="342" t="s">
        <v>382</v>
      </c>
      <c r="E415" s="558" t="s">
        <v>730</v>
      </c>
      <c r="F415" s="637">
        <v>0</v>
      </c>
      <c r="G415" s="637">
        <v>1515906.26</v>
      </c>
      <c r="H415" s="637">
        <v>1505331.72</v>
      </c>
      <c r="I415" s="637">
        <v>1495453.58</v>
      </c>
      <c r="J415" s="637">
        <v>1485575.44</v>
      </c>
      <c r="K415" s="637">
        <v>1485511.11</v>
      </c>
      <c r="L415" s="637">
        <v>1816372.27</v>
      </c>
      <c r="M415" s="637">
        <v>1829467.33</v>
      </c>
      <c r="N415" s="637">
        <v>1821810</v>
      </c>
      <c r="O415" s="637">
        <v>1809880.74</v>
      </c>
      <c r="P415" s="637">
        <v>1797951.48</v>
      </c>
      <c r="Q415" s="637">
        <v>1785197.07</v>
      </c>
      <c r="R415" s="637">
        <v>1773272.34</v>
      </c>
      <c r="S415" s="514">
        <f t="shared" si="105"/>
        <v>1602924.4308333334</v>
      </c>
      <c r="T415" s="638"/>
      <c r="U415" s="675">
        <f>+S415</f>
        <v>1602924.4308333334</v>
      </c>
      <c r="V415" s="713"/>
      <c r="W415" s="713"/>
      <c r="X415" s="736"/>
      <c r="Y415" s="713"/>
      <c r="Z415" s="713"/>
      <c r="AA415" s="675"/>
      <c r="AB415" s="713"/>
      <c r="AC415" s="677"/>
      <c r="AD415" s="677">
        <f>+S415</f>
        <v>1602924.4308333334</v>
      </c>
      <c r="AE415" s="676"/>
      <c r="AF415" s="711"/>
    </row>
    <row r="416" spans="1:32">
      <c r="A416" s="638">
        <v>404</v>
      </c>
      <c r="B416" s="342" t="s">
        <v>981</v>
      </c>
      <c r="C416" s="342" t="s">
        <v>572</v>
      </c>
      <c r="D416" s="342" t="s">
        <v>729</v>
      </c>
      <c r="E416" s="558" t="s">
        <v>730</v>
      </c>
      <c r="F416" s="637">
        <v>1525788.02</v>
      </c>
      <c r="G416" s="637">
        <v>0</v>
      </c>
      <c r="H416" s="637">
        <v>0</v>
      </c>
      <c r="I416" s="637">
        <v>0</v>
      </c>
      <c r="J416" s="637">
        <v>0</v>
      </c>
      <c r="K416" s="637">
        <v>0</v>
      </c>
      <c r="L416" s="637">
        <v>0</v>
      </c>
      <c r="M416" s="637">
        <v>0</v>
      </c>
      <c r="N416" s="637">
        <v>0</v>
      </c>
      <c r="O416" s="637">
        <v>0</v>
      </c>
      <c r="P416" s="637">
        <v>0</v>
      </c>
      <c r="Q416" s="637">
        <v>0</v>
      </c>
      <c r="R416" s="637">
        <v>0</v>
      </c>
      <c r="S416" s="514">
        <f t="shared" si="105"/>
        <v>63574.500833333332</v>
      </c>
      <c r="T416" s="638"/>
      <c r="U416" s="675">
        <f>+S416</f>
        <v>63574.500833333332</v>
      </c>
      <c r="V416" s="713"/>
      <c r="W416" s="713"/>
      <c r="X416" s="736"/>
      <c r="Y416" s="713"/>
      <c r="Z416" s="713"/>
      <c r="AA416" s="675"/>
      <c r="AB416" s="713"/>
      <c r="AD416" s="677">
        <f>+S416</f>
        <v>63574.500833333332</v>
      </c>
      <c r="AE416" s="676"/>
      <c r="AF416" s="711" t="e">
        <f>+U416+V416-#REF!</f>
        <v>#REF!</v>
      </c>
    </row>
    <row r="417" spans="1:32">
      <c r="A417" s="638">
        <v>405</v>
      </c>
      <c r="B417" s="342" t="s">
        <v>981</v>
      </c>
      <c r="C417" s="342" t="s">
        <v>1927</v>
      </c>
      <c r="D417" s="342" t="s">
        <v>479</v>
      </c>
      <c r="E417" s="558" t="s">
        <v>1928</v>
      </c>
      <c r="F417" s="637">
        <v>0</v>
      </c>
      <c r="G417" s="637">
        <v>0</v>
      </c>
      <c r="H417" s="637">
        <v>0</v>
      </c>
      <c r="I417" s="637">
        <v>0</v>
      </c>
      <c r="J417" s="637">
        <v>0</v>
      </c>
      <c r="K417" s="637">
        <v>0</v>
      </c>
      <c r="L417" s="637">
        <v>0</v>
      </c>
      <c r="M417" s="637">
        <v>0</v>
      </c>
      <c r="N417" s="637">
        <v>0</v>
      </c>
      <c r="O417" s="637">
        <v>-15000000</v>
      </c>
      <c r="P417" s="637">
        <v>-15000000</v>
      </c>
      <c r="Q417" s="637">
        <v>-15000000</v>
      </c>
      <c r="R417" s="637">
        <v>-15000000</v>
      </c>
      <c r="S417" s="514">
        <f t="shared" si="105"/>
        <v>-4375000</v>
      </c>
      <c r="T417" s="638"/>
      <c r="U417" s="675"/>
      <c r="V417" s="713"/>
      <c r="W417" s="713">
        <f t="shared" si="109"/>
        <v>-4375000</v>
      </c>
      <c r="X417" s="736"/>
      <c r="Y417" s="713"/>
      <c r="Z417" s="713"/>
      <c r="AA417" s="675"/>
      <c r="AB417" s="713"/>
      <c r="AC417" s="677">
        <f>+W417</f>
        <v>-4375000</v>
      </c>
      <c r="AD417" s="676"/>
      <c r="AE417" s="676"/>
      <c r="AF417" s="711"/>
    </row>
    <row r="418" spans="1:32">
      <c r="A418" s="638">
        <v>406</v>
      </c>
      <c r="B418" s="342" t="s">
        <v>981</v>
      </c>
      <c r="C418" s="342" t="s">
        <v>582</v>
      </c>
      <c r="D418" s="342" t="s">
        <v>463</v>
      </c>
      <c r="E418" s="629" t="s">
        <v>583</v>
      </c>
      <c r="F418" s="329">
        <v>-53850000</v>
      </c>
      <c r="G418" s="329">
        <v>-52050000</v>
      </c>
      <c r="H418" s="329">
        <v>-54600000</v>
      </c>
      <c r="I418" s="329">
        <v>-31700000</v>
      </c>
      <c r="J418" s="329">
        <v>-57700000</v>
      </c>
      <c r="K418" s="329">
        <v>-54000000</v>
      </c>
      <c r="L418" s="329">
        <v>-11075000</v>
      </c>
      <c r="M418" s="329">
        <v>-12000000</v>
      </c>
      <c r="N418" s="329">
        <v>-24300000</v>
      </c>
      <c r="O418" s="329">
        <v>-8900000</v>
      </c>
      <c r="P418" s="329">
        <v>-12650000</v>
      </c>
      <c r="Q418" s="329">
        <v>-15100000</v>
      </c>
      <c r="R418" s="329">
        <v>-64600000</v>
      </c>
      <c r="S418" s="740">
        <f>((F418+R418)+((G418+H418+I418+J418+K418+L418+M418+N418+O418+P418+Q418)*2))/24</f>
        <v>-32775000</v>
      </c>
      <c r="T418" s="638"/>
      <c r="U418" s="675"/>
      <c r="V418" s="713"/>
      <c r="W418" s="713">
        <f t="shared" si="109"/>
        <v>-32775000</v>
      </c>
      <c r="X418" s="736"/>
      <c r="Y418" s="713"/>
      <c r="Z418" s="713"/>
      <c r="AA418" s="675"/>
      <c r="AB418" s="713"/>
      <c r="AC418" s="677">
        <f t="shared" si="110"/>
        <v>-32775000</v>
      </c>
      <c r="AD418" s="676"/>
      <c r="AE418" s="676"/>
      <c r="AF418" s="711">
        <f t="shared" si="97"/>
        <v>0</v>
      </c>
    </row>
    <row r="419" spans="1:32">
      <c r="A419" s="638">
        <v>407</v>
      </c>
      <c r="B419" s="638"/>
      <c r="C419" s="638"/>
      <c r="D419" s="638"/>
      <c r="E419" s="623" t="s">
        <v>584</v>
      </c>
      <c r="F419" s="321">
        <f t="shared" ref="F419:S419" si="111">SUM(F401:F418)</f>
        <v>-266685211.97999999</v>
      </c>
      <c r="G419" s="321">
        <f t="shared" si="111"/>
        <v>-264895093.74000001</v>
      </c>
      <c r="H419" s="321">
        <f t="shared" si="111"/>
        <v>-267435668.28</v>
      </c>
      <c r="I419" s="321">
        <f t="shared" si="111"/>
        <v>-244545546.41999999</v>
      </c>
      <c r="J419" s="321">
        <f t="shared" si="111"/>
        <v>-270555424.56</v>
      </c>
      <c r="K419" s="321">
        <f t="shared" si="111"/>
        <v>-266763488.88999999</v>
      </c>
      <c r="L419" s="321">
        <f t="shared" si="111"/>
        <v>-298507627.73000002</v>
      </c>
      <c r="M419" s="321">
        <f t="shared" si="111"/>
        <v>-299419532.67000002</v>
      </c>
      <c r="N419" s="321">
        <f t="shared" si="111"/>
        <v>-311717190</v>
      </c>
      <c r="O419" s="321">
        <f t="shared" si="111"/>
        <v>-296329119.25999999</v>
      </c>
      <c r="P419" s="321">
        <f t="shared" si="111"/>
        <v>-300091048.51999998</v>
      </c>
      <c r="Q419" s="321">
        <f t="shared" si="111"/>
        <v>-302528802.93000001</v>
      </c>
      <c r="R419" s="321">
        <f t="shared" si="111"/>
        <v>-352040727.66000003</v>
      </c>
      <c r="S419" s="321">
        <f t="shared" si="111"/>
        <v>-286012626.06833333</v>
      </c>
      <c r="T419" s="638"/>
      <c r="U419" s="675"/>
      <c r="V419" s="713"/>
      <c r="W419" s="713"/>
      <c r="X419" s="736"/>
      <c r="Y419" s="713"/>
      <c r="Z419" s="713"/>
      <c r="AA419" s="675"/>
      <c r="AB419" s="713"/>
      <c r="AC419" s="676"/>
      <c r="AD419" s="676"/>
      <c r="AE419" s="676"/>
      <c r="AF419" s="711">
        <f t="shared" si="97"/>
        <v>0</v>
      </c>
    </row>
    <row r="420" spans="1:32">
      <c r="A420" s="638">
        <v>408</v>
      </c>
      <c r="B420" s="638"/>
      <c r="C420" s="638"/>
      <c r="D420" s="638"/>
      <c r="E420" s="623"/>
      <c r="F420" s="637"/>
      <c r="G420" s="340"/>
      <c r="H420" s="331"/>
      <c r="I420" s="331"/>
      <c r="J420" s="332"/>
      <c r="K420" s="333"/>
      <c r="L420" s="334"/>
      <c r="M420" s="335"/>
      <c r="N420" s="336"/>
      <c r="O420" s="624"/>
      <c r="P420" s="337"/>
      <c r="Q420" s="341"/>
      <c r="R420" s="637"/>
      <c r="S420" s="517">
        <f t="shared" ref="S420:S422" si="112">((F420+R420)+((G420+H420+I420+J420+K420+L420+M420+N420+O420+P420+Q420)*2))/24</f>
        <v>0</v>
      </c>
      <c r="T420" s="638"/>
      <c r="U420" s="675"/>
      <c r="V420" s="713"/>
      <c r="W420" s="713"/>
      <c r="X420" s="736"/>
      <c r="Y420" s="713"/>
      <c r="Z420" s="713"/>
      <c r="AA420" s="675"/>
      <c r="AB420" s="713"/>
      <c r="AC420" s="676"/>
      <c r="AD420" s="676"/>
      <c r="AE420" s="676"/>
      <c r="AF420" s="711">
        <f t="shared" si="97"/>
        <v>0</v>
      </c>
    </row>
    <row r="421" spans="1:32">
      <c r="A421" s="638">
        <v>409</v>
      </c>
      <c r="B421" s="638" t="s">
        <v>1883</v>
      </c>
      <c r="C421" s="638" t="s">
        <v>1929</v>
      </c>
      <c r="D421" s="638" t="s">
        <v>1930</v>
      </c>
      <c r="E421" s="623" t="s">
        <v>1931</v>
      </c>
      <c r="F421" s="637">
        <v>0</v>
      </c>
      <c r="G421" s="340">
        <v>0</v>
      </c>
      <c r="H421" s="331">
        <v>-206053.78</v>
      </c>
      <c r="I421" s="331">
        <v>-199317.51</v>
      </c>
      <c r="J421" s="332">
        <v>-193785.08</v>
      </c>
      <c r="K421" s="333">
        <v>-188235.46</v>
      </c>
      <c r="L421" s="334">
        <v>-183548.05</v>
      </c>
      <c r="M421" s="335">
        <v>-170533.22</v>
      </c>
      <c r="N421" s="336">
        <v>-167018.01</v>
      </c>
      <c r="O421" s="624">
        <v>-162266.29999999999</v>
      </c>
      <c r="P421" s="337">
        <v>-159196.99</v>
      </c>
      <c r="Q421" s="341">
        <v>-156117.07</v>
      </c>
      <c r="R421" s="637">
        <v>-150363.85</v>
      </c>
      <c r="S421" s="517">
        <f t="shared" si="112"/>
        <v>-155104.44958333333</v>
      </c>
      <c r="T421" s="638"/>
      <c r="U421" s="675"/>
      <c r="V421" s="713">
        <f>+S421</f>
        <v>-155104.44958333333</v>
      </c>
      <c r="W421" s="713"/>
      <c r="X421" s="736"/>
      <c r="Y421" s="713"/>
      <c r="Z421" s="713"/>
      <c r="AA421" s="675"/>
      <c r="AB421" s="713"/>
      <c r="AC421" s="676"/>
      <c r="AD421" s="677">
        <f>+V421</f>
        <v>-155104.44958333333</v>
      </c>
      <c r="AE421" s="676"/>
      <c r="AF421" s="711"/>
    </row>
    <row r="422" spans="1:32">
      <c r="A422" s="638">
        <v>410</v>
      </c>
      <c r="B422" s="638" t="s">
        <v>1883</v>
      </c>
      <c r="C422" s="638" t="s">
        <v>1929</v>
      </c>
      <c r="D422" s="638" t="s">
        <v>1932</v>
      </c>
      <c r="E422" s="623" t="s">
        <v>1933</v>
      </c>
      <c r="F422" s="637">
        <v>0</v>
      </c>
      <c r="G422" s="340">
        <v>0</v>
      </c>
      <c r="H422" s="331">
        <v>0</v>
      </c>
      <c r="I422" s="331">
        <v>0</v>
      </c>
      <c r="J422" s="332">
        <v>0</v>
      </c>
      <c r="K422" s="333">
        <v>0</v>
      </c>
      <c r="L422" s="334">
        <v>0</v>
      </c>
      <c r="M422" s="335">
        <v>0</v>
      </c>
      <c r="N422" s="336">
        <v>0</v>
      </c>
      <c r="O422" s="624">
        <v>0</v>
      </c>
      <c r="P422" s="337">
        <v>0</v>
      </c>
      <c r="Q422" s="341">
        <v>0</v>
      </c>
      <c r="R422" s="637">
        <v>0</v>
      </c>
      <c r="S422" s="517">
        <f t="shared" si="112"/>
        <v>0</v>
      </c>
      <c r="T422" s="638"/>
      <c r="U422" s="675"/>
      <c r="V422" s="713"/>
      <c r="W422" s="713"/>
      <c r="X422" s="736"/>
      <c r="Y422" s="713"/>
      <c r="Z422" s="713"/>
      <c r="AA422" s="675"/>
      <c r="AB422" s="713"/>
      <c r="AC422" s="676"/>
      <c r="AD422" s="676"/>
      <c r="AE422" s="676"/>
      <c r="AF422" s="711"/>
    </row>
    <row r="423" spans="1:32">
      <c r="A423" s="638">
        <v>411</v>
      </c>
      <c r="B423" s="638"/>
      <c r="C423" s="638"/>
      <c r="D423" s="638"/>
      <c r="E423" s="623"/>
      <c r="F423" s="637"/>
      <c r="G423" s="340"/>
      <c r="H423" s="331"/>
      <c r="I423" s="331"/>
      <c r="J423" s="332"/>
      <c r="K423" s="333"/>
      <c r="L423" s="334"/>
      <c r="M423" s="335"/>
      <c r="N423" s="336"/>
      <c r="O423" s="624"/>
      <c r="P423" s="337"/>
      <c r="Q423" s="341"/>
      <c r="R423" s="637"/>
      <c r="S423" s="320"/>
      <c r="T423" s="638"/>
      <c r="U423" s="675"/>
      <c r="V423" s="713"/>
      <c r="W423" s="713"/>
      <c r="X423" s="736"/>
      <c r="Y423" s="713"/>
      <c r="Z423" s="713"/>
      <c r="AA423" s="675"/>
      <c r="AB423" s="713"/>
      <c r="AC423" s="676"/>
      <c r="AD423" s="676"/>
      <c r="AE423" s="676"/>
      <c r="AF423" s="711"/>
    </row>
    <row r="424" spans="1:32">
      <c r="A424" s="638">
        <v>412</v>
      </c>
      <c r="B424" s="342" t="s">
        <v>981</v>
      </c>
      <c r="C424" s="342" t="s">
        <v>585</v>
      </c>
      <c r="D424" s="638" t="s">
        <v>382</v>
      </c>
      <c r="E424" s="623" t="s">
        <v>586</v>
      </c>
      <c r="F424" s="637">
        <v>0</v>
      </c>
      <c r="G424" s="637">
        <v>-30000000</v>
      </c>
      <c r="H424" s="637">
        <v>-30000000</v>
      </c>
      <c r="I424" s="637">
        <v>-70000000</v>
      </c>
      <c r="J424" s="637">
        <v>-70000000</v>
      </c>
      <c r="K424" s="637">
        <v>-70000000</v>
      </c>
      <c r="L424" s="637">
        <v>-40000000</v>
      </c>
      <c r="M424" s="637">
        <v>-40000000</v>
      </c>
      <c r="N424" s="637">
        <v>-40000000</v>
      </c>
      <c r="O424" s="637">
        <v>-40000000</v>
      </c>
      <c r="P424" s="637">
        <v>-40000000</v>
      </c>
      <c r="Q424" s="637">
        <v>-40000000</v>
      </c>
      <c r="R424" s="637">
        <v>0</v>
      </c>
      <c r="S424" s="320">
        <f t="shared" si="105"/>
        <v>-42500000</v>
      </c>
      <c r="T424" s="638"/>
      <c r="U424" s="675"/>
      <c r="V424" s="713"/>
      <c r="W424" s="713">
        <f t="shared" ref="W424:W425" si="113">+S424</f>
        <v>-42500000</v>
      </c>
      <c r="X424" s="736"/>
      <c r="Y424" s="713"/>
      <c r="Z424" s="713"/>
      <c r="AA424" s="675"/>
      <c r="AB424" s="713"/>
      <c r="AC424" s="677">
        <f>+S424</f>
        <v>-42500000</v>
      </c>
      <c r="AD424" s="676"/>
      <c r="AE424" s="676"/>
      <c r="AF424" s="711">
        <f t="shared" si="97"/>
        <v>0</v>
      </c>
    </row>
    <row r="425" spans="1:32">
      <c r="A425" s="638">
        <v>413</v>
      </c>
      <c r="B425" s="342" t="s">
        <v>981</v>
      </c>
      <c r="C425" s="342" t="s">
        <v>587</v>
      </c>
      <c r="D425" s="342" t="s">
        <v>588</v>
      </c>
      <c r="E425" s="629" t="s">
        <v>589</v>
      </c>
      <c r="F425" s="637">
        <v>0</v>
      </c>
      <c r="G425" s="637">
        <v>0</v>
      </c>
      <c r="H425" s="637">
        <v>0</v>
      </c>
      <c r="I425" s="637">
        <v>0</v>
      </c>
      <c r="J425" s="637">
        <v>0</v>
      </c>
      <c r="K425" s="637">
        <v>0</v>
      </c>
      <c r="L425" s="637">
        <v>0</v>
      </c>
      <c r="M425" s="637">
        <v>0</v>
      </c>
      <c r="N425" s="637">
        <v>0</v>
      </c>
      <c r="O425" s="637">
        <v>0</v>
      </c>
      <c r="P425" s="637">
        <v>0</v>
      </c>
      <c r="Q425" s="637">
        <v>0</v>
      </c>
      <c r="R425" s="637">
        <v>0</v>
      </c>
      <c r="S425" s="320">
        <f t="shared" si="105"/>
        <v>0</v>
      </c>
      <c r="T425" s="638"/>
      <c r="U425" s="675"/>
      <c r="V425" s="713"/>
      <c r="W425" s="713">
        <f t="shared" si="113"/>
        <v>0</v>
      </c>
      <c r="X425" s="736"/>
      <c r="Y425" s="713"/>
      <c r="Z425" s="713"/>
      <c r="AA425" s="675"/>
      <c r="AB425" s="713"/>
      <c r="AC425" s="677">
        <f>+S425</f>
        <v>0</v>
      </c>
      <c r="AD425" s="676"/>
      <c r="AE425" s="676"/>
      <c r="AF425" s="711">
        <f t="shared" si="97"/>
        <v>0</v>
      </c>
    </row>
    <row r="426" spans="1:32">
      <c r="A426" s="638">
        <v>414</v>
      </c>
      <c r="B426" s="638"/>
      <c r="C426" s="638"/>
      <c r="D426" s="638"/>
      <c r="E426" s="623"/>
      <c r="F426" s="637"/>
      <c r="G426" s="340"/>
      <c r="H426" s="331"/>
      <c r="I426" s="331"/>
      <c r="J426" s="332"/>
      <c r="K426" s="333"/>
      <c r="L426" s="334"/>
      <c r="M426" s="335"/>
      <c r="N426" s="336"/>
      <c r="O426" s="624"/>
      <c r="P426" s="337"/>
      <c r="Q426" s="341"/>
      <c r="R426" s="637"/>
      <c r="S426" s="320"/>
      <c r="T426" s="638"/>
      <c r="U426" s="675"/>
      <c r="V426" s="713"/>
      <c r="W426" s="713"/>
      <c r="X426" s="736"/>
      <c r="Y426" s="713"/>
      <c r="Z426" s="713"/>
      <c r="AA426" s="675"/>
      <c r="AB426" s="713"/>
      <c r="AC426" s="676"/>
      <c r="AD426" s="676"/>
      <c r="AE426" s="676"/>
      <c r="AF426" s="711">
        <f t="shared" si="97"/>
        <v>0</v>
      </c>
    </row>
    <row r="427" spans="1:32">
      <c r="A427" s="638">
        <v>415</v>
      </c>
      <c r="B427" s="342" t="s">
        <v>981</v>
      </c>
      <c r="C427" s="342" t="s">
        <v>590</v>
      </c>
      <c r="D427" s="342" t="s">
        <v>528</v>
      </c>
      <c r="E427" s="623" t="s">
        <v>1675</v>
      </c>
      <c r="F427" s="637">
        <v>-6429388.5499999998</v>
      </c>
      <c r="G427" s="637">
        <v>-3052420.41</v>
      </c>
      <c r="H427" s="637">
        <v>-1738753.51</v>
      </c>
      <c r="I427" s="637">
        <v>-1658173.93</v>
      </c>
      <c r="J427" s="637">
        <v>-2409461.09</v>
      </c>
      <c r="K427" s="637">
        <v>-2747484.7</v>
      </c>
      <c r="L427" s="637">
        <v>-2696374.04</v>
      </c>
      <c r="M427" s="637">
        <v>-2878166.01</v>
      </c>
      <c r="N427" s="637">
        <v>-4328379.6399999997</v>
      </c>
      <c r="O427" s="637">
        <v>-3695293.5</v>
      </c>
      <c r="P427" s="637">
        <v>-3240152.14</v>
      </c>
      <c r="Q427" s="637">
        <v>-3867143.32</v>
      </c>
      <c r="R427" s="637">
        <v>-6520933.0099999998</v>
      </c>
      <c r="S427" s="514">
        <f t="shared" si="105"/>
        <v>-3232246.9224999999</v>
      </c>
      <c r="T427" s="638"/>
      <c r="U427" s="675"/>
      <c r="V427" s="713">
        <f t="shared" ref="V427:V440" si="114">+S427</f>
        <v>-3232246.9224999999</v>
      </c>
      <c r="W427" s="713"/>
      <c r="X427" s="736"/>
      <c r="Y427" s="713"/>
      <c r="Z427" s="713"/>
      <c r="AA427" s="675"/>
      <c r="AB427" s="713"/>
      <c r="AC427" s="676"/>
      <c r="AD427" s="677">
        <f t="shared" ref="AD427:AD441" si="115">+V427</f>
        <v>-3232246.9224999999</v>
      </c>
      <c r="AE427" s="676"/>
      <c r="AF427" s="711">
        <f t="shared" si="97"/>
        <v>0</v>
      </c>
    </row>
    <row r="428" spans="1:32">
      <c r="A428" s="638">
        <v>416</v>
      </c>
      <c r="B428" s="342" t="s">
        <v>981</v>
      </c>
      <c r="C428" s="342" t="s">
        <v>591</v>
      </c>
      <c r="D428" s="342" t="s">
        <v>731</v>
      </c>
      <c r="E428" s="632" t="s">
        <v>1676</v>
      </c>
      <c r="F428" s="637">
        <v>-557521.93999999994</v>
      </c>
      <c r="G428" s="637">
        <v>-336848.1</v>
      </c>
      <c r="H428" s="637">
        <v>-178970.22</v>
      </c>
      <c r="I428" s="637">
        <v>-326239.73</v>
      </c>
      <c r="J428" s="637">
        <v>-129589.75</v>
      </c>
      <c r="K428" s="637">
        <v>-163776.26</v>
      </c>
      <c r="L428" s="637">
        <v>-372115.42</v>
      </c>
      <c r="M428" s="637">
        <v>-361277.87</v>
      </c>
      <c r="N428" s="637">
        <v>-370995.73</v>
      </c>
      <c r="O428" s="637">
        <v>-474940.26</v>
      </c>
      <c r="P428" s="637">
        <v>-471474.43</v>
      </c>
      <c r="Q428" s="637">
        <v>-268582.7</v>
      </c>
      <c r="R428" s="637">
        <v>-440504.1</v>
      </c>
      <c r="S428" s="514">
        <f t="shared" si="105"/>
        <v>-329485.29083333333</v>
      </c>
      <c r="T428" s="638"/>
      <c r="U428" s="675"/>
      <c r="V428" s="713">
        <f t="shared" si="114"/>
        <v>-329485.29083333333</v>
      </c>
      <c r="W428" s="713"/>
      <c r="X428" s="736"/>
      <c r="Y428" s="713"/>
      <c r="Z428" s="713"/>
      <c r="AA428" s="675"/>
      <c r="AB428" s="713"/>
      <c r="AC428" s="676"/>
      <c r="AD428" s="677">
        <f t="shared" si="115"/>
        <v>-329485.29083333333</v>
      </c>
      <c r="AE428" s="676"/>
      <c r="AF428" s="711">
        <f t="shared" si="97"/>
        <v>0</v>
      </c>
    </row>
    <row r="429" spans="1:32">
      <c r="A429" s="638">
        <v>417</v>
      </c>
      <c r="B429" s="342" t="s">
        <v>981</v>
      </c>
      <c r="C429" s="342" t="s">
        <v>591</v>
      </c>
      <c r="D429" s="342" t="s">
        <v>1215</v>
      </c>
      <c r="E429" s="623" t="s">
        <v>592</v>
      </c>
      <c r="F429" s="637">
        <v>-43539082.770000003</v>
      </c>
      <c r="G429" s="637">
        <v>-26860683.850000001</v>
      </c>
      <c r="H429" s="637">
        <v>-40298348.840000004</v>
      </c>
      <c r="I429" s="637">
        <v>-48354825.450000003</v>
      </c>
      <c r="J429" s="637">
        <v>-10887326.09</v>
      </c>
      <c r="K429" s="637">
        <v>-7322383.7400000002</v>
      </c>
      <c r="L429" s="637">
        <v>-7672115.7999999998</v>
      </c>
      <c r="M429" s="637">
        <v>-7408981.7199999997</v>
      </c>
      <c r="N429" s="637">
        <v>-7498183.4800000004</v>
      </c>
      <c r="O429" s="637">
        <v>-8246130.1399999997</v>
      </c>
      <c r="P429" s="637">
        <v>-13966099.76</v>
      </c>
      <c r="Q429" s="637">
        <v>-17572127.510000002</v>
      </c>
      <c r="R429" s="637">
        <v>-26928352.75</v>
      </c>
      <c r="S429" s="514">
        <f t="shared" si="105"/>
        <v>-19276743.678333331</v>
      </c>
      <c r="T429" s="638"/>
      <c r="U429" s="675"/>
      <c r="V429" s="713">
        <f t="shared" si="114"/>
        <v>-19276743.678333331</v>
      </c>
      <c r="W429" s="713"/>
      <c r="X429" s="736"/>
      <c r="Y429" s="713"/>
      <c r="Z429" s="713"/>
      <c r="AA429" s="675"/>
      <c r="AB429" s="713"/>
      <c r="AC429" s="676"/>
      <c r="AD429" s="677">
        <f t="shared" si="115"/>
        <v>-19276743.678333331</v>
      </c>
      <c r="AE429" s="676"/>
      <c r="AF429" s="711">
        <f t="shared" si="97"/>
        <v>0</v>
      </c>
    </row>
    <row r="430" spans="1:32">
      <c r="A430" s="638">
        <v>418</v>
      </c>
      <c r="B430" s="342" t="s">
        <v>981</v>
      </c>
      <c r="C430" s="342" t="s">
        <v>591</v>
      </c>
      <c r="D430" s="342" t="s">
        <v>421</v>
      </c>
      <c r="E430" s="629" t="s">
        <v>1678</v>
      </c>
      <c r="F430" s="637">
        <v>-245670.98</v>
      </c>
      <c r="G430" s="637">
        <v>0</v>
      </c>
      <c r="H430" s="637">
        <v>-23614.45</v>
      </c>
      <c r="I430" s="637">
        <v>-44412.61</v>
      </c>
      <c r="J430" s="637">
        <v>-66013.789999999994</v>
      </c>
      <c r="K430" s="637">
        <v>-88940.15</v>
      </c>
      <c r="L430" s="637">
        <v>-110629.87</v>
      </c>
      <c r="M430" s="637">
        <v>-131228.97</v>
      </c>
      <c r="N430" s="637">
        <v>-152858.88</v>
      </c>
      <c r="O430" s="637">
        <v>-172506.03</v>
      </c>
      <c r="P430" s="637">
        <v>-192985.69</v>
      </c>
      <c r="Q430" s="637">
        <v>-216037.74</v>
      </c>
      <c r="R430" s="637">
        <v>-237373</v>
      </c>
      <c r="S430" s="514">
        <f t="shared" si="105"/>
        <v>-120062.51416666666</v>
      </c>
      <c r="T430" s="638"/>
      <c r="U430" s="675"/>
      <c r="V430" s="713">
        <f t="shared" si="114"/>
        <v>-120062.51416666666</v>
      </c>
      <c r="W430" s="713"/>
      <c r="X430" s="736"/>
      <c r="Y430" s="713"/>
      <c r="Z430" s="713"/>
      <c r="AA430" s="675"/>
      <c r="AB430" s="713"/>
      <c r="AC430" s="676"/>
      <c r="AD430" s="677">
        <f t="shared" si="115"/>
        <v>-120062.51416666666</v>
      </c>
      <c r="AE430" s="676"/>
      <c r="AF430" s="711">
        <f t="shared" si="97"/>
        <v>0</v>
      </c>
    </row>
    <row r="431" spans="1:32">
      <c r="A431" s="638">
        <v>419</v>
      </c>
      <c r="B431" s="342" t="s">
        <v>981</v>
      </c>
      <c r="C431" s="342" t="s">
        <v>591</v>
      </c>
      <c r="D431" s="342" t="s">
        <v>1216</v>
      </c>
      <c r="E431" s="629" t="s">
        <v>1677</v>
      </c>
      <c r="F431" s="637">
        <v>-11172210.310000001</v>
      </c>
      <c r="G431" s="637">
        <v>-5667710.3099999996</v>
      </c>
      <c r="H431" s="637">
        <v>-2893939.67</v>
      </c>
      <c r="I431" s="637">
        <v>-3106406.66</v>
      </c>
      <c r="J431" s="637">
        <v>-3421205.3</v>
      </c>
      <c r="K431" s="637">
        <v>-3515414.66</v>
      </c>
      <c r="L431" s="637">
        <v>-2452428.29</v>
      </c>
      <c r="M431" s="637">
        <v>-7659905.5899999999</v>
      </c>
      <c r="N431" s="637">
        <v>-2839792</v>
      </c>
      <c r="O431" s="637">
        <v>-4132064.97</v>
      </c>
      <c r="P431" s="637">
        <v>-6589053.7599999998</v>
      </c>
      <c r="Q431" s="637">
        <v>-8140193.0800000001</v>
      </c>
      <c r="R431" s="637">
        <v>-5546502.1100000003</v>
      </c>
      <c r="S431" s="514">
        <f t="shared" si="105"/>
        <v>-4898122.541666667</v>
      </c>
      <c r="T431" s="638"/>
      <c r="U431" s="675"/>
      <c r="V431" s="713">
        <f t="shared" si="114"/>
        <v>-4898122.541666667</v>
      </c>
      <c r="W431" s="713"/>
      <c r="X431" s="736"/>
      <c r="Y431" s="713"/>
      <c r="Z431" s="713"/>
      <c r="AA431" s="675"/>
      <c r="AB431" s="713"/>
      <c r="AC431" s="676"/>
      <c r="AD431" s="677">
        <f t="shared" si="115"/>
        <v>-4898122.541666667</v>
      </c>
      <c r="AE431" s="676"/>
      <c r="AF431" s="711">
        <f t="shared" si="97"/>
        <v>0</v>
      </c>
    </row>
    <row r="432" spans="1:32">
      <c r="A432" s="638">
        <v>420</v>
      </c>
      <c r="B432" s="342" t="s">
        <v>981</v>
      </c>
      <c r="C432" s="342" t="s">
        <v>591</v>
      </c>
      <c r="D432" s="342" t="s">
        <v>1217</v>
      </c>
      <c r="E432" s="623" t="s">
        <v>593</v>
      </c>
      <c r="F432" s="637">
        <v>-3247355.18</v>
      </c>
      <c r="G432" s="637">
        <v>-2950390.62</v>
      </c>
      <c r="H432" s="637">
        <v>-2864483.76</v>
      </c>
      <c r="I432" s="637">
        <v>-1682878.63</v>
      </c>
      <c r="J432" s="637">
        <v>-737494.22</v>
      </c>
      <c r="K432" s="637">
        <v>-482887.61</v>
      </c>
      <c r="L432" s="637">
        <v>-464115.63</v>
      </c>
      <c r="M432" s="637">
        <v>-980571.85</v>
      </c>
      <c r="N432" s="637">
        <v>-517872.79</v>
      </c>
      <c r="O432" s="637">
        <v>-410602.67</v>
      </c>
      <c r="P432" s="637">
        <v>-611688.97</v>
      </c>
      <c r="Q432" s="637">
        <v>-407659.48</v>
      </c>
      <c r="R432" s="637">
        <v>-1112884.77</v>
      </c>
      <c r="S432" s="514">
        <f t="shared" si="105"/>
        <v>-1190897.1837500001</v>
      </c>
      <c r="T432" s="638"/>
      <c r="U432" s="675"/>
      <c r="V432" s="713">
        <f t="shared" si="114"/>
        <v>-1190897.1837500001</v>
      </c>
      <c r="W432" s="713"/>
      <c r="X432" s="736"/>
      <c r="Y432" s="713"/>
      <c r="Z432" s="713"/>
      <c r="AA432" s="675"/>
      <c r="AB432" s="713"/>
      <c r="AC432" s="676"/>
      <c r="AD432" s="677">
        <f t="shared" si="115"/>
        <v>-1190897.1837500001</v>
      </c>
      <c r="AE432" s="676"/>
      <c r="AF432" s="711">
        <f t="shared" si="97"/>
        <v>0</v>
      </c>
    </row>
    <row r="433" spans="1:32">
      <c r="A433" s="638">
        <v>421</v>
      </c>
      <c r="B433" s="342" t="s">
        <v>981</v>
      </c>
      <c r="C433" s="342" t="s">
        <v>591</v>
      </c>
      <c r="D433" s="342" t="s">
        <v>1218</v>
      </c>
      <c r="E433" s="623" t="s">
        <v>1684</v>
      </c>
      <c r="F433" s="637">
        <v>-1523.6</v>
      </c>
      <c r="G433" s="637">
        <v>-2424.7800000000002</v>
      </c>
      <c r="H433" s="637">
        <v>-541.85</v>
      </c>
      <c r="I433" s="637">
        <v>115.64</v>
      </c>
      <c r="J433" s="637">
        <v>-1229.81</v>
      </c>
      <c r="K433" s="637">
        <v>-6089.12</v>
      </c>
      <c r="L433" s="637">
        <v>-74.599999999999497</v>
      </c>
      <c r="M433" s="637">
        <v>-11322.06</v>
      </c>
      <c r="N433" s="637">
        <v>-61.779999999997003</v>
      </c>
      <c r="O433" s="637">
        <v>-289.77999999999702</v>
      </c>
      <c r="P433" s="637">
        <v>-899.42999999999699</v>
      </c>
      <c r="Q433" s="637">
        <v>-25.9899999999969</v>
      </c>
      <c r="R433" s="637">
        <v>-9861.52</v>
      </c>
      <c r="S433" s="514">
        <f t="shared" si="105"/>
        <v>-2378.0099999999989</v>
      </c>
      <c r="T433" s="638"/>
      <c r="U433" s="675"/>
      <c r="V433" s="713">
        <f t="shared" si="114"/>
        <v>-2378.0099999999989</v>
      </c>
      <c r="W433" s="713"/>
      <c r="X433" s="736"/>
      <c r="Y433" s="713"/>
      <c r="Z433" s="713"/>
      <c r="AA433" s="675"/>
      <c r="AB433" s="713"/>
      <c r="AC433" s="676"/>
      <c r="AD433" s="677">
        <f t="shared" si="115"/>
        <v>-2378.0099999999989</v>
      </c>
      <c r="AE433" s="676"/>
      <c r="AF433" s="711">
        <f t="shared" si="97"/>
        <v>0</v>
      </c>
    </row>
    <row r="434" spans="1:32">
      <c r="A434" s="638">
        <v>422</v>
      </c>
      <c r="B434" s="342" t="s">
        <v>981</v>
      </c>
      <c r="C434" s="342" t="s">
        <v>591</v>
      </c>
      <c r="D434" s="342" t="s">
        <v>1219</v>
      </c>
      <c r="E434" s="623" t="s">
        <v>1679</v>
      </c>
      <c r="F434" s="637">
        <v>0</v>
      </c>
      <c r="G434" s="637">
        <v>4.13</v>
      </c>
      <c r="H434" s="637">
        <v>4.13</v>
      </c>
      <c r="I434" s="637">
        <v>4.13</v>
      </c>
      <c r="J434" s="637">
        <v>4.13</v>
      </c>
      <c r="K434" s="637">
        <v>56.1</v>
      </c>
      <c r="L434" s="637">
        <v>56.1</v>
      </c>
      <c r="M434" s="637">
        <v>2656.1</v>
      </c>
      <c r="N434" s="637">
        <v>-4162.92</v>
      </c>
      <c r="O434" s="637">
        <v>-4162.92</v>
      </c>
      <c r="P434" s="637">
        <v>-4162.92</v>
      </c>
      <c r="Q434" s="637">
        <v>0</v>
      </c>
      <c r="R434" s="637">
        <v>0</v>
      </c>
      <c r="S434" s="514">
        <f t="shared" si="105"/>
        <v>-808.66166666666675</v>
      </c>
      <c r="T434" s="638"/>
      <c r="U434" s="675"/>
      <c r="V434" s="713">
        <f t="shared" si="114"/>
        <v>-808.66166666666675</v>
      </c>
      <c r="W434" s="713"/>
      <c r="X434" s="736"/>
      <c r="Y434" s="713"/>
      <c r="Z434" s="713"/>
      <c r="AA434" s="675"/>
      <c r="AB434" s="713"/>
      <c r="AC434" s="676"/>
      <c r="AD434" s="677">
        <f t="shared" si="115"/>
        <v>-808.66166666666675</v>
      </c>
      <c r="AE434" s="676"/>
      <c r="AF434" s="711">
        <f t="shared" si="97"/>
        <v>0</v>
      </c>
    </row>
    <row r="435" spans="1:32">
      <c r="A435" s="638">
        <v>423</v>
      </c>
      <c r="B435" s="342" t="s">
        <v>981</v>
      </c>
      <c r="C435" s="342" t="s">
        <v>591</v>
      </c>
      <c r="D435" s="342" t="s">
        <v>1220</v>
      </c>
      <c r="E435" s="623" t="s">
        <v>1680</v>
      </c>
      <c r="F435" s="637">
        <v>2.89901436190121E-12</v>
      </c>
      <c r="G435" s="637">
        <v>0</v>
      </c>
      <c r="H435" s="637">
        <v>0</v>
      </c>
      <c r="I435" s="637">
        <v>-114581.26</v>
      </c>
      <c r="J435" s="637">
        <v>-116772.93</v>
      </c>
      <c r="K435" s="637">
        <v>0</v>
      </c>
      <c r="L435" s="637">
        <v>0</v>
      </c>
      <c r="M435" s="637">
        <v>50964.44</v>
      </c>
      <c r="N435" s="637">
        <v>-117909.33</v>
      </c>
      <c r="O435" s="637">
        <v>-112026.75</v>
      </c>
      <c r="P435" s="637">
        <v>51255.519999999997</v>
      </c>
      <c r="Q435" s="637">
        <v>101096.61</v>
      </c>
      <c r="R435" s="637">
        <v>101096.61</v>
      </c>
      <c r="S435" s="514">
        <f t="shared" si="105"/>
        <v>-17285.449583333335</v>
      </c>
      <c r="T435" s="638"/>
      <c r="U435" s="675"/>
      <c r="V435" s="713">
        <f t="shared" si="114"/>
        <v>-17285.449583333335</v>
      </c>
      <c r="W435" s="713"/>
      <c r="X435" s="736"/>
      <c r="Y435" s="713"/>
      <c r="Z435" s="713"/>
      <c r="AA435" s="675"/>
      <c r="AB435" s="713"/>
      <c r="AC435" s="676"/>
      <c r="AD435" s="677">
        <f t="shared" si="115"/>
        <v>-17285.449583333335</v>
      </c>
      <c r="AE435" s="676"/>
      <c r="AF435" s="711">
        <f t="shared" si="97"/>
        <v>0</v>
      </c>
    </row>
    <row r="436" spans="1:32">
      <c r="A436" s="638">
        <v>424</v>
      </c>
      <c r="B436" s="342" t="s">
        <v>981</v>
      </c>
      <c r="C436" s="342" t="s">
        <v>591</v>
      </c>
      <c r="D436" s="342" t="s">
        <v>1221</v>
      </c>
      <c r="E436" s="623" t="s">
        <v>1681</v>
      </c>
      <c r="F436" s="637">
        <v>-20867.39</v>
      </c>
      <c r="G436" s="637">
        <v>-19631.25</v>
      </c>
      <c r="H436" s="637">
        <v>-19126.38</v>
      </c>
      <c r="I436" s="637">
        <v>-18210.55</v>
      </c>
      <c r="J436" s="637">
        <v>-15794.76</v>
      </c>
      <c r="K436" s="637">
        <v>-13267.2</v>
      </c>
      <c r="L436" s="637">
        <v>-12174.84</v>
      </c>
      <c r="M436" s="637">
        <v>-14643.43</v>
      </c>
      <c r="N436" s="637">
        <v>-16296.07</v>
      </c>
      <c r="O436" s="637">
        <v>-16851.669999999998</v>
      </c>
      <c r="P436" s="637">
        <v>-18984.599999999999</v>
      </c>
      <c r="Q436" s="637">
        <v>-9215.7099999999991</v>
      </c>
      <c r="R436" s="637">
        <v>-11663.77</v>
      </c>
      <c r="S436" s="514">
        <f t="shared" si="105"/>
        <v>-15871.836666666668</v>
      </c>
      <c r="T436" s="638"/>
      <c r="U436" s="675"/>
      <c r="V436" s="713">
        <f t="shared" si="114"/>
        <v>-15871.836666666668</v>
      </c>
      <c r="W436" s="713"/>
      <c r="X436" s="736"/>
      <c r="Y436" s="713"/>
      <c r="Z436" s="713"/>
      <c r="AA436" s="675"/>
      <c r="AB436" s="713"/>
      <c r="AC436" s="676"/>
      <c r="AD436" s="677">
        <f t="shared" si="115"/>
        <v>-15871.836666666668</v>
      </c>
      <c r="AE436" s="676"/>
      <c r="AF436" s="711">
        <f t="shared" si="97"/>
        <v>0</v>
      </c>
    </row>
    <row r="437" spans="1:32">
      <c r="A437" s="638">
        <v>425</v>
      </c>
      <c r="B437" s="342" t="s">
        <v>981</v>
      </c>
      <c r="C437" s="342" t="s">
        <v>591</v>
      </c>
      <c r="D437" s="342" t="s">
        <v>1222</v>
      </c>
      <c r="E437" s="623" t="s">
        <v>1682</v>
      </c>
      <c r="F437" s="637">
        <v>0</v>
      </c>
      <c r="G437" s="637">
        <v>24768.26</v>
      </c>
      <c r="H437" s="637">
        <v>24342.58</v>
      </c>
      <c r="I437" s="637">
        <v>-3.6379788070917101E-12</v>
      </c>
      <c r="J437" s="637">
        <v>-3.6379788070917101E-12</v>
      </c>
      <c r="K437" s="637">
        <v>-3.6379788070917101E-12</v>
      </c>
      <c r="L437" s="637">
        <v>-3.6379788070917101E-12</v>
      </c>
      <c r="M437" s="637">
        <v>-3.6379788070917101E-12</v>
      </c>
      <c r="N437" s="637">
        <v>-3.6379788070917101E-12</v>
      </c>
      <c r="O437" s="637">
        <v>-3.6379788070917101E-12</v>
      </c>
      <c r="P437" s="637">
        <v>-3.6379788070917101E-12</v>
      </c>
      <c r="Q437" s="637">
        <v>-3.6379788070917101E-12</v>
      </c>
      <c r="R437" s="637">
        <v>-3.6379788070917101E-12</v>
      </c>
      <c r="S437" s="514">
        <f t="shared" si="105"/>
        <v>4092.5699999999997</v>
      </c>
      <c r="T437" s="638"/>
      <c r="U437" s="675"/>
      <c r="V437" s="713">
        <f t="shared" si="114"/>
        <v>4092.5699999999997</v>
      </c>
      <c r="W437" s="713"/>
      <c r="X437" s="736"/>
      <c r="Y437" s="713"/>
      <c r="Z437" s="713"/>
      <c r="AA437" s="675"/>
      <c r="AB437" s="713"/>
      <c r="AC437" s="676"/>
      <c r="AD437" s="677">
        <f t="shared" si="115"/>
        <v>4092.5699999999997</v>
      </c>
      <c r="AE437" s="676"/>
      <c r="AF437" s="711">
        <f t="shared" si="97"/>
        <v>0</v>
      </c>
    </row>
    <row r="438" spans="1:32">
      <c r="A438" s="638">
        <v>426</v>
      </c>
      <c r="B438" s="342" t="s">
        <v>981</v>
      </c>
      <c r="C438" s="342" t="s">
        <v>591</v>
      </c>
      <c r="D438" s="342" t="s">
        <v>1223</v>
      </c>
      <c r="E438" s="623" t="s">
        <v>1683</v>
      </c>
      <c r="F438" s="637">
        <v>3.6379788070917101E-12</v>
      </c>
      <c r="G438" s="637">
        <v>0</v>
      </c>
      <c r="H438" s="637">
        <v>0</v>
      </c>
      <c r="I438" s="637">
        <v>-23110.86</v>
      </c>
      <c r="J438" s="637">
        <v>-23068.71</v>
      </c>
      <c r="K438" s="637">
        <v>0</v>
      </c>
      <c r="L438" s="637">
        <v>0</v>
      </c>
      <c r="M438" s="637">
        <v>-23290.36</v>
      </c>
      <c r="N438" s="637">
        <v>-23250.71</v>
      </c>
      <c r="O438" s="637">
        <v>-23853.51</v>
      </c>
      <c r="P438" s="637">
        <v>-24147.06</v>
      </c>
      <c r="Q438" s="637">
        <v>-47891.3</v>
      </c>
      <c r="R438" s="637">
        <v>-47891.3</v>
      </c>
      <c r="S438" s="514">
        <f t="shared" si="105"/>
        <v>-17713.18</v>
      </c>
      <c r="T438" s="638"/>
      <c r="U438" s="675"/>
      <c r="V438" s="713">
        <f t="shared" si="114"/>
        <v>-17713.18</v>
      </c>
      <c r="W438" s="713"/>
      <c r="X438" s="736"/>
      <c r="Y438" s="713"/>
      <c r="Z438" s="713"/>
      <c r="AA438" s="675"/>
      <c r="AB438" s="713"/>
      <c r="AC438" s="676"/>
      <c r="AD438" s="677">
        <f t="shared" si="115"/>
        <v>-17713.18</v>
      </c>
      <c r="AE438" s="676"/>
      <c r="AF438" s="711">
        <f t="shared" si="97"/>
        <v>0</v>
      </c>
    </row>
    <row r="439" spans="1:32">
      <c r="A439" s="638">
        <v>427</v>
      </c>
      <c r="B439" s="342" t="s">
        <v>981</v>
      </c>
      <c r="C439" s="342" t="s">
        <v>591</v>
      </c>
      <c r="D439" s="342" t="s">
        <v>1934</v>
      </c>
      <c r="E439" s="623" t="s">
        <v>1935</v>
      </c>
      <c r="F439" s="637">
        <v>0</v>
      </c>
      <c r="G439" s="637">
        <v>0</v>
      </c>
      <c r="H439" s="637">
        <v>0</v>
      </c>
      <c r="I439" s="637">
        <v>0</v>
      </c>
      <c r="J439" s="637">
        <v>0</v>
      </c>
      <c r="K439" s="637">
        <v>0</v>
      </c>
      <c r="L439" s="637">
        <v>0</v>
      </c>
      <c r="M439" s="637">
        <v>0</v>
      </c>
      <c r="N439" s="637">
        <v>-220.5</v>
      </c>
      <c r="O439" s="637">
        <v>-220.5</v>
      </c>
      <c r="P439" s="637">
        <v>0</v>
      </c>
      <c r="Q439" s="637">
        <v>0</v>
      </c>
      <c r="R439" s="637">
        <v>0</v>
      </c>
      <c r="S439" s="514">
        <f t="shared" si="105"/>
        <v>-36.75</v>
      </c>
      <c r="T439" s="638"/>
      <c r="U439" s="675"/>
      <c r="V439" s="713">
        <f>+S439</f>
        <v>-36.75</v>
      </c>
      <c r="W439" s="713"/>
      <c r="X439" s="736"/>
      <c r="Y439" s="713"/>
      <c r="Z439" s="713"/>
      <c r="AA439" s="675"/>
      <c r="AB439" s="713"/>
      <c r="AC439" s="676"/>
      <c r="AD439" s="677">
        <f t="shared" si="115"/>
        <v>-36.75</v>
      </c>
      <c r="AE439" s="676"/>
      <c r="AF439" s="711">
        <f t="shared" si="97"/>
        <v>0</v>
      </c>
    </row>
    <row r="440" spans="1:32">
      <c r="A440" s="638">
        <v>428</v>
      </c>
      <c r="B440" s="342" t="s">
        <v>981</v>
      </c>
      <c r="C440" s="342" t="s">
        <v>594</v>
      </c>
      <c r="D440" s="342" t="s">
        <v>528</v>
      </c>
      <c r="E440" s="623" t="s">
        <v>595</v>
      </c>
      <c r="F440" s="637">
        <v>-1225497.53</v>
      </c>
      <c r="G440" s="637">
        <v>-916289.02</v>
      </c>
      <c r="H440" s="637">
        <v>-893894.98</v>
      </c>
      <c r="I440" s="637">
        <v>-847938.09</v>
      </c>
      <c r="J440" s="637">
        <v>-1296361.82</v>
      </c>
      <c r="K440" s="637">
        <v>-1222757.27</v>
      </c>
      <c r="L440" s="637">
        <v>-736791.79</v>
      </c>
      <c r="M440" s="637">
        <v>-1134554.6200000001</v>
      </c>
      <c r="N440" s="637">
        <v>-5187950.49</v>
      </c>
      <c r="O440" s="637">
        <v>-1565905.63</v>
      </c>
      <c r="P440" s="637">
        <v>-3017429.74</v>
      </c>
      <c r="Q440" s="637">
        <v>-2289242.7599999998</v>
      </c>
      <c r="R440" s="637">
        <v>-3495159.53</v>
      </c>
      <c r="S440" s="514">
        <f t="shared" si="105"/>
        <v>-1789120.3950000003</v>
      </c>
      <c r="T440" s="638"/>
      <c r="U440" s="675"/>
      <c r="V440" s="713">
        <f t="shared" si="114"/>
        <v>-1789120.3950000003</v>
      </c>
      <c r="W440" s="713"/>
      <c r="X440" s="736"/>
      <c r="Y440" s="713"/>
      <c r="Z440" s="713"/>
      <c r="AA440" s="675"/>
      <c r="AB440" s="713"/>
      <c r="AC440" s="676"/>
      <c r="AD440" s="677">
        <f t="shared" si="115"/>
        <v>-1789120.3950000003</v>
      </c>
      <c r="AE440" s="676"/>
      <c r="AF440" s="711">
        <f t="shared" si="97"/>
        <v>0</v>
      </c>
    </row>
    <row r="441" spans="1:32">
      <c r="A441" s="638">
        <v>429</v>
      </c>
      <c r="B441" s="638"/>
      <c r="C441" s="638"/>
      <c r="D441" s="638"/>
      <c r="E441" s="623"/>
      <c r="F441" s="637"/>
      <c r="G441" s="340"/>
      <c r="H441" s="331"/>
      <c r="I441" s="331"/>
      <c r="J441" s="332"/>
      <c r="K441" s="333"/>
      <c r="L441" s="334"/>
      <c r="M441" s="335"/>
      <c r="N441" s="336"/>
      <c r="O441" s="624"/>
      <c r="P441" s="337"/>
      <c r="Q441" s="341"/>
      <c r="R441" s="637"/>
      <c r="S441" s="514"/>
      <c r="T441" s="638"/>
      <c r="U441" s="675"/>
      <c r="V441" s="713"/>
      <c r="W441" s="713"/>
      <c r="X441" s="736"/>
      <c r="Y441" s="713"/>
      <c r="Z441" s="713"/>
      <c r="AA441" s="675"/>
      <c r="AB441" s="713"/>
      <c r="AC441" s="676"/>
      <c r="AD441" s="677">
        <f t="shared" si="115"/>
        <v>0</v>
      </c>
      <c r="AE441" s="676"/>
      <c r="AF441" s="711">
        <f t="shared" ref="AF441:AF513" si="116">+U441+V441-AD441</f>
        <v>0</v>
      </c>
    </row>
    <row r="442" spans="1:32">
      <c r="A442" s="638">
        <v>430</v>
      </c>
      <c r="B442" s="342" t="s">
        <v>981</v>
      </c>
      <c r="C442" s="342" t="s">
        <v>596</v>
      </c>
      <c r="D442" s="342" t="s">
        <v>425</v>
      </c>
      <c r="E442" s="625" t="s">
        <v>1432</v>
      </c>
      <c r="F442" s="637">
        <v>-1704352.31</v>
      </c>
      <c r="G442" s="637">
        <v>-1185350.18</v>
      </c>
      <c r="H442" s="637">
        <v>-2242639.23</v>
      </c>
      <c r="I442" s="637">
        <v>-1088614.98</v>
      </c>
      <c r="J442" s="637">
        <v>-1109584.99</v>
      </c>
      <c r="K442" s="637">
        <v>-1021661.18</v>
      </c>
      <c r="L442" s="637">
        <v>-902069.26</v>
      </c>
      <c r="M442" s="637">
        <v>-919673.94</v>
      </c>
      <c r="N442" s="637">
        <v>-1277411.8700000001</v>
      </c>
      <c r="O442" s="637">
        <v>-1109369.68</v>
      </c>
      <c r="P442" s="637">
        <v>-1220956.3700000001</v>
      </c>
      <c r="Q442" s="637">
        <v>-1138489.29</v>
      </c>
      <c r="R442" s="637">
        <v>-1330718.17</v>
      </c>
      <c r="S442" s="514">
        <f t="shared" si="105"/>
        <v>-1227779.6841666666</v>
      </c>
      <c r="T442" s="638"/>
      <c r="U442" s="675"/>
      <c r="V442" s="713"/>
      <c r="W442" s="713"/>
      <c r="X442" s="736">
        <f>+S442</f>
        <v>-1227779.6841666666</v>
      </c>
      <c r="Y442" s="713"/>
      <c r="Z442" s="713"/>
      <c r="AA442" s="675"/>
      <c r="AB442" s="713">
        <f t="shared" ref="AB442:AB449" si="117">+S442</f>
        <v>-1227779.6841666666</v>
      </c>
      <c r="AC442" s="676"/>
      <c r="AD442" s="677"/>
      <c r="AE442" s="676"/>
      <c r="AF442" s="711">
        <f t="shared" si="116"/>
        <v>0</v>
      </c>
    </row>
    <row r="443" spans="1:32">
      <c r="A443" s="638">
        <v>431</v>
      </c>
      <c r="B443" s="342" t="s">
        <v>981</v>
      </c>
      <c r="C443" s="342" t="s">
        <v>596</v>
      </c>
      <c r="D443" s="342" t="s">
        <v>1433</v>
      </c>
      <c r="E443" s="623" t="s">
        <v>1685</v>
      </c>
      <c r="F443" s="637">
        <v>0</v>
      </c>
      <c r="G443" s="637">
        <v>-519552.23</v>
      </c>
      <c r="H443" s="637">
        <v>-969604.43</v>
      </c>
      <c r="I443" s="637">
        <v>-569082.82999999996</v>
      </c>
      <c r="J443" s="637">
        <v>-513669.2</v>
      </c>
      <c r="K443" s="637">
        <v>-783318.31</v>
      </c>
      <c r="L443" s="637">
        <v>-381146.96</v>
      </c>
      <c r="M443" s="637">
        <v>-514237.45</v>
      </c>
      <c r="N443" s="637">
        <v>-281315.93</v>
      </c>
      <c r="O443" s="637">
        <v>-606998.31000000006</v>
      </c>
      <c r="P443" s="637">
        <v>-508022.18</v>
      </c>
      <c r="Q443" s="637">
        <v>-907109.46</v>
      </c>
      <c r="R443" s="637">
        <v>-1029872.32</v>
      </c>
      <c r="S443" s="514">
        <f t="shared" si="105"/>
        <v>-589082.78749999998</v>
      </c>
      <c r="T443" s="638"/>
      <c r="U443" s="675"/>
      <c r="V443" s="713"/>
      <c r="W443" s="713"/>
      <c r="X443" s="736">
        <f t="shared" ref="X443:X449" si="118">+S443</f>
        <v>-589082.78749999998</v>
      </c>
      <c r="Y443" s="713"/>
      <c r="Z443" s="713"/>
      <c r="AA443" s="675"/>
      <c r="AB443" s="713">
        <f t="shared" si="117"/>
        <v>-589082.78749999998</v>
      </c>
      <c r="AC443" s="676"/>
      <c r="AD443" s="677"/>
      <c r="AE443" s="676"/>
      <c r="AF443" s="711">
        <f t="shared" si="116"/>
        <v>0</v>
      </c>
    </row>
    <row r="444" spans="1:32">
      <c r="A444" s="638">
        <v>432</v>
      </c>
      <c r="B444" s="342" t="s">
        <v>981</v>
      </c>
      <c r="C444" s="342" t="s">
        <v>596</v>
      </c>
      <c r="D444" s="342" t="s">
        <v>1224</v>
      </c>
      <c r="E444" s="623" t="s">
        <v>1686</v>
      </c>
      <c r="F444" s="637">
        <v>-154330.98000000001</v>
      </c>
      <c r="G444" s="637">
        <v>-1026743.85</v>
      </c>
      <c r="H444" s="637">
        <v>-1065529.23</v>
      </c>
      <c r="I444" s="637">
        <v>-120684.51</v>
      </c>
      <c r="J444" s="637">
        <v>-30479.96</v>
      </c>
      <c r="K444" s="637">
        <v>-619.00000000000705</v>
      </c>
      <c r="L444" s="637">
        <v>-30200.11</v>
      </c>
      <c r="M444" s="637">
        <v>-10964.17</v>
      </c>
      <c r="N444" s="637">
        <v>-14254.17</v>
      </c>
      <c r="O444" s="637">
        <v>-23975.279999999999</v>
      </c>
      <c r="P444" s="637">
        <v>-20685.28</v>
      </c>
      <c r="Q444" s="637">
        <v>-172283.13</v>
      </c>
      <c r="R444" s="637">
        <v>-156065.51</v>
      </c>
      <c r="S444" s="514">
        <f t="shared" si="105"/>
        <v>-222634.74458333326</v>
      </c>
      <c r="T444" s="638"/>
      <c r="U444" s="675"/>
      <c r="V444" s="713"/>
      <c r="W444" s="713"/>
      <c r="X444" s="736">
        <f t="shared" si="118"/>
        <v>-222634.74458333326</v>
      </c>
      <c r="Y444" s="713"/>
      <c r="Z444" s="713"/>
      <c r="AA444" s="675"/>
      <c r="AB444" s="713">
        <f t="shared" si="117"/>
        <v>-222634.74458333326</v>
      </c>
      <c r="AC444" s="676"/>
      <c r="AD444" s="677"/>
      <c r="AE444" s="676"/>
      <c r="AF444" s="711">
        <f t="shared" si="116"/>
        <v>0</v>
      </c>
    </row>
    <row r="445" spans="1:32">
      <c r="A445" s="638">
        <v>433</v>
      </c>
      <c r="B445" s="342" t="s">
        <v>981</v>
      </c>
      <c r="C445" s="342" t="s">
        <v>596</v>
      </c>
      <c r="D445" s="342" t="s">
        <v>1225</v>
      </c>
      <c r="E445" s="625" t="s">
        <v>597</v>
      </c>
      <c r="F445" s="637">
        <v>0</v>
      </c>
      <c r="G445" s="637">
        <v>-103102</v>
      </c>
      <c r="H445" s="637">
        <v>-103102</v>
      </c>
      <c r="I445" s="637">
        <v>0</v>
      </c>
      <c r="J445" s="637">
        <v>0</v>
      </c>
      <c r="K445" s="637">
        <v>0</v>
      </c>
      <c r="L445" s="637">
        <v>0</v>
      </c>
      <c r="M445" s="637">
        <v>0</v>
      </c>
      <c r="N445" s="637">
        <v>0</v>
      </c>
      <c r="O445" s="637">
        <v>0</v>
      </c>
      <c r="P445" s="637">
        <v>0</v>
      </c>
      <c r="Q445" s="637">
        <v>0</v>
      </c>
      <c r="R445" s="637">
        <v>0</v>
      </c>
      <c r="S445" s="514">
        <f t="shared" si="105"/>
        <v>-17183.666666666668</v>
      </c>
      <c r="T445" s="638"/>
      <c r="U445" s="675"/>
      <c r="V445" s="713"/>
      <c r="W445" s="713"/>
      <c r="X445" s="736">
        <f t="shared" si="118"/>
        <v>-17183.666666666668</v>
      </c>
      <c r="Y445" s="713"/>
      <c r="Z445" s="713"/>
      <c r="AA445" s="675"/>
      <c r="AB445" s="713">
        <f t="shared" si="117"/>
        <v>-17183.666666666668</v>
      </c>
      <c r="AC445" s="676"/>
      <c r="AD445" s="677"/>
      <c r="AE445" s="676"/>
      <c r="AF445" s="711">
        <f t="shared" si="116"/>
        <v>0</v>
      </c>
    </row>
    <row r="446" spans="1:32">
      <c r="A446" s="638">
        <v>434</v>
      </c>
      <c r="B446" s="342" t="s">
        <v>981</v>
      </c>
      <c r="C446" s="342" t="s">
        <v>596</v>
      </c>
      <c r="D446" s="342" t="s">
        <v>598</v>
      </c>
      <c r="E446" s="625" t="s">
        <v>599</v>
      </c>
      <c r="F446" s="637">
        <v>-7846.82</v>
      </c>
      <c r="G446" s="637">
        <v>-4049.93</v>
      </c>
      <c r="H446" s="637">
        <v>0</v>
      </c>
      <c r="I446" s="637">
        <v>0</v>
      </c>
      <c r="J446" s="637">
        <v>-3826.77</v>
      </c>
      <c r="K446" s="637">
        <v>-5785.53</v>
      </c>
      <c r="L446" s="637">
        <v>-278.16000000000003</v>
      </c>
      <c r="M446" s="637">
        <v>1.7053025658242399E-13</v>
      </c>
      <c r="N446" s="637">
        <v>-1917.97</v>
      </c>
      <c r="O446" s="637">
        <v>2.2737367544323201E-13</v>
      </c>
      <c r="P446" s="637">
        <v>-1140</v>
      </c>
      <c r="Q446" s="637">
        <v>1434.96</v>
      </c>
      <c r="R446" s="637">
        <v>-5404.1</v>
      </c>
      <c r="S446" s="514">
        <f t="shared" si="105"/>
        <v>-1849.0716666666667</v>
      </c>
      <c r="T446" s="638"/>
      <c r="U446" s="675"/>
      <c r="V446" s="713"/>
      <c r="W446" s="713"/>
      <c r="X446" s="736">
        <f t="shared" si="118"/>
        <v>-1849.0716666666667</v>
      </c>
      <c r="Y446" s="713"/>
      <c r="Z446" s="713"/>
      <c r="AA446" s="675"/>
      <c r="AB446" s="713">
        <f t="shared" si="117"/>
        <v>-1849.0716666666667</v>
      </c>
      <c r="AC446" s="676"/>
      <c r="AD446" s="677"/>
      <c r="AE446" s="676"/>
      <c r="AF446" s="711">
        <f t="shared" si="116"/>
        <v>0</v>
      </c>
    </row>
    <row r="447" spans="1:32">
      <c r="A447" s="638">
        <v>435</v>
      </c>
      <c r="B447" s="342" t="s">
        <v>981</v>
      </c>
      <c r="C447" s="342" t="s">
        <v>596</v>
      </c>
      <c r="D447" s="342" t="s">
        <v>427</v>
      </c>
      <c r="E447" s="625" t="s">
        <v>600</v>
      </c>
      <c r="F447" s="637">
        <v>0</v>
      </c>
      <c r="G447" s="637">
        <v>0</v>
      </c>
      <c r="H447" s="637">
        <v>0</v>
      </c>
      <c r="I447" s="637">
        <v>0</v>
      </c>
      <c r="J447" s="637">
        <v>0</v>
      </c>
      <c r="K447" s="637">
        <v>0</v>
      </c>
      <c r="L447" s="637">
        <v>0</v>
      </c>
      <c r="M447" s="637">
        <v>0</v>
      </c>
      <c r="N447" s="637">
        <v>-29.74</v>
      </c>
      <c r="O447" s="637">
        <v>-29.74</v>
      </c>
      <c r="P447" s="637">
        <v>0</v>
      </c>
      <c r="Q447" s="637">
        <v>0</v>
      </c>
      <c r="R447" s="637">
        <v>0</v>
      </c>
      <c r="S447" s="514">
        <f t="shared" si="105"/>
        <v>-4.9566666666666661</v>
      </c>
      <c r="T447" s="638"/>
      <c r="U447" s="675"/>
      <c r="V447" s="713"/>
      <c r="W447" s="713"/>
      <c r="X447" s="736">
        <f t="shared" si="118"/>
        <v>-4.9566666666666661</v>
      </c>
      <c r="Y447" s="713"/>
      <c r="Z447" s="713"/>
      <c r="AA447" s="675"/>
      <c r="AB447" s="713">
        <f t="shared" si="117"/>
        <v>-4.9566666666666661</v>
      </c>
      <c r="AC447" s="676"/>
      <c r="AD447" s="677"/>
      <c r="AE447" s="676"/>
      <c r="AF447" s="711">
        <f t="shared" si="116"/>
        <v>0</v>
      </c>
    </row>
    <row r="448" spans="1:32">
      <c r="A448" s="638">
        <v>436</v>
      </c>
      <c r="B448" s="342" t="s">
        <v>981</v>
      </c>
      <c r="C448" s="342" t="s">
        <v>596</v>
      </c>
      <c r="D448" s="342" t="s">
        <v>430</v>
      </c>
      <c r="E448" s="623" t="s">
        <v>601</v>
      </c>
      <c r="F448" s="637">
        <v>0</v>
      </c>
      <c r="G448" s="637">
        <v>0</v>
      </c>
      <c r="H448" s="637">
        <v>0</v>
      </c>
      <c r="I448" s="637">
        <v>0</v>
      </c>
      <c r="J448" s="637">
        <v>0</v>
      </c>
      <c r="K448" s="637">
        <v>0</v>
      </c>
      <c r="L448" s="637">
        <v>0</v>
      </c>
      <c r="M448" s="637">
        <v>0</v>
      </c>
      <c r="N448" s="637">
        <v>0</v>
      </c>
      <c r="O448" s="637">
        <v>0</v>
      </c>
      <c r="P448" s="637">
        <v>0</v>
      </c>
      <c r="Q448" s="637">
        <v>0</v>
      </c>
      <c r="R448" s="637">
        <v>0</v>
      </c>
      <c r="S448" s="514"/>
      <c r="T448" s="638"/>
      <c r="U448" s="675"/>
      <c r="V448" s="713"/>
      <c r="W448" s="713"/>
      <c r="X448" s="736"/>
      <c r="Y448" s="713"/>
      <c r="Z448" s="713"/>
      <c r="AA448" s="675"/>
      <c r="AB448" s="713"/>
      <c r="AC448" s="676"/>
      <c r="AD448" s="677"/>
      <c r="AE448" s="676"/>
      <c r="AF448" s="711">
        <f t="shared" si="116"/>
        <v>0</v>
      </c>
    </row>
    <row r="449" spans="1:32">
      <c r="A449" s="638">
        <v>437</v>
      </c>
      <c r="B449" s="342" t="s">
        <v>981</v>
      </c>
      <c r="C449" s="342" t="s">
        <v>596</v>
      </c>
      <c r="D449" s="342" t="s">
        <v>432</v>
      </c>
      <c r="E449" s="623" t="s">
        <v>1687</v>
      </c>
      <c r="F449" s="635">
        <v>-141047.06</v>
      </c>
      <c r="G449" s="635">
        <v>-235826.31</v>
      </c>
      <c r="H449" s="635">
        <v>-217771.7</v>
      </c>
      <c r="I449" s="635">
        <v>-241018.49</v>
      </c>
      <c r="J449" s="635">
        <v>-238130.01</v>
      </c>
      <c r="K449" s="635">
        <v>-126537.31</v>
      </c>
      <c r="L449" s="635">
        <v>-123539.78</v>
      </c>
      <c r="M449" s="635">
        <v>-107664.4</v>
      </c>
      <c r="N449" s="635">
        <v>-126691.93</v>
      </c>
      <c r="O449" s="635">
        <v>-229571.79</v>
      </c>
      <c r="P449" s="635">
        <v>-232516.69</v>
      </c>
      <c r="Q449" s="635">
        <v>-239827.82</v>
      </c>
      <c r="R449" s="635">
        <v>-122705.44</v>
      </c>
      <c r="S449" s="514">
        <f t="shared" si="105"/>
        <v>-187581.04</v>
      </c>
      <c r="T449" s="638"/>
      <c r="U449" s="675"/>
      <c r="V449" s="713"/>
      <c r="W449" s="713"/>
      <c r="X449" s="736">
        <f t="shared" si="118"/>
        <v>-187581.04</v>
      </c>
      <c r="Y449" s="713"/>
      <c r="Z449" s="713"/>
      <c r="AA449" s="675"/>
      <c r="AB449" s="713">
        <f t="shared" si="117"/>
        <v>-187581.04</v>
      </c>
      <c r="AC449" s="676"/>
      <c r="AD449" s="677"/>
      <c r="AE449" s="676"/>
      <c r="AF449" s="711">
        <f t="shared" si="116"/>
        <v>0</v>
      </c>
    </row>
    <row r="450" spans="1:32">
      <c r="A450" s="638">
        <v>438</v>
      </c>
      <c r="B450" s="342" t="s">
        <v>981</v>
      </c>
      <c r="C450" s="342" t="s">
        <v>596</v>
      </c>
      <c r="D450" s="342" t="s">
        <v>434</v>
      </c>
      <c r="E450" s="623" t="s">
        <v>1936</v>
      </c>
      <c r="F450" s="635">
        <v>0</v>
      </c>
      <c r="G450" s="635">
        <v>0</v>
      </c>
      <c r="H450" s="635">
        <v>0</v>
      </c>
      <c r="I450" s="635">
        <v>0</v>
      </c>
      <c r="J450" s="635">
        <v>0</v>
      </c>
      <c r="K450" s="635">
        <v>0</v>
      </c>
      <c r="L450" s="635">
        <v>0</v>
      </c>
      <c r="M450" s="635">
        <v>0</v>
      </c>
      <c r="N450" s="635">
        <v>0</v>
      </c>
      <c r="O450" s="635">
        <v>0</v>
      </c>
      <c r="P450" s="635">
        <v>0</v>
      </c>
      <c r="Q450" s="635">
        <v>0</v>
      </c>
      <c r="R450" s="635">
        <v>0</v>
      </c>
      <c r="S450" s="514">
        <f t="shared" si="105"/>
        <v>0</v>
      </c>
      <c r="T450" s="638"/>
      <c r="U450" s="675"/>
      <c r="V450" s="713"/>
      <c r="W450" s="713"/>
      <c r="X450" s="736"/>
      <c r="Y450" s="713"/>
      <c r="Z450" s="713"/>
      <c r="AA450" s="675"/>
      <c r="AB450" s="713"/>
      <c r="AC450" s="676"/>
      <c r="AD450" s="677"/>
      <c r="AE450" s="676"/>
      <c r="AF450" s="711"/>
    </row>
    <row r="451" spans="1:32">
      <c r="A451" s="638">
        <v>439</v>
      </c>
      <c r="B451" s="638"/>
      <c r="C451" s="638"/>
      <c r="D451" s="638"/>
      <c r="E451" s="623" t="s">
        <v>602</v>
      </c>
      <c r="F451" s="321">
        <f t="shared" ref="F451:S451" si="119">SUM(F442:F449)</f>
        <v>-2007577.1700000002</v>
      </c>
      <c r="G451" s="321">
        <f t="shared" si="119"/>
        <v>-3074624.5</v>
      </c>
      <c r="H451" s="321">
        <f t="shared" si="119"/>
        <v>-4598646.5900000008</v>
      </c>
      <c r="I451" s="321">
        <f t="shared" si="119"/>
        <v>-2019400.81</v>
      </c>
      <c r="J451" s="321">
        <f t="shared" si="119"/>
        <v>-1895690.93</v>
      </c>
      <c r="K451" s="321">
        <f t="shared" si="119"/>
        <v>-1937921.3300000003</v>
      </c>
      <c r="L451" s="321">
        <f t="shared" si="119"/>
        <v>-1437234.27</v>
      </c>
      <c r="M451" s="321">
        <f t="shared" si="119"/>
        <v>-1552539.9599999997</v>
      </c>
      <c r="N451" s="321">
        <f t="shared" si="119"/>
        <v>-1701621.6099999999</v>
      </c>
      <c r="O451" s="321">
        <f t="shared" si="119"/>
        <v>-1969944.8</v>
      </c>
      <c r="P451" s="321">
        <f t="shared" si="119"/>
        <v>-1983320.52</v>
      </c>
      <c r="Q451" s="321">
        <f t="shared" si="119"/>
        <v>-2456274.7399999998</v>
      </c>
      <c r="R451" s="321">
        <f t="shared" si="119"/>
        <v>-2644765.54</v>
      </c>
      <c r="S451" s="516">
        <f t="shared" si="119"/>
        <v>-2246115.9512500004</v>
      </c>
      <c r="T451" s="638"/>
      <c r="U451" s="675"/>
      <c r="V451" s="713"/>
      <c r="W451" s="713"/>
      <c r="X451" s="736"/>
      <c r="Y451" s="713"/>
      <c r="Z451" s="713"/>
      <c r="AA451" s="675"/>
      <c r="AB451" s="713"/>
      <c r="AC451" s="676"/>
      <c r="AD451" s="676"/>
      <c r="AE451" s="676"/>
      <c r="AF451" s="711">
        <f t="shared" si="116"/>
        <v>0</v>
      </c>
    </row>
    <row r="452" spans="1:32">
      <c r="A452" s="638">
        <v>440</v>
      </c>
      <c r="B452" s="638"/>
      <c r="C452" s="638"/>
      <c r="D452" s="638"/>
      <c r="E452" s="623"/>
      <c r="F452" s="637"/>
      <c r="G452" s="340"/>
      <c r="H452" s="331"/>
      <c r="I452" s="331"/>
      <c r="J452" s="332"/>
      <c r="K452" s="333"/>
      <c r="L452" s="334"/>
      <c r="M452" s="335"/>
      <c r="N452" s="336"/>
      <c r="O452" s="624"/>
      <c r="P452" s="337"/>
      <c r="Q452" s="341"/>
      <c r="R452" s="637"/>
      <c r="S452" s="320"/>
      <c r="T452" s="638"/>
      <c r="U452" s="675"/>
      <c r="V452" s="713"/>
      <c r="W452" s="713"/>
      <c r="X452" s="736"/>
      <c r="Y452" s="713"/>
      <c r="Z452" s="713"/>
      <c r="AA452" s="675"/>
      <c r="AB452" s="713"/>
      <c r="AC452" s="676"/>
      <c r="AD452" s="676"/>
      <c r="AE452" s="676"/>
      <c r="AF452" s="711">
        <f t="shared" si="116"/>
        <v>0</v>
      </c>
    </row>
    <row r="453" spans="1:32">
      <c r="A453" s="638">
        <v>441</v>
      </c>
      <c r="B453" s="342" t="s">
        <v>981</v>
      </c>
      <c r="C453" s="342" t="s">
        <v>603</v>
      </c>
      <c r="D453" s="638" t="s">
        <v>83</v>
      </c>
      <c r="E453" s="623" t="s">
        <v>1690</v>
      </c>
      <c r="F453" s="637">
        <v>-1.45519152283669E-11</v>
      </c>
      <c r="G453" s="637">
        <v>0</v>
      </c>
      <c r="H453" s="637">
        <v>0</v>
      </c>
      <c r="I453" s="637">
        <v>-107662.78</v>
      </c>
      <c r="J453" s="637">
        <v>0</v>
      </c>
      <c r="K453" s="637">
        <v>0</v>
      </c>
      <c r="L453" s="637">
        <v>0</v>
      </c>
      <c r="M453" s="637">
        <v>0</v>
      </c>
      <c r="N453" s="637">
        <v>-119237.11</v>
      </c>
      <c r="O453" s="637">
        <v>0</v>
      </c>
      <c r="P453" s="637">
        <v>0</v>
      </c>
      <c r="Q453" s="637">
        <v>0</v>
      </c>
      <c r="R453" s="637">
        <v>0</v>
      </c>
      <c r="S453" s="514">
        <f t="shared" si="105"/>
        <v>-18908.324166666669</v>
      </c>
      <c r="T453" s="638"/>
      <c r="U453" s="675"/>
      <c r="V453" s="713">
        <f t="shared" ref="V453:V456" si="120">+S453</f>
        <v>-18908.324166666669</v>
      </c>
      <c r="W453" s="713"/>
      <c r="X453" s="736"/>
      <c r="Y453" s="713"/>
      <c r="Z453" s="713"/>
      <c r="AA453" s="675"/>
      <c r="AB453" s="713"/>
      <c r="AC453" s="676"/>
      <c r="AD453" s="677">
        <f t="shared" ref="AD453:AD456" si="121">+V453</f>
        <v>-18908.324166666669</v>
      </c>
      <c r="AE453" s="676"/>
      <c r="AF453" s="711">
        <f t="shared" si="116"/>
        <v>0</v>
      </c>
    </row>
    <row r="454" spans="1:32">
      <c r="A454" s="638">
        <v>442</v>
      </c>
      <c r="B454" s="342" t="s">
        <v>981</v>
      </c>
      <c r="C454" s="342" t="s">
        <v>603</v>
      </c>
      <c r="D454" s="638" t="s">
        <v>1434</v>
      </c>
      <c r="E454" s="623" t="s">
        <v>1691</v>
      </c>
      <c r="F454" s="637">
        <v>1.45519152283669E-11</v>
      </c>
      <c r="G454" s="637">
        <v>0</v>
      </c>
      <c r="H454" s="637">
        <v>0</v>
      </c>
      <c r="I454" s="637">
        <v>-80808.570000000007</v>
      </c>
      <c r="J454" s="637">
        <v>0</v>
      </c>
      <c r="K454" s="637">
        <v>0</v>
      </c>
      <c r="L454" s="637">
        <v>0</v>
      </c>
      <c r="M454" s="637">
        <v>0</v>
      </c>
      <c r="N454" s="637">
        <v>-84293.21</v>
      </c>
      <c r="O454" s="637">
        <v>0</v>
      </c>
      <c r="P454" s="637">
        <v>907.8</v>
      </c>
      <c r="Q454" s="637">
        <v>907.8</v>
      </c>
      <c r="R454" s="637">
        <v>907.8</v>
      </c>
      <c r="S454" s="514">
        <f t="shared" si="105"/>
        <v>-13569.356666666672</v>
      </c>
      <c r="T454" s="638"/>
      <c r="U454" s="675"/>
      <c r="V454" s="713">
        <f t="shared" si="120"/>
        <v>-13569.356666666672</v>
      </c>
      <c r="W454" s="713"/>
      <c r="X454" s="736"/>
      <c r="Y454" s="713"/>
      <c r="Z454" s="713"/>
      <c r="AA454" s="675"/>
      <c r="AB454" s="713"/>
      <c r="AC454" s="676"/>
      <c r="AD454" s="677">
        <f t="shared" si="121"/>
        <v>-13569.356666666672</v>
      </c>
      <c r="AE454" s="676"/>
      <c r="AF454" s="711">
        <f t="shared" si="116"/>
        <v>0</v>
      </c>
    </row>
    <row r="455" spans="1:32">
      <c r="A455" s="638">
        <v>443</v>
      </c>
      <c r="B455" s="342" t="s">
        <v>981</v>
      </c>
      <c r="C455" s="342" t="s">
        <v>604</v>
      </c>
      <c r="D455" s="342" t="s">
        <v>528</v>
      </c>
      <c r="E455" s="623" t="s">
        <v>1688</v>
      </c>
      <c r="F455" s="637">
        <v>1.8189894035458601E-12</v>
      </c>
      <c r="G455" s="637">
        <v>1309.1600000000001</v>
      </c>
      <c r="H455" s="637">
        <v>1309.1600000000001</v>
      </c>
      <c r="I455" s="637">
        <v>-12620.42</v>
      </c>
      <c r="J455" s="637">
        <v>1309.1600000000001</v>
      </c>
      <c r="K455" s="637">
        <v>1309.1600000000001</v>
      </c>
      <c r="L455" s="637">
        <v>1309.1600000000001</v>
      </c>
      <c r="M455" s="637">
        <v>1309.1600000000001</v>
      </c>
      <c r="N455" s="637">
        <v>-14590.46</v>
      </c>
      <c r="O455" s="637">
        <v>-1.8189894035458601E-12</v>
      </c>
      <c r="P455" s="637">
        <v>-1.8189894035458601E-12</v>
      </c>
      <c r="Q455" s="637">
        <v>-1.8189894035458601E-12</v>
      </c>
      <c r="R455" s="637">
        <v>-1.8189894035458601E-12</v>
      </c>
      <c r="S455" s="514">
        <f t="shared" si="105"/>
        <v>-1612.9933333333331</v>
      </c>
      <c r="T455" s="638"/>
      <c r="U455" s="675"/>
      <c r="V455" s="713">
        <f t="shared" si="120"/>
        <v>-1612.9933333333331</v>
      </c>
      <c r="W455" s="713"/>
      <c r="X455" s="736"/>
      <c r="Y455" s="713"/>
      <c r="Z455" s="713"/>
      <c r="AA455" s="675"/>
      <c r="AB455" s="713"/>
      <c r="AC455" s="676"/>
      <c r="AD455" s="677">
        <f t="shared" si="121"/>
        <v>-1612.9933333333331</v>
      </c>
      <c r="AE455" s="676"/>
      <c r="AF455" s="711">
        <f t="shared" si="116"/>
        <v>0</v>
      </c>
    </row>
    <row r="456" spans="1:32">
      <c r="A456" s="638">
        <v>444</v>
      </c>
      <c r="B456" s="342" t="s">
        <v>981</v>
      </c>
      <c r="C456" s="342" t="s">
        <v>604</v>
      </c>
      <c r="D456" s="342" t="s">
        <v>562</v>
      </c>
      <c r="E456" s="623" t="s">
        <v>1689</v>
      </c>
      <c r="F456" s="637">
        <v>-1309.05</v>
      </c>
      <c r="G456" s="637">
        <v>-1711.24</v>
      </c>
      <c r="H456" s="637">
        <v>-2214.2399999999998</v>
      </c>
      <c r="I456" s="637">
        <v>-2841.3</v>
      </c>
      <c r="J456" s="637">
        <v>-1734.02</v>
      </c>
      <c r="K456" s="637">
        <v>-2162.9</v>
      </c>
      <c r="L456" s="637">
        <v>-2574.96</v>
      </c>
      <c r="M456" s="637">
        <v>-2997.03</v>
      </c>
      <c r="N456" s="637">
        <v>-1010.92</v>
      </c>
      <c r="O456" s="637">
        <v>-1402.37</v>
      </c>
      <c r="P456" s="637">
        <v>-412.51</v>
      </c>
      <c r="Q456" s="637">
        <v>-832.16</v>
      </c>
      <c r="R456" s="637">
        <v>-1221.53</v>
      </c>
      <c r="S456" s="514">
        <f t="shared" si="105"/>
        <v>-1763.2449999999999</v>
      </c>
      <c r="T456" s="638"/>
      <c r="U456" s="675"/>
      <c r="V456" s="713">
        <f t="shared" si="120"/>
        <v>-1763.2449999999999</v>
      </c>
      <c r="W456" s="713"/>
      <c r="X456" s="736"/>
      <c r="Y456" s="713"/>
      <c r="Z456" s="713"/>
      <c r="AA456" s="675"/>
      <c r="AB456" s="713"/>
      <c r="AC456" s="676"/>
      <c r="AD456" s="677">
        <f t="shared" si="121"/>
        <v>-1763.2449999999999</v>
      </c>
      <c r="AE456" s="676"/>
      <c r="AF456" s="711">
        <f t="shared" si="116"/>
        <v>0</v>
      </c>
    </row>
    <row r="457" spans="1:32">
      <c r="A457" s="638">
        <v>445</v>
      </c>
      <c r="B457" s="638"/>
      <c r="C457" s="638"/>
      <c r="D457" s="638"/>
      <c r="E457" s="623" t="s">
        <v>605</v>
      </c>
      <c r="F457" s="321">
        <f t="shared" ref="F457:S457" si="122">SUM(F453:F456)</f>
        <v>-1309.0499999999981</v>
      </c>
      <c r="G457" s="321">
        <f t="shared" si="122"/>
        <v>-402.07999999999993</v>
      </c>
      <c r="H457" s="321">
        <f t="shared" si="122"/>
        <v>-905.0799999999997</v>
      </c>
      <c r="I457" s="321">
        <f t="shared" si="122"/>
        <v>-203933.07</v>
      </c>
      <c r="J457" s="321">
        <f t="shared" si="122"/>
        <v>-424.8599999999999</v>
      </c>
      <c r="K457" s="321">
        <f t="shared" si="122"/>
        <v>-853.74</v>
      </c>
      <c r="L457" s="321">
        <f t="shared" si="122"/>
        <v>-1265.8</v>
      </c>
      <c r="M457" s="321">
        <f t="shared" si="122"/>
        <v>-1687.8700000000001</v>
      </c>
      <c r="N457" s="321">
        <f t="shared" si="122"/>
        <v>-219131.7</v>
      </c>
      <c r="O457" s="321">
        <f t="shared" si="122"/>
        <v>-1402.3700000000017</v>
      </c>
      <c r="P457" s="321">
        <f t="shared" si="122"/>
        <v>495.28999999999814</v>
      </c>
      <c r="Q457" s="321">
        <f t="shared" si="122"/>
        <v>75.639999999998167</v>
      </c>
      <c r="R457" s="321">
        <f t="shared" si="122"/>
        <v>-313.73000000000184</v>
      </c>
      <c r="S457" s="516">
        <f t="shared" si="122"/>
        <v>-35853.919166666674</v>
      </c>
      <c r="T457" s="638"/>
      <c r="U457" s="675"/>
      <c r="V457" s="713"/>
      <c r="W457" s="713"/>
      <c r="X457" s="736"/>
      <c r="Y457" s="713"/>
      <c r="Z457" s="713"/>
      <c r="AA457" s="675"/>
      <c r="AB457" s="713"/>
      <c r="AC457" s="676"/>
      <c r="AD457" s="676"/>
      <c r="AE457" s="676"/>
      <c r="AF457" s="711">
        <f t="shared" si="116"/>
        <v>0</v>
      </c>
    </row>
    <row r="458" spans="1:32">
      <c r="A458" s="638">
        <v>446</v>
      </c>
      <c r="B458" s="638"/>
      <c r="C458" s="638"/>
      <c r="D458" s="638"/>
      <c r="E458" s="623"/>
      <c r="F458" s="637"/>
      <c r="G458" s="340"/>
      <c r="H458" s="331"/>
      <c r="I458" s="331"/>
      <c r="J458" s="332"/>
      <c r="K458" s="333"/>
      <c r="L458" s="334"/>
      <c r="M458" s="335"/>
      <c r="N458" s="336"/>
      <c r="O458" s="624"/>
      <c r="P458" s="337"/>
      <c r="Q458" s="341"/>
      <c r="R458" s="637"/>
      <c r="S458" s="320"/>
      <c r="T458" s="638"/>
      <c r="U458" s="675"/>
      <c r="V458" s="713"/>
      <c r="W458" s="713"/>
      <c r="X458" s="736"/>
      <c r="Y458" s="713"/>
      <c r="Z458" s="713"/>
      <c r="AA458" s="675"/>
      <c r="AB458" s="713"/>
      <c r="AC458" s="676"/>
      <c r="AD458" s="676"/>
      <c r="AE458" s="676"/>
      <c r="AF458" s="711">
        <f t="shared" si="116"/>
        <v>0</v>
      </c>
    </row>
    <row r="459" spans="1:32">
      <c r="A459" s="638">
        <v>447</v>
      </c>
      <c r="B459" s="638"/>
      <c r="C459" s="638"/>
      <c r="D459" s="638"/>
      <c r="E459" s="623" t="s">
        <v>606</v>
      </c>
      <c r="F459" s="321">
        <f>SUM(F421:F440)+F451+F457</f>
        <v>-68448004.469999999</v>
      </c>
      <c r="G459" s="321">
        <f>SUM(G421:G440)+G451+G457</f>
        <v>-72856652.530000001</v>
      </c>
      <c r="H459" s="321">
        <f t="shared" ref="H459:R459" si="123">SUM(H421:H440)+H451+H457</f>
        <v>-83692932.400000021</v>
      </c>
      <c r="I459" s="321">
        <f t="shared" si="123"/>
        <v>-128599309.39000002</v>
      </c>
      <c r="J459" s="321">
        <f t="shared" si="123"/>
        <v>-91194215.01000002</v>
      </c>
      <c r="K459" s="321">
        <f t="shared" si="123"/>
        <v>-87689955.140000001</v>
      </c>
      <c r="L459" s="321">
        <f t="shared" si="123"/>
        <v>-56138812.299999997</v>
      </c>
      <c r="M459" s="321">
        <f t="shared" si="123"/>
        <v>-62275082.989999995</v>
      </c>
      <c r="N459" s="321">
        <f t="shared" si="123"/>
        <v>-63145705.640000008</v>
      </c>
      <c r="O459" s="321">
        <f t="shared" si="123"/>
        <v>-60988461.799999997</v>
      </c>
      <c r="P459" s="321">
        <f t="shared" si="123"/>
        <v>-70227845.199999988</v>
      </c>
      <c r="Q459" s="321">
        <f t="shared" si="123"/>
        <v>-75329339.150000006</v>
      </c>
      <c r="R459" s="321">
        <f t="shared" si="123"/>
        <v>-47045472.370000005</v>
      </c>
      <c r="S459" s="516">
        <f>SUM(S424:S440)+S451+S457+S421+S422</f>
        <v>-75823754.164166704</v>
      </c>
      <c r="T459" s="638"/>
      <c r="U459" s="675"/>
      <c r="V459" s="713"/>
      <c r="W459" s="713"/>
      <c r="X459" s="736"/>
      <c r="Y459" s="713"/>
      <c r="Z459" s="713"/>
      <c r="AA459" s="675"/>
      <c r="AB459" s="713"/>
      <c r="AC459" s="676"/>
      <c r="AD459" s="676"/>
      <c r="AE459" s="676"/>
      <c r="AF459" s="711">
        <f t="shared" si="116"/>
        <v>0</v>
      </c>
    </row>
    <row r="460" spans="1:32">
      <c r="A460" s="638">
        <v>448</v>
      </c>
      <c r="B460" s="638"/>
      <c r="C460" s="638"/>
      <c r="D460" s="638"/>
      <c r="E460" s="623"/>
      <c r="F460" s="637"/>
      <c r="G460" s="340"/>
      <c r="H460" s="331"/>
      <c r="I460" s="331"/>
      <c r="J460" s="332"/>
      <c r="K460" s="333"/>
      <c r="L460" s="334"/>
      <c r="M460" s="335"/>
      <c r="N460" s="336"/>
      <c r="O460" s="624"/>
      <c r="P460" s="337"/>
      <c r="Q460" s="341"/>
      <c r="R460" s="637"/>
      <c r="S460" s="320"/>
      <c r="T460" s="638"/>
      <c r="U460" s="675"/>
      <c r="V460" s="713"/>
      <c r="W460" s="713"/>
      <c r="X460" s="736"/>
      <c r="Y460" s="713"/>
      <c r="Z460" s="713"/>
      <c r="AA460" s="675"/>
      <c r="AB460" s="713"/>
      <c r="AC460" s="676"/>
      <c r="AD460" s="676"/>
      <c r="AE460" s="676"/>
      <c r="AF460" s="711">
        <f t="shared" si="116"/>
        <v>0</v>
      </c>
    </row>
    <row r="461" spans="1:32">
      <c r="A461" s="638">
        <v>449</v>
      </c>
      <c r="B461" s="638"/>
      <c r="C461" s="638"/>
      <c r="D461" s="638"/>
      <c r="E461" s="623"/>
      <c r="F461" s="637"/>
      <c r="G461" s="340"/>
      <c r="H461" s="331"/>
      <c r="I461" s="331"/>
      <c r="J461" s="332"/>
      <c r="K461" s="333"/>
      <c r="L461" s="334"/>
      <c r="M461" s="335"/>
      <c r="N461" s="336"/>
      <c r="O461" s="624"/>
      <c r="P461" s="337"/>
      <c r="Q461" s="341"/>
      <c r="R461" s="637"/>
      <c r="S461" s="320"/>
      <c r="T461" s="638"/>
      <c r="U461" s="675"/>
      <c r="V461" s="713"/>
      <c r="W461" s="713"/>
      <c r="X461" s="736"/>
      <c r="Y461" s="713"/>
      <c r="Z461" s="713"/>
      <c r="AA461" s="675"/>
      <c r="AB461" s="713"/>
      <c r="AC461" s="676"/>
      <c r="AD461" s="676"/>
      <c r="AE461" s="676"/>
      <c r="AF461" s="711"/>
    </row>
    <row r="462" spans="1:32">
      <c r="A462" s="638">
        <v>450</v>
      </c>
      <c r="B462" s="638">
        <v>47</v>
      </c>
      <c r="C462" s="638" t="s">
        <v>621</v>
      </c>
      <c r="D462" s="638" t="s">
        <v>463</v>
      </c>
      <c r="E462" s="623" t="s">
        <v>1937</v>
      </c>
      <c r="F462" s="637">
        <v>-379517.67</v>
      </c>
      <c r="G462" s="340">
        <v>-379517.67</v>
      </c>
      <c r="H462" s="331">
        <v>-379517.67</v>
      </c>
      <c r="I462" s="331">
        <v>-607717.67000000004</v>
      </c>
      <c r="J462" s="332">
        <v>-607717.67000000004</v>
      </c>
      <c r="K462" s="333">
        <v>-607717.67000000004</v>
      </c>
      <c r="L462" s="334">
        <v>-703517.67</v>
      </c>
      <c r="M462" s="335">
        <v>-703517.67</v>
      </c>
      <c r="N462" s="336">
        <v>-703517.67</v>
      </c>
      <c r="O462" s="624">
        <v>-338797.26</v>
      </c>
      <c r="P462" s="337">
        <v>-91243.58</v>
      </c>
      <c r="Q462" s="341">
        <v>4.3655745685100601E-11</v>
      </c>
      <c r="R462" s="637">
        <v>-30100</v>
      </c>
      <c r="S462" s="514">
        <f t="shared" ref="S462:S684" si="124">((F462+R462)+((G462+H462+I462+J462+K462+L462+M462+N462+O462+P462+Q462)*2))/24</f>
        <v>-443965.91958333337</v>
      </c>
      <c r="T462" s="638"/>
      <c r="U462" s="675"/>
      <c r="V462" s="713">
        <f>+S462</f>
        <v>-443965.91958333337</v>
      </c>
      <c r="W462" s="713"/>
      <c r="X462" s="736"/>
      <c r="Y462" s="713"/>
      <c r="Z462" s="713"/>
      <c r="AA462" s="675"/>
      <c r="AB462" s="713"/>
      <c r="AC462" s="676"/>
      <c r="AD462" s="677">
        <f>+S462</f>
        <v>-443965.91958333337</v>
      </c>
      <c r="AE462" s="676"/>
      <c r="AF462" s="711"/>
    </row>
    <row r="463" spans="1:32">
      <c r="A463" s="638">
        <v>451</v>
      </c>
      <c r="B463" s="342" t="s">
        <v>981</v>
      </c>
      <c r="C463" s="342" t="s">
        <v>622</v>
      </c>
      <c r="D463" s="342" t="s">
        <v>494</v>
      </c>
      <c r="E463" s="623" t="s">
        <v>623</v>
      </c>
      <c r="F463" s="637">
        <v>-24135</v>
      </c>
      <c r="G463" s="637">
        <v>-24135</v>
      </c>
      <c r="H463" s="637">
        <v>-24135</v>
      </c>
      <c r="I463" s="637">
        <v>-24135</v>
      </c>
      <c r="J463" s="637">
        <v>-24135</v>
      </c>
      <c r="K463" s="637">
        <v>-24135</v>
      </c>
      <c r="L463" s="637">
        <v>-24135</v>
      </c>
      <c r="M463" s="637">
        <v>-24135</v>
      </c>
      <c r="N463" s="637">
        <v>-24135</v>
      </c>
      <c r="O463" s="637">
        <v>-24135</v>
      </c>
      <c r="P463" s="637">
        <v>-24135</v>
      </c>
      <c r="Q463" s="637">
        <v>-24135</v>
      </c>
      <c r="R463" s="637">
        <v>-24135</v>
      </c>
      <c r="S463" s="514">
        <f t="shared" si="124"/>
        <v>-24135</v>
      </c>
      <c r="T463" s="638"/>
      <c r="U463" s="675"/>
      <c r="V463" s="713">
        <f t="shared" ref="V463:V484" si="125">+S463</f>
        <v>-24135</v>
      </c>
      <c r="W463" s="713"/>
      <c r="X463" s="736"/>
      <c r="Y463" s="713"/>
      <c r="Z463" s="713"/>
      <c r="AA463" s="675"/>
      <c r="AB463" s="713"/>
      <c r="AC463" s="676"/>
      <c r="AD463" s="677">
        <f t="shared" ref="AD463:AD480" si="126">+V463</f>
        <v>-24135</v>
      </c>
      <c r="AE463" s="676"/>
      <c r="AF463" s="711">
        <f t="shared" si="116"/>
        <v>0</v>
      </c>
    </row>
    <row r="464" spans="1:32">
      <c r="A464" s="638">
        <v>452</v>
      </c>
      <c r="B464" s="342" t="s">
        <v>981</v>
      </c>
      <c r="C464" s="342" t="s">
        <v>607</v>
      </c>
      <c r="D464" s="342" t="s">
        <v>974</v>
      </c>
      <c r="E464" s="623" t="s">
        <v>1692</v>
      </c>
      <c r="F464" s="637">
        <v>9.3132257461547893E-10</v>
      </c>
      <c r="G464" s="637">
        <v>0</v>
      </c>
      <c r="H464" s="637">
        <v>0</v>
      </c>
      <c r="I464" s="637">
        <v>0</v>
      </c>
      <c r="J464" s="637">
        <v>0</v>
      </c>
      <c r="K464" s="637">
        <v>0</v>
      </c>
      <c r="L464" s="637">
        <v>0</v>
      </c>
      <c r="M464" s="637">
        <v>0</v>
      </c>
      <c r="N464" s="637">
        <v>0</v>
      </c>
      <c r="O464" s="637">
        <v>0</v>
      </c>
      <c r="P464" s="637">
        <v>0</v>
      </c>
      <c r="Q464" s="637">
        <v>0</v>
      </c>
      <c r="R464" s="637">
        <v>0</v>
      </c>
      <c r="S464" s="514">
        <f t="shared" si="124"/>
        <v>3.8805107275644955E-11</v>
      </c>
      <c r="T464" s="638"/>
      <c r="U464" s="675"/>
      <c r="V464" s="713">
        <f t="shared" si="125"/>
        <v>3.8805107275644955E-11</v>
      </c>
      <c r="W464" s="713"/>
      <c r="X464" s="736"/>
      <c r="Y464" s="713"/>
      <c r="Z464" s="713"/>
      <c r="AA464" s="675"/>
      <c r="AB464" s="713"/>
      <c r="AC464" s="676"/>
      <c r="AD464" s="677">
        <f t="shared" si="126"/>
        <v>3.8805107275644955E-11</v>
      </c>
      <c r="AE464" s="676"/>
      <c r="AF464" s="711">
        <f t="shared" si="116"/>
        <v>0</v>
      </c>
    </row>
    <row r="465" spans="1:32">
      <c r="A465" s="638">
        <v>453</v>
      </c>
      <c r="B465" s="342" t="s">
        <v>981</v>
      </c>
      <c r="C465" s="342" t="s">
        <v>608</v>
      </c>
      <c r="D465" s="342" t="s">
        <v>973</v>
      </c>
      <c r="E465" s="623" t="s">
        <v>1693</v>
      </c>
      <c r="F465" s="637">
        <v>-129565.47</v>
      </c>
      <c r="G465" s="637">
        <v>-154802.07</v>
      </c>
      <c r="H465" s="637">
        <v>-155416.01</v>
      </c>
      <c r="I465" s="637">
        <v>-167490.20000000001</v>
      </c>
      <c r="J465" s="637">
        <v>-104211.76</v>
      </c>
      <c r="K465" s="637">
        <v>-127291.67</v>
      </c>
      <c r="L465" s="637">
        <v>-130276.45</v>
      </c>
      <c r="M465" s="637">
        <v>-150713.28</v>
      </c>
      <c r="N465" s="637">
        <v>-168428.32</v>
      </c>
      <c r="O465" s="637">
        <v>-92548.62</v>
      </c>
      <c r="P465" s="637">
        <v>-114503.63</v>
      </c>
      <c r="Q465" s="637">
        <v>-119017.89</v>
      </c>
      <c r="R465" s="637">
        <v>-139783.25</v>
      </c>
      <c r="S465" s="514">
        <f t="shared" si="124"/>
        <v>-134947.85499999998</v>
      </c>
      <c r="T465" s="638"/>
      <c r="U465" s="675"/>
      <c r="V465" s="713">
        <f t="shared" si="125"/>
        <v>-134947.85499999998</v>
      </c>
      <c r="W465" s="713"/>
      <c r="X465" s="736"/>
      <c r="Y465" s="713"/>
      <c r="Z465" s="713"/>
      <c r="AA465" s="675"/>
      <c r="AB465" s="713"/>
      <c r="AC465" s="676"/>
      <c r="AD465" s="677">
        <f t="shared" si="126"/>
        <v>-134947.85499999998</v>
      </c>
      <c r="AE465" s="676"/>
      <c r="AF465" s="711">
        <f t="shared" si="116"/>
        <v>0</v>
      </c>
    </row>
    <row r="466" spans="1:32">
      <c r="A466" s="638">
        <v>454</v>
      </c>
      <c r="B466" s="342" t="s">
        <v>981</v>
      </c>
      <c r="C466" s="342" t="s">
        <v>608</v>
      </c>
      <c r="D466" s="342" t="s">
        <v>1215</v>
      </c>
      <c r="E466" s="623" t="s">
        <v>1694</v>
      </c>
      <c r="F466" s="637">
        <v>-91467.8</v>
      </c>
      <c r="G466" s="637">
        <v>-99661.6</v>
      </c>
      <c r="H466" s="637">
        <v>-34028.67</v>
      </c>
      <c r="I466" s="637">
        <v>-41411.040000000001</v>
      </c>
      <c r="J466" s="637">
        <v>-49001.66</v>
      </c>
      <c r="K466" s="637">
        <v>-61904.91</v>
      </c>
      <c r="L466" s="637">
        <v>-71772.570000000007</v>
      </c>
      <c r="M466" s="637">
        <v>-82456.28</v>
      </c>
      <c r="N466" s="637">
        <v>-92381.74</v>
      </c>
      <c r="O466" s="637">
        <v>-101952.82</v>
      </c>
      <c r="P466" s="637">
        <v>-120343.18</v>
      </c>
      <c r="Q466" s="637">
        <v>-134804.47</v>
      </c>
      <c r="R466" s="637">
        <v>-147991.14000000001</v>
      </c>
      <c r="S466" s="514">
        <f t="shared" si="124"/>
        <v>-84120.700833333321</v>
      </c>
      <c r="T466" s="638"/>
      <c r="U466" s="675"/>
      <c r="V466" s="713">
        <f t="shared" si="125"/>
        <v>-84120.700833333321</v>
      </c>
      <c r="W466" s="713"/>
      <c r="X466" s="736"/>
      <c r="Y466" s="713"/>
      <c r="Z466" s="713"/>
      <c r="AA466" s="675"/>
      <c r="AB466" s="713"/>
      <c r="AC466" s="676"/>
      <c r="AD466" s="677">
        <f t="shared" si="126"/>
        <v>-84120.700833333321</v>
      </c>
      <c r="AE466" s="676"/>
      <c r="AF466" s="711">
        <f t="shared" si="116"/>
        <v>0</v>
      </c>
    </row>
    <row r="467" spans="1:32">
      <c r="A467" s="638">
        <v>455</v>
      </c>
      <c r="B467" s="342" t="s">
        <v>981</v>
      </c>
      <c r="C467" s="342" t="s">
        <v>608</v>
      </c>
      <c r="D467" s="342" t="s">
        <v>974</v>
      </c>
      <c r="E467" s="623" t="s">
        <v>1695</v>
      </c>
      <c r="F467" s="637">
        <v>-10477.540000000001</v>
      </c>
      <c r="G467" s="637">
        <v>-15422.37</v>
      </c>
      <c r="H467" s="637">
        <v>-14310.3</v>
      </c>
      <c r="I467" s="637">
        <v>-14371.42</v>
      </c>
      <c r="J467" s="637">
        <v>-183.34000000000199</v>
      </c>
      <c r="K467" s="637">
        <v>-381.16000000000201</v>
      </c>
      <c r="L467" s="637">
        <v>-658.79000000000201</v>
      </c>
      <c r="M467" s="637">
        <v>-561.12000000000205</v>
      </c>
      <c r="N467" s="637">
        <v>-760.22000000000196</v>
      </c>
      <c r="O467" s="637">
        <v>-898.33000000000197</v>
      </c>
      <c r="P467" s="637">
        <v>-97.270000000002099</v>
      </c>
      <c r="Q467" s="637">
        <v>-194.88000000000201</v>
      </c>
      <c r="R467" s="637">
        <v>-11252.53</v>
      </c>
      <c r="S467" s="514">
        <f t="shared" si="124"/>
        <v>-4892.0195833333346</v>
      </c>
      <c r="T467" s="638"/>
      <c r="U467" s="675"/>
      <c r="V467" s="713">
        <f t="shared" si="125"/>
        <v>-4892.0195833333346</v>
      </c>
      <c r="W467" s="713"/>
      <c r="X467" s="736"/>
      <c r="Y467" s="713"/>
      <c r="Z467" s="713"/>
      <c r="AA467" s="675"/>
      <c r="AB467" s="713"/>
      <c r="AC467" s="676"/>
      <c r="AD467" s="677">
        <f t="shared" si="126"/>
        <v>-4892.0195833333346</v>
      </c>
      <c r="AE467" s="676"/>
      <c r="AF467" s="711">
        <f t="shared" si="116"/>
        <v>0</v>
      </c>
    </row>
    <row r="468" spans="1:32">
      <c r="A468" s="638">
        <v>456</v>
      </c>
      <c r="B468" s="342" t="s">
        <v>981</v>
      </c>
      <c r="C468" s="342" t="s">
        <v>608</v>
      </c>
      <c r="D468" s="342" t="s">
        <v>83</v>
      </c>
      <c r="E468" s="623" t="s">
        <v>1696</v>
      </c>
      <c r="F468" s="637">
        <v>-5803.23</v>
      </c>
      <c r="G468" s="637">
        <v>-11582.07</v>
      </c>
      <c r="H468" s="637">
        <v>-18648.330000000002</v>
      </c>
      <c r="I468" s="637">
        <v>-25096.81</v>
      </c>
      <c r="J468" s="637">
        <v>-9025.06</v>
      </c>
      <c r="K468" s="637">
        <v>-13022.16</v>
      </c>
      <c r="L468" s="637">
        <v>-14887</v>
      </c>
      <c r="M468" s="637">
        <v>-2948.76</v>
      </c>
      <c r="N468" s="637">
        <v>-3587.88</v>
      </c>
      <c r="O468" s="637">
        <v>-4258.08</v>
      </c>
      <c r="P468" s="637">
        <v>-847.91000000000201</v>
      </c>
      <c r="Q468" s="637">
        <v>-1289.18</v>
      </c>
      <c r="R468" s="637">
        <v>-5342.62</v>
      </c>
      <c r="S468" s="514">
        <f t="shared" si="124"/>
        <v>-9230.5137500000001</v>
      </c>
      <c r="T468" s="638"/>
      <c r="U468" s="675"/>
      <c r="V468" s="713">
        <f t="shared" si="125"/>
        <v>-9230.5137500000001</v>
      </c>
      <c r="W468" s="713"/>
      <c r="X468" s="736"/>
      <c r="Y468" s="713"/>
      <c r="Z468" s="713"/>
      <c r="AA468" s="675"/>
      <c r="AB468" s="713"/>
      <c r="AC468" s="676"/>
      <c r="AD468" s="677">
        <f t="shared" si="126"/>
        <v>-9230.5137500000001</v>
      </c>
      <c r="AE468" s="676"/>
      <c r="AF468" s="711">
        <f t="shared" si="116"/>
        <v>0</v>
      </c>
    </row>
    <row r="469" spans="1:32">
      <c r="A469" s="638">
        <v>457</v>
      </c>
      <c r="B469" s="342" t="s">
        <v>981</v>
      </c>
      <c r="C469" s="342" t="s">
        <v>608</v>
      </c>
      <c r="D469" s="638" t="s">
        <v>1184</v>
      </c>
      <c r="E469" s="623" t="s">
        <v>1697</v>
      </c>
      <c r="F469" s="637">
        <v>-985.4</v>
      </c>
      <c r="G469" s="637">
        <v>0</v>
      </c>
      <c r="H469" s="637">
        <v>0</v>
      </c>
      <c r="I469" s="637">
        <v>-5312.44</v>
      </c>
      <c r="J469" s="637">
        <v>0</v>
      </c>
      <c r="K469" s="637">
        <v>0</v>
      </c>
      <c r="L469" s="637">
        <v>-25079.21</v>
      </c>
      <c r="M469" s="637">
        <v>0</v>
      </c>
      <c r="N469" s="637">
        <v>0</v>
      </c>
      <c r="O469" s="637">
        <v>-27807.85</v>
      </c>
      <c r="P469" s="637">
        <v>-31732.3</v>
      </c>
      <c r="Q469" s="637">
        <v>-41733.56</v>
      </c>
      <c r="R469" s="637">
        <v>0</v>
      </c>
      <c r="S469" s="514">
        <f t="shared" si="124"/>
        <v>-11013.171666666667</v>
      </c>
      <c r="T469" s="638"/>
      <c r="U469" s="675"/>
      <c r="V469" s="713">
        <f t="shared" si="125"/>
        <v>-11013.171666666667</v>
      </c>
      <c r="W469" s="713"/>
      <c r="X469" s="736"/>
      <c r="Y469" s="713"/>
      <c r="Z469" s="713"/>
      <c r="AA469" s="675"/>
      <c r="AB469" s="713"/>
      <c r="AC469" s="676"/>
      <c r="AD469" s="677">
        <f t="shared" si="126"/>
        <v>-11013.171666666667</v>
      </c>
      <c r="AE469" s="676"/>
      <c r="AF469" s="711">
        <f t="shared" si="116"/>
        <v>0</v>
      </c>
    </row>
    <row r="470" spans="1:32">
      <c r="A470" s="638">
        <v>458</v>
      </c>
      <c r="B470" s="342" t="s">
        <v>981</v>
      </c>
      <c r="C470" s="342" t="s">
        <v>608</v>
      </c>
      <c r="D470" s="342" t="s">
        <v>1435</v>
      </c>
      <c r="E470" s="623" t="s">
        <v>1698</v>
      </c>
      <c r="F470" s="637">
        <v>0</v>
      </c>
      <c r="G470" s="637">
        <v>0</v>
      </c>
      <c r="H470" s="637">
        <v>0</v>
      </c>
      <c r="I470" s="637">
        <v>-1781.97</v>
      </c>
      <c r="J470" s="637">
        <v>852.74</v>
      </c>
      <c r="K470" s="637">
        <v>852.74</v>
      </c>
      <c r="L470" s="637">
        <v>-1709.42</v>
      </c>
      <c r="M470" s="637">
        <v>852.74</v>
      </c>
      <c r="N470" s="637">
        <v>13.11</v>
      </c>
      <c r="O470" s="637">
        <v>-895.76</v>
      </c>
      <c r="P470" s="637">
        <v>-306.87</v>
      </c>
      <c r="Q470" s="637">
        <v>-548.22</v>
      </c>
      <c r="R470" s="637">
        <v>-766.71</v>
      </c>
      <c r="S470" s="514">
        <f t="shared" si="124"/>
        <v>-254.52208333333331</v>
      </c>
      <c r="T470" s="638"/>
      <c r="U470" s="675"/>
      <c r="V470" s="713">
        <f t="shared" si="125"/>
        <v>-254.52208333333331</v>
      </c>
      <c r="W470" s="713"/>
      <c r="X470" s="736"/>
      <c r="Y470" s="713"/>
      <c r="Z470" s="713"/>
      <c r="AA470" s="675"/>
      <c r="AB470" s="713"/>
      <c r="AC470" s="676"/>
      <c r="AD470" s="677">
        <f t="shared" si="126"/>
        <v>-254.52208333333331</v>
      </c>
      <c r="AE470" s="676"/>
      <c r="AF470" s="711">
        <f t="shared" si="116"/>
        <v>0</v>
      </c>
    </row>
    <row r="471" spans="1:32">
      <c r="A471" s="638">
        <v>459</v>
      </c>
      <c r="B471" s="342" t="s">
        <v>981</v>
      </c>
      <c r="C471" s="342" t="s">
        <v>608</v>
      </c>
      <c r="D471" s="342" t="s">
        <v>106</v>
      </c>
      <c r="E471" s="623" t="s">
        <v>1699</v>
      </c>
      <c r="F471" s="637">
        <v>-9109.7999999999993</v>
      </c>
      <c r="G471" s="637">
        <v>-17034.45</v>
      </c>
      <c r="H471" s="637">
        <v>-28797.9</v>
      </c>
      <c r="I471" s="637">
        <v>-37576.379999999997</v>
      </c>
      <c r="J471" s="637">
        <v>-11906.16</v>
      </c>
      <c r="K471" s="637">
        <v>51711.99</v>
      </c>
      <c r="L471" s="637">
        <v>47225.06</v>
      </c>
      <c r="M471" s="637">
        <v>43899.66</v>
      </c>
      <c r="N471" s="637">
        <v>-8675.73</v>
      </c>
      <c r="O471" s="637">
        <v>-10195.17</v>
      </c>
      <c r="P471" s="637">
        <v>-1543.67</v>
      </c>
      <c r="Q471" s="637">
        <v>-2272.86</v>
      </c>
      <c r="R471" s="637">
        <v>-10011.82</v>
      </c>
      <c r="S471" s="514">
        <f t="shared" si="124"/>
        <v>1272.798333333332</v>
      </c>
      <c r="T471" s="638"/>
      <c r="U471" s="675"/>
      <c r="V471" s="713">
        <f t="shared" si="125"/>
        <v>1272.798333333332</v>
      </c>
      <c r="W471" s="713"/>
      <c r="X471" s="736"/>
      <c r="Y471" s="713"/>
      <c r="Z471" s="713"/>
      <c r="AA471" s="675"/>
      <c r="AB471" s="713"/>
      <c r="AC471" s="676"/>
      <c r="AD471" s="677">
        <f t="shared" si="126"/>
        <v>1272.798333333332</v>
      </c>
      <c r="AE471" s="676"/>
      <c r="AF471" s="711">
        <f t="shared" si="116"/>
        <v>0</v>
      </c>
    </row>
    <row r="472" spans="1:32">
      <c r="A472" s="638">
        <v>460</v>
      </c>
      <c r="B472" s="342" t="s">
        <v>981</v>
      </c>
      <c r="C472" s="342" t="s">
        <v>608</v>
      </c>
      <c r="D472" s="342" t="s">
        <v>1436</v>
      </c>
      <c r="E472" s="623" t="s">
        <v>1700</v>
      </c>
      <c r="F472" s="637">
        <v>-71423.69</v>
      </c>
      <c r="G472" s="637">
        <v>0</v>
      </c>
      <c r="H472" s="637">
        <v>0</v>
      </c>
      <c r="I472" s="637">
        <v>-78265.179999999993</v>
      </c>
      <c r="J472" s="637">
        <v>0</v>
      </c>
      <c r="K472" s="637">
        <v>0</v>
      </c>
      <c r="L472" s="637">
        <v>-146828.9</v>
      </c>
      <c r="M472" s="637">
        <v>-3548.45999999999</v>
      </c>
      <c r="N472" s="637">
        <v>8.1854523159563493E-12</v>
      </c>
      <c r="O472" s="637">
        <v>-82589.990000000005</v>
      </c>
      <c r="P472" s="637">
        <v>-108008.53</v>
      </c>
      <c r="Q472" s="637">
        <v>-55569.09</v>
      </c>
      <c r="R472" s="637">
        <v>-79962.61</v>
      </c>
      <c r="S472" s="514">
        <f t="shared" si="124"/>
        <v>-45875.274999999994</v>
      </c>
      <c r="T472" s="638"/>
      <c r="U472" s="675"/>
      <c r="V472" s="713">
        <f t="shared" si="125"/>
        <v>-45875.274999999994</v>
      </c>
      <c r="W472" s="713"/>
      <c r="X472" s="736"/>
      <c r="Y472" s="713"/>
      <c r="Z472" s="713"/>
      <c r="AA472" s="675"/>
      <c r="AB472" s="713"/>
      <c r="AC472" s="676"/>
      <c r="AD472" s="677">
        <f t="shared" si="126"/>
        <v>-45875.274999999994</v>
      </c>
      <c r="AE472" s="676"/>
      <c r="AF472" s="711">
        <f t="shared" si="116"/>
        <v>0</v>
      </c>
    </row>
    <row r="473" spans="1:32">
      <c r="A473" s="638">
        <v>461</v>
      </c>
      <c r="B473" s="342" t="s">
        <v>981</v>
      </c>
      <c r="C473" s="342" t="s">
        <v>608</v>
      </c>
      <c r="D473" s="342" t="s">
        <v>1938</v>
      </c>
      <c r="E473" s="623" t="s">
        <v>1700</v>
      </c>
      <c r="F473" s="637">
        <v>0</v>
      </c>
      <c r="G473" s="637">
        <v>-6089.54</v>
      </c>
      <c r="H473" s="637">
        <v>-16011.4</v>
      </c>
      <c r="I473" s="637">
        <v>-25667.31</v>
      </c>
      <c r="J473" s="637">
        <v>-33140.21</v>
      </c>
      <c r="K473" s="637">
        <v>-13082.53</v>
      </c>
      <c r="L473" s="637">
        <v>-20607.52</v>
      </c>
      <c r="M473" s="637">
        <v>-28197.32</v>
      </c>
      <c r="N473" s="637">
        <v>-19606.07</v>
      </c>
      <c r="O473" s="637">
        <v>-26881.07</v>
      </c>
      <c r="P473" s="637">
        <v>-34787.53</v>
      </c>
      <c r="Q473" s="637">
        <v>-16447.91</v>
      </c>
      <c r="R473" s="637">
        <v>-23699.43</v>
      </c>
      <c r="S473" s="514">
        <f t="shared" si="124"/>
        <v>-21030.677083333332</v>
      </c>
      <c r="T473" s="638"/>
      <c r="U473" s="675"/>
      <c r="V473" s="713">
        <f>+S473</f>
        <v>-21030.677083333332</v>
      </c>
      <c r="W473" s="713"/>
      <c r="X473" s="736"/>
      <c r="Y473" s="713"/>
      <c r="Z473" s="713"/>
      <c r="AA473" s="675"/>
      <c r="AB473" s="713"/>
      <c r="AC473" s="676"/>
      <c r="AD473" s="677">
        <f t="shared" si="126"/>
        <v>-21030.677083333332</v>
      </c>
      <c r="AE473" s="676"/>
      <c r="AF473" s="711">
        <f t="shared" si="116"/>
        <v>0</v>
      </c>
    </row>
    <row r="474" spans="1:32">
      <c r="A474" s="638">
        <v>462</v>
      </c>
      <c r="B474" s="342" t="s">
        <v>981</v>
      </c>
      <c r="C474" s="342" t="s">
        <v>609</v>
      </c>
      <c r="D474" s="342"/>
      <c r="E474" s="623" t="s">
        <v>1701</v>
      </c>
      <c r="F474" s="637">
        <v>-4512.1000000000004</v>
      </c>
      <c r="G474" s="637">
        <v>-8005.13</v>
      </c>
      <c r="H474" s="637">
        <v>-2175.64</v>
      </c>
      <c r="I474" s="637">
        <v>-16022.16</v>
      </c>
      <c r="J474" s="637">
        <v>-1720.98</v>
      </c>
      <c r="K474" s="637">
        <v>-17838.740000000002</v>
      </c>
      <c r="L474" s="637">
        <v>-550.78000000000202</v>
      </c>
      <c r="M474" s="637">
        <v>-2048</v>
      </c>
      <c r="N474" s="637">
        <v>-8330.27</v>
      </c>
      <c r="O474" s="637">
        <v>-7944.76</v>
      </c>
      <c r="P474" s="637">
        <v>-6135.49</v>
      </c>
      <c r="Q474" s="637">
        <v>-6993.22</v>
      </c>
      <c r="R474" s="637">
        <v>-11696.45</v>
      </c>
      <c r="S474" s="514">
        <f t="shared" si="124"/>
        <v>-7155.7870833333327</v>
      </c>
      <c r="T474" s="638"/>
      <c r="U474" s="675"/>
      <c r="V474" s="713">
        <f t="shared" si="125"/>
        <v>-7155.7870833333327</v>
      </c>
      <c r="W474" s="713"/>
      <c r="X474" s="736"/>
      <c r="Y474" s="713"/>
      <c r="Z474" s="713"/>
      <c r="AA474" s="675"/>
      <c r="AB474" s="713"/>
      <c r="AC474" s="676"/>
      <c r="AD474" s="677">
        <f t="shared" si="126"/>
        <v>-7155.7870833333327</v>
      </c>
      <c r="AE474" s="676"/>
      <c r="AF474" s="711">
        <f t="shared" si="116"/>
        <v>0</v>
      </c>
    </row>
    <row r="475" spans="1:32">
      <c r="A475" s="638">
        <v>463</v>
      </c>
      <c r="B475" s="342" t="s">
        <v>984</v>
      </c>
      <c r="C475" s="342" t="s">
        <v>609</v>
      </c>
      <c r="D475" s="342" t="s">
        <v>528</v>
      </c>
      <c r="E475" s="623" t="s">
        <v>1732</v>
      </c>
      <c r="F475" s="637">
        <v>-26.14</v>
      </c>
      <c r="G475" s="637">
        <v>0</v>
      </c>
      <c r="H475" s="637">
        <v>-20.87</v>
      </c>
      <c r="I475" s="637">
        <v>0</v>
      </c>
      <c r="J475" s="637">
        <v>0</v>
      </c>
      <c r="K475" s="637">
        <v>-72.22</v>
      </c>
      <c r="L475" s="637">
        <v>-21.68</v>
      </c>
      <c r="M475" s="637">
        <v>-21</v>
      </c>
      <c r="N475" s="637">
        <v>-46.58</v>
      </c>
      <c r="O475" s="637">
        <v>-8.9999999999996305E-2</v>
      </c>
      <c r="P475" s="637">
        <v>-5.25</v>
      </c>
      <c r="Q475" s="637">
        <v>3.5527136788005001E-15</v>
      </c>
      <c r="R475" s="637">
        <v>-13.91</v>
      </c>
      <c r="S475" s="514">
        <f t="shared" si="124"/>
        <v>-17.309583333333336</v>
      </c>
      <c r="T475" s="638"/>
      <c r="U475" s="675"/>
      <c r="V475" s="713">
        <f t="shared" si="125"/>
        <v>-17.309583333333336</v>
      </c>
      <c r="W475" s="713"/>
      <c r="X475" s="736"/>
      <c r="Y475" s="713"/>
      <c r="Z475" s="713"/>
      <c r="AA475" s="675"/>
      <c r="AB475" s="713"/>
      <c r="AC475" s="676"/>
      <c r="AD475" s="677">
        <f t="shared" si="126"/>
        <v>-17.309583333333336</v>
      </c>
      <c r="AE475" s="676"/>
      <c r="AF475" s="711">
        <f t="shared" si="116"/>
        <v>0</v>
      </c>
    </row>
    <row r="476" spans="1:32">
      <c r="A476" s="638">
        <v>464</v>
      </c>
      <c r="B476" s="342" t="s">
        <v>1009</v>
      </c>
      <c r="C476" s="342" t="s">
        <v>610</v>
      </c>
      <c r="D476" s="342" t="s">
        <v>973</v>
      </c>
      <c r="E476" s="623" t="s">
        <v>1733</v>
      </c>
      <c r="F476" s="637">
        <v>0</v>
      </c>
      <c r="G476" s="637">
        <v>0</v>
      </c>
      <c r="H476" s="637">
        <v>0</v>
      </c>
      <c r="I476" s="637">
        <v>0</v>
      </c>
      <c r="J476" s="637">
        <v>0</v>
      </c>
      <c r="K476" s="637">
        <v>0</v>
      </c>
      <c r="L476" s="637">
        <v>0</v>
      </c>
      <c r="M476" s="637">
        <v>-157394</v>
      </c>
      <c r="N476" s="637">
        <v>-314788</v>
      </c>
      <c r="O476" s="637">
        <v>-472182</v>
      </c>
      <c r="P476" s="637">
        <v>-629576</v>
      </c>
      <c r="Q476" s="637">
        <v>0</v>
      </c>
      <c r="R476" s="637">
        <v>0</v>
      </c>
      <c r="S476" s="514">
        <f t="shared" si="124"/>
        <v>-131161.66666666666</v>
      </c>
      <c r="T476" s="638"/>
      <c r="U476" s="675"/>
      <c r="V476" s="713">
        <f t="shared" si="125"/>
        <v>-131161.66666666666</v>
      </c>
      <c r="W476" s="713"/>
      <c r="X476" s="736"/>
      <c r="Y476" s="713"/>
      <c r="Z476" s="713"/>
      <c r="AA476" s="675"/>
      <c r="AB476" s="713"/>
      <c r="AC476" s="676"/>
      <c r="AD476" s="677">
        <f t="shared" si="126"/>
        <v>-131161.66666666666</v>
      </c>
      <c r="AE476" s="676"/>
      <c r="AF476" s="711">
        <f t="shared" si="116"/>
        <v>0</v>
      </c>
    </row>
    <row r="477" spans="1:32">
      <c r="A477" s="638">
        <v>465</v>
      </c>
      <c r="B477" s="342" t="s">
        <v>1009</v>
      </c>
      <c r="C477" s="342" t="s">
        <v>610</v>
      </c>
      <c r="D477" s="342" t="s">
        <v>483</v>
      </c>
      <c r="E477" s="623" t="s">
        <v>1723</v>
      </c>
      <c r="F477" s="637">
        <v>-709456.17</v>
      </c>
      <c r="G477" s="637">
        <v>-544458.74</v>
      </c>
      <c r="H477" s="637">
        <v>-781478.16</v>
      </c>
      <c r="I477" s="637">
        <v>-1007790.95</v>
      </c>
      <c r="J477" s="637">
        <v>-383831.59</v>
      </c>
      <c r="K477" s="637">
        <v>-405417.44</v>
      </c>
      <c r="L477" s="637">
        <v>-452361.79</v>
      </c>
      <c r="M477" s="637">
        <v>-148123.29</v>
      </c>
      <c r="N477" s="637">
        <v>-199462.39</v>
      </c>
      <c r="O477" s="637">
        <v>-279629.99</v>
      </c>
      <c r="P477" s="637">
        <v>-293035.52000000002</v>
      </c>
      <c r="Q477" s="637">
        <v>-564104.62</v>
      </c>
      <c r="R477" s="637">
        <v>-920291.67</v>
      </c>
      <c r="S477" s="514">
        <f t="shared" si="124"/>
        <v>-489547.36666666664</v>
      </c>
      <c r="T477" s="638"/>
      <c r="U477" s="675"/>
      <c r="V477" s="713">
        <f t="shared" si="125"/>
        <v>-489547.36666666664</v>
      </c>
      <c r="W477" s="713"/>
      <c r="X477" s="736"/>
      <c r="Y477" s="713"/>
      <c r="Z477" s="713"/>
      <c r="AA477" s="675"/>
      <c r="AB477" s="713"/>
      <c r="AC477" s="676"/>
      <c r="AD477" s="677">
        <f t="shared" si="126"/>
        <v>-489547.36666666664</v>
      </c>
      <c r="AE477" s="676"/>
      <c r="AF477" s="711">
        <f t="shared" si="116"/>
        <v>0</v>
      </c>
    </row>
    <row r="478" spans="1:32">
      <c r="A478" s="638">
        <v>466</v>
      </c>
      <c r="B478" s="342" t="s">
        <v>984</v>
      </c>
      <c r="C478" s="342" t="s">
        <v>610</v>
      </c>
      <c r="D478" s="342" t="s">
        <v>973</v>
      </c>
      <c r="E478" s="623" t="s">
        <v>1733</v>
      </c>
      <c r="F478" s="637">
        <v>-2609583</v>
      </c>
      <c r="G478" s="637">
        <v>-2837921</v>
      </c>
      <c r="H478" s="637">
        <v>-3066259</v>
      </c>
      <c r="I478" s="637">
        <v>-3294597</v>
      </c>
      <c r="J478" s="637">
        <v>-1999040.86</v>
      </c>
      <c r="K478" s="637">
        <v>-2181038.86</v>
      </c>
      <c r="L478" s="637">
        <v>-2400108.86</v>
      </c>
      <c r="M478" s="637">
        <v>-2619178.86</v>
      </c>
      <c r="N478" s="637">
        <v>-1861990</v>
      </c>
      <c r="O478" s="637">
        <v>-2094739</v>
      </c>
      <c r="P478" s="637">
        <v>-2327488</v>
      </c>
      <c r="Q478" s="637">
        <v>-2560237</v>
      </c>
      <c r="R478" s="637">
        <v>-2792986</v>
      </c>
      <c r="S478" s="514">
        <f t="shared" si="124"/>
        <v>-2495323.5783333331</v>
      </c>
      <c r="T478" s="638"/>
      <c r="U478" s="675"/>
      <c r="V478" s="713">
        <f t="shared" si="125"/>
        <v>-2495323.5783333331</v>
      </c>
      <c r="W478" s="713"/>
      <c r="X478" s="736"/>
      <c r="Y478" s="713"/>
      <c r="Z478" s="713"/>
      <c r="AA478" s="675"/>
      <c r="AB478" s="713"/>
      <c r="AC478" s="676"/>
      <c r="AD478" s="677">
        <f t="shared" si="126"/>
        <v>-2495323.5783333331</v>
      </c>
      <c r="AE478" s="676"/>
      <c r="AF478" s="711">
        <f t="shared" si="116"/>
        <v>0</v>
      </c>
    </row>
    <row r="479" spans="1:32">
      <c r="A479" s="638">
        <v>467</v>
      </c>
      <c r="B479" s="342" t="s">
        <v>984</v>
      </c>
      <c r="C479" s="342" t="s">
        <v>610</v>
      </c>
      <c r="D479" s="342" t="s">
        <v>483</v>
      </c>
      <c r="E479" s="623" t="s">
        <v>1723</v>
      </c>
      <c r="F479" s="637">
        <v>-21934.62</v>
      </c>
      <c r="G479" s="637">
        <v>-27430.560000000001</v>
      </c>
      <c r="H479" s="637">
        <v>-27532.13</v>
      </c>
      <c r="I479" s="637">
        <v>-31135.78</v>
      </c>
      <c r="J479" s="637">
        <v>-21019.8</v>
      </c>
      <c r="K479" s="637">
        <v>-16692.04</v>
      </c>
      <c r="L479" s="637">
        <v>-9390.43</v>
      </c>
      <c r="M479" s="637">
        <v>-8255.4699999999993</v>
      </c>
      <c r="N479" s="637">
        <v>-7374.55</v>
      </c>
      <c r="O479" s="637">
        <v>-7184.47</v>
      </c>
      <c r="P479" s="637">
        <v>-9990.31</v>
      </c>
      <c r="Q479" s="637">
        <v>-18401.5</v>
      </c>
      <c r="R479" s="637">
        <v>-27823.65</v>
      </c>
      <c r="S479" s="514">
        <f t="shared" si="124"/>
        <v>-17440.514583333334</v>
      </c>
      <c r="T479" s="638"/>
      <c r="U479" s="675"/>
      <c r="V479" s="713">
        <f t="shared" si="125"/>
        <v>-17440.514583333334</v>
      </c>
      <c r="W479" s="713"/>
      <c r="X479" s="736"/>
      <c r="Y479" s="713"/>
      <c r="Z479" s="713"/>
      <c r="AA479" s="675"/>
      <c r="AB479" s="713"/>
      <c r="AC479" s="676"/>
      <c r="AD479" s="677">
        <f t="shared" si="126"/>
        <v>-17440.514583333334</v>
      </c>
      <c r="AE479" s="676"/>
      <c r="AF479" s="711">
        <f t="shared" si="116"/>
        <v>0</v>
      </c>
    </row>
    <row r="480" spans="1:32">
      <c r="A480" s="638">
        <v>468</v>
      </c>
      <c r="B480" s="342" t="s">
        <v>984</v>
      </c>
      <c r="C480" s="342" t="s">
        <v>610</v>
      </c>
      <c r="D480" s="342" t="s">
        <v>485</v>
      </c>
      <c r="E480" s="623" t="s">
        <v>1734</v>
      </c>
      <c r="F480" s="637">
        <v>-1426163.81</v>
      </c>
      <c r="G480" s="637">
        <v>-1358985.08</v>
      </c>
      <c r="H480" s="637">
        <v>-1649868.15</v>
      </c>
      <c r="I480" s="637">
        <v>-2005953.53</v>
      </c>
      <c r="J480" s="637">
        <v>-998560.67</v>
      </c>
      <c r="K480" s="637">
        <v>-806779.99</v>
      </c>
      <c r="L480" s="637">
        <v>-710886.74</v>
      </c>
      <c r="M480" s="637">
        <v>-425571.72</v>
      </c>
      <c r="N480" s="637">
        <v>-472240.06</v>
      </c>
      <c r="O480" s="637">
        <v>-511907.33</v>
      </c>
      <c r="P480" s="637">
        <v>-639920.81000000006</v>
      </c>
      <c r="Q480" s="637">
        <v>-1159905.6000000001</v>
      </c>
      <c r="R480" s="637">
        <v>-1879892.94</v>
      </c>
      <c r="S480" s="514">
        <f t="shared" si="124"/>
        <v>-1032800.67125</v>
      </c>
      <c r="T480" s="638"/>
      <c r="U480" s="675"/>
      <c r="V480" s="713">
        <f t="shared" si="125"/>
        <v>-1032800.67125</v>
      </c>
      <c r="W480" s="713"/>
      <c r="X480" s="736"/>
      <c r="Y480" s="713"/>
      <c r="Z480" s="713"/>
      <c r="AA480" s="675"/>
      <c r="AB480" s="713"/>
      <c r="AC480" s="676"/>
      <c r="AD480" s="677">
        <f t="shared" si="126"/>
        <v>-1032800.67125</v>
      </c>
      <c r="AE480" s="676"/>
      <c r="AF480" s="711">
        <f t="shared" si="116"/>
        <v>0</v>
      </c>
    </row>
    <row r="481" spans="1:32">
      <c r="A481" s="638">
        <v>469</v>
      </c>
      <c r="B481" s="342" t="s">
        <v>984</v>
      </c>
      <c r="C481" s="342" t="s">
        <v>610</v>
      </c>
      <c r="D481" s="342" t="s">
        <v>457</v>
      </c>
      <c r="E481" s="623" t="s">
        <v>1735</v>
      </c>
      <c r="F481" s="637">
        <v>-9882.26</v>
      </c>
      <c r="G481" s="637">
        <v>-9787.02</v>
      </c>
      <c r="H481" s="637">
        <v>-11182.37</v>
      </c>
      <c r="I481" s="637">
        <v>-12538.43</v>
      </c>
      <c r="J481" s="637">
        <v>-5768.13</v>
      </c>
      <c r="K481" s="637">
        <v>-3224</v>
      </c>
      <c r="L481" s="637">
        <v>-2199.13</v>
      </c>
      <c r="M481" s="637">
        <v>-1917.07</v>
      </c>
      <c r="N481" s="637">
        <v>-3151.52</v>
      </c>
      <c r="O481" s="637">
        <v>-2793.12</v>
      </c>
      <c r="P481" s="637">
        <v>-5690.58</v>
      </c>
      <c r="Q481" s="637">
        <v>-8672.2199999999993</v>
      </c>
      <c r="R481" s="637">
        <v>-11504.29</v>
      </c>
      <c r="S481" s="514">
        <f t="shared" si="124"/>
        <v>-6468.0720833333326</v>
      </c>
      <c r="T481" s="638"/>
      <c r="U481" s="675"/>
      <c r="V481" s="713">
        <f t="shared" si="125"/>
        <v>-6468.0720833333326</v>
      </c>
      <c r="W481" s="713"/>
      <c r="X481" s="736"/>
      <c r="Y481" s="713"/>
      <c r="Z481" s="713"/>
      <c r="AA481" s="675"/>
      <c r="AB481" s="713"/>
      <c r="AC481" s="682"/>
      <c r="AD481" s="677">
        <f>+S481</f>
        <v>-6468.0720833333326</v>
      </c>
      <c r="AE481" s="676"/>
      <c r="AF481" s="711">
        <f t="shared" si="116"/>
        <v>0</v>
      </c>
    </row>
    <row r="482" spans="1:32">
      <c r="A482" s="638">
        <v>470</v>
      </c>
      <c r="B482" s="342" t="s">
        <v>984</v>
      </c>
      <c r="C482" s="342" t="s">
        <v>610</v>
      </c>
      <c r="D482" s="342" t="s">
        <v>488</v>
      </c>
      <c r="E482" s="623" t="s">
        <v>1736</v>
      </c>
      <c r="F482" s="637">
        <v>-1344.79</v>
      </c>
      <c r="G482" s="637">
        <v>-643.51</v>
      </c>
      <c r="H482" s="637">
        <v>-1365.44</v>
      </c>
      <c r="I482" s="637">
        <v>-2110.3000000000002</v>
      </c>
      <c r="J482" s="637">
        <v>-428.78</v>
      </c>
      <c r="K482" s="637">
        <v>-863.85</v>
      </c>
      <c r="L482" s="637">
        <v>-1162.3800000000001</v>
      </c>
      <c r="M482" s="637">
        <v>-283.02999999999997</v>
      </c>
      <c r="N482" s="637">
        <v>-539.02</v>
      </c>
      <c r="O482" s="637">
        <v>-772.18</v>
      </c>
      <c r="P482" s="637">
        <v>-370.96</v>
      </c>
      <c r="Q482" s="637">
        <v>-935.52</v>
      </c>
      <c r="R482" s="637">
        <v>-1630.39</v>
      </c>
      <c r="S482" s="514">
        <f t="shared" si="124"/>
        <v>-913.54666666666662</v>
      </c>
      <c r="T482" s="638"/>
      <c r="U482" s="675"/>
      <c r="V482" s="713">
        <f t="shared" si="125"/>
        <v>-913.54666666666662</v>
      </c>
      <c r="W482" s="713"/>
      <c r="X482" s="736"/>
      <c r="Y482" s="713"/>
      <c r="Z482" s="713"/>
      <c r="AA482" s="675"/>
      <c r="AB482" s="713"/>
      <c r="AC482" s="676"/>
      <c r="AD482" s="677">
        <f t="shared" ref="AD482:AD483" si="127">+S482</f>
        <v>-913.54666666666662</v>
      </c>
      <c r="AE482" s="676"/>
      <c r="AF482" s="711">
        <f t="shared" si="116"/>
        <v>0</v>
      </c>
    </row>
    <row r="483" spans="1:32">
      <c r="A483" s="638">
        <v>471</v>
      </c>
      <c r="B483" s="342" t="s">
        <v>984</v>
      </c>
      <c r="C483" s="342" t="s">
        <v>610</v>
      </c>
      <c r="D483" s="342" t="s">
        <v>1226</v>
      </c>
      <c r="E483" s="623" t="s">
        <v>1737</v>
      </c>
      <c r="F483" s="637">
        <v>-460550.9</v>
      </c>
      <c r="G483" s="637">
        <v>-519326.43</v>
      </c>
      <c r="H483" s="637">
        <v>-581865.69999999995</v>
      </c>
      <c r="I483" s="637">
        <v>-649970.06000000006</v>
      </c>
      <c r="J483" s="637">
        <v>-243797.94</v>
      </c>
      <c r="K483" s="637">
        <v>-262177.25</v>
      </c>
      <c r="L483" s="637">
        <v>-282839.92</v>
      </c>
      <c r="M483" s="637">
        <v>-301393.96999999997</v>
      </c>
      <c r="N483" s="637">
        <v>-319341.24</v>
      </c>
      <c r="O483" s="637">
        <v>-337096.42</v>
      </c>
      <c r="P483" s="637">
        <v>-365854.16</v>
      </c>
      <c r="Q483" s="637">
        <v>-411437.86</v>
      </c>
      <c r="R483" s="637">
        <v>-479297.52</v>
      </c>
      <c r="S483" s="514">
        <f t="shared" si="124"/>
        <v>-395418.76333333337</v>
      </c>
      <c r="T483" s="638"/>
      <c r="U483" s="675"/>
      <c r="V483" s="713">
        <f t="shared" si="125"/>
        <v>-395418.76333333337</v>
      </c>
      <c r="W483" s="713"/>
      <c r="X483" s="736"/>
      <c r="Y483" s="713"/>
      <c r="Z483" s="713"/>
      <c r="AA483" s="675"/>
      <c r="AB483" s="713"/>
      <c r="AC483" s="676"/>
      <c r="AD483" s="677">
        <f t="shared" si="127"/>
        <v>-395418.76333333337</v>
      </c>
      <c r="AE483" s="676"/>
      <c r="AF483" s="711">
        <f t="shared" si="116"/>
        <v>0</v>
      </c>
    </row>
    <row r="484" spans="1:32">
      <c r="A484" s="638">
        <v>472</v>
      </c>
      <c r="B484" s="342" t="s">
        <v>984</v>
      </c>
      <c r="C484" s="342" t="s">
        <v>610</v>
      </c>
      <c r="D484" s="342" t="s">
        <v>1227</v>
      </c>
      <c r="E484" s="623" t="s">
        <v>1738</v>
      </c>
      <c r="F484" s="637">
        <v>-1722879.56</v>
      </c>
      <c r="G484" s="637">
        <v>-1846427.53</v>
      </c>
      <c r="H484" s="637">
        <v>-2077328.43</v>
      </c>
      <c r="I484" s="637">
        <v>-1910216.81</v>
      </c>
      <c r="J484" s="637">
        <v>-1204070.96</v>
      </c>
      <c r="K484" s="637">
        <v>-823833.01</v>
      </c>
      <c r="L484" s="637">
        <v>-592575.56000000006</v>
      </c>
      <c r="M484" s="637">
        <v>-555151.97</v>
      </c>
      <c r="N484" s="637">
        <v>-493032.53</v>
      </c>
      <c r="O484" s="637">
        <v>-585370.29</v>
      </c>
      <c r="P484" s="637">
        <v>-1066739.44</v>
      </c>
      <c r="Q484" s="637">
        <v>-1718966.4</v>
      </c>
      <c r="R484" s="637">
        <v>-2281478.2999999998</v>
      </c>
      <c r="S484" s="514">
        <f t="shared" si="124"/>
        <v>-1239657.655</v>
      </c>
      <c r="T484" s="638"/>
      <c r="U484" s="675"/>
      <c r="V484" s="713">
        <f t="shared" si="125"/>
        <v>-1239657.655</v>
      </c>
      <c r="W484" s="713"/>
      <c r="X484" s="736"/>
      <c r="Y484" s="713"/>
      <c r="Z484" s="713"/>
      <c r="AA484" s="675"/>
      <c r="AB484" s="713"/>
      <c r="AC484" s="676"/>
      <c r="AD484" s="677">
        <f>+V484</f>
        <v>-1239657.655</v>
      </c>
      <c r="AE484" s="676"/>
      <c r="AF484" s="711">
        <f t="shared" si="116"/>
        <v>0</v>
      </c>
    </row>
    <row r="485" spans="1:32">
      <c r="A485" s="638">
        <v>473</v>
      </c>
      <c r="B485" s="342" t="s">
        <v>981</v>
      </c>
      <c r="C485" s="342" t="s">
        <v>611</v>
      </c>
      <c r="D485" s="638" t="s">
        <v>1140</v>
      </c>
      <c r="E485" s="623" t="s">
        <v>612</v>
      </c>
      <c r="F485" s="637">
        <v>-2960000</v>
      </c>
      <c r="G485" s="637">
        <v>0</v>
      </c>
      <c r="H485" s="637">
        <v>-2960000</v>
      </c>
      <c r="I485" s="637">
        <v>-2960000</v>
      </c>
      <c r="J485" s="637">
        <v>0</v>
      </c>
      <c r="K485" s="637">
        <v>-2480000</v>
      </c>
      <c r="L485" s="637">
        <v>-2480000</v>
      </c>
      <c r="M485" s="637">
        <v>0</v>
      </c>
      <c r="N485" s="637">
        <v>-2480000</v>
      </c>
      <c r="O485" s="637">
        <v>-2480000</v>
      </c>
      <c r="P485" s="637">
        <v>0</v>
      </c>
      <c r="Q485" s="637">
        <v>-2480000</v>
      </c>
      <c r="R485" s="637">
        <v>-2480000</v>
      </c>
      <c r="S485" s="514">
        <f t="shared" si="124"/>
        <v>-1753333.3333333333</v>
      </c>
      <c r="T485" s="638"/>
      <c r="U485" s="675"/>
      <c r="V485" s="683"/>
      <c r="W485" s="713">
        <f>+S485</f>
        <v>-1753333.3333333333</v>
      </c>
      <c r="X485" s="736"/>
      <c r="Y485" s="713"/>
      <c r="Z485" s="713"/>
      <c r="AA485" s="675"/>
      <c r="AB485" s="713"/>
      <c r="AC485" s="677">
        <f>+W485</f>
        <v>-1753333.3333333333</v>
      </c>
      <c r="AD485" s="682"/>
      <c r="AE485" s="676"/>
      <c r="AF485" s="711">
        <f t="shared" si="116"/>
        <v>0</v>
      </c>
    </row>
    <row r="486" spans="1:32">
      <c r="A486" s="638">
        <v>474</v>
      </c>
      <c r="B486" s="342" t="s">
        <v>1009</v>
      </c>
      <c r="C486" s="342" t="s">
        <v>613</v>
      </c>
      <c r="D486" s="638" t="s">
        <v>1214</v>
      </c>
      <c r="E486" s="623" t="s">
        <v>614</v>
      </c>
      <c r="F486" s="637">
        <v>-214551.55</v>
      </c>
      <c r="G486" s="637">
        <v>-218550.05</v>
      </c>
      <c r="H486" s="637">
        <v>-218801.9</v>
      </c>
      <c r="I486" s="637">
        <v>-215999.99</v>
      </c>
      <c r="J486" s="637">
        <v>-198295.26</v>
      </c>
      <c r="K486" s="637">
        <v>-182418.51</v>
      </c>
      <c r="L486" s="637">
        <v>-179669.64</v>
      </c>
      <c r="M486" s="637">
        <v>-168647.67999999999</v>
      </c>
      <c r="N486" s="637">
        <v>-153082.81</v>
      </c>
      <c r="O486" s="637">
        <v>-144606.22</v>
      </c>
      <c r="P486" s="637">
        <v>-129804.87</v>
      </c>
      <c r="Q486" s="637">
        <v>-123427.45</v>
      </c>
      <c r="R486" s="637">
        <v>-118440.31</v>
      </c>
      <c r="S486" s="514">
        <f t="shared" si="124"/>
        <v>-174983.35916666666</v>
      </c>
      <c r="T486" s="638"/>
      <c r="U486" s="675"/>
      <c r="V486" s="683"/>
      <c r="W486" s="713"/>
      <c r="X486" s="713">
        <f>+S486</f>
        <v>-174983.35916666666</v>
      </c>
      <c r="Y486" s="713"/>
      <c r="Z486" s="713"/>
      <c r="AA486" s="675"/>
      <c r="AB486" s="677">
        <f>+X486</f>
        <v>-174983.35916666666</v>
      </c>
      <c r="AC486" s="676"/>
      <c r="AD486" s="682"/>
      <c r="AE486" s="676"/>
      <c r="AF486" s="711">
        <f t="shared" si="116"/>
        <v>0</v>
      </c>
    </row>
    <row r="487" spans="1:32">
      <c r="A487" s="638">
        <v>475</v>
      </c>
      <c r="B487" s="342" t="s">
        <v>984</v>
      </c>
      <c r="C487" s="342" t="s">
        <v>613</v>
      </c>
      <c r="D487" s="342" t="s">
        <v>1214</v>
      </c>
      <c r="E487" s="623" t="s">
        <v>614</v>
      </c>
      <c r="F487" s="637">
        <v>-678553.58</v>
      </c>
      <c r="G487" s="637">
        <v>-698877.64</v>
      </c>
      <c r="H487" s="637">
        <v>-702196.65</v>
      </c>
      <c r="I487" s="637">
        <v>-680853.69</v>
      </c>
      <c r="J487" s="637">
        <v>-649266.05000000005</v>
      </c>
      <c r="K487" s="637">
        <v>-625554.4</v>
      </c>
      <c r="L487" s="637">
        <v>-613318.13</v>
      </c>
      <c r="M487" s="637">
        <v>-627299.59</v>
      </c>
      <c r="N487" s="637">
        <v>-610978.82999999996</v>
      </c>
      <c r="O487" s="637">
        <v>-619300.19999999995</v>
      </c>
      <c r="P487" s="637">
        <v>-623094.34</v>
      </c>
      <c r="Q487" s="637">
        <v>-647407.01</v>
      </c>
      <c r="R487" s="637">
        <v>-664878.92000000004</v>
      </c>
      <c r="S487" s="514">
        <f t="shared" si="124"/>
        <v>-647488.56500000006</v>
      </c>
      <c r="T487" s="638"/>
      <c r="U487" s="675"/>
      <c r="V487" s="683"/>
      <c r="W487" s="713"/>
      <c r="X487" s="713">
        <f>+S487</f>
        <v>-647488.56500000006</v>
      </c>
      <c r="Y487" s="713"/>
      <c r="Z487" s="713"/>
      <c r="AA487" s="675"/>
      <c r="AB487" s="677">
        <f>+X487</f>
        <v>-647488.56500000006</v>
      </c>
      <c r="AC487" s="676"/>
      <c r="AD487" s="682"/>
      <c r="AE487" s="676"/>
      <c r="AF487" s="711">
        <f t="shared" si="116"/>
        <v>0</v>
      </c>
    </row>
    <row r="488" spans="1:32">
      <c r="A488" s="638">
        <v>476</v>
      </c>
      <c r="B488" s="342" t="s">
        <v>981</v>
      </c>
      <c r="C488" s="342" t="s">
        <v>615</v>
      </c>
      <c r="D488" s="342" t="s">
        <v>473</v>
      </c>
      <c r="E488" s="623" t="s">
        <v>1702</v>
      </c>
      <c r="F488" s="637">
        <v>-374000</v>
      </c>
      <c r="G488" s="637">
        <v>-498666.67</v>
      </c>
      <c r="H488" s="637">
        <v>-623333.34</v>
      </c>
      <c r="I488" s="637">
        <v>-748000</v>
      </c>
      <c r="J488" s="637">
        <v>-124666.67</v>
      </c>
      <c r="K488" s="637">
        <v>-249333.34</v>
      </c>
      <c r="L488" s="637">
        <v>-374000</v>
      </c>
      <c r="M488" s="637">
        <v>-498666.67</v>
      </c>
      <c r="N488" s="637">
        <v>-623333.34</v>
      </c>
      <c r="O488" s="637">
        <v>-748000</v>
      </c>
      <c r="P488" s="637">
        <v>-124666.67</v>
      </c>
      <c r="Q488" s="637">
        <v>-249333.34</v>
      </c>
      <c r="R488" s="637">
        <v>-374000</v>
      </c>
      <c r="S488" s="514">
        <f t="shared" si="124"/>
        <v>-436333.33666666661</v>
      </c>
      <c r="T488" s="638"/>
      <c r="U488" s="675"/>
      <c r="V488" s="713">
        <f t="shared" ref="V488:V531" si="128">+S488</f>
        <v>-436333.33666666661</v>
      </c>
      <c r="W488" s="713"/>
      <c r="X488" s="736"/>
      <c r="Y488" s="713"/>
      <c r="Z488" s="713"/>
      <c r="AA488" s="675"/>
      <c r="AB488" s="713"/>
      <c r="AC488" s="676"/>
      <c r="AD488" s="677">
        <f t="shared" ref="AD488:AD545" si="129">+V488</f>
        <v>-436333.33666666661</v>
      </c>
      <c r="AE488" s="676"/>
      <c r="AF488" s="711">
        <f t="shared" si="116"/>
        <v>0</v>
      </c>
    </row>
    <row r="489" spans="1:32">
      <c r="A489" s="638">
        <v>477</v>
      </c>
      <c r="B489" s="342" t="s">
        <v>981</v>
      </c>
      <c r="C489" s="342" t="s">
        <v>615</v>
      </c>
      <c r="D489" s="342" t="s">
        <v>475</v>
      </c>
      <c r="E489" s="623" t="s">
        <v>1703</v>
      </c>
      <c r="F489" s="637">
        <v>-266175</v>
      </c>
      <c r="G489" s="637">
        <v>-354900</v>
      </c>
      <c r="H489" s="637">
        <v>-443625</v>
      </c>
      <c r="I489" s="637">
        <v>-532350</v>
      </c>
      <c r="J489" s="637">
        <v>-88725</v>
      </c>
      <c r="K489" s="637">
        <v>-177450</v>
      </c>
      <c r="L489" s="637">
        <v>-266175</v>
      </c>
      <c r="M489" s="637">
        <v>-354900</v>
      </c>
      <c r="N489" s="637">
        <v>-443625</v>
      </c>
      <c r="O489" s="637">
        <v>-532350</v>
      </c>
      <c r="P489" s="637">
        <v>-88725</v>
      </c>
      <c r="Q489" s="637">
        <v>-177450</v>
      </c>
      <c r="R489" s="637">
        <v>-266175</v>
      </c>
      <c r="S489" s="514">
        <f t="shared" si="124"/>
        <v>-310537.5</v>
      </c>
      <c r="T489" s="638"/>
      <c r="U489" s="675"/>
      <c r="V489" s="713">
        <f t="shared" si="128"/>
        <v>-310537.5</v>
      </c>
      <c r="W489" s="713"/>
      <c r="X489" s="736"/>
      <c r="Y489" s="713"/>
      <c r="Z489" s="713"/>
      <c r="AA489" s="675"/>
      <c r="AB489" s="713"/>
      <c r="AC489" s="676"/>
      <c r="AD489" s="677">
        <f t="shared" si="129"/>
        <v>-310537.5</v>
      </c>
      <c r="AE489" s="676"/>
      <c r="AF489" s="711">
        <f t="shared" si="116"/>
        <v>0</v>
      </c>
    </row>
    <row r="490" spans="1:32">
      <c r="A490" s="638">
        <v>478</v>
      </c>
      <c r="B490" s="342" t="s">
        <v>981</v>
      </c>
      <c r="C490" s="342" t="s">
        <v>615</v>
      </c>
      <c r="D490" s="342" t="s">
        <v>477</v>
      </c>
      <c r="E490" s="623" t="s">
        <v>1704</v>
      </c>
      <c r="F490" s="637">
        <v>-213158.76</v>
      </c>
      <c r="G490" s="637">
        <v>-319738.13</v>
      </c>
      <c r="H490" s="637">
        <v>-106491.88</v>
      </c>
      <c r="I490" s="637">
        <v>-212983.76</v>
      </c>
      <c r="J490" s="637">
        <v>-319475.63</v>
      </c>
      <c r="K490" s="637">
        <v>-106089.38</v>
      </c>
      <c r="L490" s="637">
        <v>-212178.76</v>
      </c>
      <c r="M490" s="637">
        <v>-318268.13</v>
      </c>
      <c r="N490" s="637">
        <v>-106045.63</v>
      </c>
      <c r="O490" s="637">
        <v>-212091.26</v>
      </c>
      <c r="P490" s="637">
        <v>-318136.88</v>
      </c>
      <c r="Q490" s="637">
        <v>-105936.25</v>
      </c>
      <c r="R490" s="637">
        <v>-211872.5</v>
      </c>
      <c r="S490" s="514">
        <f t="shared" si="124"/>
        <v>-212495.94333333333</v>
      </c>
      <c r="T490" s="638"/>
      <c r="U490" s="675"/>
      <c r="V490" s="713">
        <f t="shared" si="128"/>
        <v>-212495.94333333333</v>
      </c>
      <c r="W490" s="713"/>
      <c r="X490" s="736"/>
      <c r="Y490" s="713"/>
      <c r="Z490" s="713"/>
      <c r="AA490" s="675"/>
      <c r="AB490" s="713"/>
      <c r="AC490" s="676"/>
      <c r="AD490" s="677">
        <f t="shared" si="129"/>
        <v>-212495.94333333333</v>
      </c>
      <c r="AE490" s="676"/>
      <c r="AF490" s="711">
        <f t="shared" si="116"/>
        <v>0</v>
      </c>
    </row>
    <row r="491" spans="1:32">
      <c r="A491" s="638">
        <v>479</v>
      </c>
      <c r="B491" s="342" t="s">
        <v>981</v>
      </c>
      <c r="C491" s="342" t="s">
        <v>615</v>
      </c>
      <c r="D491" s="342" t="s">
        <v>479</v>
      </c>
      <c r="E491" s="623" t="s">
        <v>1705</v>
      </c>
      <c r="F491" s="637">
        <v>-260500</v>
      </c>
      <c r="G491" s="637">
        <v>-325625</v>
      </c>
      <c r="H491" s="637">
        <v>-390750</v>
      </c>
      <c r="I491" s="637">
        <v>-65125</v>
      </c>
      <c r="J491" s="637">
        <v>-130250</v>
      </c>
      <c r="K491" s="637">
        <v>-195375</v>
      </c>
      <c r="L491" s="637">
        <v>-260500</v>
      </c>
      <c r="M491" s="637">
        <v>-325625</v>
      </c>
      <c r="N491" s="637">
        <v>-390750</v>
      </c>
      <c r="O491" s="637">
        <v>-65125</v>
      </c>
      <c r="P491" s="637">
        <v>-130250</v>
      </c>
      <c r="Q491" s="637">
        <v>-195375</v>
      </c>
      <c r="R491" s="637">
        <v>-260500</v>
      </c>
      <c r="S491" s="514">
        <f t="shared" si="124"/>
        <v>-227937.5</v>
      </c>
      <c r="T491" s="638"/>
      <c r="U491" s="675"/>
      <c r="V491" s="713">
        <f t="shared" si="128"/>
        <v>-227937.5</v>
      </c>
      <c r="W491" s="713"/>
      <c r="X491" s="736"/>
      <c r="Y491" s="713"/>
      <c r="Z491" s="713"/>
      <c r="AA491" s="675"/>
      <c r="AB491" s="713"/>
      <c r="AC491" s="676"/>
      <c r="AD491" s="677">
        <f t="shared" si="129"/>
        <v>-227937.5</v>
      </c>
      <c r="AE491" s="676"/>
      <c r="AF491" s="711">
        <f t="shared" si="116"/>
        <v>0</v>
      </c>
    </row>
    <row r="492" spans="1:32">
      <c r="A492" s="638">
        <v>480</v>
      </c>
      <c r="B492" s="342" t="s">
        <v>981</v>
      </c>
      <c r="C492" s="342" t="s">
        <v>615</v>
      </c>
      <c r="D492" s="342" t="s">
        <v>481</v>
      </c>
      <c r="E492" s="623" t="s">
        <v>1706</v>
      </c>
      <c r="F492" s="637">
        <v>-772000</v>
      </c>
      <c r="G492" s="637">
        <v>-965000</v>
      </c>
      <c r="H492" s="637">
        <v>-1158000</v>
      </c>
      <c r="I492" s="637">
        <v>-193000</v>
      </c>
      <c r="J492" s="637">
        <v>-386000</v>
      </c>
      <c r="K492" s="637">
        <v>-579000</v>
      </c>
      <c r="L492" s="637">
        <v>-772000</v>
      </c>
      <c r="M492" s="637">
        <v>-965000</v>
      </c>
      <c r="N492" s="637">
        <v>-1158000</v>
      </c>
      <c r="O492" s="637">
        <v>-193000</v>
      </c>
      <c r="P492" s="637">
        <v>-386000</v>
      </c>
      <c r="Q492" s="637">
        <v>-579000</v>
      </c>
      <c r="R492" s="637">
        <v>-772000</v>
      </c>
      <c r="S492" s="514">
        <f t="shared" si="124"/>
        <v>-675500</v>
      </c>
      <c r="T492" s="638"/>
      <c r="U492" s="675"/>
      <c r="V492" s="713">
        <f t="shared" si="128"/>
        <v>-675500</v>
      </c>
      <c r="W492" s="713"/>
      <c r="X492" s="736"/>
      <c r="Y492" s="713"/>
      <c r="Z492" s="713"/>
      <c r="AA492" s="675"/>
      <c r="AB492" s="713"/>
      <c r="AC492" s="676"/>
      <c r="AD492" s="677">
        <f t="shared" si="129"/>
        <v>-675500</v>
      </c>
      <c r="AE492" s="676"/>
      <c r="AF492" s="711">
        <f t="shared" si="116"/>
        <v>0</v>
      </c>
    </row>
    <row r="493" spans="1:32">
      <c r="A493" s="638">
        <v>481</v>
      </c>
      <c r="B493" s="342" t="s">
        <v>981</v>
      </c>
      <c r="C493" s="342" t="s">
        <v>615</v>
      </c>
      <c r="D493" s="342" t="s">
        <v>483</v>
      </c>
      <c r="E493" s="623" t="s">
        <v>1707</v>
      </c>
      <c r="F493" s="637">
        <v>-342500</v>
      </c>
      <c r="G493" s="637">
        <v>-428125</v>
      </c>
      <c r="H493" s="637">
        <v>0</v>
      </c>
      <c r="I493" s="637">
        <v>-85625</v>
      </c>
      <c r="J493" s="637">
        <v>-171250</v>
      </c>
      <c r="K493" s="637">
        <v>-256875</v>
      </c>
      <c r="L493" s="637">
        <v>-342500</v>
      </c>
      <c r="M493" s="637">
        <v>-428125</v>
      </c>
      <c r="N493" s="637">
        <v>0</v>
      </c>
      <c r="O493" s="637">
        <v>-85625</v>
      </c>
      <c r="P493" s="637">
        <v>-171250</v>
      </c>
      <c r="Q493" s="637">
        <v>-256875</v>
      </c>
      <c r="R493" s="637">
        <v>-342500</v>
      </c>
      <c r="S493" s="514">
        <f t="shared" si="124"/>
        <v>-214062.5</v>
      </c>
      <c r="T493" s="638"/>
      <c r="U493" s="675"/>
      <c r="V493" s="713">
        <f t="shared" si="128"/>
        <v>-214062.5</v>
      </c>
      <c r="W493" s="713"/>
      <c r="X493" s="736"/>
      <c r="Y493" s="713"/>
      <c r="Z493" s="713"/>
      <c r="AA493" s="675"/>
      <c r="AB493" s="713"/>
      <c r="AC493" s="676"/>
      <c r="AD493" s="677">
        <f t="shared" si="129"/>
        <v>-214062.5</v>
      </c>
      <c r="AE493" s="676"/>
      <c r="AF493" s="711">
        <f t="shared" si="116"/>
        <v>0</v>
      </c>
    </row>
    <row r="494" spans="1:32">
      <c r="A494" s="638">
        <v>482</v>
      </c>
      <c r="B494" s="342" t="s">
        <v>981</v>
      </c>
      <c r="C494" s="342" t="s">
        <v>615</v>
      </c>
      <c r="D494" s="342" t="s">
        <v>485</v>
      </c>
      <c r="E494" s="623" t="s">
        <v>1708</v>
      </c>
      <c r="F494" s="637">
        <v>-363333.33</v>
      </c>
      <c r="G494" s="637">
        <v>-454166.66</v>
      </c>
      <c r="H494" s="637">
        <v>-5.8207660913467401E-11</v>
      </c>
      <c r="I494" s="637">
        <v>-90833.330000000104</v>
      </c>
      <c r="J494" s="637">
        <v>-181666.66</v>
      </c>
      <c r="K494" s="637">
        <v>-272500</v>
      </c>
      <c r="L494" s="637">
        <v>-363333.33</v>
      </c>
      <c r="M494" s="637">
        <v>-454166.66</v>
      </c>
      <c r="N494" s="637">
        <v>-1.16415321826935E-10</v>
      </c>
      <c r="O494" s="637">
        <v>-90833.330000000104</v>
      </c>
      <c r="P494" s="637">
        <v>-181666.66</v>
      </c>
      <c r="Q494" s="637">
        <v>-272500</v>
      </c>
      <c r="R494" s="637">
        <v>-363333.33</v>
      </c>
      <c r="S494" s="514">
        <f t="shared" si="124"/>
        <v>-227083.33</v>
      </c>
      <c r="T494" s="638"/>
      <c r="U494" s="675"/>
      <c r="V494" s="713">
        <f t="shared" si="128"/>
        <v>-227083.33</v>
      </c>
      <c r="W494" s="713"/>
      <c r="X494" s="736"/>
      <c r="Y494" s="713"/>
      <c r="Z494" s="713"/>
      <c r="AA494" s="675"/>
      <c r="AB494" s="713"/>
      <c r="AC494" s="676"/>
      <c r="AD494" s="677">
        <f t="shared" si="129"/>
        <v>-227083.33</v>
      </c>
      <c r="AE494" s="676"/>
      <c r="AF494" s="711">
        <f t="shared" si="116"/>
        <v>0</v>
      </c>
    </row>
    <row r="495" spans="1:32">
      <c r="A495" s="638">
        <v>483</v>
      </c>
      <c r="B495" s="342" t="s">
        <v>981</v>
      </c>
      <c r="C495" s="342" t="s">
        <v>615</v>
      </c>
      <c r="D495" s="342" t="s">
        <v>488</v>
      </c>
      <c r="E495" s="623" t="s">
        <v>1709</v>
      </c>
      <c r="F495" s="637">
        <v>-42604.17</v>
      </c>
      <c r="G495" s="637">
        <v>-85208.34</v>
      </c>
      <c r="H495" s="637">
        <v>-127812.5</v>
      </c>
      <c r="I495" s="637">
        <v>-170416.67</v>
      </c>
      <c r="J495" s="637">
        <v>-213020.84</v>
      </c>
      <c r="K495" s="637">
        <v>2.91038304567337E-11</v>
      </c>
      <c r="L495" s="637">
        <v>-42604.17</v>
      </c>
      <c r="M495" s="637">
        <v>-85208.34</v>
      </c>
      <c r="N495" s="637">
        <v>-127812.5</v>
      </c>
      <c r="O495" s="637">
        <v>-170416.67</v>
      </c>
      <c r="P495" s="637">
        <v>-213020.84</v>
      </c>
      <c r="Q495" s="637">
        <v>2.91038304567337E-11</v>
      </c>
      <c r="R495" s="637">
        <v>-42604.17</v>
      </c>
      <c r="S495" s="514">
        <f t="shared" si="124"/>
        <v>-106510.42</v>
      </c>
      <c r="T495" s="638"/>
      <c r="U495" s="675"/>
      <c r="V495" s="713">
        <f t="shared" si="128"/>
        <v>-106510.42</v>
      </c>
      <c r="W495" s="713"/>
      <c r="X495" s="736"/>
      <c r="Y495" s="713"/>
      <c r="Z495" s="713"/>
      <c r="AA495" s="675"/>
      <c r="AB495" s="713"/>
      <c r="AC495" s="676"/>
      <c r="AD495" s="677">
        <f t="shared" si="129"/>
        <v>-106510.42</v>
      </c>
      <c r="AE495" s="676"/>
      <c r="AF495" s="711">
        <f t="shared" si="116"/>
        <v>0</v>
      </c>
    </row>
    <row r="496" spans="1:32">
      <c r="A496" s="638">
        <v>484</v>
      </c>
      <c r="B496" s="342" t="s">
        <v>981</v>
      </c>
      <c r="C496" s="342" t="s">
        <v>615</v>
      </c>
      <c r="D496" s="342" t="s">
        <v>489</v>
      </c>
      <c r="E496" s="623" t="s">
        <v>1710</v>
      </c>
      <c r="F496" s="637">
        <v>-44166.67</v>
      </c>
      <c r="G496" s="637">
        <v>-88333.34</v>
      </c>
      <c r="H496" s="637">
        <v>-132500</v>
      </c>
      <c r="I496" s="637">
        <v>-176666.67</v>
      </c>
      <c r="J496" s="637">
        <v>-220833.34</v>
      </c>
      <c r="K496" s="637">
        <v>2.91038304567337E-11</v>
      </c>
      <c r="L496" s="637">
        <v>-44166.67</v>
      </c>
      <c r="M496" s="637">
        <v>-88333.34</v>
      </c>
      <c r="N496" s="637">
        <v>-132500</v>
      </c>
      <c r="O496" s="637">
        <v>-176666.67</v>
      </c>
      <c r="P496" s="637">
        <v>-220833.34</v>
      </c>
      <c r="Q496" s="637">
        <v>2.91038304567337E-11</v>
      </c>
      <c r="R496" s="637">
        <v>-44166.67</v>
      </c>
      <c r="S496" s="514">
        <f t="shared" si="124"/>
        <v>-110416.67</v>
      </c>
      <c r="T496" s="638"/>
      <c r="U496" s="675"/>
      <c r="V496" s="713">
        <f t="shared" si="128"/>
        <v>-110416.67</v>
      </c>
      <c r="W496" s="713"/>
      <c r="X496" s="736"/>
      <c r="Y496" s="713"/>
      <c r="Z496" s="713"/>
      <c r="AA496" s="675"/>
      <c r="AB496" s="713"/>
      <c r="AC496" s="676"/>
      <c r="AD496" s="677">
        <f t="shared" si="129"/>
        <v>-110416.67</v>
      </c>
      <c r="AE496" s="676"/>
      <c r="AF496" s="711">
        <f t="shared" si="116"/>
        <v>0</v>
      </c>
    </row>
    <row r="497" spans="1:32">
      <c r="A497" s="638">
        <v>485</v>
      </c>
      <c r="B497" s="342" t="s">
        <v>981</v>
      </c>
      <c r="C497" s="342" t="s">
        <v>615</v>
      </c>
      <c r="D497" s="342" t="s">
        <v>490</v>
      </c>
      <c r="E497" s="623" t="s">
        <v>1711</v>
      </c>
      <c r="F497" s="637">
        <v>-213020.83</v>
      </c>
      <c r="G497" s="637">
        <v>0</v>
      </c>
      <c r="H497" s="637">
        <v>-42604.17</v>
      </c>
      <c r="I497" s="637">
        <v>-85208.34</v>
      </c>
      <c r="J497" s="637">
        <v>-127812.5</v>
      </c>
      <c r="K497" s="637">
        <v>-170416.67</v>
      </c>
      <c r="L497" s="637">
        <v>-213020.84</v>
      </c>
      <c r="M497" s="637">
        <v>2.91038304567337E-11</v>
      </c>
      <c r="N497" s="637">
        <v>-42604.17</v>
      </c>
      <c r="O497" s="637">
        <v>-85208.34</v>
      </c>
      <c r="P497" s="637">
        <v>-127812.5</v>
      </c>
      <c r="Q497" s="637">
        <v>-170416.67</v>
      </c>
      <c r="R497" s="637">
        <v>-213020.84</v>
      </c>
      <c r="S497" s="514">
        <f t="shared" si="124"/>
        <v>-106510.41958333332</v>
      </c>
      <c r="T497" s="638"/>
      <c r="U497" s="675"/>
      <c r="V497" s="713">
        <f t="shared" si="128"/>
        <v>-106510.41958333332</v>
      </c>
      <c r="W497" s="713"/>
      <c r="X497" s="736"/>
      <c r="Y497" s="713"/>
      <c r="Z497" s="713"/>
      <c r="AA497" s="675"/>
      <c r="AB497" s="713"/>
      <c r="AC497" s="676"/>
      <c r="AD497" s="677">
        <f t="shared" si="129"/>
        <v>-106510.41958333332</v>
      </c>
      <c r="AE497" s="676"/>
      <c r="AF497" s="711">
        <f t="shared" si="116"/>
        <v>0</v>
      </c>
    </row>
    <row r="498" spans="1:32">
      <c r="A498" s="638">
        <v>486</v>
      </c>
      <c r="B498" s="342" t="s">
        <v>981</v>
      </c>
      <c r="C498" s="342" t="s">
        <v>615</v>
      </c>
      <c r="D498" s="342" t="s">
        <v>491</v>
      </c>
      <c r="E498" s="623" t="s">
        <v>1712</v>
      </c>
      <c r="F498" s="637">
        <v>-220833.33</v>
      </c>
      <c r="G498" s="637">
        <v>0</v>
      </c>
      <c r="H498" s="637">
        <v>-44166.67</v>
      </c>
      <c r="I498" s="637">
        <v>-88333.34</v>
      </c>
      <c r="J498" s="637">
        <v>-132500</v>
      </c>
      <c r="K498" s="637">
        <v>-176666.67</v>
      </c>
      <c r="L498" s="637">
        <v>-220833.34</v>
      </c>
      <c r="M498" s="637">
        <v>2.91038304567337E-11</v>
      </c>
      <c r="N498" s="637">
        <v>-44166.67</v>
      </c>
      <c r="O498" s="637">
        <v>-88333.34</v>
      </c>
      <c r="P498" s="637">
        <v>-132500</v>
      </c>
      <c r="Q498" s="637">
        <v>-176666.67</v>
      </c>
      <c r="R498" s="637">
        <v>-220833.34</v>
      </c>
      <c r="S498" s="514">
        <f t="shared" si="124"/>
        <v>-110416.66958333332</v>
      </c>
      <c r="T498" s="638"/>
      <c r="U498" s="675"/>
      <c r="V498" s="713">
        <f t="shared" si="128"/>
        <v>-110416.66958333332</v>
      </c>
      <c r="W498" s="713"/>
      <c r="X498" s="736"/>
      <c r="Y498" s="713"/>
      <c r="Z498" s="713"/>
      <c r="AA498" s="675"/>
      <c r="AB498" s="713"/>
      <c r="AC498" s="676"/>
      <c r="AD498" s="677">
        <f t="shared" si="129"/>
        <v>-110416.66958333332</v>
      </c>
      <c r="AE498" s="676"/>
      <c r="AF498" s="711">
        <f t="shared" si="116"/>
        <v>0</v>
      </c>
    </row>
    <row r="499" spans="1:32">
      <c r="A499" s="638">
        <v>487</v>
      </c>
      <c r="B499" s="342" t="s">
        <v>981</v>
      </c>
      <c r="C499" s="342" t="s">
        <v>615</v>
      </c>
      <c r="D499" s="342" t="s">
        <v>1898</v>
      </c>
      <c r="E499" s="623" t="s">
        <v>1939</v>
      </c>
      <c r="F499" s="637">
        <v>0</v>
      </c>
      <c r="G499" s="637">
        <v>0</v>
      </c>
      <c r="H499" s="637">
        <v>0</v>
      </c>
      <c r="I499" s="637">
        <v>0</v>
      </c>
      <c r="J499" s="637">
        <v>0</v>
      </c>
      <c r="K499" s="637">
        <v>0</v>
      </c>
      <c r="L499" s="637">
        <v>-75416.67</v>
      </c>
      <c r="M499" s="637">
        <v>-150833.34</v>
      </c>
      <c r="N499" s="637">
        <v>-226250</v>
      </c>
      <c r="O499" s="637">
        <v>-301666.67</v>
      </c>
      <c r="P499" s="637">
        <v>-377083.34</v>
      </c>
      <c r="Q499" s="637">
        <v>-452500</v>
      </c>
      <c r="R499" s="637">
        <v>-75416.67</v>
      </c>
      <c r="S499" s="514">
        <f t="shared" si="124"/>
        <v>-135121.52958333332</v>
      </c>
      <c r="T499" s="638"/>
      <c r="U499" s="675"/>
      <c r="V499" s="713">
        <f>+S499</f>
        <v>-135121.52958333332</v>
      </c>
      <c r="W499" s="713"/>
      <c r="X499" s="736"/>
      <c r="Y499" s="713"/>
      <c r="Z499" s="713"/>
      <c r="AA499" s="675"/>
      <c r="AB499" s="713"/>
      <c r="AC499" s="676"/>
      <c r="AD499" s="677">
        <f t="shared" si="129"/>
        <v>-135121.52958333332</v>
      </c>
      <c r="AE499" s="676"/>
      <c r="AF499" s="711">
        <f t="shared" si="116"/>
        <v>0</v>
      </c>
    </row>
    <row r="500" spans="1:32">
      <c r="A500" s="638">
        <v>488</v>
      </c>
      <c r="B500" s="342" t="s">
        <v>981</v>
      </c>
      <c r="C500" s="342" t="s">
        <v>615</v>
      </c>
      <c r="D500" s="342" t="s">
        <v>1900</v>
      </c>
      <c r="E500" s="623" t="s">
        <v>1940</v>
      </c>
      <c r="F500" s="637">
        <v>0</v>
      </c>
      <c r="G500" s="637">
        <v>0</v>
      </c>
      <c r="H500" s="637">
        <v>0</v>
      </c>
      <c r="I500" s="637">
        <v>0</v>
      </c>
      <c r="J500" s="637">
        <v>0</v>
      </c>
      <c r="K500" s="637">
        <v>0</v>
      </c>
      <c r="L500" s="637">
        <v>-63666.67</v>
      </c>
      <c r="M500" s="637">
        <v>-127333.34</v>
      </c>
      <c r="N500" s="637">
        <v>-191000</v>
      </c>
      <c r="O500" s="637">
        <v>-254666.67</v>
      </c>
      <c r="P500" s="637">
        <v>-318333.34000000003</v>
      </c>
      <c r="Q500" s="637">
        <v>-382000</v>
      </c>
      <c r="R500" s="637">
        <v>-63666.67</v>
      </c>
      <c r="S500" s="514">
        <f t="shared" si="124"/>
        <v>-114069.44624999999</v>
      </c>
      <c r="T500" s="638"/>
      <c r="U500" s="675"/>
      <c r="V500" s="713">
        <f>+S500</f>
        <v>-114069.44624999999</v>
      </c>
      <c r="W500" s="713"/>
      <c r="X500" s="736"/>
      <c r="Y500" s="713"/>
      <c r="Z500" s="713"/>
      <c r="AA500" s="675"/>
      <c r="AB500" s="713"/>
      <c r="AC500" s="676"/>
      <c r="AD500" s="677">
        <f t="shared" si="129"/>
        <v>-114069.44624999999</v>
      </c>
      <c r="AE500" s="676"/>
      <c r="AF500" s="711">
        <f t="shared" si="116"/>
        <v>0</v>
      </c>
    </row>
    <row r="501" spans="1:32">
      <c r="A501" s="638">
        <v>489</v>
      </c>
      <c r="B501" s="342" t="s">
        <v>981</v>
      </c>
      <c r="C501" s="342" t="s">
        <v>615</v>
      </c>
      <c r="D501" s="342" t="s">
        <v>1902</v>
      </c>
      <c r="E501" s="623" t="s">
        <v>1941</v>
      </c>
      <c r="F501" s="637">
        <v>0</v>
      </c>
      <c r="G501" s="637">
        <v>0</v>
      </c>
      <c r="H501" s="637">
        <v>0</v>
      </c>
      <c r="I501" s="637">
        <v>0</v>
      </c>
      <c r="J501" s="637">
        <v>0</v>
      </c>
      <c r="K501" s="637">
        <v>0</v>
      </c>
      <c r="L501" s="637">
        <v>-106500</v>
      </c>
      <c r="M501" s="637">
        <v>-213000</v>
      </c>
      <c r="N501" s="637">
        <v>-319500</v>
      </c>
      <c r="O501" s="637">
        <v>-426000</v>
      </c>
      <c r="P501" s="637">
        <v>-532500</v>
      </c>
      <c r="Q501" s="637">
        <v>-639000</v>
      </c>
      <c r="R501" s="637">
        <v>-106500</v>
      </c>
      <c r="S501" s="514">
        <f t="shared" si="124"/>
        <v>-190812.5</v>
      </c>
      <c r="T501" s="638"/>
      <c r="U501" s="675"/>
      <c r="V501" s="713">
        <f>+S501</f>
        <v>-190812.5</v>
      </c>
      <c r="W501" s="713"/>
      <c r="X501" s="736"/>
      <c r="Y501" s="713"/>
      <c r="Z501" s="713"/>
      <c r="AA501" s="675"/>
      <c r="AB501" s="713"/>
      <c r="AC501" s="676"/>
      <c r="AD501" s="677">
        <f t="shared" si="129"/>
        <v>-190812.5</v>
      </c>
      <c r="AE501" s="676"/>
      <c r="AF501" s="711">
        <f t="shared" si="116"/>
        <v>0</v>
      </c>
    </row>
    <row r="502" spans="1:32">
      <c r="A502" s="638">
        <v>490</v>
      </c>
      <c r="B502" s="342" t="s">
        <v>981</v>
      </c>
      <c r="C502" s="342" t="s">
        <v>1942</v>
      </c>
      <c r="D502" s="342" t="s">
        <v>382</v>
      </c>
      <c r="E502" s="623" t="s">
        <v>1943</v>
      </c>
      <c r="F502" s="637">
        <v>0</v>
      </c>
      <c r="G502" s="637">
        <v>-34533.33</v>
      </c>
      <c r="H502" s="637">
        <v>-103337.65</v>
      </c>
      <c r="I502" s="637">
        <v>-31325.55</v>
      </c>
      <c r="J502" s="637">
        <v>-127122.09</v>
      </c>
      <c r="K502" s="637">
        <v>-55447.77</v>
      </c>
      <c r="L502" s="637">
        <v>-18947.86</v>
      </c>
      <c r="M502" s="637">
        <v>-21537.69</v>
      </c>
      <c r="N502" s="637">
        <v>-23703.39</v>
      </c>
      <c r="O502" s="637">
        <v>-19801.3</v>
      </c>
      <c r="P502" s="637">
        <v>-20648.900000000001</v>
      </c>
      <c r="Q502" s="637">
        <v>-12266.68</v>
      </c>
      <c r="R502" s="637">
        <v>-9.9999999874853494E-3</v>
      </c>
      <c r="S502" s="514">
        <f t="shared" si="124"/>
        <v>-39056.017916666671</v>
      </c>
      <c r="T502" s="638"/>
      <c r="U502" s="675"/>
      <c r="V502" s="713">
        <f>+S502</f>
        <v>-39056.017916666671</v>
      </c>
      <c r="W502" s="713"/>
      <c r="X502" s="736"/>
      <c r="Y502" s="713"/>
      <c r="Z502" s="713"/>
      <c r="AA502" s="675"/>
      <c r="AB502" s="713"/>
      <c r="AC502" s="676"/>
      <c r="AD502" s="677">
        <f>+S502</f>
        <v>-39056.017916666671</v>
      </c>
      <c r="AE502" s="676"/>
      <c r="AF502" s="711">
        <f t="shared" si="116"/>
        <v>0</v>
      </c>
    </row>
    <row r="503" spans="1:32">
      <c r="A503" s="638">
        <v>491</v>
      </c>
      <c r="B503" s="342" t="s">
        <v>981</v>
      </c>
      <c r="C503" s="342" t="s">
        <v>615</v>
      </c>
      <c r="D503" s="342" t="s">
        <v>1141</v>
      </c>
      <c r="E503" s="623" t="s">
        <v>1437</v>
      </c>
      <c r="F503" s="637">
        <v>-3.6379788070917101E-12</v>
      </c>
      <c r="G503" s="637">
        <v>-8072.92</v>
      </c>
      <c r="H503" s="637">
        <v>-15364.59</v>
      </c>
      <c r="I503" s="637">
        <v>-520.84</v>
      </c>
      <c r="J503" s="637">
        <v>-8333.34</v>
      </c>
      <c r="K503" s="637">
        <v>-16406.259999999998</v>
      </c>
      <c r="L503" s="637">
        <v>-520.85000000000196</v>
      </c>
      <c r="M503" s="637">
        <v>-11284.74</v>
      </c>
      <c r="N503" s="637">
        <v>-22048.63</v>
      </c>
      <c r="O503" s="637">
        <v>0</v>
      </c>
      <c r="P503" s="637">
        <v>-10763.89</v>
      </c>
      <c r="Q503" s="637">
        <v>-21180.560000000001</v>
      </c>
      <c r="R503" s="637">
        <v>3.6379788070917101E-12</v>
      </c>
      <c r="S503" s="514">
        <f t="shared" si="124"/>
        <v>-9541.3850000000002</v>
      </c>
      <c r="T503" s="638"/>
      <c r="U503" s="675"/>
      <c r="V503" s="713">
        <f t="shared" si="128"/>
        <v>-9541.3850000000002</v>
      </c>
      <c r="W503" s="713"/>
      <c r="X503" s="736"/>
      <c r="Y503" s="713"/>
      <c r="Z503" s="713"/>
      <c r="AA503" s="675"/>
      <c r="AB503" s="713"/>
      <c r="AC503" s="676"/>
      <c r="AD503" s="677">
        <f t="shared" si="129"/>
        <v>-9541.3850000000002</v>
      </c>
      <c r="AE503" s="676"/>
      <c r="AF503" s="711">
        <f t="shared" si="116"/>
        <v>0</v>
      </c>
    </row>
    <row r="504" spans="1:32">
      <c r="A504" s="638">
        <v>492</v>
      </c>
      <c r="B504" s="342" t="s">
        <v>981</v>
      </c>
      <c r="C504" s="342" t="s">
        <v>615</v>
      </c>
      <c r="D504" s="342" t="s">
        <v>1215</v>
      </c>
      <c r="E504" s="623" t="s">
        <v>1438</v>
      </c>
      <c r="F504" s="637">
        <v>-43049.35</v>
      </c>
      <c r="G504" s="637">
        <v>-164373.76000000001</v>
      </c>
      <c r="H504" s="637">
        <v>-258762.12</v>
      </c>
      <c r="I504" s="637">
        <v>-59583.81</v>
      </c>
      <c r="J504" s="637">
        <v>-101923.77</v>
      </c>
      <c r="K504" s="637">
        <v>-278228.28000000003</v>
      </c>
      <c r="L504" s="637">
        <v>-5006.5</v>
      </c>
      <c r="M504" s="637">
        <v>-49420.89</v>
      </c>
      <c r="N504" s="637">
        <v>-125360.98</v>
      </c>
      <c r="O504" s="637">
        <v>-6581.11</v>
      </c>
      <c r="P504" s="637">
        <v>-22372.26</v>
      </c>
      <c r="Q504" s="637">
        <v>-73841.429999999993</v>
      </c>
      <c r="R504" s="637">
        <v>-16790.72</v>
      </c>
      <c r="S504" s="514">
        <f t="shared" si="124"/>
        <v>-97947.912083333315</v>
      </c>
      <c r="T504" s="638"/>
      <c r="U504" s="675"/>
      <c r="V504" s="713">
        <f t="shared" si="128"/>
        <v>-97947.912083333315</v>
      </c>
      <c r="W504" s="713"/>
      <c r="X504" s="736"/>
      <c r="Y504" s="713"/>
      <c r="Z504" s="713"/>
      <c r="AA504" s="675"/>
      <c r="AB504" s="713"/>
      <c r="AC504" s="676"/>
      <c r="AD504" s="677">
        <f t="shared" si="129"/>
        <v>-97947.912083333315</v>
      </c>
      <c r="AE504" s="676"/>
      <c r="AF504" s="711">
        <f t="shared" si="116"/>
        <v>0</v>
      </c>
    </row>
    <row r="505" spans="1:32">
      <c r="A505" s="638">
        <v>493</v>
      </c>
      <c r="B505" s="342" t="s">
        <v>981</v>
      </c>
      <c r="C505" s="342" t="s">
        <v>616</v>
      </c>
      <c r="D505" s="342" t="s">
        <v>528</v>
      </c>
      <c r="E505" s="623" t="s">
        <v>1716</v>
      </c>
      <c r="F505" s="637">
        <v>-1772825.1</v>
      </c>
      <c r="G505" s="637">
        <v>-2115086.0499999998</v>
      </c>
      <c r="H505" s="637">
        <v>-2114803.94</v>
      </c>
      <c r="I505" s="637">
        <v>-1186420.8400000001</v>
      </c>
      <c r="J505" s="637">
        <v>-1422780.04</v>
      </c>
      <c r="K505" s="637">
        <v>-1743994.17</v>
      </c>
      <c r="L505" s="637">
        <v>-1795389.35</v>
      </c>
      <c r="M505" s="637">
        <v>-2076333.56</v>
      </c>
      <c r="N505" s="637">
        <v>-1157908.2</v>
      </c>
      <c r="O505" s="637">
        <v>-1273699.3500000001</v>
      </c>
      <c r="P505" s="637">
        <v>-1610170.17</v>
      </c>
      <c r="Q505" s="637">
        <v>-1699953.15</v>
      </c>
      <c r="R505" s="637">
        <v>-1925850.86</v>
      </c>
      <c r="S505" s="514">
        <f t="shared" si="124"/>
        <v>-1670489.7333333332</v>
      </c>
      <c r="T505" s="638"/>
      <c r="U505" s="675"/>
      <c r="V505" s="713">
        <f t="shared" si="128"/>
        <v>-1670489.7333333332</v>
      </c>
      <c r="W505" s="713"/>
      <c r="X505" s="736"/>
      <c r="Y505" s="713"/>
      <c r="Z505" s="713"/>
      <c r="AA505" s="675"/>
      <c r="AB505" s="713"/>
      <c r="AC505" s="676"/>
      <c r="AD505" s="677">
        <f t="shared" si="129"/>
        <v>-1670489.7333333332</v>
      </c>
      <c r="AE505" s="676"/>
      <c r="AF505" s="711">
        <f t="shared" si="116"/>
        <v>0</v>
      </c>
    </row>
    <row r="506" spans="1:32">
      <c r="A506" s="638">
        <v>494</v>
      </c>
      <c r="B506" s="342" t="s">
        <v>981</v>
      </c>
      <c r="C506" s="342" t="s">
        <v>616</v>
      </c>
      <c r="D506" s="342" t="s">
        <v>563</v>
      </c>
      <c r="E506" s="623" t="s">
        <v>1717</v>
      </c>
      <c r="F506" s="637">
        <v>-982534</v>
      </c>
      <c r="G506" s="637">
        <v>-1089641.1399999999</v>
      </c>
      <c r="H506" s="637">
        <v>-222918.25</v>
      </c>
      <c r="I506" s="637">
        <v>-319418.82</v>
      </c>
      <c r="J506" s="637">
        <v>-418641.64</v>
      </c>
      <c r="K506" s="637">
        <v>-587312.63</v>
      </c>
      <c r="L506" s="637">
        <v>-716302.53</v>
      </c>
      <c r="M506" s="637">
        <v>-855958.61</v>
      </c>
      <c r="N506" s="637">
        <v>-985702.15</v>
      </c>
      <c r="O506" s="637">
        <v>-1110814.1299999999</v>
      </c>
      <c r="P506" s="637">
        <v>-1351211.96</v>
      </c>
      <c r="Q506" s="637">
        <v>-1798248.89</v>
      </c>
      <c r="R506" s="637">
        <v>-1697134.42</v>
      </c>
      <c r="S506" s="514">
        <f t="shared" si="124"/>
        <v>-899667.08000000007</v>
      </c>
      <c r="T506" s="638"/>
      <c r="U506" s="675"/>
      <c r="V506" s="713">
        <f t="shared" si="128"/>
        <v>-899667.08000000007</v>
      </c>
      <c r="W506" s="713"/>
      <c r="X506" s="736"/>
      <c r="Y506" s="713"/>
      <c r="Z506" s="713"/>
      <c r="AA506" s="675"/>
      <c r="AB506" s="713"/>
      <c r="AC506" s="676"/>
      <c r="AD506" s="677">
        <f t="shared" si="129"/>
        <v>-899667.08000000007</v>
      </c>
      <c r="AE506" s="676"/>
      <c r="AF506" s="711">
        <f t="shared" si="116"/>
        <v>0</v>
      </c>
    </row>
    <row r="507" spans="1:32">
      <c r="A507" s="638">
        <v>495</v>
      </c>
      <c r="B507" s="342" t="s">
        <v>981</v>
      </c>
      <c r="C507" s="342" t="s">
        <v>617</v>
      </c>
      <c r="D507" s="342" t="s">
        <v>1185</v>
      </c>
      <c r="E507" s="623" t="s">
        <v>1713</v>
      </c>
      <c r="F507" s="637">
        <v>-6948083.4400000004</v>
      </c>
      <c r="G507" s="637">
        <v>-99160</v>
      </c>
      <c r="H507" s="637">
        <v>-99160</v>
      </c>
      <c r="I507" s="637">
        <v>0</v>
      </c>
      <c r="J507" s="637">
        <v>0</v>
      </c>
      <c r="K507" s="637">
        <v>0</v>
      </c>
      <c r="L507" s="637">
        <v>-156910</v>
      </c>
      <c r="M507" s="637">
        <v>-130758.33</v>
      </c>
      <c r="N507" s="637">
        <v>-104606.66</v>
      </c>
      <c r="O507" s="637">
        <v>-121320</v>
      </c>
      <c r="P507" s="637">
        <v>-121320</v>
      </c>
      <c r="Q507" s="637">
        <v>0</v>
      </c>
      <c r="R507" s="637">
        <v>-219560</v>
      </c>
      <c r="S507" s="514">
        <f t="shared" si="124"/>
        <v>-368088.05916666664</v>
      </c>
      <c r="T507" s="638"/>
      <c r="U507" s="675"/>
      <c r="V507" s="713">
        <f t="shared" si="128"/>
        <v>-368088.05916666664</v>
      </c>
      <c r="W507" s="713"/>
      <c r="X507" s="736"/>
      <c r="Y507" s="713"/>
      <c r="Z507" s="713"/>
      <c r="AA507" s="675"/>
      <c r="AB507" s="713"/>
      <c r="AC507" s="676"/>
      <c r="AD507" s="677">
        <f t="shared" si="129"/>
        <v>-368088.05916666664</v>
      </c>
      <c r="AE507" s="676"/>
      <c r="AF507" s="711">
        <f t="shared" si="116"/>
        <v>0</v>
      </c>
    </row>
    <row r="508" spans="1:32">
      <c r="A508" s="638">
        <v>496</v>
      </c>
      <c r="B508" s="342" t="s">
        <v>1883</v>
      </c>
      <c r="C508" s="342" t="s">
        <v>617</v>
      </c>
      <c r="D508" s="342" t="s">
        <v>1141</v>
      </c>
      <c r="E508" s="623" t="s">
        <v>1713</v>
      </c>
      <c r="F508" s="637">
        <v>0</v>
      </c>
      <c r="G508" s="637">
        <v>-713994.61</v>
      </c>
      <c r="H508" s="637">
        <v>0</v>
      </c>
      <c r="I508" s="637">
        <v>0</v>
      </c>
      <c r="J508" s="637">
        <v>0</v>
      </c>
      <c r="K508" s="637">
        <v>0</v>
      </c>
      <c r="L508" s="637">
        <v>0</v>
      </c>
      <c r="M508" s="637">
        <v>0</v>
      </c>
      <c r="N508" s="637">
        <v>-72840.87</v>
      </c>
      <c r="O508" s="637">
        <v>0</v>
      </c>
      <c r="P508" s="637">
        <v>-125578.49</v>
      </c>
      <c r="Q508" s="637">
        <v>-525780</v>
      </c>
      <c r="R508" s="637">
        <v>0</v>
      </c>
      <c r="S508" s="514">
        <f t="shared" si="124"/>
        <v>-119849.4975</v>
      </c>
      <c r="T508" s="638"/>
      <c r="U508" s="675"/>
      <c r="V508" s="713">
        <f>+S508</f>
        <v>-119849.4975</v>
      </c>
      <c r="W508" s="713"/>
      <c r="X508" s="736"/>
      <c r="Y508" s="713"/>
      <c r="Z508" s="713"/>
      <c r="AA508" s="675"/>
      <c r="AB508" s="713"/>
      <c r="AC508" s="676"/>
      <c r="AD508" s="677">
        <f t="shared" si="129"/>
        <v>-119849.4975</v>
      </c>
      <c r="AE508" s="676"/>
      <c r="AF508" s="711">
        <f t="shared" si="116"/>
        <v>0</v>
      </c>
    </row>
    <row r="509" spans="1:32">
      <c r="A509" s="638">
        <v>497</v>
      </c>
      <c r="B509" s="342" t="s">
        <v>1883</v>
      </c>
      <c r="C509" s="342" t="s">
        <v>617</v>
      </c>
      <c r="D509" s="342" t="s">
        <v>1890</v>
      </c>
      <c r="E509" s="623" t="s">
        <v>1713</v>
      </c>
      <c r="F509" s="637">
        <v>0</v>
      </c>
      <c r="G509" s="637">
        <v>-1894417.12</v>
      </c>
      <c r="H509" s="637">
        <v>-997396.76</v>
      </c>
      <c r="I509" s="637">
        <v>-2760740.36</v>
      </c>
      <c r="J509" s="637">
        <v>-3565589.79</v>
      </c>
      <c r="K509" s="637">
        <v>-3293283.16</v>
      </c>
      <c r="L509" s="637">
        <v>-3491847.81</v>
      </c>
      <c r="M509" s="637">
        <v>-3678346.64</v>
      </c>
      <c r="N509" s="637">
        <v>-3668579.89</v>
      </c>
      <c r="O509" s="637">
        <v>-3989647.66</v>
      </c>
      <c r="P509" s="637">
        <v>-4882069.3600000003</v>
      </c>
      <c r="Q509" s="637">
        <v>-5803500.46</v>
      </c>
      <c r="R509" s="637">
        <v>-4864687.42</v>
      </c>
      <c r="S509" s="514">
        <f t="shared" si="124"/>
        <v>-3371480.2266666666</v>
      </c>
      <c r="T509" s="638"/>
      <c r="U509" s="675"/>
      <c r="V509" s="713">
        <f t="shared" ref="V509:V510" si="130">+S509</f>
        <v>-3371480.2266666666</v>
      </c>
      <c r="W509" s="713"/>
      <c r="X509" s="736"/>
      <c r="Y509" s="713"/>
      <c r="Z509" s="713"/>
      <c r="AA509" s="675"/>
      <c r="AB509" s="713"/>
      <c r="AC509" s="676"/>
      <c r="AD509" s="677">
        <f t="shared" si="129"/>
        <v>-3371480.2266666666</v>
      </c>
      <c r="AE509" s="676"/>
      <c r="AF509" s="711"/>
    </row>
    <row r="510" spans="1:32">
      <c r="A510" s="638">
        <v>498</v>
      </c>
      <c r="B510" s="342" t="s">
        <v>1883</v>
      </c>
      <c r="C510" s="342" t="s">
        <v>617</v>
      </c>
      <c r="D510" s="342" t="s">
        <v>1892</v>
      </c>
      <c r="E510" s="623" t="s">
        <v>1713</v>
      </c>
      <c r="F510" s="637">
        <v>0</v>
      </c>
      <c r="G510" s="637">
        <v>-8157943.2599999998</v>
      </c>
      <c r="H510" s="637">
        <v>-3636088.48</v>
      </c>
      <c r="I510" s="637">
        <v>-8684567.4199999999</v>
      </c>
      <c r="J510" s="637">
        <v>-7979296.3799999999</v>
      </c>
      <c r="K510" s="637">
        <v>-8166425.1600000001</v>
      </c>
      <c r="L510" s="637">
        <v>-8625732.5</v>
      </c>
      <c r="M510" s="637">
        <v>-9476818.3599999994</v>
      </c>
      <c r="N510" s="637">
        <v>-9878731.6199999992</v>
      </c>
      <c r="O510" s="637">
        <v>-10734957.460000001</v>
      </c>
      <c r="P510" s="637">
        <v>-11316705.210000001</v>
      </c>
      <c r="Q510" s="637">
        <v>-11092668.49</v>
      </c>
      <c r="R510" s="637">
        <v>-9808230.1500000004</v>
      </c>
      <c r="S510" s="514">
        <f t="shared" si="124"/>
        <v>-8554504.117916666</v>
      </c>
      <c r="T510" s="638"/>
      <c r="U510" s="675"/>
      <c r="V510" s="713">
        <f t="shared" si="130"/>
        <v>-8554504.117916666</v>
      </c>
      <c r="W510" s="713"/>
      <c r="X510" s="736"/>
      <c r="Y510" s="713"/>
      <c r="Z510" s="713"/>
      <c r="AA510" s="675"/>
      <c r="AB510" s="713"/>
      <c r="AC510" s="676"/>
      <c r="AD510" s="677">
        <f t="shared" si="129"/>
        <v>-8554504.117916666</v>
      </c>
      <c r="AE510" s="676"/>
      <c r="AF510" s="711"/>
    </row>
    <row r="511" spans="1:32">
      <c r="A511" s="638">
        <v>499</v>
      </c>
      <c r="B511" s="342" t="s">
        <v>981</v>
      </c>
      <c r="C511" s="342" t="s">
        <v>617</v>
      </c>
      <c r="D511" s="342" t="s">
        <v>1228</v>
      </c>
      <c r="E511" s="623" t="s">
        <v>1714</v>
      </c>
      <c r="F511" s="637">
        <v>-69203.53</v>
      </c>
      <c r="G511" s="637">
        <v>-28362.46</v>
      </c>
      <c r="H511" s="637">
        <v>-56724.92</v>
      </c>
      <c r="I511" s="637">
        <v>-79779.47</v>
      </c>
      <c r="J511" s="637">
        <v>-34180.089999999997</v>
      </c>
      <c r="K511" s="637">
        <v>-57234.64</v>
      </c>
      <c r="L511" s="637">
        <v>-80289.19</v>
      </c>
      <c r="M511" s="637">
        <v>-34689.81</v>
      </c>
      <c r="N511" s="637">
        <v>-57744.36</v>
      </c>
      <c r="O511" s="637">
        <v>-80798.91</v>
      </c>
      <c r="P511" s="637">
        <v>-35199.53</v>
      </c>
      <c r="Q511" s="637">
        <v>-58254.080000000002</v>
      </c>
      <c r="R511" s="637">
        <v>0</v>
      </c>
      <c r="S511" s="514">
        <f t="shared" si="124"/>
        <v>-53154.935416666667</v>
      </c>
      <c r="T511" s="638"/>
      <c r="U511" s="675"/>
      <c r="V511" s="713">
        <f t="shared" si="128"/>
        <v>-53154.935416666667</v>
      </c>
      <c r="W511" s="713"/>
      <c r="X511" s="736"/>
      <c r="Y511" s="713"/>
      <c r="Z511" s="713"/>
      <c r="AA511" s="675"/>
      <c r="AB511" s="713"/>
      <c r="AC511" s="676"/>
      <c r="AD511" s="677">
        <f t="shared" si="129"/>
        <v>-53154.935416666667</v>
      </c>
      <c r="AE511" s="676"/>
      <c r="AF511" s="711">
        <f t="shared" si="116"/>
        <v>0</v>
      </c>
    </row>
    <row r="512" spans="1:32">
      <c r="A512" s="638">
        <v>500</v>
      </c>
      <c r="B512" s="342" t="s">
        <v>981</v>
      </c>
      <c r="C512" s="342" t="s">
        <v>617</v>
      </c>
      <c r="D512" s="342" t="s">
        <v>1229</v>
      </c>
      <c r="E512" s="623" t="s">
        <v>1715</v>
      </c>
      <c r="F512" s="637">
        <v>-577471</v>
      </c>
      <c r="G512" s="637">
        <v>-577471</v>
      </c>
      <c r="H512" s="637">
        <v>-577471</v>
      </c>
      <c r="I512" s="637">
        <v>-577471</v>
      </c>
      <c r="J512" s="637">
        <v>-577471</v>
      </c>
      <c r="K512" s="637">
        <v>-577471</v>
      </c>
      <c r="L512" s="637">
        <v>-577471</v>
      </c>
      <c r="M512" s="637">
        <v>-577471</v>
      </c>
      <c r="N512" s="637">
        <v>-577471</v>
      </c>
      <c r="O512" s="637">
        <v>-577471</v>
      </c>
      <c r="P512" s="637">
        <v>-577471</v>
      </c>
      <c r="Q512" s="637">
        <v>-577471</v>
      </c>
      <c r="R512" s="637">
        <v>-554325</v>
      </c>
      <c r="S512" s="514">
        <f t="shared" si="124"/>
        <v>-576506.58333333337</v>
      </c>
      <c r="T512" s="638"/>
      <c r="U512" s="675"/>
      <c r="V512" s="713">
        <f t="shared" si="128"/>
        <v>-576506.58333333337</v>
      </c>
      <c r="W512" s="713"/>
      <c r="X512" s="736"/>
      <c r="Y512" s="713"/>
      <c r="Z512" s="713"/>
      <c r="AA512" s="675"/>
      <c r="AB512" s="713"/>
      <c r="AC512" s="676"/>
      <c r="AD512" s="677">
        <f t="shared" si="129"/>
        <v>-576506.58333333337</v>
      </c>
      <c r="AE512" s="676"/>
      <c r="AF512" s="711">
        <f t="shared" si="116"/>
        <v>0</v>
      </c>
    </row>
    <row r="513" spans="1:32">
      <c r="A513" s="638">
        <v>502</v>
      </c>
      <c r="B513" s="342" t="s">
        <v>981</v>
      </c>
      <c r="C513" s="342" t="s">
        <v>618</v>
      </c>
      <c r="D513" s="342" t="s">
        <v>528</v>
      </c>
      <c r="E513" s="623" t="s">
        <v>619</v>
      </c>
      <c r="F513" s="637">
        <v>-2189962.41</v>
      </c>
      <c r="G513" s="637">
        <v>-2198277.29</v>
      </c>
      <c r="H513" s="637">
        <v>-2204143.64</v>
      </c>
      <c r="I513" s="637">
        <v>-2095013.38</v>
      </c>
      <c r="J513" s="637">
        <v>-2101426.5499999998</v>
      </c>
      <c r="K513" s="637">
        <v>-2108128.67</v>
      </c>
      <c r="L513" s="637">
        <v>-2020123.2</v>
      </c>
      <c r="M513" s="637">
        <v>-1998084.12</v>
      </c>
      <c r="N513" s="637">
        <v>-2003884.61</v>
      </c>
      <c r="O513" s="637">
        <v>-2008086.09</v>
      </c>
      <c r="P513" s="637">
        <v>-1996777.14</v>
      </c>
      <c r="Q513" s="637">
        <v>-1994703.23</v>
      </c>
      <c r="R513" s="637">
        <v>-2137261.0299999998</v>
      </c>
      <c r="S513" s="514">
        <f t="shared" si="124"/>
        <v>-2074354.9699999997</v>
      </c>
      <c r="T513" s="638"/>
      <c r="U513" s="675"/>
      <c r="V513" s="713">
        <f t="shared" si="128"/>
        <v>-2074354.9699999997</v>
      </c>
      <c r="W513" s="713"/>
      <c r="X513" s="736"/>
      <c r="Y513" s="713"/>
      <c r="Z513" s="713"/>
      <c r="AA513" s="675"/>
      <c r="AB513" s="713"/>
      <c r="AC513" s="676"/>
      <c r="AD513" s="677">
        <f t="shared" si="129"/>
        <v>-2074354.9699999997</v>
      </c>
      <c r="AE513" s="676"/>
      <c r="AF513" s="711">
        <f t="shared" si="116"/>
        <v>0</v>
      </c>
    </row>
    <row r="514" spans="1:32">
      <c r="A514" s="638">
        <v>503</v>
      </c>
      <c r="B514" s="342" t="s">
        <v>981</v>
      </c>
      <c r="C514" s="342" t="s">
        <v>1439</v>
      </c>
      <c r="D514" s="342" t="s">
        <v>382</v>
      </c>
      <c r="E514" s="623" t="s">
        <v>451</v>
      </c>
      <c r="F514" s="637">
        <v>-727822.38</v>
      </c>
      <c r="G514" s="637">
        <v>-306376.63</v>
      </c>
      <c r="H514" s="637">
        <v>-2912373.68</v>
      </c>
      <c r="I514" s="637">
        <v>4.65661287307739E-10</v>
      </c>
      <c r="J514" s="637">
        <v>-38913.8299999995</v>
      </c>
      <c r="K514" s="637">
        <v>-316739.25</v>
      </c>
      <c r="L514" s="637">
        <v>-21728.059999999499</v>
      </c>
      <c r="M514" s="637">
        <v>-317082.17</v>
      </c>
      <c r="N514" s="637">
        <v>-397858.57999999903</v>
      </c>
      <c r="O514" s="637">
        <v>-392578.57999999903</v>
      </c>
      <c r="P514" s="637">
        <v>-521056.76999999903</v>
      </c>
      <c r="Q514" s="637">
        <v>-556557.049999999</v>
      </c>
      <c r="R514" s="637">
        <v>5.8207660913467397E-10</v>
      </c>
      <c r="S514" s="514">
        <f t="shared" si="124"/>
        <v>-512097.98249999946</v>
      </c>
      <c r="T514" s="638"/>
      <c r="U514" s="675"/>
      <c r="V514" s="713">
        <f t="shared" si="128"/>
        <v>-512097.98249999946</v>
      </c>
      <c r="W514" s="713"/>
      <c r="X514" s="736"/>
      <c r="Y514" s="713"/>
      <c r="Z514" s="713"/>
      <c r="AA514" s="675"/>
      <c r="AB514" s="713"/>
      <c r="AC514" s="676"/>
      <c r="AD514" s="677">
        <f t="shared" si="129"/>
        <v>-512097.98249999946</v>
      </c>
      <c r="AE514" s="676"/>
      <c r="AF514" s="711">
        <f t="shared" ref="AF514:AF579" si="131">+U514+V514-AD514</f>
        <v>0</v>
      </c>
    </row>
    <row r="515" spans="1:32">
      <c r="A515" s="638">
        <v>504</v>
      </c>
      <c r="B515" s="342" t="s">
        <v>981</v>
      </c>
      <c r="C515" s="342" t="s">
        <v>620</v>
      </c>
      <c r="D515" s="342" t="s">
        <v>1230</v>
      </c>
      <c r="E515" s="623" t="s">
        <v>1721</v>
      </c>
      <c r="F515" s="637">
        <v>-106849.59</v>
      </c>
      <c r="G515" s="637">
        <v>-117137.12</v>
      </c>
      <c r="H515" s="637">
        <v>-125259.76</v>
      </c>
      <c r="I515" s="637">
        <v>-131876.07</v>
      </c>
      <c r="J515" s="637">
        <v>-126017.66</v>
      </c>
      <c r="K515" s="637">
        <v>-120338.22</v>
      </c>
      <c r="L515" s="637">
        <v>-116433.17</v>
      </c>
      <c r="M515" s="637">
        <v>-113259.31</v>
      </c>
      <c r="N515" s="637">
        <v>-111859.15</v>
      </c>
      <c r="O515" s="637">
        <v>-112447.41</v>
      </c>
      <c r="P515" s="637">
        <v>-110389.27</v>
      </c>
      <c r="Q515" s="637">
        <v>-106869.38</v>
      </c>
      <c r="R515" s="637">
        <v>-115735.99</v>
      </c>
      <c r="S515" s="514">
        <f t="shared" si="124"/>
        <v>-116931.60916666668</v>
      </c>
      <c r="T515" s="638"/>
      <c r="U515" s="675"/>
      <c r="V515" s="713">
        <f t="shared" si="128"/>
        <v>-116931.60916666668</v>
      </c>
      <c r="W515" s="713"/>
      <c r="X515" s="736"/>
      <c r="Y515" s="713"/>
      <c r="Z515" s="713"/>
      <c r="AA515" s="675"/>
      <c r="AB515" s="713"/>
      <c r="AC515" s="676"/>
      <c r="AD515" s="677">
        <f t="shared" si="129"/>
        <v>-116931.60916666668</v>
      </c>
      <c r="AE515" s="676"/>
      <c r="AF515" s="711">
        <f t="shared" si="131"/>
        <v>0</v>
      </c>
    </row>
    <row r="516" spans="1:32">
      <c r="A516" s="638">
        <v>505</v>
      </c>
      <c r="B516" s="342" t="s">
        <v>1009</v>
      </c>
      <c r="C516" s="342" t="s">
        <v>620</v>
      </c>
      <c r="D516" s="638" t="s">
        <v>1140</v>
      </c>
      <c r="E516" s="623" t="s">
        <v>1724</v>
      </c>
      <c r="F516" s="637">
        <v>-346866.55</v>
      </c>
      <c r="G516" s="637">
        <v>-504643.62</v>
      </c>
      <c r="H516" s="637">
        <v>-510785.33</v>
      </c>
      <c r="I516" s="637">
        <v>-408184.18</v>
      </c>
      <c r="J516" s="637">
        <v>-281055.83</v>
      </c>
      <c r="K516" s="637">
        <v>-131075.26999999999</v>
      </c>
      <c r="L516" s="637">
        <v>-135004.74</v>
      </c>
      <c r="M516" s="637">
        <v>-108731.64</v>
      </c>
      <c r="N516" s="637">
        <v>-80171.510000000097</v>
      </c>
      <c r="O516" s="637">
        <v>-142810.07</v>
      </c>
      <c r="P516" s="637">
        <v>-339741.63</v>
      </c>
      <c r="Q516" s="637">
        <v>-435241.12</v>
      </c>
      <c r="R516" s="637">
        <v>-532108.17000000004</v>
      </c>
      <c r="S516" s="514">
        <f t="shared" si="124"/>
        <v>-293077.69166666665</v>
      </c>
      <c r="T516" s="638"/>
      <c r="U516" s="675"/>
      <c r="V516" s="713">
        <f t="shared" si="128"/>
        <v>-293077.69166666665</v>
      </c>
      <c r="W516" s="713"/>
      <c r="X516" s="736"/>
      <c r="Y516" s="713"/>
      <c r="Z516" s="713"/>
      <c r="AA516" s="675"/>
      <c r="AB516" s="713"/>
      <c r="AC516" s="676"/>
      <c r="AD516" s="677">
        <f t="shared" si="129"/>
        <v>-293077.69166666665</v>
      </c>
      <c r="AE516" s="676"/>
      <c r="AF516" s="711">
        <f t="shared" si="131"/>
        <v>0</v>
      </c>
    </row>
    <row r="517" spans="1:32">
      <c r="A517" s="638">
        <v>506</v>
      </c>
      <c r="B517" s="342" t="s">
        <v>1009</v>
      </c>
      <c r="C517" s="342" t="s">
        <v>620</v>
      </c>
      <c r="D517" s="638" t="s">
        <v>463</v>
      </c>
      <c r="E517" s="623" t="s">
        <v>1725</v>
      </c>
      <c r="F517" s="637">
        <v>-720197.02</v>
      </c>
      <c r="G517" s="637">
        <v>-763791.89</v>
      </c>
      <c r="H517" s="637">
        <v>-805999.39</v>
      </c>
      <c r="I517" s="637">
        <v>-838498.08</v>
      </c>
      <c r="J517" s="637">
        <v>-858868.55</v>
      </c>
      <c r="K517" s="637">
        <v>-870038.44</v>
      </c>
      <c r="L517" s="637">
        <v>-877963.83</v>
      </c>
      <c r="M517" s="637">
        <v>-887229.66</v>
      </c>
      <c r="N517" s="637">
        <v>-894061.67</v>
      </c>
      <c r="O517" s="637">
        <v>-906081.57</v>
      </c>
      <c r="P517" s="637">
        <v>-935033.47</v>
      </c>
      <c r="Q517" s="637">
        <v>-972123.58</v>
      </c>
      <c r="R517" s="637">
        <v>-1017468.45</v>
      </c>
      <c r="S517" s="514">
        <f t="shared" si="124"/>
        <v>-873210.23875000002</v>
      </c>
      <c r="T517" s="638"/>
      <c r="U517" s="675"/>
      <c r="V517" s="713">
        <f t="shared" si="128"/>
        <v>-873210.23875000002</v>
      </c>
      <c r="W517" s="713"/>
      <c r="X517" s="736"/>
      <c r="Y517" s="713"/>
      <c r="Z517" s="713"/>
      <c r="AA517" s="675"/>
      <c r="AB517" s="713"/>
      <c r="AC517" s="676"/>
      <c r="AD517" s="677">
        <f t="shared" si="129"/>
        <v>-873210.23875000002</v>
      </c>
      <c r="AE517" s="676"/>
      <c r="AF517" s="711">
        <f t="shared" si="131"/>
        <v>0</v>
      </c>
    </row>
    <row r="518" spans="1:32">
      <c r="A518" s="638">
        <v>507</v>
      </c>
      <c r="B518" s="342" t="s">
        <v>1009</v>
      </c>
      <c r="C518" s="342" t="s">
        <v>620</v>
      </c>
      <c r="D518" s="638" t="s">
        <v>450</v>
      </c>
      <c r="E518" s="623" t="s">
        <v>1726</v>
      </c>
      <c r="F518" s="637">
        <v>-48875.44</v>
      </c>
      <c r="G518" s="637">
        <v>-41584.04</v>
      </c>
      <c r="H518" s="637">
        <v>-36640.800000000003</v>
      </c>
      <c r="I518" s="637">
        <v>-34802.36</v>
      </c>
      <c r="J518" s="637">
        <v>-26206.15</v>
      </c>
      <c r="K518" s="637">
        <v>-22542.58</v>
      </c>
      <c r="L518" s="637">
        <v>-20209.169999999998</v>
      </c>
      <c r="M518" s="637">
        <v>-15481.77</v>
      </c>
      <c r="N518" s="637">
        <v>-9985.19</v>
      </c>
      <c r="O518" s="637">
        <v>-7048.96</v>
      </c>
      <c r="P518" s="637">
        <v>-5439.41</v>
      </c>
      <c r="Q518" s="637">
        <v>-3751.38</v>
      </c>
      <c r="R518" s="637">
        <v>-2164.79</v>
      </c>
      <c r="S518" s="514">
        <f t="shared" si="124"/>
        <v>-20767.660416666662</v>
      </c>
      <c r="T518" s="638"/>
      <c r="U518" s="675"/>
      <c r="V518" s="713">
        <f t="shared" si="128"/>
        <v>-20767.660416666662</v>
      </c>
      <c r="W518" s="713"/>
      <c r="X518" s="736"/>
      <c r="Y518" s="713"/>
      <c r="Z518" s="713"/>
      <c r="AA518" s="675"/>
      <c r="AB518" s="713"/>
      <c r="AC518" s="676"/>
      <c r="AD518" s="677">
        <f t="shared" si="129"/>
        <v>-20767.660416666662</v>
      </c>
      <c r="AE518" s="676"/>
      <c r="AF518" s="711">
        <f t="shared" si="131"/>
        <v>0</v>
      </c>
    </row>
    <row r="519" spans="1:32">
      <c r="A519" s="638">
        <v>508</v>
      </c>
      <c r="B519" s="342" t="s">
        <v>1009</v>
      </c>
      <c r="C519" s="342" t="s">
        <v>620</v>
      </c>
      <c r="D519" s="638" t="s">
        <v>494</v>
      </c>
      <c r="E519" s="623" t="s">
        <v>1727</v>
      </c>
      <c r="F519" s="637">
        <v>473546.58</v>
      </c>
      <c r="G519" s="637">
        <v>473546.58</v>
      </c>
      <c r="H519" s="637">
        <v>473546.58</v>
      </c>
      <c r="I519" s="637">
        <v>477618.35</v>
      </c>
      <c r="J519" s="637">
        <v>484868.35</v>
      </c>
      <c r="K519" s="637">
        <v>484868.35</v>
      </c>
      <c r="L519" s="637">
        <v>490971.99</v>
      </c>
      <c r="M519" s="637">
        <v>490971.99</v>
      </c>
      <c r="N519" s="637">
        <v>490971.99</v>
      </c>
      <c r="O519" s="637">
        <v>490971.99</v>
      </c>
      <c r="P519" s="637">
        <v>490971.99</v>
      </c>
      <c r="Q519" s="637">
        <v>490971.99</v>
      </c>
      <c r="R519" s="637">
        <v>490971.99</v>
      </c>
      <c r="S519" s="514">
        <f t="shared" si="124"/>
        <v>485211.61958333344</v>
      </c>
      <c r="T519" s="638"/>
      <c r="U519" s="675"/>
      <c r="V519" s="713">
        <f t="shared" si="128"/>
        <v>485211.61958333344</v>
      </c>
      <c r="W519" s="713"/>
      <c r="X519" s="736"/>
      <c r="Y519" s="713"/>
      <c r="Z519" s="713"/>
      <c r="AA519" s="675"/>
      <c r="AB519" s="713"/>
      <c r="AC519" s="676"/>
      <c r="AD519" s="677">
        <f t="shared" si="129"/>
        <v>485211.61958333344</v>
      </c>
      <c r="AE519" s="676"/>
      <c r="AF519" s="711">
        <f t="shared" si="131"/>
        <v>0</v>
      </c>
    </row>
    <row r="520" spans="1:32">
      <c r="A520" s="638">
        <v>509</v>
      </c>
      <c r="B520" s="342" t="s">
        <v>984</v>
      </c>
      <c r="C520" s="342" t="s">
        <v>620</v>
      </c>
      <c r="D520" s="638" t="s">
        <v>450</v>
      </c>
      <c r="E520" s="623" t="s">
        <v>1726</v>
      </c>
      <c r="F520" s="637">
        <v>-525935.19999999995</v>
      </c>
      <c r="G520" s="637">
        <v>-535814.96</v>
      </c>
      <c r="H520" s="637">
        <v>-589535.4</v>
      </c>
      <c r="I520" s="637">
        <v>-596096.14</v>
      </c>
      <c r="J520" s="637">
        <v>-543837.22</v>
      </c>
      <c r="K520" s="637">
        <v>-520139.56</v>
      </c>
      <c r="L520" s="637">
        <v>-517620.87</v>
      </c>
      <c r="M520" s="637">
        <v>-514170.53</v>
      </c>
      <c r="N520" s="637">
        <v>-561139.03</v>
      </c>
      <c r="O520" s="637">
        <v>-589802.21</v>
      </c>
      <c r="P520" s="637">
        <v>-588925.17000000004</v>
      </c>
      <c r="Q520" s="637">
        <v>-581862.54</v>
      </c>
      <c r="R520" s="637">
        <v>-617037.13</v>
      </c>
      <c r="S520" s="514">
        <f t="shared" si="124"/>
        <v>-559202.48291666666</v>
      </c>
      <c r="T520" s="638"/>
      <c r="U520" s="675"/>
      <c r="V520" s="713">
        <f t="shared" si="128"/>
        <v>-559202.48291666666</v>
      </c>
      <c r="W520" s="713"/>
      <c r="X520" s="736"/>
      <c r="Y520" s="713"/>
      <c r="Z520" s="713"/>
      <c r="AA520" s="675"/>
      <c r="AB520" s="713"/>
      <c r="AC520" s="676"/>
      <c r="AD520" s="677">
        <f t="shared" si="129"/>
        <v>-559202.48291666666</v>
      </c>
      <c r="AE520" s="676"/>
      <c r="AF520" s="711">
        <f t="shared" si="131"/>
        <v>0</v>
      </c>
    </row>
    <row r="521" spans="1:32">
      <c r="A521" s="638">
        <v>510</v>
      </c>
      <c r="B521" s="342" t="s">
        <v>981</v>
      </c>
      <c r="C521" s="342" t="s">
        <v>620</v>
      </c>
      <c r="D521" s="638" t="s">
        <v>1231</v>
      </c>
      <c r="E521" s="623" t="s">
        <v>1718</v>
      </c>
      <c r="F521" s="637">
        <v>-57073.15</v>
      </c>
      <c r="G521" s="637">
        <v>-50323.48</v>
      </c>
      <c r="H521" s="637">
        <v>-50387.77</v>
      </c>
      <c r="I521" s="637">
        <v>-52451.839999999997</v>
      </c>
      <c r="J521" s="637">
        <v>-58475.21</v>
      </c>
      <c r="K521" s="637">
        <v>-39554.39</v>
      </c>
      <c r="L521" s="637">
        <v>-40185.800000000003</v>
      </c>
      <c r="M521" s="637">
        <v>-76952.320000000007</v>
      </c>
      <c r="N521" s="637">
        <v>-54697.34</v>
      </c>
      <c r="O521" s="637">
        <v>-56604.83</v>
      </c>
      <c r="P521" s="637">
        <v>-63644.05</v>
      </c>
      <c r="Q521" s="637">
        <v>195.16999999999101</v>
      </c>
      <c r="R521" s="637">
        <v>-20872.259999999998</v>
      </c>
      <c r="S521" s="514">
        <f t="shared" si="124"/>
        <v>-48504.547083333331</v>
      </c>
      <c r="T521" s="638"/>
      <c r="U521" s="675"/>
      <c r="V521" s="713">
        <f t="shared" si="128"/>
        <v>-48504.547083333331</v>
      </c>
      <c r="W521" s="713"/>
      <c r="X521" s="736"/>
      <c r="Y521" s="713"/>
      <c r="Z521" s="713"/>
      <c r="AA521" s="675"/>
      <c r="AB521" s="713"/>
      <c r="AC521" s="676"/>
      <c r="AD521" s="677">
        <f t="shared" si="129"/>
        <v>-48504.547083333331</v>
      </c>
      <c r="AE521" s="676"/>
      <c r="AF521" s="711">
        <f t="shared" si="131"/>
        <v>0</v>
      </c>
    </row>
    <row r="522" spans="1:32">
      <c r="A522" s="638">
        <v>511</v>
      </c>
      <c r="B522" s="342" t="s">
        <v>981</v>
      </c>
      <c r="C522" s="342" t="s">
        <v>620</v>
      </c>
      <c r="D522" s="638" t="s">
        <v>1232</v>
      </c>
      <c r="E522" s="623" t="s">
        <v>1719</v>
      </c>
      <c r="F522" s="637">
        <v>-1208196.57</v>
      </c>
      <c r="G522" s="637">
        <v>-1375811</v>
      </c>
      <c r="H522" s="637">
        <v>-432011.05</v>
      </c>
      <c r="I522" s="637">
        <v>-585900.9</v>
      </c>
      <c r="J522" s="637">
        <v>-747596.28</v>
      </c>
      <c r="K522" s="637">
        <v>-914694.95</v>
      </c>
      <c r="L522" s="637">
        <v>-1063745.57</v>
      </c>
      <c r="M522" s="637">
        <v>-1232722.99</v>
      </c>
      <c r="N522" s="637">
        <v>-592221.98</v>
      </c>
      <c r="O522" s="637">
        <v>-744924.25</v>
      </c>
      <c r="P522" s="637">
        <v>-936452.18</v>
      </c>
      <c r="Q522" s="637">
        <v>-1087294.27</v>
      </c>
      <c r="R522" s="637">
        <v>-1244918.45</v>
      </c>
      <c r="S522" s="514">
        <f t="shared" si="124"/>
        <v>-911661.07750000001</v>
      </c>
      <c r="T522" s="638"/>
      <c r="U522" s="675"/>
      <c r="V522" s="713">
        <f t="shared" si="128"/>
        <v>-911661.07750000001</v>
      </c>
      <c r="W522" s="713"/>
      <c r="X522" s="736"/>
      <c r="Y522" s="713"/>
      <c r="Z522" s="713"/>
      <c r="AA522" s="675"/>
      <c r="AB522" s="713"/>
      <c r="AC522" s="676"/>
      <c r="AD522" s="677">
        <f t="shared" si="129"/>
        <v>-911661.07750000001</v>
      </c>
      <c r="AE522" s="676"/>
      <c r="AF522" s="711">
        <f t="shared" si="131"/>
        <v>0</v>
      </c>
    </row>
    <row r="523" spans="1:32">
      <c r="A523" s="638">
        <v>512</v>
      </c>
      <c r="B523" s="342" t="s">
        <v>981</v>
      </c>
      <c r="C523" s="342" t="s">
        <v>620</v>
      </c>
      <c r="D523" s="638" t="s">
        <v>1440</v>
      </c>
      <c r="E523" s="623" t="s">
        <v>1720</v>
      </c>
      <c r="F523" s="637">
        <v>628.39</v>
      </c>
      <c r="G523" s="637">
        <v>628.39</v>
      </c>
      <c r="H523" s="637">
        <v>628.39</v>
      </c>
      <c r="I523" s="637">
        <v>628.39</v>
      </c>
      <c r="J523" s="637">
        <v>628.39</v>
      </c>
      <c r="K523" s="637">
        <v>628.39</v>
      </c>
      <c r="L523" s="637">
        <v>628.39</v>
      </c>
      <c r="M523" s="637">
        <v>628.39</v>
      </c>
      <c r="N523" s="637">
        <v>628.39</v>
      </c>
      <c r="O523" s="637">
        <v>628.39</v>
      </c>
      <c r="P523" s="637">
        <v>628.39</v>
      </c>
      <c r="Q523" s="637">
        <v>628.39</v>
      </c>
      <c r="R523" s="637">
        <v>628.39</v>
      </c>
      <c r="S523" s="514">
        <f t="shared" si="124"/>
        <v>628.3900000000001</v>
      </c>
      <c r="T523" s="638"/>
      <c r="U523" s="675"/>
      <c r="V523" s="713">
        <f t="shared" si="128"/>
        <v>628.3900000000001</v>
      </c>
      <c r="W523" s="713"/>
      <c r="X523" s="736"/>
      <c r="Y523" s="713"/>
      <c r="Z523" s="713"/>
      <c r="AA523" s="675"/>
      <c r="AB523" s="713"/>
      <c r="AC523" s="676"/>
      <c r="AD523" s="677">
        <f t="shared" si="129"/>
        <v>628.3900000000001</v>
      </c>
      <c r="AE523" s="676"/>
      <c r="AF523" s="711">
        <f t="shared" si="131"/>
        <v>0</v>
      </c>
    </row>
    <row r="524" spans="1:32">
      <c r="A524" s="638">
        <v>513</v>
      </c>
      <c r="B524" s="342" t="s">
        <v>1009</v>
      </c>
      <c r="C524" s="342" t="s">
        <v>610</v>
      </c>
      <c r="D524" s="638" t="s">
        <v>1226</v>
      </c>
      <c r="E524" s="623" t="s">
        <v>1737</v>
      </c>
      <c r="F524" s="637">
        <v>0</v>
      </c>
      <c r="G524" s="637">
        <v>-16075.52</v>
      </c>
      <c r="H524" s="637">
        <v>-32151.040000000001</v>
      </c>
      <c r="I524" s="637">
        <v>0</v>
      </c>
      <c r="J524" s="637">
        <v>0</v>
      </c>
      <c r="K524" s="637">
        <v>0</v>
      </c>
      <c r="L524" s="637">
        <v>0</v>
      </c>
      <c r="M524" s="637">
        <v>0</v>
      </c>
      <c r="N524" s="637">
        <v>0</v>
      </c>
      <c r="O524" s="637">
        <v>0</v>
      </c>
      <c r="P524" s="637">
        <v>0</v>
      </c>
      <c r="Q524" s="637">
        <v>0</v>
      </c>
      <c r="R524" s="637">
        <v>0</v>
      </c>
      <c r="S524" s="514">
        <f t="shared" si="124"/>
        <v>-4018.8799999999997</v>
      </c>
      <c r="T524" s="638"/>
      <c r="U524" s="675"/>
      <c r="V524" s="713">
        <f>+S524</f>
        <v>-4018.8799999999997</v>
      </c>
      <c r="W524" s="713"/>
      <c r="X524" s="736"/>
      <c r="Y524" s="713"/>
      <c r="Z524" s="713"/>
      <c r="AA524" s="675"/>
      <c r="AB524" s="713"/>
      <c r="AC524" s="676"/>
      <c r="AD524" s="677">
        <f t="shared" si="129"/>
        <v>-4018.8799999999997</v>
      </c>
      <c r="AE524" s="676"/>
      <c r="AF524" s="711">
        <f t="shared" si="131"/>
        <v>0</v>
      </c>
    </row>
    <row r="525" spans="1:32">
      <c r="A525" s="638">
        <v>514</v>
      </c>
      <c r="B525" s="342" t="s">
        <v>1009</v>
      </c>
      <c r="C525" s="342" t="s">
        <v>610</v>
      </c>
      <c r="D525" s="638" t="s">
        <v>1930</v>
      </c>
      <c r="E525" s="623" t="s">
        <v>1944</v>
      </c>
      <c r="F525" s="637">
        <v>0</v>
      </c>
      <c r="G525" s="637">
        <v>0</v>
      </c>
      <c r="H525" s="637">
        <v>0</v>
      </c>
      <c r="I525" s="637">
        <v>0</v>
      </c>
      <c r="J525" s="637">
        <v>0</v>
      </c>
      <c r="K525" s="637">
        <v>0</v>
      </c>
      <c r="L525" s="637">
        <v>-6897.58</v>
      </c>
      <c r="M525" s="637">
        <v>-13795.16</v>
      </c>
      <c r="N525" s="637">
        <v>-19872.939999999999</v>
      </c>
      <c r="O525" s="637">
        <v>0</v>
      </c>
      <c r="P525" s="637">
        <v>0</v>
      </c>
      <c r="Q525" s="637">
        <v>0</v>
      </c>
      <c r="R525" s="637">
        <v>0</v>
      </c>
      <c r="S525" s="514">
        <f t="shared" si="124"/>
        <v>-3380.4733333333329</v>
      </c>
      <c r="T525" s="638"/>
      <c r="U525" s="675"/>
      <c r="V525" s="713">
        <f>+S525</f>
        <v>-3380.4733333333329</v>
      </c>
      <c r="W525" s="713"/>
      <c r="X525" s="736"/>
      <c r="Y525" s="713"/>
      <c r="Z525" s="713"/>
      <c r="AA525" s="675"/>
      <c r="AB525" s="713"/>
      <c r="AC525" s="676"/>
      <c r="AD525" s="677">
        <f t="shared" si="129"/>
        <v>-3380.4733333333329</v>
      </c>
      <c r="AE525" s="676"/>
      <c r="AF525" s="711"/>
    </row>
    <row r="526" spans="1:32">
      <c r="A526" s="638">
        <v>515</v>
      </c>
      <c r="B526" s="342" t="s">
        <v>1883</v>
      </c>
      <c r="C526" s="342" t="s">
        <v>625</v>
      </c>
      <c r="D526" s="638" t="s">
        <v>1890</v>
      </c>
      <c r="E526" s="623" t="s">
        <v>1948</v>
      </c>
      <c r="F526" s="637">
        <v>0</v>
      </c>
      <c r="G526" s="637">
        <v>0</v>
      </c>
      <c r="H526" s="637">
        <v>-2342139.6</v>
      </c>
      <c r="I526" s="637">
        <v>-3399048.29</v>
      </c>
      <c r="J526" s="637">
        <v>-4027988.3</v>
      </c>
      <c r="K526" s="637">
        <v>-4380204.8499999996</v>
      </c>
      <c r="L526" s="637">
        <v>-4728970.04</v>
      </c>
      <c r="M526" s="637">
        <v>-5196910.95</v>
      </c>
      <c r="N526" s="637">
        <v>-6194887.6500000004</v>
      </c>
      <c r="O526" s="637">
        <v>-4675781.1500000004</v>
      </c>
      <c r="P526" s="637">
        <v>-5056612.16</v>
      </c>
      <c r="Q526" s="637">
        <v>-4649236.16</v>
      </c>
      <c r="R526" s="637">
        <v>-5008566.5</v>
      </c>
      <c r="S526" s="514">
        <f t="shared" si="124"/>
        <v>-3929671.8666666658</v>
      </c>
      <c r="T526" s="638"/>
      <c r="U526" s="675"/>
      <c r="V526" s="713">
        <f t="shared" si="128"/>
        <v>-3929671.8666666658</v>
      </c>
      <c r="W526" s="713"/>
      <c r="X526" s="736"/>
      <c r="Y526" s="713"/>
      <c r="Z526" s="713"/>
      <c r="AA526" s="675"/>
      <c r="AB526" s="713"/>
      <c r="AC526" s="676"/>
      <c r="AD526" s="677">
        <f t="shared" si="129"/>
        <v>-3929671.8666666658</v>
      </c>
      <c r="AE526" s="676"/>
      <c r="AF526" s="711">
        <f t="shared" si="131"/>
        <v>0</v>
      </c>
    </row>
    <row r="527" spans="1:32">
      <c r="A527" s="638">
        <v>516</v>
      </c>
      <c r="B527" s="342" t="s">
        <v>1883</v>
      </c>
      <c r="C527" s="342" t="s">
        <v>625</v>
      </c>
      <c r="D527" s="638" t="s">
        <v>1892</v>
      </c>
      <c r="E527" s="623" t="s">
        <v>1948</v>
      </c>
      <c r="F527" s="637">
        <v>0</v>
      </c>
      <c r="G527" s="637">
        <v>-47946602.299999997</v>
      </c>
      <c r="H527" s="637">
        <v>-67505586.75</v>
      </c>
      <c r="I527" s="637">
        <v>-88051807.390000001</v>
      </c>
      <c r="J527" s="637">
        <v>-87171112.069999993</v>
      </c>
      <c r="K527" s="637">
        <v>-88013372.25</v>
      </c>
      <c r="L527" s="637">
        <v>-89814171.189999998</v>
      </c>
      <c r="M527" s="637">
        <v>-91693584.269999996</v>
      </c>
      <c r="N527" s="637">
        <v>-94471180.239999995</v>
      </c>
      <c r="O527" s="637">
        <v>-88325640.670000002</v>
      </c>
      <c r="P527" s="637">
        <v>-87907480.109999999</v>
      </c>
      <c r="Q527" s="637">
        <v>-84508849.859999999</v>
      </c>
      <c r="R527" s="637">
        <v>-84195663.5</v>
      </c>
      <c r="S527" s="514">
        <f t="shared" si="124"/>
        <v>-79792268.237499997</v>
      </c>
      <c r="T527" s="638"/>
      <c r="U527" s="675"/>
      <c r="V527" s="713">
        <f t="shared" si="128"/>
        <v>-79792268.237499997</v>
      </c>
      <c r="W527" s="713"/>
      <c r="X527" s="736"/>
      <c r="Y527" s="713"/>
      <c r="Z527" s="713"/>
      <c r="AA527" s="675"/>
      <c r="AB527" s="713"/>
      <c r="AC527" s="676"/>
      <c r="AD527" s="677">
        <f t="shared" si="129"/>
        <v>-79792268.237499997</v>
      </c>
      <c r="AE527" s="676"/>
      <c r="AF527" s="711">
        <f t="shared" si="131"/>
        <v>0</v>
      </c>
    </row>
    <row r="528" spans="1:32">
      <c r="A528" s="638">
        <v>517</v>
      </c>
      <c r="B528" s="342" t="s">
        <v>1883</v>
      </c>
      <c r="C528" s="342" t="s">
        <v>1949</v>
      </c>
      <c r="D528" s="342" t="s">
        <v>1930</v>
      </c>
      <c r="E528" s="623" t="s">
        <v>1950</v>
      </c>
      <c r="F528" s="637">
        <v>0</v>
      </c>
      <c r="G528" s="637">
        <v>0</v>
      </c>
      <c r="H528" s="637">
        <v>-83666</v>
      </c>
      <c r="I528" s="637">
        <v>-83993.95</v>
      </c>
      <c r="J528" s="637">
        <v>-84322.71</v>
      </c>
      <c r="K528" s="637">
        <v>-84652.28</v>
      </c>
      <c r="L528" s="637">
        <v>-82827.460000000006</v>
      </c>
      <c r="M528" s="637">
        <v>-80997.8</v>
      </c>
      <c r="N528" s="637">
        <v>-79160.53</v>
      </c>
      <c r="O528" s="637">
        <v>-77318.61</v>
      </c>
      <c r="P528" s="637">
        <v>-74998.490000000005</v>
      </c>
      <c r="Q528" s="637">
        <v>-72672.2</v>
      </c>
      <c r="R528" s="637">
        <v>-70339.81</v>
      </c>
      <c r="S528" s="514">
        <f t="shared" si="124"/>
        <v>-69981.661250000005</v>
      </c>
      <c r="T528" s="638"/>
      <c r="U528" s="675"/>
      <c r="V528" s="713">
        <f t="shared" si="128"/>
        <v>-69981.661250000005</v>
      </c>
      <c r="W528" s="713"/>
      <c r="X528" s="736"/>
      <c r="Y528" s="713"/>
      <c r="Z528" s="713"/>
      <c r="AA528" s="675"/>
      <c r="AB528" s="713"/>
      <c r="AC528" s="676"/>
      <c r="AD528" s="677">
        <f t="shared" si="129"/>
        <v>-69981.661250000005</v>
      </c>
      <c r="AE528" s="676"/>
      <c r="AF528" s="711">
        <f t="shared" si="131"/>
        <v>0</v>
      </c>
    </row>
    <row r="529" spans="1:32">
      <c r="A529" s="638">
        <v>518</v>
      </c>
      <c r="B529" s="342" t="s">
        <v>981</v>
      </c>
      <c r="C529" s="342" t="s">
        <v>628</v>
      </c>
      <c r="D529" s="342" t="s">
        <v>528</v>
      </c>
      <c r="E529" s="623" t="s">
        <v>464</v>
      </c>
      <c r="F529" s="637">
        <v>0</v>
      </c>
      <c r="G529" s="637">
        <v>0</v>
      </c>
      <c r="H529" s="637">
        <v>0</v>
      </c>
      <c r="I529" s="637">
        <v>0</v>
      </c>
      <c r="J529" s="637">
        <v>0</v>
      </c>
      <c r="K529" s="637">
        <v>0</v>
      </c>
      <c r="L529" s="637">
        <v>0</v>
      </c>
      <c r="M529" s="637">
        <v>0</v>
      </c>
      <c r="N529" s="637">
        <v>0</v>
      </c>
      <c r="O529" s="637">
        <v>0</v>
      </c>
      <c r="P529" s="637">
        <v>0</v>
      </c>
      <c r="Q529" s="637">
        <v>-830</v>
      </c>
      <c r="R529" s="637">
        <v>0</v>
      </c>
      <c r="S529" s="514">
        <f t="shared" si="124"/>
        <v>-69.166666666666671</v>
      </c>
      <c r="T529" s="638"/>
      <c r="U529" s="675"/>
      <c r="V529" s="713">
        <f t="shared" si="128"/>
        <v>-69.166666666666671</v>
      </c>
      <c r="W529" s="713"/>
      <c r="X529" s="736"/>
      <c r="Y529" s="713"/>
      <c r="Z529" s="713"/>
      <c r="AA529" s="675"/>
      <c r="AB529" s="713"/>
      <c r="AC529" s="676"/>
      <c r="AD529" s="677">
        <f t="shared" si="129"/>
        <v>-69.166666666666671</v>
      </c>
      <c r="AE529" s="676"/>
      <c r="AF529" s="711">
        <f t="shared" si="131"/>
        <v>0</v>
      </c>
    </row>
    <row r="530" spans="1:32">
      <c r="A530" s="638">
        <v>519</v>
      </c>
      <c r="B530" s="342" t="s">
        <v>1009</v>
      </c>
      <c r="C530" s="342" t="s">
        <v>624</v>
      </c>
      <c r="D530" s="342" t="s">
        <v>382</v>
      </c>
      <c r="E530" s="623" t="s">
        <v>1722</v>
      </c>
      <c r="F530" s="637">
        <v>-1558019.97</v>
      </c>
      <c r="G530" s="637">
        <v>-1807036.27</v>
      </c>
      <c r="H530" s="637">
        <v>-2008969.8</v>
      </c>
      <c r="I530" s="637">
        <v>-2179655.12</v>
      </c>
      <c r="J530" s="637">
        <v>-1427485.33</v>
      </c>
      <c r="K530" s="637">
        <v>-1427485.33</v>
      </c>
      <c r="L530" s="637">
        <v>-1427485.33</v>
      </c>
      <c r="M530" s="637">
        <v>-1427485.33</v>
      </c>
      <c r="N530" s="637">
        <v>-1427485.33</v>
      </c>
      <c r="O530" s="637">
        <v>-1400000</v>
      </c>
      <c r="P530" s="637">
        <v>-1400000</v>
      </c>
      <c r="Q530" s="637">
        <v>0</v>
      </c>
      <c r="R530" s="637">
        <v>0</v>
      </c>
      <c r="S530" s="514">
        <f t="shared" si="124"/>
        <v>-1392674.8187500001</v>
      </c>
      <c r="T530" s="638"/>
      <c r="U530" s="675"/>
      <c r="V530" s="713">
        <f t="shared" si="128"/>
        <v>-1392674.8187500001</v>
      </c>
      <c r="W530" s="713"/>
      <c r="X530" s="736"/>
      <c r="Y530" s="713"/>
      <c r="Z530" s="713"/>
      <c r="AA530" s="675"/>
      <c r="AB530" s="713"/>
      <c r="AC530" s="676"/>
      <c r="AD530" s="677">
        <f t="shared" si="129"/>
        <v>-1392674.8187500001</v>
      </c>
      <c r="AE530" s="676"/>
      <c r="AF530" s="711">
        <f t="shared" si="131"/>
        <v>0</v>
      </c>
    </row>
    <row r="531" spans="1:32">
      <c r="A531" s="638">
        <v>520</v>
      </c>
      <c r="B531" s="342" t="s">
        <v>984</v>
      </c>
      <c r="C531" s="342" t="s">
        <v>624</v>
      </c>
      <c r="D531" s="342" t="s">
        <v>382</v>
      </c>
      <c r="E531" s="623" t="s">
        <v>1722</v>
      </c>
      <c r="F531" s="637">
        <v>0</v>
      </c>
      <c r="G531" s="637">
        <v>0</v>
      </c>
      <c r="H531" s="637">
        <v>0</v>
      </c>
      <c r="I531" s="637">
        <v>0</v>
      </c>
      <c r="J531" s="637">
        <v>0</v>
      </c>
      <c r="K531" s="637">
        <v>0</v>
      </c>
      <c r="L531" s="637">
        <v>0</v>
      </c>
      <c r="M531" s="637">
        <v>0</v>
      </c>
      <c r="N531" s="637">
        <v>0</v>
      </c>
      <c r="O531" s="637">
        <v>0</v>
      </c>
      <c r="P531" s="637">
        <v>0</v>
      </c>
      <c r="Q531" s="637">
        <v>0</v>
      </c>
      <c r="R531" s="637">
        <v>0</v>
      </c>
      <c r="S531" s="514">
        <f t="shared" si="124"/>
        <v>0</v>
      </c>
      <c r="T531" s="638"/>
      <c r="U531" s="675"/>
      <c r="V531" s="713">
        <f t="shared" si="128"/>
        <v>0</v>
      </c>
      <c r="W531" s="713"/>
      <c r="X531" s="736"/>
      <c r="Y531" s="713"/>
      <c r="Z531" s="713"/>
      <c r="AA531" s="675"/>
      <c r="AB531" s="713"/>
      <c r="AC531" s="676"/>
      <c r="AD531" s="677">
        <f t="shared" si="129"/>
        <v>0</v>
      </c>
      <c r="AE531" s="676"/>
      <c r="AF531" s="711">
        <f t="shared" si="131"/>
        <v>0</v>
      </c>
    </row>
    <row r="532" spans="1:32">
      <c r="A532" s="638">
        <v>521</v>
      </c>
      <c r="B532" s="342" t="s">
        <v>1009</v>
      </c>
      <c r="C532" s="342" t="s">
        <v>625</v>
      </c>
      <c r="D532" s="638" t="s">
        <v>1233</v>
      </c>
      <c r="E532" s="623" t="s">
        <v>1728</v>
      </c>
      <c r="F532" s="637">
        <v>3704804.32</v>
      </c>
      <c r="G532" s="637">
        <v>3645229.88</v>
      </c>
      <c r="H532" s="637">
        <v>6655527.54</v>
      </c>
      <c r="I532" s="637">
        <v>7948816.1799999997</v>
      </c>
      <c r="J532" s="637">
        <v>8418704.3900000006</v>
      </c>
      <c r="K532" s="637">
        <v>8498491.9399999995</v>
      </c>
      <c r="L532" s="637">
        <v>8600713.7200000007</v>
      </c>
      <c r="M532" s="637">
        <v>8714543.7899999991</v>
      </c>
      <c r="N532" s="637">
        <v>8943481.4000000004</v>
      </c>
      <c r="O532" s="637">
        <v>9110444.2400000002</v>
      </c>
      <c r="P532" s="637">
        <v>9809801.8300000001</v>
      </c>
      <c r="Q532" s="637">
        <v>1631609.22</v>
      </c>
      <c r="R532" s="637">
        <v>3387386.16</v>
      </c>
      <c r="S532" s="514">
        <f t="shared" si="124"/>
        <v>7126954.9474999988</v>
      </c>
      <c r="T532" s="638"/>
      <c r="U532" s="675"/>
      <c r="V532" s="683"/>
      <c r="W532" s="713"/>
      <c r="X532" s="713">
        <f>+S532</f>
        <v>7126954.9474999988</v>
      </c>
      <c r="Y532" s="713"/>
      <c r="Z532" s="713"/>
      <c r="AA532" s="675"/>
      <c r="AB532" s="677">
        <f>+X532</f>
        <v>7126954.9474999988</v>
      </c>
      <c r="AC532" s="676"/>
      <c r="AD532" s="682"/>
      <c r="AE532" s="676"/>
      <c r="AF532" s="711">
        <f t="shared" si="131"/>
        <v>0</v>
      </c>
    </row>
    <row r="533" spans="1:32">
      <c r="A533" s="638">
        <v>522</v>
      </c>
      <c r="B533" s="342" t="s">
        <v>1009</v>
      </c>
      <c r="C533" s="342" t="s">
        <v>625</v>
      </c>
      <c r="D533" s="342" t="s">
        <v>1234</v>
      </c>
      <c r="E533" s="623" t="s">
        <v>1729</v>
      </c>
      <c r="F533" s="637">
        <v>-1108593.69</v>
      </c>
      <c r="G533" s="637">
        <v>-2156297.1</v>
      </c>
      <c r="H533" s="637">
        <v>-3288565.62</v>
      </c>
      <c r="I533" s="637">
        <v>-3918743.38</v>
      </c>
      <c r="J533" s="637">
        <v>-4023173.21</v>
      </c>
      <c r="K533" s="637">
        <v>-3859207.89</v>
      </c>
      <c r="L533" s="637">
        <v>-3724670.44</v>
      </c>
      <c r="M533" s="637">
        <v>-3457335.89</v>
      </c>
      <c r="N533" s="637">
        <v>-2746085.82</v>
      </c>
      <c r="O533" s="637">
        <v>-4553630.62</v>
      </c>
      <c r="P533" s="637">
        <v>-5199110.82</v>
      </c>
      <c r="Q533" s="637">
        <v>-1735827.07</v>
      </c>
      <c r="R533" s="637">
        <v>-2322389.21</v>
      </c>
      <c r="S533" s="514">
        <f t="shared" si="124"/>
        <v>-3364844.9425000008</v>
      </c>
      <c r="T533" s="638"/>
      <c r="U533" s="675"/>
      <c r="V533" s="713"/>
      <c r="W533" s="713"/>
      <c r="X533" s="736">
        <f>+S533</f>
        <v>-3364844.9425000008</v>
      </c>
      <c r="Y533" s="713"/>
      <c r="Z533" s="713"/>
      <c r="AA533" s="675"/>
      <c r="AB533" s="713">
        <f t="shared" ref="AB533:AB536" si="132">+X533</f>
        <v>-3364844.9425000008</v>
      </c>
      <c r="AC533" s="676"/>
      <c r="AD533" s="677">
        <f t="shared" si="129"/>
        <v>0</v>
      </c>
      <c r="AE533" s="676"/>
      <c r="AF533" s="711">
        <f t="shared" si="131"/>
        <v>0</v>
      </c>
    </row>
    <row r="534" spans="1:32">
      <c r="A534" s="638">
        <v>523</v>
      </c>
      <c r="B534" s="342" t="s">
        <v>1009</v>
      </c>
      <c r="C534" s="342" t="s">
        <v>625</v>
      </c>
      <c r="D534" s="342" t="s">
        <v>1235</v>
      </c>
      <c r="E534" s="623" t="s">
        <v>626</v>
      </c>
      <c r="F534" s="637">
        <v>-593186.79</v>
      </c>
      <c r="G534" s="637">
        <v>0</v>
      </c>
      <c r="H534" s="637">
        <v>0</v>
      </c>
      <c r="I534" s="637">
        <v>0</v>
      </c>
      <c r="J534" s="637">
        <v>0</v>
      </c>
      <c r="K534" s="637">
        <v>0</v>
      </c>
      <c r="L534" s="637">
        <v>0</v>
      </c>
      <c r="M534" s="637">
        <v>0</v>
      </c>
      <c r="N534" s="637">
        <v>0</v>
      </c>
      <c r="O534" s="637">
        <v>0</v>
      </c>
      <c r="P534" s="637">
        <v>0</v>
      </c>
      <c r="Q534" s="637">
        <v>0</v>
      </c>
      <c r="R534" s="637">
        <v>0</v>
      </c>
      <c r="S534" s="514">
        <f t="shared" si="124"/>
        <v>-24716.116250000003</v>
      </c>
      <c r="T534" s="638"/>
      <c r="U534" s="675"/>
      <c r="V534" s="713"/>
      <c r="W534" s="713"/>
      <c r="X534" s="736">
        <f t="shared" ref="X534:X543" si="133">+S534</f>
        <v>-24716.116250000003</v>
      </c>
      <c r="Y534" s="713"/>
      <c r="Z534" s="713"/>
      <c r="AA534" s="675"/>
      <c r="AB534" s="713">
        <f t="shared" si="132"/>
        <v>-24716.116250000003</v>
      </c>
      <c r="AC534" s="676"/>
      <c r="AD534" s="677">
        <f t="shared" si="129"/>
        <v>0</v>
      </c>
      <c r="AE534" s="676"/>
      <c r="AF534" s="711">
        <f t="shared" si="131"/>
        <v>0</v>
      </c>
    </row>
    <row r="535" spans="1:32">
      <c r="A535" s="638">
        <v>524</v>
      </c>
      <c r="B535" s="342" t="s">
        <v>1009</v>
      </c>
      <c r="C535" s="342" t="s">
        <v>625</v>
      </c>
      <c r="D535" s="342" t="s">
        <v>1236</v>
      </c>
      <c r="E535" s="623" t="s">
        <v>1730</v>
      </c>
      <c r="F535" s="637">
        <v>-2335027.88</v>
      </c>
      <c r="G535" s="637">
        <v>-1849878.03</v>
      </c>
      <c r="H535" s="637">
        <v>-1392031.55</v>
      </c>
      <c r="I535" s="637">
        <v>-876283.67</v>
      </c>
      <c r="J535" s="637">
        <v>-525555.71</v>
      </c>
      <c r="K535" s="637">
        <v>-338236.72</v>
      </c>
      <c r="L535" s="637">
        <v>-208753.22</v>
      </c>
      <c r="M535" s="637">
        <v>-111957.73</v>
      </c>
      <c r="N535" s="637">
        <v>-29672.6899999997</v>
      </c>
      <c r="O535" s="637">
        <v>52499.2600000003</v>
      </c>
      <c r="P535" s="637">
        <v>253772.23</v>
      </c>
      <c r="Q535" s="637">
        <v>5234050.04</v>
      </c>
      <c r="R535" s="637">
        <v>4487237.01</v>
      </c>
      <c r="S535" s="514">
        <f t="shared" si="124"/>
        <v>107004.73125000014</v>
      </c>
      <c r="T535" s="638"/>
      <c r="U535" s="675"/>
      <c r="V535" s="713"/>
      <c r="W535" s="713"/>
      <c r="X535" s="736">
        <f t="shared" si="133"/>
        <v>107004.73125000014</v>
      </c>
      <c r="Y535" s="713"/>
      <c r="Z535" s="713"/>
      <c r="AA535" s="675"/>
      <c r="AB535" s="713">
        <f t="shared" si="132"/>
        <v>107004.73125000014</v>
      </c>
      <c r="AC535" s="676"/>
      <c r="AD535" s="677">
        <f t="shared" si="129"/>
        <v>0</v>
      </c>
      <c r="AE535" s="676"/>
      <c r="AF535" s="711">
        <f t="shared" si="131"/>
        <v>0</v>
      </c>
    </row>
    <row r="536" spans="1:32">
      <c r="A536" s="638">
        <v>525</v>
      </c>
      <c r="B536" s="342" t="s">
        <v>1009</v>
      </c>
      <c r="C536" s="342" t="s">
        <v>625</v>
      </c>
      <c r="D536" s="342" t="s">
        <v>1237</v>
      </c>
      <c r="E536" s="623" t="s">
        <v>1731</v>
      </c>
      <c r="F536" s="637">
        <v>332004.03999999998</v>
      </c>
      <c r="G536" s="637">
        <v>333767.61</v>
      </c>
      <c r="H536" s="637">
        <v>367209.23</v>
      </c>
      <c r="I536" s="637">
        <v>245259.16</v>
      </c>
      <c r="J536" s="637">
        <v>158012.82999999999</v>
      </c>
      <c r="K536" s="637">
        <v>79157.52</v>
      </c>
      <c r="L536" s="637">
        <v>61679.98</v>
      </c>
      <c r="M536" s="637">
        <v>51660.78</v>
      </c>
      <c r="N536" s="637">
        <v>27164.76</v>
      </c>
      <c r="O536" s="637">
        <v>66468.27</v>
      </c>
      <c r="P536" s="637">
        <v>192148.92</v>
      </c>
      <c r="Q536" s="637">
        <v>-480596.03</v>
      </c>
      <c r="R536" s="637">
        <v>-543667.46</v>
      </c>
      <c r="S536" s="514">
        <f t="shared" si="124"/>
        <v>83008.443333333344</v>
      </c>
      <c r="T536" s="638"/>
      <c r="U536" s="675"/>
      <c r="V536" s="713"/>
      <c r="W536" s="713"/>
      <c r="X536" s="736">
        <f t="shared" si="133"/>
        <v>83008.443333333344</v>
      </c>
      <c r="Y536" s="713"/>
      <c r="Z536" s="713"/>
      <c r="AA536" s="675"/>
      <c r="AB536" s="713">
        <f t="shared" si="132"/>
        <v>83008.443333333344</v>
      </c>
      <c r="AC536" s="676"/>
      <c r="AD536" s="677">
        <f t="shared" si="129"/>
        <v>0</v>
      </c>
      <c r="AE536" s="676"/>
      <c r="AF536" s="711">
        <f t="shared" si="131"/>
        <v>0</v>
      </c>
    </row>
    <row r="537" spans="1:32">
      <c r="A537" s="638">
        <v>526</v>
      </c>
      <c r="B537" s="342" t="s">
        <v>984</v>
      </c>
      <c r="C537" s="342" t="s">
        <v>625</v>
      </c>
      <c r="D537" s="342" t="s">
        <v>463</v>
      </c>
      <c r="E537" s="623" t="s">
        <v>1739</v>
      </c>
      <c r="F537" s="637">
        <v>-40887966.869999997</v>
      </c>
      <c r="G537" s="637">
        <v>0</v>
      </c>
      <c r="H537" s="637">
        <v>0</v>
      </c>
      <c r="I537" s="637">
        <v>0</v>
      </c>
      <c r="J537" s="637">
        <v>0</v>
      </c>
      <c r="K537" s="637">
        <v>0</v>
      </c>
      <c r="L537" s="637">
        <v>0</v>
      </c>
      <c r="M537" s="637">
        <v>0</v>
      </c>
      <c r="N537" s="637">
        <v>0</v>
      </c>
      <c r="O537" s="637">
        <v>0</v>
      </c>
      <c r="P537" s="637">
        <v>0</v>
      </c>
      <c r="Q537" s="637">
        <v>0</v>
      </c>
      <c r="R537" s="637">
        <v>0</v>
      </c>
      <c r="S537" s="514">
        <f t="shared" si="124"/>
        <v>-1703665.2862499999</v>
      </c>
      <c r="T537" s="638"/>
      <c r="U537" s="675"/>
      <c r="V537" s="713"/>
      <c r="W537" s="713"/>
      <c r="X537" s="736">
        <f t="shared" si="133"/>
        <v>-1703665.2862499999</v>
      </c>
      <c r="Y537" s="713"/>
      <c r="Z537" s="713"/>
      <c r="AA537" s="675"/>
      <c r="AB537" s="713">
        <f>+X537</f>
        <v>-1703665.2862499999</v>
      </c>
      <c r="AC537" s="676"/>
      <c r="AD537" s="677">
        <f t="shared" si="129"/>
        <v>0</v>
      </c>
      <c r="AE537" s="676"/>
      <c r="AF537" s="711">
        <f t="shared" si="131"/>
        <v>0</v>
      </c>
    </row>
    <row r="538" spans="1:32">
      <c r="A538" s="638">
        <v>527</v>
      </c>
      <c r="B538" s="342" t="s">
        <v>984</v>
      </c>
      <c r="C538" s="342" t="s">
        <v>625</v>
      </c>
      <c r="D538" s="342" t="s">
        <v>1238</v>
      </c>
      <c r="E538" s="623" t="s">
        <v>1728</v>
      </c>
      <c r="F538" s="637">
        <v>38253031.32</v>
      </c>
      <c r="G538" s="637">
        <v>48162013.890000001</v>
      </c>
      <c r="H538" s="637">
        <v>72468980.939999998</v>
      </c>
      <c r="I538" s="637">
        <v>95192961.480000004</v>
      </c>
      <c r="J538" s="637">
        <v>46106698.380000003</v>
      </c>
      <c r="K538" s="637">
        <v>45847438.399999999</v>
      </c>
      <c r="L538" s="637">
        <v>45944483.780000001</v>
      </c>
      <c r="M538" s="637">
        <v>46085248.100000001</v>
      </c>
      <c r="N538" s="637">
        <v>46772054.539999999</v>
      </c>
      <c r="O538" s="637">
        <v>46706432.990000002</v>
      </c>
      <c r="P538" s="637">
        <v>48679295.020000003</v>
      </c>
      <c r="Q538" s="637">
        <v>4384409.1900000004</v>
      </c>
      <c r="R538" s="637">
        <v>11456753.52</v>
      </c>
      <c r="S538" s="514">
        <f t="shared" si="124"/>
        <v>47600409.094166674</v>
      </c>
      <c r="T538" s="638"/>
      <c r="U538" s="675"/>
      <c r="V538" s="713"/>
      <c r="W538" s="713"/>
      <c r="X538" s="736">
        <f t="shared" si="133"/>
        <v>47600409.094166674</v>
      </c>
      <c r="Y538" s="713"/>
      <c r="Z538" s="713"/>
      <c r="AA538" s="675"/>
      <c r="AB538" s="713">
        <f t="shared" ref="AB538:AB543" si="134">+X538</f>
        <v>47600409.094166674</v>
      </c>
      <c r="AC538" s="676"/>
      <c r="AD538" s="677">
        <f t="shared" si="129"/>
        <v>0</v>
      </c>
      <c r="AE538" s="676"/>
      <c r="AF538" s="711">
        <f t="shared" si="131"/>
        <v>0</v>
      </c>
    </row>
    <row r="539" spans="1:32">
      <c r="A539" s="638">
        <v>528</v>
      </c>
      <c r="B539" s="342" t="s">
        <v>984</v>
      </c>
      <c r="C539" s="342" t="s">
        <v>625</v>
      </c>
      <c r="D539" s="342" t="s">
        <v>1239</v>
      </c>
      <c r="E539" s="623" t="s">
        <v>1729</v>
      </c>
      <c r="F539" s="637">
        <v>1569192.42</v>
      </c>
      <c r="G539" s="637">
        <v>-1020148.36</v>
      </c>
      <c r="H539" s="637">
        <v>-5442810.3399999999</v>
      </c>
      <c r="I539" s="637">
        <v>-7385013.0099999998</v>
      </c>
      <c r="J539" s="637">
        <v>-6549067.3300000001</v>
      </c>
      <c r="K539" s="637">
        <v>-4922617.32</v>
      </c>
      <c r="L539" s="637">
        <v>-2853429.87</v>
      </c>
      <c r="M539" s="637">
        <v>-724893.84</v>
      </c>
      <c r="N539" s="637">
        <v>1555000.36</v>
      </c>
      <c r="O539" s="637">
        <v>-3923421.62</v>
      </c>
      <c r="P539" s="637">
        <v>-4657972.0999999996</v>
      </c>
      <c r="Q539" s="637">
        <v>946819.65999999898</v>
      </c>
      <c r="R539" s="637">
        <v>-1901460.25</v>
      </c>
      <c r="S539" s="514">
        <f t="shared" si="124"/>
        <v>-2928640.6404166669</v>
      </c>
      <c r="T539" s="638"/>
      <c r="U539" s="675"/>
      <c r="V539" s="713"/>
      <c r="W539" s="713"/>
      <c r="X539" s="736">
        <f t="shared" si="133"/>
        <v>-2928640.6404166669</v>
      </c>
      <c r="Y539" s="713"/>
      <c r="Z539" s="713"/>
      <c r="AA539" s="675"/>
      <c r="AB539" s="713">
        <f t="shared" si="134"/>
        <v>-2928640.6404166669</v>
      </c>
      <c r="AC539" s="676"/>
      <c r="AD539" s="677">
        <f t="shared" si="129"/>
        <v>0</v>
      </c>
      <c r="AE539" s="676"/>
      <c r="AF539" s="711">
        <f t="shared" si="131"/>
        <v>0</v>
      </c>
    </row>
    <row r="540" spans="1:32">
      <c r="A540" s="638">
        <v>529</v>
      </c>
      <c r="B540" s="342" t="s">
        <v>984</v>
      </c>
      <c r="C540" s="342" t="s">
        <v>625</v>
      </c>
      <c r="D540" s="342" t="s">
        <v>1240</v>
      </c>
      <c r="E540" s="623" t="s">
        <v>1730</v>
      </c>
      <c r="F540" s="637">
        <v>1242631.18</v>
      </c>
      <c r="G540" s="637">
        <v>981333.26</v>
      </c>
      <c r="H540" s="637">
        <v>699888.78</v>
      </c>
      <c r="I540" s="637">
        <v>389285.93</v>
      </c>
      <c r="J540" s="637">
        <v>211478.86</v>
      </c>
      <c r="K540" s="637">
        <v>103965.13</v>
      </c>
      <c r="L540" s="637">
        <v>38144.839999999902</v>
      </c>
      <c r="M540" s="637">
        <v>-18293.3500000001</v>
      </c>
      <c r="N540" s="637">
        <v>-70006.930000000095</v>
      </c>
      <c r="O540" s="637">
        <v>-120543.07</v>
      </c>
      <c r="P540" s="637">
        <v>-233366.03</v>
      </c>
      <c r="Q540" s="637">
        <v>-8.7311491370201098E-11</v>
      </c>
      <c r="R540" s="637">
        <v>-8.7311491370201098E-11</v>
      </c>
      <c r="S540" s="514">
        <f t="shared" si="124"/>
        <v>216933.58416666664</v>
      </c>
      <c r="T540" s="638"/>
      <c r="U540" s="675"/>
      <c r="V540" s="713"/>
      <c r="W540" s="713"/>
      <c r="X540" s="736">
        <f t="shared" si="133"/>
        <v>216933.58416666664</v>
      </c>
      <c r="Y540" s="713"/>
      <c r="Z540" s="713"/>
      <c r="AA540" s="675"/>
      <c r="AB540" s="713">
        <f t="shared" si="134"/>
        <v>216933.58416666664</v>
      </c>
      <c r="AC540" s="676"/>
      <c r="AD540" s="677">
        <f t="shared" si="129"/>
        <v>0</v>
      </c>
      <c r="AE540" s="676"/>
      <c r="AF540" s="711">
        <f t="shared" si="131"/>
        <v>0</v>
      </c>
    </row>
    <row r="541" spans="1:32">
      <c r="A541" s="638">
        <v>530</v>
      </c>
      <c r="B541" s="342" t="s">
        <v>984</v>
      </c>
      <c r="C541" s="342" t="s">
        <v>625</v>
      </c>
      <c r="D541" s="342" t="s">
        <v>1945</v>
      </c>
      <c r="E541" s="623" t="s">
        <v>1946</v>
      </c>
      <c r="F541" s="637">
        <v>0</v>
      </c>
      <c r="G541" s="637">
        <v>0</v>
      </c>
      <c r="H541" s="637">
        <v>0</v>
      </c>
      <c r="I541" s="637">
        <v>0</v>
      </c>
      <c r="J541" s="637">
        <v>48238516.170000002</v>
      </c>
      <c r="K541" s="637">
        <v>47467721.75</v>
      </c>
      <c r="L541" s="637">
        <v>47028598.560000002</v>
      </c>
      <c r="M541" s="637">
        <v>46691603.600000001</v>
      </c>
      <c r="N541" s="637">
        <v>46402080.859999999</v>
      </c>
      <c r="O541" s="637">
        <v>46118062.170000002</v>
      </c>
      <c r="P541" s="637">
        <v>45226488.729999997</v>
      </c>
      <c r="Q541" s="637">
        <v>43685242.840000004</v>
      </c>
      <c r="R541" s="637">
        <v>41366186.759999998</v>
      </c>
      <c r="S541" s="514">
        <f t="shared" si="124"/>
        <v>32628450.671666671</v>
      </c>
      <c r="T541" s="638"/>
      <c r="U541" s="675"/>
      <c r="V541" s="713"/>
      <c r="W541" s="713"/>
      <c r="X541" s="736">
        <f>+S541</f>
        <v>32628450.671666671</v>
      </c>
      <c r="Y541" s="713"/>
      <c r="Z541" s="713"/>
      <c r="AA541" s="675"/>
      <c r="AB541" s="713">
        <f t="shared" si="134"/>
        <v>32628450.671666671</v>
      </c>
      <c r="AC541" s="676"/>
      <c r="AD541" s="677"/>
      <c r="AE541" s="676"/>
      <c r="AF541" s="711"/>
    </row>
    <row r="542" spans="1:32">
      <c r="A542" s="638">
        <v>531</v>
      </c>
      <c r="B542" s="342" t="s">
        <v>984</v>
      </c>
      <c r="C542" s="342" t="s">
        <v>625</v>
      </c>
      <c r="D542" s="342" t="s">
        <v>1947</v>
      </c>
      <c r="E542" s="623" t="s">
        <v>1946</v>
      </c>
      <c r="F542" s="637">
        <v>0</v>
      </c>
      <c r="G542" s="637">
        <v>0</v>
      </c>
      <c r="H542" s="637">
        <v>0</v>
      </c>
      <c r="I542" s="637">
        <v>0</v>
      </c>
      <c r="J542" s="637">
        <v>0</v>
      </c>
      <c r="K542" s="637">
        <v>0</v>
      </c>
      <c r="L542" s="637">
        <v>0</v>
      </c>
      <c r="M542" s="637">
        <v>0</v>
      </c>
      <c r="N542" s="637">
        <v>0</v>
      </c>
      <c r="O542" s="637">
        <v>0</v>
      </c>
      <c r="P542" s="637">
        <v>0</v>
      </c>
      <c r="Q542" s="637">
        <v>38342676.920000002</v>
      </c>
      <c r="R542" s="637">
        <v>36554943.310000002</v>
      </c>
      <c r="S542" s="514">
        <f t="shared" si="124"/>
        <v>4718345.7145833336</v>
      </c>
      <c r="T542" s="638"/>
      <c r="U542" s="675"/>
      <c r="V542" s="713"/>
      <c r="W542" s="713"/>
      <c r="X542" s="736">
        <f>+S542</f>
        <v>4718345.7145833336</v>
      </c>
      <c r="Y542" s="713"/>
      <c r="Z542" s="713"/>
      <c r="AA542" s="675"/>
      <c r="AB542" s="713">
        <f t="shared" si="134"/>
        <v>4718345.7145833336</v>
      </c>
      <c r="AC542" s="676"/>
      <c r="AD542" s="677"/>
      <c r="AE542" s="676"/>
      <c r="AF542" s="711"/>
    </row>
    <row r="543" spans="1:32">
      <c r="A543" s="638">
        <v>532</v>
      </c>
      <c r="B543" s="342" t="s">
        <v>984</v>
      </c>
      <c r="C543" s="342" t="s">
        <v>625</v>
      </c>
      <c r="D543" s="342" t="s">
        <v>1237</v>
      </c>
      <c r="E543" s="623" t="s">
        <v>1731</v>
      </c>
      <c r="F543" s="637">
        <v>-176888.05</v>
      </c>
      <c r="G543" s="637">
        <v>-176596.49</v>
      </c>
      <c r="H543" s="637">
        <v>-220472.63</v>
      </c>
      <c r="I543" s="637">
        <v>-145427.01</v>
      </c>
      <c r="J543" s="637">
        <v>-836514.01</v>
      </c>
      <c r="K543" s="637">
        <v>-483135.71</v>
      </c>
      <c r="L543" s="637">
        <v>-343626.12</v>
      </c>
      <c r="M543" s="637">
        <v>-340080.24</v>
      </c>
      <c r="N543" s="637">
        <v>-187948.59</v>
      </c>
      <c r="O543" s="637">
        <v>-454889.8</v>
      </c>
      <c r="P543" s="637">
        <v>-1106965.51</v>
      </c>
      <c r="Q543" s="637">
        <v>-2850298.75</v>
      </c>
      <c r="R543" s="637">
        <v>-3280759.84</v>
      </c>
      <c r="S543" s="514">
        <f t="shared" si="124"/>
        <v>-739564.90041666664</v>
      </c>
      <c r="T543" s="638"/>
      <c r="U543" s="675"/>
      <c r="V543" s="713"/>
      <c r="W543" s="713"/>
      <c r="X543" s="736">
        <f t="shared" si="133"/>
        <v>-739564.90041666664</v>
      </c>
      <c r="Y543" s="713"/>
      <c r="Z543" s="713"/>
      <c r="AA543" s="675"/>
      <c r="AB543" s="713">
        <f t="shared" si="134"/>
        <v>-739564.90041666664</v>
      </c>
      <c r="AC543" s="676"/>
      <c r="AD543" s="677">
        <f t="shared" si="129"/>
        <v>0</v>
      </c>
      <c r="AE543" s="678"/>
      <c r="AF543" s="711">
        <f t="shared" si="131"/>
        <v>0</v>
      </c>
    </row>
    <row r="544" spans="1:32">
      <c r="A544" s="638">
        <v>533</v>
      </c>
      <c r="B544" s="342" t="s">
        <v>1009</v>
      </c>
      <c r="C544" s="342" t="s">
        <v>625</v>
      </c>
      <c r="D544" s="342" t="s">
        <v>1241</v>
      </c>
      <c r="E544" s="623" t="s">
        <v>627</v>
      </c>
      <c r="F544" s="637">
        <v>0</v>
      </c>
      <c r="G544" s="637">
        <v>0</v>
      </c>
      <c r="H544" s="637">
        <v>0</v>
      </c>
      <c r="I544" s="637">
        <v>0</v>
      </c>
      <c r="J544" s="637">
        <v>0</v>
      </c>
      <c r="K544" s="637">
        <v>0</v>
      </c>
      <c r="L544" s="637">
        <v>0</v>
      </c>
      <c r="M544" s="637">
        <v>0</v>
      </c>
      <c r="N544" s="637">
        <v>0</v>
      </c>
      <c r="O544" s="637">
        <v>0</v>
      </c>
      <c r="P544" s="637">
        <v>-224.3</v>
      </c>
      <c r="Q544" s="637">
        <v>0</v>
      </c>
      <c r="R544" s="637">
        <v>-29908.85</v>
      </c>
      <c r="S544" s="514">
        <f t="shared" si="124"/>
        <v>-1264.89375</v>
      </c>
      <c r="T544" s="638"/>
      <c r="U544" s="675"/>
      <c r="V544" s="713">
        <f>+S544</f>
        <v>-1264.89375</v>
      </c>
      <c r="W544" s="713"/>
      <c r="X544" s="736"/>
      <c r="Y544" s="713"/>
      <c r="Z544" s="713"/>
      <c r="AA544" s="675"/>
      <c r="AB544" s="713"/>
      <c r="AC544" s="676"/>
      <c r="AD544" s="677">
        <f t="shared" si="129"/>
        <v>-1264.89375</v>
      </c>
      <c r="AE544" s="684"/>
      <c r="AF544" s="711">
        <f t="shared" si="131"/>
        <v>0</v>
      </c>
    </row>
    <row r="545" spans="1:32">
      <c r="A545" s="638">
        <v>534</v>
      </c>
      <c r="B545" s="342" t="s">
        <v>984</v>
      </c>
      <c r="C545" s="342" t="s">
        <v>625</v>
      </c>
      <c r="D545" s="342" t="s">
        <v>1242</v>
      </c>
      <c r="E545" s="623" t="s">
        <v>627</v>
      </c>
      <c r="F545" s="637">
        <v>0</v>
      </c>
      <c r="G545" s="637">
        <v>0</v>
      </c>
      <c r="H545" s="637">
        <v>0</v>
      </c>
      <c r="I545" s="637">
        <v>0</v>
      </c>
      <c r="J545" s="637">
        <v>0</v>
      </c>
      <c r="K545" s="637">
        <v>0</v>
      </c>
      <c r="L545" s="637">
        <v>0</v>
      </c>
      <c r="M545" s="637">
        <v>0</v>
      </c>
      <c r="N545" s="637">
        <v>0</v>
      </c>
      <c r="O545" s="637">
        <v>0</v>
      </c>
      <c r="P545" s="637">
        <v>-745.7</v>
      </c>
      <c r="Q545" s="637">
        <v>0</v>
      </c>
      <c r="R545" s="637">
        <v>-108189.15</v>
      </c>
      <c r="S545" s="514">
        <f t="shared" si="124"/>
        <v>-4570.0229166666659</v>
      </c>
      <c r="T545" s="638"/>
      <c r="U545" s="675"/>
      <c r="V545" s="713">
        <f>+S545</f>
        <v>-4570.0229166666659</v>
      </c>
      <c r="W545" s="713"/>
      <c r="X545" s="736"/>
      <c r="Y545" s="713"/>
      <c r="Z545" s="713"/>
      <c r="AA545" s="675"/>
      <c r="AB545" s="713"/>
      <c r="AC545" s="676"/>
      <c r="AD545" s="677">
        <f t="shared" si="129"/>
        <v>-4570.0229166666659</v>
      </c>
      <c r="AE545" s="677"/>
      <c r="AF545" s="711">
        <f t="shared" si="131"/>
        <v>0</v>
      </c>
    </row>
    <row r="546" spans="1:32">
      <c r="A546" s="638">
        <v>536</v>
      </c>
      <c r="B546" s="638"/>
      <c r="C546" s="638"/>
      <c r="D546" s="638"/>
      <c r="E546" s="623" t="s">
        <v>629</v>
      </c>
      <c r="F546" s="321">
        <f t="shared" ref="F546" si="135">SUM(F462:F545)</f>
        <v>-32063005.899999995</v>
      </c>
      <c r="G546" s="321">
        <f t="shared" ref="G546" si="136">SUM(G462:G545)</f>
        <v>-34451350.739999995</v>
      </c>
      <c r="H546" s="321">
        <f t="shared" ref="H546" si="137">SUM(H462:H545)</f>
        <v>-33219999.679999996</v>
      </c>
      <c r="I546" s="321">
        <f t="shared" ref="I546" si="138">SUM(I462:I545)</f>
        <v>-36492609.619999997</v>
      </c>
      <c r="J546" s="321">
        <f t="shared" ref="J546" si="139">SUM(J462:J545)</f>
        <v>-28684516.499999966</v>
      </c>
      <c r="K546" s="321">
        <f t="shared" ref="K546" si="140">SUM(K462:K545)</f>
        <v>-31630282.010000013</v>
      </c>
      <c r="L546" s="321">
        <f t="shared" ref="L546" si="141">SUM(L462:L545)</f>
        <v>-33481269.949999969</v>
      </c>
      <c r="M546" s="321">
        <f t="shared" ref="M546" si="142">SUM(M462:M545)</f>
        <v>-33183083.010000002</v>
      </c>
      <c r="N546" s="321">
        <f t="shared" ref="N546" si="143">SUM(N462:N545)</f>
        <v>-34166519.859999985</v>
      </c>
      <c r="O546" s="321">
        <f t="shared" ref="O546" si="144">SUM(O462:O545)</f>
        <v>-35545662.090000004</v>
      </c>
      <c r="P546" s="321">
        <f t="shared" ref="P546" si="145">SUM(P462:P545)</f>
        <v>-36503371.73999998</v>
      </c>
      <c r="Q546" s="321">
        <f t="shared" ref="Q546" si="146">SUM(Q462:Q545)</f>
        <v>-40736828.329999983</v>
      </c>
      <c r="R546" s="321">
        <f t="shared" ref="R546" si="147">SUM(R462:R545)</f>
        <v>-39990550.930000007</v>
      </c>
      <c r="S546" s="321">
        <f>SUM(S462:S545)</f>
        <v>-34510189.32874994</v>
      </c>
      <c r="T546" s="638"/>
      <c r="U546" s="675"/>
      <c r="V546" s="713"/>
      <c r="W546" s="713"/>
      <c r="X546" s="736"/>
      <c r="Y546" s="713"/>
      <c r="Z546" s="713"/>
      <c r="AA546" s="675"/>
      <c r="AB546" s="713"/>
      <c r="AC546" s="676"/>
      <c r="AD546" s="676"/>
      <c r="AE546" s="676"/>
      <c r="AF546" s="711">
        <f t="shared" si="131"/>
        <v>0</v>
      </c>
    </row>
    <row r="547" spans="1:32">
      <c r="A547" s="638">
        <v>537</v>
      </c>
      <c r="B547" s="638"/>
      <c r="C547" s="638"/>
      <c r="D547" s="638"/>
      <c r="E547" s="623"/>
      <c r="F547" s="637"/>
      <c r="G547" s="340"/>
      <c r="H547" s="331"/>
      <c r="I547" s="331"/>
      <c r="J547" s="332"/>
      <c r="K547" s="333"/>
      <c r="L547" s="334"/>
      <c r="M547" s="335"/>
      <c r="N547" s="336"/>
      <c r="O547" s="624"/>
      <c r="P547" s="337"/>
      <c r="Q547" s="341"/>
      <c r="R547" s="637"/>
      <c r="S547" s="320"/>
      <c r="T547" s="638"/>
      <c r="U547" s="675"/>
      <c r="V547" s="713"/>
      <c r="W547" s="713"/>
      <c r="X547" s="736"/>
      <c r="Y547" s="713"/>
      <c r="Z547" s="713"/>
      <c r="AA547" s="675"/>
      <c r="AB547" s="713"/>
      <c r="AC547" s="676"/>
      <c r="AD547" s="676"/>
      <c r="AE547" s="676"/>
      <c r="AF547" s="711">
        <f t="shared" si="131"/>
        <v>0</v>
      </c>
    </row>
    <row r="548" spans="1:32">
      <c r="A548" s="638">
        <v>538</v>
      </c>
      <c r="B548" s="342" t="s">
        <v>984</v>
      </c>
      <c r="C548" s="342" t="s">
        <v>621</v>
      </c>
      <c r="D548" s="342" t="s">
        <v>450</v>
      </c>
      <c r="E548" s="623" t="s">
        <v>1755</v>
      </c>
      <c r="F548" s="637">
        <v>-10840395.23</v>
      </c>
      <c r="G548" s="637">
        <v>-10826655.050000001</v>
      </c>
      <c r="H548" s="637">
        <v>-10758174.800000001</v>
      </c>
      <c r="I548" s="637">
        <v>-10644347.890000001</v>
      </c>
      <c r="J548" s="637">
        <v>-10485572.74</v>
      </c>
      <c r="K548" s="637">
        <v>-10425552.9</v>
      </c>
      <c r="L548" s="637">
        <v>-10371495.15</v>
      </c>
      <c r="M548" s="637">
        <v>-10311475.369999999</v>
      </c>
      <c r="N548" s="637">
        <v>-10226825.369999999</v>
      </c>
      <c r="O548" s="637">
        <v>-10149476.9</v>
      </c>
      <c r="P548" s="637">
        <v>-9941631.1199999992</v>
      </c>
      <c r="Q548" s="637">
        <v>-9869455.4700000007</v>
      </c>
      <c r="R548" s="637">
        <v>-9591418.1799999997</v>
      </c>
      <c r="S548" s="514">
        <f t="shared" si="124"/>
        <v>-10352214.122083334</v>
      </c>
      <c r="T548" s="638"/>
      <c r="U548" s="675"/>
      <c r="V548" s="713">
        <f>+S548</f>
        <v>-10352214.122083334</v>
      </c>
      <c r="W548" s="713"/>
      <c r="X548" s="736"/>
      <c r="Y548" s="713"/>
      <c r="Z548" s="713"/>
      <c r="AA548" s="675"/>
      <c r="AB548" s="713"/>
      <c r="AC548" s="676"/>
      <c r="AD548" s="677">
        <f>+V548</f>
        <v>-10352214.122083334</v>
      </c>
      <c r="AE548" s="676"/>
      <c r="AF548" s="711">
        <f t="shared" si="131"/>
        <v>0</v>
      </c>
    </row>
    <row r="549" spans="1:32">
      <c r="A549" s="638">
        <v>539</v>
      </c>
      <c r="B549" s="342" t="s">
        <v>984</v>
      </c>
      <c r="C549" s="342" t="s">
        <v>621</v>
      </c>
      <c r="D549" s="342" t="s">
        <v>494</v>
      </c>
      <c r="E549" s="623" t="s">
        <v>1756</v>
      </c>
      <c r="F549" s="637">
        <v>-466500</v>
      </c>
      <c r="G549" s="637">
        <v>-466500</v>
      </c>
      <c r="H549" s="637">
        <v>-466500</v>
      </c>
      <c r="I549" s="637">
        <v>-466500</v>
      </c>
      <c r="J549" s="637">
        <v>-466500</v>
      </c>
      <c r="K549" s="637">
        <v>-466500</v>
      </c>
      <c r="L549" s="637">
        <v>-466500</v>
      </c>
      <c r="M549" s="637">
        <v>-466500</v>
      </c>
      <c r="N549" s="637">
        <v>-466500</v>
      </c>
      <c r="O549" s="637">
        <v>-466500</v>
      </c>
      <c r="P549" s="637">
        <v>-466500</v>
      </c>
      <c r="Q549" s="637">
        <v>-466500</v>
      </c>
      <c r="R549" s="637">
        <v>-466500</v>
      </c>
      <c r="S549" s="514">
        <f t="shared" si="124"/>
        <v>-466500</v>
      </c>
      <c r="T549" s="638"/>
      <c r="U549" s="675"/>
      <c r="V549" s="713">
        <f t="shared" ref="V549:V550" si="148">+S549</f>
        <v>-466500</v>
      </c>
      <c r="W549" s="713"/>
      <c r="X549" s="736"/>
      <c r="Y549" s="713"/>
      <c r="Z549" s="713"/>
      <c r="AA549" s="675"/>
      <c r="AB549" s="713"/>
      <c r="AC549" s="676"/>
      <c r="AD549" s="677">
        <f t="shared" ref="AD549:AD550" si="149">+V549</f>
        <v>-466500</v>
      </c>
      <c r="AE549" s="676"/>
      <c r="AF549" s="711">
        <f t="shared" si="131"/>
        <v>0</v>
      </c>
    </row>
    <row r="550" spans="1:32">
      <c r="A550" s="638">
        <v>540</v>
      </c>
      <c r="B550" s="342" t="s">
        <v>1009</v>
      </c>
      <c r="C550" s="342" t="s">
        <v>621</v>
      </c>
      <c r="D550" s="342" t="s">
        <v>494</v>
      </c>
      <c r="E550" s="623" t="s">
        <v>1753</v>
      </c>
      <c r="F550" s="637">
        <v>-1545967.84</v>
      </c>
      <c r="G550" s="637">
        <v>-1545967.84</v>
      </c>
      <c r="H550" s="637">
        <v>-1545967.84</v>
      </c>
      <c r="I550" s="637">
        <v>-1545967.84</v>
      </c>
      <c r="J550" s="637">
        <v>-1545967.84</v>
      </c>
      <c r="K550" s="637">
        <v>-1545967.84</v>
      </c>
      <c r="L550" s="637">
        <v>-1000000</v>
      </c>
      <c r="M550" s="637">
        <v>-1000000</v>
      </c>
      <c r="N550" s="637">
        <v>-976315.87</v>
      </c>
      <c r="O550" s="637">
        <v>-976315.87</v>
      </c>
      <c r="P550" s="637">
        <v>-976315.87</v>
      </c>
      <c r="Q550" s="637">
        <v>-976315.87</v>
      </c>
      <c r="R550" s="637">
        <v>-46000.000000000102</v>
      </c>
      <c r="S550" s="514">
        <f t="shared" si="124"/>
        <v>-1202590.5499999996</v>
      </c>
      <c r="T550" s="638"/>
      <c r="U550" s="675"/>
      <c r="V550" s="713">
        <f t="shared" si="148"/>
        <v>-1202590.5499999996</v>
      </c>
      <c r="W550" s="713"/>
      <c r="X550" s="736"/>
      <c r="Y550" s="713"/>
      <c r="Z550" s="713"/>
      <c r="AA550" s="675"/>
      <c r="AB550" s="713"/>
      <c r="AC550" s="676"/>
      <c r="AD550" s="677">
        <f t="shared" si="149"/>
        <v>-1202590.5499999996</v>
      </c>
      <c r="AE550" s="676"/>
      <c r="AF550" s="711">
        <f t="shared" si="131"/>
        <v>0</v>
      </c>
    </row>
    <row r="551" spans="1:32">
      <c r="A551" s="638">
        <v>541</v>
      </c>
      <c r="B551" s="342" t="s">
        <v>981</v>
      </c>
      <c r="C551" s="342" t="s">
        <v>630</v>
      </c>
      <c r="D551" s="342" t="s">
        <v>450</v>
      </c>
      <c r="E551" s="623" t="s">
        <v>1740</v>
      </c>
      <c r="F551" s="637">
        <v>-5590044.1200000001</v>
      </c>
      <c r="G551" s="637">
        <v>-5646294.1200000001</v>
      </c>
      <c r="H551" s="637">
        <v>-5702544.1200000001</v>
      </c>
      <c r="I551" s="637">
        <v>-5613707.8499999996</v>
      </c>
      <c r="J551" s="637">
        <v>-5669957.8499999996</v>
      </c>
      <c r="K551" s="637">
        <v>-5716844.5199999996</v>
      </c>
      <c r="L551" s="637">
        <v>-5771221.8499999996</v>
      </c>
      <c r="M551" s="637">
        <v>-5632150.8200000003</v>
      </c>
      <c r="N551" s="637">
        <v>-5638166.0599999996</v>
      </c>
      <c r="O551" s="637">
        <v>-5644181.2999999998</v>
      </c>
      <c r="P551" s="637">
        <v>-5650196.54</v>
      </c>
      <c r="Q551" s="637">
        <v>-5656211.7800000003</v>
      </c>
      <c r="R551" s="637">
        <v>-5552400.04</v>
      </c>
      <c r="S551" s="514">
        <f t="shared" si="124"/>
        <v>-5659391.5741666667</v>
      </c>
      <c r="T551" s="638"/>
      <c r="U551" s="675"/>
      <c r="W551" s="713"/>
      <c r="X551" s="713">
        <f>+S551</f>
        <v>-5659391.5741666667</v>
      </c>
      <c r="Y551" s="713"/>
      <c r="Z551" s="713"/>
      <c r="AA551" s="675"/>
      <c r="AB551" s="677">
        <f>+X551</f>
        <v>-5659391.5741666667</v>
      </c>
      <c r="AC551" s="676"/>
      <c r="AE551" s="676"/>
      <c r="AF551" s="711">
        <f>+U551+X551-AB551</f>
        <v>0</v>
      </c>
    </row>
    <row r="552" spans="1:32">
      <c r="A552" s="638">
        <v>542</v>
      </c>
      <c r="B552" s="342" t="s">
        <v>981</v>
      </c>
      <c r="C552" s="342" t="s">
        <v>630</v>
      </c>
      <c r="D552" s="342" t="s">
        <v>580</v>
      </c>
      <c r="E552" s="623" t="s">
        <v>1741</v>
      </c>
      <c r="F552" s="637">
        <v>-112904.15</v>
      </c>
      <c r="G552" s="637">
        <v>0</v>
      </c>
      <c r="H552" s="637">
        <v>0</v>
      </c>
      <c r="I552" s="637">
        <v>0</v>
      </c>
      <c r="J552" s="637">
        <v>0</v>
      </c>
      <c r="K552" s="637">
        <v>0</v>
      </c>
      <c r="L552" s="637">
        <v>0</v>
      </c>
      <c r="M552" s="637">
        <v>0</v>
      </c>
      <c r="N552" s="637">
        <v>0</v>
      </c>
      <c r="O552" s="637">
        <v>0</v>
      </c>
      <c r="P552" s="637">
        <v>0</v>
      </c>
      <c r="Q552" s="637">
        <v>0</v>
      </c>
      <c r="R552" s="637">
        <v>0</v>
      </c>
      <c r="S552" s="514">
        <f t="shared" si="124"/>
        <v>-4704.3395833333334</v>
      </c>
      <c r="T552" s="638"/>
      <c r="U552" s="675"/>
      <c r="W552" s="713"/>
      <c r="X552" s="713">
        <f>+S552</f>
        <v>-4704.3395833333334</v>
      </c>
      <c r="Y552" s="713"/>
      <c r="Z552" s="713"/>
      <c r="AA552" s="675"/>
      <c r="AB552" s="677">
        <f>+X552</f>
        <v>-4704.3395833333334</v>
      </c>
      <c r="AC552" s="676"/>
      <c r="AE552" s="676"/>
      <c r="AF552" s="711">
        <f>+U552+X552-AB552</f>
        <v>0</v>
      </c>
    </row>
    <row r="553" spans="1:32">
      <c r="A553" s="638">
        <v>543</v>
      </c>
      <c r="B553" s="342" t="s">
        <v>981</v>
      </c>
      <c r="C553" s="342" t="s">
        <v>630</v>
      </c>
      <c r="D553" s="342" t="s">
        <v>581</v>
      </c>
      <c r="E553" s="623" t="s">
        <v>1742</v>
      </c>
      <c r="F553" s="637">
        <v>-108832</v>
      </c>
      <c r="G553" s="637">
        <v>-108832</v>
      </c>
      <c r="H553" s="637">
        <v>-108832</v>
      </c>
      <c r="I553" s="637">
        <v>-108832</v>
      </c>
      <c r="J553" s="637">
        <v>-108832</v>
      </c>
      <c r="K553" s="637">
        <v>-108832</v>
      </c>
      <c r="L553" s="637">
        <v>-108832</v>
      </c>
      <c r="M553" s="637">
        <v>-108832</v>
      </c>
      <c r="N553" s="637">
        <v>-108832</v>
      </c>
      <c r="O553" s="637">
        <v>-108832</v>
      </c>
      <c r="P553" s="637">
        <v>-108832</v>
      </c>
      <c r="Q553" s="637">
        <v>-108832</v>
      </c>
      <c r="R553" s="637">
        <v>-555072</v>
      </c>
      <c r="S553" s="514">
        <f t="shared" si="124"/>
        <v>-127425.33333333333</v>
      </c>
      <c r="T553" s="638"/>
      <c r="U553" s="675"/>
      <c r="W553" s="713"/>
      <c r="X553" s="713">
        <f>+S553</f>
        <v>-127425.33333333333</v>
      </c>
      <c r="Y553" s="713"/>
      <c r="Z553" s="713"/>
      <c r="AA553" s="675"/>
      <c r="AB553" s="677">
        <f>+X553</f>
        <v>-127425.33333333333</v>
      </c>
      <c r="AC553" s="676"/>
      <c r="AE553" s="676"/>
      <c r="AF553" s="711">
        <f>+U553+X553-AB553</f>
        <v>0</v>
      </c>
    </row>
    <row r="554" spans="1:32">
      <c r="A554" s="638">
        <v>544</v>
      </c>
      <c r="B554" s="342" t="s">
        <v>981</v>
      </c>
      <c r="C554" s="342" t="s">
        <v>631</v>
      </c>
      <c r="D554" s="342" t="s">
        <v>1243</v>
      </c>
      <c r="E554" s="623" t="s">
        <v>1743</v>
      </c>
      <c r="F554" s="637">
        <v>-66788045.990000002</v>
      </c>
      <c r="G554" s="637">
        <v>-67092875.520000003</v>
      </c>
      <c r="H554" s="637">
        <v>-67399102.519999996</v>
      </c>
      <c r="I554" s="637">
        <v>-67706733.280000001</v>
      </c>
      <c r="J554" s="637">
        <v>-68015774.299999997</v>
      </c>
      <c r="K554" s="637">
        <v>-68326232.219999999</v>
      </c>
      <c r="L554" s="637">
        <v>-68638113.450000003</v>
      </c>
      <c r="M554" s="637">
        <v>-68951424.409999996</v>
      </c>
      <c r="N554" s="637">
        <v>-69266171.700000003</v>
      </c>
      <c r="O554" s="637">
        <v>-69582362.049999997</v>
      </c>
      <c r="P554" s="637">
        <v>-69900002.090000004</v>
      </c>
      <c r="Q554" s="637">
        <v>-70219098.450000003</v>
      </c>
      <c r="R554" s="637">
        <v>-74293816.879999995</v>
      </c>
      <c r="S554" s="514">
        <f t="shared" si="124"/>
        <v>-68803235.118750021</v>
      </c>
      <c r="T554" s="638"/>
      <c r="U554" s="675"/>
      <c r="V554" s="713"/>
      <c r="W554" s="713"/>
      <c r="X554" s="736">
        <f>+S554</f>
        <v>-68803235.118750021</v>
      </c>
      <c r="Y554" s="713">
        <f>+X554*Z7</f>
        <v>-51719391.838764392</v>
      </c>
      <c r="Z554" s="713">
        <f>+X554*Z8</f>
        <v>-17083843.279985629</v>
      </c>
      <c r="AA554" s="675"/>
      <c r="AB554" s="713"/>
      <c r="AC554" s="676"/>
      <c r="AD554" s="677"/>
      <c r="AE554" s="676"/>
      <c r="AF554" s="711">
        <f t="shared" si="131"/>
        <v>0</v>
      </c>
    </row>
    <row r="555" spans="1:32">
      <c r="A555" s="638">
        <v>545</v>
      </c>
      <c r="B555" s="342" t="s">
        <v>981</v>
      </c>
      <c r="C555" s="342" t="s">
        <v>621</v>
      </c>
      <c r="D555" s="342" t="s">
        <v>450</v>
      </c>
      <c r="E555" s="623" t="s">
        <v>1951</v>
      </c>
      <c r="F555" s="637">
        <v>0</v>
      </c>
      <c r="G555" s="637">
        <v>0</v>
      </c>
      <c r="H555" s="637">
        <v>0</v>
      </c>
      <c r="I555" s="637">
        <v>0</v>
      </c>
      <c r="J555" s="637">
        <v>0</v>
      </c>
      <c r="K555" s="637">
        <v>0</v>
      </c>
      <c r="L555" s="637">
        <v>0</v>
      </c>
      <c r="M555" s="637">
        <v>0</v>
      </c>
      <c r="N555" s="637">
        <v>0</v>
      </c>
      <c r="O555" s="637">
        <v>-324000</v>
      </c>
      <c r="P555" s="637">
        <v>-324000</v>
      </c>
      <c r="Q555" s="637">
        <v>-324000</v>
      </c>
      <c r="R555" s="637">
        <v>-320100</v>
      </c>
      <c r="S555" s="514">
        <f t="shared" si="124"/>
        <v>-94337.5</v>
      </c>
      <c r="T555" s="638"/>
      <c r="U555" s="675"/>
      <c r="V555" s="713">
        <f>+S555</f>
        <v>-94337.5</v>
      </c>
      <c r="W555" s="713"/>
      <c r="X555" s="736"/>
      <c r="Y555" s="713"/>
      <c r="Z555" s="713"/>
      <c r="AA555" s="675"/>
      <c r="AB555" s="713"/>
      <c r="AC555" s="676"/>
      <c r="AD555" s="677">
        <f>+S555</f>
        <v>-94337.5</v>
      </c>
      <c r="AE555" s="676"/>
      <c r="AF555" s="711"/>
    </row>
    <row r="556" spans="1:32">
      <c r="A556" s="638">
        <v>546</v>
      </c>
      <c r="B556" s="342" t="s">
        <v>981</v>
      </c>
      <c r="C556" s="342" t="s">
        <v>628</v>
      </c>
      <c r="D556" s="342" t="s">
        <v>562</v>
      </c>
      <c r="E556" s="623" t="s">
        <v>497</v>
      </c>
      <c r="F556" s="637">
        <v>0</v>
      </c>
      <c r="G556" s="637">
        <v>0</v>
      </c>
      <c r="H556" s="637">
        <v>0</v>
      </c>
      <c r="I556" s="637">
        <v>0</v>
      </c>
      <c r="J556" s="637">
        <v>0</v>
      </c>
      <c r="K556" s="637">
        <v>0</v>
      </c>
      <c r="L556" s="637">
        <v>0</v>
      </c>
      <c r="M556" s="637">
        <v>0</v>
      </c>
      <c r="N556" s="637">
        <v>0</v>
      </c>
      <c r="O556" s="637">
        <v>0</v>
      </c>
      <c r="P556" s="637">
        <v>0</v>
      </c>
      <c r="Q556" s="637">
        <v>0</v>
      </c>
      <c r="R556" s="637">
        <v>0</v>
      </c>
      <c r="S556" s="514">
        <f t="shared" si="124"/>
        <v>0</v>
      </c>
      <c r="T556" s="638"/>
      <c r="U556" s="675"/>
      <c r="V556" s="713"/>
      <c r="W556" s="713"/>
      <c r="X556" s="736"/>
      <c r="Y556" s="713"/>
      <c r="Z556" s="713"/>
      <c r="AA556" s="675"/>
      <c r="AB556" s="713"/>
      <c r="AC556" s="676"/>
      <c r="AD556" s="677"/>
      <c r="AE556" s="676"/>
      <c r="AF556" s="711">
        <f t="shared" si="131"/>
        <v>0</v>
      </c>
    </row>
    <row r="557" spans="1:32">
      <c r="A557" s="638">
        <v>547</v>
      </c>
      <c r="B557" s="342" t="s">
        <v>981</v>
      </c>
      <c r="C557" s="342" t="s">
        <v>632</v>
      </c>
      <c r="D557" s="342" t="s">
        <v>731</v>
      </c>
      <c r="E557" s="623" t="s">
        <v>1744</v>
      </c>
      <c r="F557" s="637">
        <v>-3373786.93</v>
      </c>
      <c r="G557" s="637">
        <v>-3301647.39</v>
      </c>
      <c r="H557" s="637">
        <v>-3301647.39</v>
      </c>
      <c r="I557" s="637">
        <v>-3301647.39</v>
      </c>
      <c r="J557" s="637">
        <v>-3301647.39</v>
      </c>
      <c r="K557" s="637">
        <v>-3301647.39</v>
      </c>
      <c r="L557" s="637">
        <v>-3301647.39</v>
      </c>
      <c r="M557" s="637">
        <v>-3301647.39</v>
      </c>
      <c r="N557" s="637">
        <v>-3301647.39</v>
      </c>
      <c r="O557" s="637">
        <v>-3301647.39</v>
      </c>
      <c r="P557" s="637">
        <v>-3301647.39</v>
      </c>
      <c r="Q557" s="637">
        <v>-3301647.39</v>
      </c>
      <c r="R557" s="637">
        <v>-3301647.39</v>
      </c>
      <c r="S557" s="514">
        <f t="shared" si="124"/>
        <v>-3304653.2041666671</v>
      </c>
      <c r="T557" s="638"/>
      <c r="U557" s="675"/>
      <c r="V557" s="713"/>
      <c r="W557" s="713"/>
      <c r="X557" s="736">
        <f>+S557</f>
        <v>-3304653.2041666671</v>
      </c>
      <c r="Y557" s="713">
        <f>+X557*Z7</f>
        <v>-2484107.8135720836</v>
      </c>
      <c r="Z557" s="713">
        <f>+X557*Z8</f>
        <v>-820545.39059458335</v>
      </c>
      <c r="AA557" s="675"/>
      <c r="AB557" s="713"/>
      <c r="AC557" s="676"/>
      <c r="AD557" s="677"/>
      <c r="AE557" s="676" t="s">
        <v>1454</v>
      </c>
      <c r="AF557" s="711">
        <f t="shared" si="131"/>
        <v>0</v>
      </c>
    </row>
    <row r="558" spans="1:32">
      <c r="A558" s="638">
        <v>548</v>
      </c>
      <c r="B558" s="342" t="s">
        <v>981</v>
      </c>
      <c r="C558" s="342" t="s">
        <v>632</v>
      </c>
      <c r="D558" s="342" t="s">
        <v>1141</v>
      </c>
      <c r="E558" s="623" t="s">
        <v>1745</v>
      </c>
      <c r="F558" s="637">
        <v>-48360.090000000098</v>
      </c>
      <c r="G558" s="637">
        <v>-1101.4100000000001</v>
      </c>
      <c r="H558" s="637">
        <v>-9536.17</v>
      </c>
      <c r="I558" s="637">
        <v>-35531.65</v>
      </c>
      <c r="J558" s="637">
        <v>-35531.65</v>
      </c>
      <c r="K558" s="637">
        <v>-41190.03</v>
      </c>
      <c r="L558" s="637">
        <v>-41190.03</v>
      </c>
      <c r="M558" s="637">
        <v>-41220.18</v>
      </c>
      <c r="N558" s="637">
        <v>-45069.26</v>
      </c>
      <c r="O558" s="637">
        <v>-45465.53</v>
      </c>
      <c r="P558" s="637">
        <v>-48880.44</v>
      </c>
      <c r="Q558" s="637">
        <v>-55161.33</v>
      </c>
      <c r="R558" s="637">
        <v>-55161.33</v>
      </c>
      <c r="S558" s="514">
        <f t="shared" si="124"/>
        <v>-37636.532500000008</v>
      </c>
      <c r="T558" s="638"/>
      <c r="U558" s="675"/>
      <c r="V558" s="713"/>
      <c r="W558" s="713"/>
      <c r="X558" s="736">
        <f t="shared" ref="X558:X561" si="150">+S558</f>
        <v>-37636.532500000008</v>
      </c>
      <c r="Y558" s="713">
        <f>+X558*Z7</f>
        <v>-28291.381480250009</v>
      </c>
      <c r="Z558" s="713">
        <f>+X558*Z8</f>
        <v>-9345.1510197500011</v>
      </c>
      <c r="AA558" s="675"/>
      <c r="AB558" s="713"/>
      <c r="AC558" s="676"/>
      <c r="AD558" s="677"/>
      <c r="AE558" s="676"/>
      <c r="AF558" s="711">
        <f t="shared" si="131"/>
        <v>0</v>
      </c>
    </row>
    <row r="559" spans="1:32">
      <c r="A559" s="638">
        <v>549</v>
      </c>
      <c r="B559" s="342" t="s">
        <v>981</v>
      </c>
      <c r="C559" s="342" t="s">
        <v>632</v>
      </c>
      <c r="D559" s="342" t="s">
        <v>1244</v>
      </c>
      <c r="E559" s="623" t="s">
        <v>1746</v>
      </c>
      <c r="F559" s="637">
        <v>3199.78</v>
      </c>
      <c r="G559" s="637">
        <v>0</v>
      </c>
      <c r="H559" s="637">
        <v>0</v>
      </c>
      <c r="I559" s="637">
        <v>0</v>
      </c>
      <c r="J559" s="637">
        <v>4021.48</v>
      </c>
      <c r="K559" s="637">
        <v>4021.48</v>
      </c>
      <c r="L559" s="637">
        <v>4021.48</v>
      </c>
      <c r="M559" s="637">
        <v>6854.11</v>
      </c>
      <c r="N559" s="637">
        <v>6854.11</v>
      </c>
      <c r="O559" s="637">
        <v>6854.11</v>
      </c>
      <c r="P559" s="637">
        <v>6854.11</v>
      </c>
      <c r="Q559" s="637">
        <v>6854.11</v>
      </c>
      <c r="R559" s="637">
        <v>6854.11</v>
      </c>
      <c r="S559" s="514">
        <f t="shared" si="124"/>
        <v>4280.1612500000001</v>
      </c>
      <c r="T559" s="638"/>
      <c r="U559" s="675"/>
      <c r="V559" s="713"/>
      <c r="W559" s="713"/>
      <c r="X559" s="736">
        <f t="shared" si="150"/>
        <v>4280.1612500000001</v>
      </c>
      <c r="Y559" s="713">
        <f>+X559*Z7</f>
        <v>3217.3972116250002</v>
      </c>
      <c r="Z559" s="713">
        <f>+X559*Z8</f>
        <v>1062.7640383749999</v>
      </c>
      <c r="AA559" s="675"/>
      <c r="AB559" s="713"/>
      <c r="AC559" s="676"/>
      <c r="AD559" s="677"/>
      <c r="AE559" s="676"/>
      <c r="AF559" s="711">
        <f t="shared" si="131"/>
        <v>0</v>
      </c>
    </row>
    <row r="560" spans="1:32">
      <c r="A560" s="638">
        <v>550</v>
      </c>
      <c r="B560" s="342" t="s">
        <v>981</v>
      </c>
      <c r="C560" s="342" t="s">
        <v>632</v>
      </c>
      <c r="D560" s="342" t="s">
        <v>989</v>
      </c>
      <c r="E560" s="623" t="s">
        <v>1748</v>
      </c>
      <c r="F560" s="637">
        <v>117299.85</v>
      </c>
      <c r="G560" s="637">
        <v>0</v>
      </c>
      <c r="H560" s="637">
        <v>0</v>
      </c>
      <c r="I560" s="637">
        <v>77103.62</v>
      </c>
      <c r="J560" s="637">
        <v>77103.62</v>
      </c>
      <c r="K560" s="637">
        <v>77103.62</v>
      </c>
      <c r="L560" s="637">
        <v>77103.62</v>
      </c>
      <c r="M560" s="637">
        <v>77103.62</v>
      </c>
      <c r="N560" s="637">
        <v>77103.62</v>
      </c>
      <c r="O560" s="637">
        <v>140365.51999999999</v>
      </c>
      <c r="P560" s="637">
        <v>140365.51999999999</v>
      </c>
      <c r="Q560" s="637">
        <v>140365.51999999999</v>
      </c>
      <c r="R560" s="637">
        <v>140365.51999999999</v>
      </c>
      <c r="S560" s="514">
        <f t="shared" si="124"/>
        <v>84379.247083333335</v>
      </c>
      <c r="T560" s="638"/>
      <c r="U560" s="675"/>
      <c r="V560" s="713"/>
      <c r="W560" s="713"/>
      <c r="X560" s="736">
        <f t="shared" si="150"/>
        <v>84379.247083333335</v>
      </c>
      <c r="Y560" s="713">
        <f>+X560*Z7</f>
        <v>63427.880032541674</v>
      </c>
      <c r="Z560" s="713">
        <f>+X560*Z8</f>
        <v>20951.367050791665</v>
      </c>
      <c r="AA560" s="675"/>
      <c r="AB560" s="713"/>
      <c r="AC560" s="676"/>
      <c r="AD560" s="677"/>
      <c r="AE560" s="676" t="s">
        <v>1455</v>
      </c>
      <c r="AF560" s="711">
        <f t="shared" si="131"/>
        <v>0</v>
      </c>
    </row>
    <row r="561" spans="1:32">
      <c r="A561" s="638">
        <v>551</v>
      </c>
      <c r="B561" s="342" t="s">
        <v>981</v>
      </c>
      <c r="C561" s="342" t="s">
        <v>632</v>
      </c>
      <c r="D561" s="342" t="s">
        <v>993</v>
      </c>
      <c r="E561" s="623" t="s">
        <v>1747</v>
      </c>
      <c r="F561" s="637">
        <v>-1014253.48</v>
      </c>
      <c r="G561" s="637">
        <v>-1014253.48</v>
      </c>
      <c r="H561" s="637">
        <v>-1014253.48</v>
      </c>
      <c r="I561" s="637">
        <v>-998215.14</v>
      </c>
      <c r="J561" s="637">
        <v>-961008.7</v>
      </c>
      <c r="K561" s="637">
        <v>-961008.7</v>
      </c>
      <c r="L561" s="637">
        <v>-961008.7</v>
      </c>
      <c r="M561" s="637">
        <v>-961008.7</v>
      </c>
      <c r="N561" s="637">
        <v>-961008.7</v>
      </c>
      <c r="O561" s="637">
        <v>-940392.65</v>
      </c>
      <c r="P561" s="637">
        <v>-947948.91</v>
      </c>
      <c r="Q561" s="637">
        <v>-956826.3</v>
      </c>
      <c r="R561" s="637">
        <v>-985998.22</v>
      </c>
      <c r="S561" s="514">
        <f t="shared" si="124"/>
        <v>-973088.27583333338</v>
      </c>
      <c r="T561" s="638"/>
      <c r="U561" s="675"/>
      <c r="V561" s="713"/>
      <c r="W561" s="713"/>
      <c r="X561" s="736">
        <f t="shared" si="150"/>
        <v>-973088.27583333338</v>
      </c>
      <c r="Y561" s="713">
        <f>+X561*Z7</f>
        <v>-731470.45694391674</v>
      </c>
      <c r="Z561" s="713">
        <f>+X561*Z8</f>
        <v>-241617.81888941667</v>
      </c>
      <c r="AA561" s="675"/>
      <c r="AB561" s="713"/>
      <c r="AC561" s="676"/>
      <c r="AD561" s="677"/>
      <c r="AE561" s="676" t="s">
        <v>1456</v>
      </c>
      <c r="AF561" s="711">
        <f t="shared" si="131"/>
        <v>0</v>
      </c>
    </row>
    <row r="562" spans="1:32">
      <c r="A562" s="638">
        <v>552</v>
      </c>
      <c r="B562" s="342" t="s">
        <v>981</v>
      </c>
      <c r="C562" s="342" t="s">
        <v>633</v>
      </c>
      <c r="D562" s="342" t="s">
        <v>1245</v>
      </c>
      <c r="E562" s="623" t="s">
        <v>1749</v>
      </c>
      <c r="F562" s="637">
        <v>121.7</v>
      </c>
      <c r="G562" s="637">
        <v>116.27</v>
      </c>
      <c r="H562" s="637">
        <v>111.09</v>
      </c>
      <c r="I562" s="637">
        <v>105.87</v>
      </c>
      <c r="J562" s="637">
        <v>97.49</v>
      </c>
      <c r="K562" s="637">
        <v>-116.12</v>
      </c>
      <c r="L562" s="637">
        <v>79.25</v>
      </c>
      <c r="M562" s="637">
        <v>85.32</v>
      </c>
      <c r="N562" s="637">
        <v>70.510000000000005</v>
      </c>
      <c r="O562" s="637">
        <v>56.91</v>
      </c>
      <c r="P562" s="637">
        <v>49.5</v>
      </c>
      <c r="Q562" s="637">
        <v>47.11</v>
      </c>
      <c r="R562" s="637">
        <v>100684.96</v>
      </c>
      <c r="S562" s="514">
        <f t="shared" si="124"/>
        <v>4258.8774999999996</v>
      </c>
      <c r="T562" s="638"/>
      <c r="U562" s="675"/>
      <c r="V562" s="713">
        <f t="shared" ref="V562:V566" si="151">+S562</f>
        <v>4258.8774999999996</v>
      </c>
      <c r="W562" s="713"/>
      <c r="X562" s="736"/>
      <c r="Y562" s="713"/>
      <c r="Z562" s="713"/>
      <c r="AA562" s="675"/>
      <c r="AB562" s="713"/>
      <c r="AC562" s="676"/>
      <c r="AD562" s="677">
        <f t="shared" ref="AD562:AD564" si="152">+V562</f>
        <v>4258.8774999999996</v>
      </c>
      <c r="AE562" s="676"/>
      <c r="AF562" s="711">
        <f t="shared" si="131"/>
        <v>0</v>
      </c>
    </row>
    <row r="563" spans="1:32">
      <c r="A563" s="638">
        <v>553</v>
      </c>
      <c r="B563" s="342" t="s">
        <v>981</v>
      </c>
      <c r="C563" s="342" t="s">
        <v>633</v>
      </c>
      <c r="D563" s="342" t="s">
        <v>1246</v>
      </c>
      <c r="E563" s="623" t="s">
        <v>1751</v>
      </c>
      <c r="F563" s="637">
        <v>-48270</v>
      </c>
      <c r="G563" s="637">
        <v>-48270</v>
      </c>
      <c r="H563" s="637">
        <v>-48270</v>
      </c>
      <c r="I563" s="637">
        <v>-48270</v>
      </c>
      <c r="J563" s="637">
        <v>-48270</v>
      </c>
      <c r="K563" s="637">
        <v>-48270</v>
      </c>
      <c r="L563" s="637">
        <v>-48270</v>
      </c>
      <c r="M563" s="637">
        <v>-48270</v>
      </c>
      <c r="N563" s="637">
        <v>-48270</v>
      </c>
      <c r="O563" s="637">
        <v>-48270</v>
      </c>
      <c r="P563" s="637">
        <v>-24135</v>
      </c>
      <c r="Q563" s="637">
        <v>-24135</v>
      </c>
      <c r="R563" s="637">
        <v>-24135</v>
      </c>
      <c r="S563" s="514">
        <f t="shared" si="124"/>
        <v>-43241.875</v>
      </c>
      <c r="T563" s="638"/>
      <c r="U563" s="675"/>
      <c r="V563" s="713">
        <f t="shared" si="151"/>
        <v>-43241.875</v>
      </c>
      <c r="W563" s="713"/>
      <c r="X563" s="736"/>
      <c r="Y563" s="713"/>
      <c r="Z563" s="713"/>
      <c r="AA563" s="675"/>
      <c r="AB563" s="713"/>
      <c r="AC563" s="676"/>
      <c r="AD563" s="677">
        <f t="shared" si="152"/>
        <v>-43241.875</v>
      </c>
      <c r="AE563" s="676"/>
      <c r="AF563" s="711">
        <f t="shared" si="131"/>
        <v>0</v>
      </c>
    </row>
    <row r="564" spans="1:32">
      <c r="A564" s="638">
        <v>554</v>
      </c>
      <c r="B564" s="342" t="s">
        <v>981</v>
      </c>
      <c r="C564" s="342" t="s">
        <v>633</v>
      </c>
      <c r="D564" s="342" t="s">
        <v>1247</v>
      </c>
      <c r="E564" s="623" t="s">
        <v>1750</v>
      </c>
      <c r="F564" s="637">
        <v>-9444729.6899999995</v>
      </c>
      <c r="G564" s="637">
        <v>-9386229.6899999995</v>
      </c>
      <c r="H564" s="637">
        <v>-9327729.6899999995</v>
      </c>
      <c r="I564" s="637">
        <v>-9269229.6899999995</v>
      </c>
      <c r="J564" s="637">
        <v>-9210729.6899999995</v>
      </c>
      <c r="K564" s="637">
        <v>-9495724.6899999995</v>
      </c>
      <c r="L564" s="637">
        <v>-9505923.6899999995</v>
      </c>
      <c r="M564" s="637">
        <v>-9516122.6899999995</v>
      </c>
      <c r="N564" s="637">
        <v>-9526321.6899999995</v>
      </c>
      <c r="O564" s="637">
        <v>-9536520.6899999995</v>
      </c>
      <c r="P564" s="637">
        <v>-9546719.6899999995</v>
      </c>
      <c r="Q564" s="637">
        <v>-9556918.6899999995</v>
      </c>
      <c r="R564" s="637">
        <v>-6699766.6900000004</v>
      </c>
      <c r="S564" s="514">
        <f t="shared" si="124"/>
        <v>-9329201.5649999995</v>
      </c>
      <c r="T564" s="638"/>
      <c r="U564" s="675"/>
      <c r="V564" s="713">
        <f t="shared" si="151"/>
        <v>-9329201.5649999995</v>
      </c>
      <c r="W564" s="713"/>
      <c r="X564" s="736"/>
      <c r="Y564" s="713"/>
      <c r="Z564" s="713"/>
      <c r="AA564" s="675"/>
      <c r="AB564" s="713"/>
      <c r="AC564" s="676"/>
      <c r="AD564" s="677">
        <f t="shared" si="152"/>
        <v>-9329201.5649999995</v>
      </c>
      <c r="AE564" s="676"/>
      <c r="AF564" s="711">
        <f t="shared" si="131"/>
        <v>0</v>
      </c>
    </row>
    <row r="565" spans="1:32">
      <c r="A565" s="638">
        <v>555</v>
      </c>
      <c r="B565" s="342" t="s">
        <v>981</v>
      </c>
      <c r="C565" s="342" t="s">
        <v>633</v>
      </c>
      <c r="D565" s="342" t="s">
        <v>1248</v>
      </c>
      <c r="E565" s="623" t="s">
        <v>1952</v>
      </c>
      <c r="F565" s="637">
        <v>-974030</v>
      </c>
      <c r="G565" s="637">
        <v>-974030</v>
      </c>
      <c r="H565" s="637">
        <v>-974030</v>
      </c>
      <c r="I565" s="637">
        <v>-974030</v>
      </c>
      <c r="J565" s="637">
        <v>-974030</v>
      </c>
      <c r="K565" s="637">
        <v>-1088889</v>
      </c>
      <c r="L565" s="637">
        <v>-1088889</v>
      </c>
      <c r="M565" s="637">
        <v>-1088889</v>
      </c>
      <c r="N565" s="637">
        <v>-1088889</v>
      </c>
      <c r="O565" s="637">
        <v>-1088889</v>
      </c>
      <c r="P565" s="637">
        <v>-1088889</v>
      </c>
      <c r="Q565" s="637">
        <v>-1088889</v>
      </c>
      <c r="R565" s="637">
        <v>-1045610</v>
      </c>
      <c r="S565" s="514">
        <f t="shared" si="124"/>
        <v>-1044013.5833333334</v>
      </c>
      <c r="T565" s="638"/>
      <c r="U565" s="675"/>
      <c r="V565" s="713">
        <f t="shared" si="151"/>
        <v>-1044013.5833333334</v>
      </c>
      <c r="W565" s="713"/>
      <c r="X565" s="736"/>
      <c r="Y565" s="713"/>
      <c r="Z565" s="713"/>
      <c r="AA565" s="675"/>
      <c r="AB565" s="713"/>
      <c r="AC565" s="676"/>
      <c r="AD565" s="677">
        <f t="shared" ref="AD565:AD570" si="153">+V565</f>
        <v>-1044013.5833333334</v>
      </c>
      <c r="AE565" s="682"/>
      <c r="AF565" s="711">
        <f t="shared" si="131"/>
        <v>0</v>
      </c>
    </row>
    <row r="566" spans="1:32">
      <c r="A566" s="638">
        <v>556</v>
      </c>
      <c r="B566" s="342" t="s">
        <v>981</v>
      </c>
      <c r="C566" s="342" t="s">
        <v>633</v>
      </c>
      <c r="D566" s="342" t="s">
        <v>1953</v>
      </c>
      <c r="E566" s="623" t="s">
        <v>1954</v>
      </c>
      <c r="F566" s="637">
        <v>0</v>
      </c>
      <c r="G566" s="637">
        <v>0</v>
      </c>
      <c r="H566" s="637">
        <v>0</v>
      </c>
      <c r="I566" s="637">
        <v>0</v>
      </c>
      <c r="J566" s="637">
        <v>0</v>
      </c>
      <c r="K566" s="637">
        <v>114859</v>
      </c>
      <c r="L566" s="637">
        <v>114859</v>
      </c>
      <c r="M566" s="637">
        <v>114859</v>
      </c>
      <c r="N566" s="637">
        <v>114859</v>
      </c>
      <c r="O566" s="637">
        <v>114859</v>
      </c>
      <c r="P566" s="637">
        <v>114859</v>
      </c>
      <c r="Q566" s="637">
        <v>114859</v>
      </c>
      <c r="R566" s="637">
        <v>197919</v>
      </c>
      <c r="S566" s="514">
        <f t="shared" si="124"/>
        <v>75247.708333333328</v>
      </c>
      <c r="T566" s="638"/>
      <c r="U566" s="675"/>
      <c r="V566" s="713">
        <f t="shared" si="151"/>
        <v>75247.708333333328</v>
      </c>
      <c r="W566" s="713"/>
      <c r="X566" s="736"/>
      <c r="Y566" s="713"/>
      <c r="Z566" s="713"/>
      <c r="AA566" s="675"/>
      <c r="AB566" s="713"/>
      <c r="AC566" s="676"/>
      <c r="AD566" s="677">
        <f t="shared" si="153"/>
        <v>75247.708333333328</v>
      </c>
      <c r="AE566" s="676"/>
      <c r="AF566" s="711">
        <f t="shared" si="131"/>
        <v>0</v>
      </c>
    </row>
    <row r="567" spans="1:32">
      <c r="A567" s="638">
        <v>557</v>
      </c>
      <c r="B567" s="342" t="s">
        <v>984</v>
      </c>
      <c r="C567" s="342" t="s">
        <v>634</v>
      </c>
      <c r="D567" s="342" t="s">
        <v>1249</v>
      </c>
      <c r="E567" s="623" t="s">
        <v>637</v>
      </c>
      <c r="F567" s="637">
        <v>-49624464.960000001</v>
      </c>
      <c r="G567" s="637">
        <v>-49425126.969999999</v>
      </c>
      <c r="H567" s="637">
        <v>-49225788.950000003</v>
      </c>
      <c r="I567" s="637">
        <v>-49026450.969999999</v>
      </c>
      <c r="J567" s="637">
        <v>-48827112.979999997</v>
      </c>
      <c r="K567" s="637">
        <v>-48627775.049999997</v>
      </c>
      <c r="L567" s="637">
        <v>-48428437.009999998</v>
      </c>
      <c r="M567" s="637">
        <v>-48229103.939999998</v>
      </c>
      <c r="N567" s="637">
        <v>-48029765.960000001</v>
      </c>
      <c r="O567" s="637">
        <v>-47830427.950000003</v>
      </c>
      <c r="P567" s="637">
        <v>-47631089.960000001</v>
      </c>
      <c r="Q567" s="637">
        <v>-47408313.049999997</v>
      </c>
      <c r="R567" s="637">
        <v>-47103890.740000002</v>
      </c>
      <c r="S567" s="514">
        <f t="shared" si="124"/>
        <v>-48421130.886666656</v>
      </c>
      <c r="T567" s="638"/>
      <c r="U567" s="675"/>
      <c r="V567" s="713"/>
      <c r="W567" s="713"/>
      <c r="X567" s="736">
        <f>+S567</f>
        <v>-48421130.886666656</v>
      </c>
      <c r="Y567" s="713"/>
      <c r="Z567" s="713"/>
      <c r="AA567" s="675"/>
      <c r="AB567" s="713">
        <f>+S567</f>
        <v>-48421130.886666656</v>
      </c>
      <c r="AC567" s="676"/>
      <c r="AD567" s="677">
        <f t="shared" si="153"/>
        <v>0</v>
      </c>
      <c r="AE567" s="676"/>
      <c r="AF567" s="711">
        <f t="shared" si="131"/>
        <v>0</v>
      </c>
    </row>
    <row r="568" spans="1:32">
      <c r="A568" s="638">
        <v>558</v>
      </c>
      <c r="B568" s="342" t="s">
        <v>981</v>
      </c>
      <c r="C568" s="342" t="s">
        <v>634</v>
      </c>
      <c r="D568" s="342" t="s">
        <v>1250</v>
      </c>
      <c r="E568" s="623" t="s">
        <v>1752</v>
      </c>
      <c r="F568" s="637">
        <v>-9124558.2599999998</v>
      </c>
      <c r="G568" s="637">
        <v>-9027793.8900000006</v>
      </c>
      <c r="H568" s="637">
        <v>-8931029.4600000009</v>
      </c>
      <c r="I568" s="637">
        <v>-8834265.1099999994</v>
      </c>
      <c r="J568" s="637">
        <v>-8737500.7599999998</v>
      </c>
      <c r="K568" s="637">
        <v>-8640736.4199999999</v>
      </c>
      <c r="L568" s="637">
        <v>-8543971.9700000007</v>
      </c>
      <c r="M568" s="637">
        <v>-8447207.6099999994</v>
      </c>
      <c r="N568" s="637">
        <v>-8350443.2300000004</v>
      </c>
      <c r="O568" s="637">
        <v>-8253678.8300000001</v>
      </c>
      <c r="P568" s="637">
        <v>-8156914.3399999999</v>
      </c>
      <c r="Q568" s="637">
        <v>-8060150.0099999998</v>
      </c>
      <c r="R568" s="637">
        <v>-7963385.4400000004</v>
      </c>
      <c r="S568" s="514">
        <f t="shared" si="124"/>
        <v>-8543971.956666667</v>
      </c>
      <c r="T568" s="638"/>
      <c r="U568" s="675"/>
      <c r="V568" s="713"/>
      <c r="W568" s="713"/>
      <c r="X568" s="736">
        <f>+S568</f>
        <v>-8543971.956666667</v>
      </c>
      <c r="Y568" s="713"/>
      <c r="Z568" s="713"/>
      <c r="AA568" s="675"/>
      <c r="AB568" s="713">
        <f>+S568</f>
        <v>-8543971.956666667</v>
      </c>
      <c r="AC568" s="676"/>
      <c r="AD568" s="677">
        <f t="shared" si="153"/>
        <v>0</v>
      </c>
      <c r="AE568" s="682"/>
      <c r="AF568" s="711">
        <f t="shared" si="131"/>
        <v>0</v>
      </c>
    </row>
    <row r="569" spans="1:32">
      <c r="A569" s="638">
        <v>559</v>
      </c>
      <c r="B569" s="342" t="s">
        <v>1883</v>
      </c>
      <c r="C569" s="342" t="s">
        <v>634</v>
      </c>
      <c r="D569" s="342" t="s">
        <v>1890</v>
      </c>
      <c r="E569" s="623" t="s">
        <v>1948</v>
      </c>
      <c r="F569" s="637">
        <v>0</v>
      </c>
      <c r="G569" s="637">
        <v>0</v>
      </c>
      <c r="H569" s="637">
        <v>-1111122.68</v>
      </c>
      <c r="I569" s="637">
        <v>0</v>
      </c>
      <c r="J569" s="637">
        <v>619044.54</v>
      </c>
      <c r="K569" s="637">
        <v>698790.37</v>
      </c>
      <c r="L569" s="637">
        <v>736498.52</v>
      </c>
      <c r="M569" s="637">
        <v>775109.42</v>
      </c>
      <c r="N569" s="637">
        <v>814640.66</v>
      </c>
      <c r="O569" s="637">
        <v>852120.08</v>
      </c>
      <c r="P569" s="637">
        <v>848983.99</v>
      </c>
      <c r="Q569" s="637">
        <v>2064910.95</v>
      </c>
      <c r="R569" s="637">
        <v>1834765.01</v>
      </c>
      <c r="S569" s="514">
        <f t="shared" si="124"/>
        <v>601363.19625000004</v>
      </c>
      <c r="T569" s="638"/>
      <c r="U569" s="675"/>
      <c r="V569" s="713">
        <f>+S569</f>
        <v>601363.19625000004</v>
      </c>
      <c r="W569" s="713"/>
      <c r="X569" s="736"/>
      <c r="Y569" s="713"/>
      <c r="Z569" s="713"/>
      <c r="AA569" s="675"/>
      <c r="AB569" s="713"/>
      <c r="AC569" s="676"/>
      <c r="AD569" s="677">
        <f t="shared" si="153"/>
        <v>601363.19625000004</v>
      </c>
      <c r="AE569" s="682"/>
      <c r="AF569" s="711">
        <f t="shared" si="131"/>
        <v>0</v>
      </c>
    </row>
    <row r="570" spans="1:32">
      <c r="A570" s="638">
        <v>560</v>
      </c>
      <c r="B570" s="342" t="s">
        <v>1883</v>
      </c>
      <c r="C570" s="342" t="s">
        <v>634</v>
      </c>
      <c r="D570" s="342" t="s">
        <v>1892</v>
      </c>
      <c r="E570" s="623" t="s">
        <v>1948</v>
      </c>
      <c r="F570" s="637">
        <v>0</v>
      </c>
      <c r="G570" s="637">
        <v>1973760.03</v>
      </c>
      <c r="H570" s="637">
        <v>-4137153.52</v>
      </c>
      <c r="I570" s="637">
        <v>1207778.26</v>
      </c>
      <c r="J570" s="637">
        <v>1149487.81</v>
      </c>
      <c r="K570" s="637">
        <v>1174986.7</v>
      </c>
      <c r="L570" s="637">
        <v>1244328.33</v>
      </c>
      <c r="M570" s="637">
        <v>1289161.8799999999</v>
      </c>
      <c r="N570" s="637">
        <v>1350429.02</v>
      </c>
      <c r="O570" s="637">
        <v>1254856.2</v>
      </c>
      <c r="P570" s="637">
        <v>1132432.3400000001</v>
      </c>
      <c r="Q570" s="637">
        <v>1023920.7</v>
      </c>
      <c r="R570" s="637">
        <v>1603848.95</v>
      </c>
      <c r="S570" s="514">
        <f t="shared" si="124"/>
        <v>788826.01874999993</v>
      </c>
      <c r="T570" s="638"/>
      <c r="U570" s="675"/>
      <c r="V570" s="713">
        <f>+S570</f>
        <v>788826.01874999993</v>
      </c>
      <c r="W570" s="713"/>
      <c r="X570" s="736"/>
      <c r="Y570" s="713"/>
      <c r="Z570" s="713"/>
      <c r="AA570" s="675"/>
      <c r="AB570" s="713"/>
      <c r="AC570" s="676"/>
      <c r="AD570" s="677">
        <f t="shared" si="153"/>
        <v>788826.01874999993</v>
      </c>
      <c r="AE570" s="676"/>
      <c r="AF570" s="711">
        <f t="shared" si="131"/>
        <v>0</v>
      </c>
    </row>
    <row r="571" spans="1:32">
      <c r="A571" s="638">
        <v>561</v>
      </c>
      <c r="B571" s="342" t="s">
        <v>984</v>
      </c>
      <c r="C571" s="342" t="s">
        <v>634</v>
      </c>
      <c r="D571" s="342" t="s">
        <v>1426</v>
      </c>
      <c r="E571" s="636" t="s">
        <v>1758</v>
      </c>
      <c r="F571" s="637">
        <v>-1000748.3</v>
      </c>
      <c r="G571" s="637">
        <v>-935174.44</v>
      </c>
      <c r="H571" s="637">
        <v>-860934.91</v>
      </c>
      <c r="I571" s="637">
        <v>-769924.97</v>
      </c>
      <c r="J571" s="637">
        <v>-766991.69</v>
      </c>
      <c r="K571" s="637">
        <v>-809207.04</v>
      </c>
      <c r="L571" s="637">
        <v>-875218.56</v>
      </c>
      <c r="M571" s="637">
        <v>-939453.43999999994</v>
      </c>
      <c r="N571" s="637">
        <v>-1002397.3</v>
      </c>
      <c r="O571" s="637">
        <v>-1067697.32</v>
      </c>
      <c r="P571" s="637">
        <v>-1107757.76</v>
      </c>
      <c r="Q571" s="637">
        <v>-1097259.6100000001</v>
      </c>
      <c r="R571" s="637">
        <v>-1014491.1</v>
      </c>
      <c r="S571" s="514">
        <f t="shared" si="124"/>
        <v>-936636.39500000002</v>
      </c>
      <c r="T571" s="638"/>
      <c r="U571" s="675"/>
      <c r="V571" s="713"/>
      <c r="W571" s="713"/>
      <c r="X571" s="736">
        <f t="shared" ref="X571:X577" si="154">+S571</f>
        <v>-936636.39500000002</v>
      </c>
      <c r="Y571" s="713"/>
      <c r="Z571" s="713"/>
      <c r="AA571" s="675"/>
      <c r="AB571" s="713">
        <f t="shared" ref="AB571:AB577" si="155">+S571</f>
        <v>-936636.39500000002</v>
      </c>
      <c r="AC571" s="676"/>
      <c r="AD571" s="677"/>
      <c r="AE571" s="676"/>
      <c r="AF571" s="711">
        <f t="shared" si="131"/>
        <v>0</v>
      </c>
    </row>
    <row r="572" spans="1:32">
      <c r="A572" s="638">
        <v>562</v>
      </c>
      <c r="B572" s="342" t="s">
        <v>984</v>
      </c>
      <c r="C572" s="342" t="s">
        <v>634</v>
      </c>
      <c r="D572" s="342" t="s">
        <v>1441</v>
      </c>
      <c r="E572" s="623" t="s">
        <v>1759</v>
      </c>
      <c r="F572" s="637">
        <v>-274816.11</v>
      </c>
      <c r="G572" s="637">
        <v>-249265.99</v>
      </c>
      <c r="H572" s="637">
        <v>-220858.9</v>
      </c>
      <c r="I572" s="637">
        <v>-186993.76</v>
      </c>
      <c r="J572" s="637">
        <v>-181732.56</v>
      </c>
      <c r="K572" s="637">
        <v>-191134.66</v>
      </c>
      <c r="L572" s="637">
        <v>-208315.13</v>
      </c>
      <c r="M572" s="637">
        <v>-225020.79999999999</v>
      </c>
      <c r="N572" s="637">
        <v>-241365.35</v>
      </c>
      <c r="O572" s="637">
        <v>-258456.72</v>
      </c>
      <c r="P572" s="637">
        <v>-267227.15000000002</v>
      </c>
      <c r="Q572" s="637">
        <v>-259574.65</v>
      </c>
      <c r="R572" s="637">
        <v>-228610.16</v>
      </c>
      <c r="S572" s="514">
        <f t="shared" si="124"/>
        <v>-228471.5670833333</v>
      </c>
      <c r="T572" s="638"/>
      <c r="U572" s="675"/>
      <c r="V572" s="713"/>
      <c r="W572" s="713"/>
      <c r="X572" s="736">
        <f t="shared" si="154"/>
        <v>-228471.5670833333</v>
      </c>
      <c r="Y572" s="713"/>
      <c r="Z572" s="713"/>
      <c r="AA572" s="675"/>
      <c r="AB572" s="713">
        <f t="shared" si="155"/>
        <v>-228471.5670833333</v>
      </c>
      <c r="AC572" s="676"/>
      <c r="AD572" s="677"/>
      <c r="AE572" s="676"/>
      <c r="AF572" s="711">
        <f t="shared" si="131"/>
        <v>0</v>
      </c>
    </row>
    <row r="573" spans="1:32">
      <c r="A573" s="638">
        <v>563</v>
      </c>
      <c r="B573" s="342" t="s">
        <v>984</v>
      </c>
      <c r="C573" s="342" t="s">
        <v>634</v>
      </c>
      <c r="D573" s="342" t="s">
        <v>1442</v>
      </c>
      <c r="E573" s="623" t="s">
        <v>1760</v>
      </c>
      <c r="F573" s="637">
        <v>-463561.43</v>
      </c>
      <c r="G573" s="637">
        <v>-429335.22</v>
      </c>
      <c r="H573" s="637">
        <v>-391057.16</v>
      </c>
      <c r="I573" s="637">
        <v>-344979.34</v>
      </c>
      <c r="J573" s="637">
        <v>-339852.94</v>
      </c>
      <c r="K573" s="637">
        <v>-355714.93</v>
      </c>
      <c r="L573" s="637">
        <v>-382669.07</v>
      </c>
      <c r="M573" s="637">
        <v>-408852.96</v>
      </c>
      <c r="N573" s="637">
        <v>-434468.51</v>
      </c>
      <c r="O573" s="637">
        <v>-461169.74</v>
      </c>
      <c r="P573" s="637">
        <v>-476076.04</v>
      </c>
      <c r="Q573" s="637">
        <v>-473758.23</v>
      </c>
      <c r="R573" s="637">
        <v>-450758.74</v>
      </c>
      <c r="S573" s="514">
        <f t="shared" si="124"/>
        <v>-412924.51875000005</v>
      </c>
      <c r="T573" s="638"/>
      <c r="U573" s="675"/>
      <c r="V573" s="713"/>
      <c r="W573" s="713"/>
      <c r="X573" s="736">
        <f t="shared" si="154"/>
        <v>-412924.51875000005</v>
      </c>
      <c r="Y573" s="713"/>
      <c r="Z573" s="713"/>
      <c r="AA573" s="675"/>
      <c r="AB573" s="713">
        <f t="shared" si="155"/>
        <v>-412924.51875000005</v>
      </c>
      <c r="AC573" s="676"/>
      <c r="AD573" s="677"/>
      <c r="AE573" s="676"/>
      <c r="AF573" s="711">
        <f t="shared" si="131"/>
        <v>0</v>
      </c>
    </row>
    <row r="574" spans="1:32">
      <c r="A574" s="638">
        <v>564</v>
      </c>
      <c r="B574" s="342" t="s">
        <v>984</v>
      </c>
      <c r="C574" s="342" t="s">
        <v>634</v>
      </c>
      <c r="D574" s="342" t="s">
        <v>1443</v>
      </c>
      <c r="E574" s="623" t="s">
        <v>1761</v>
      </c>
      <c r="F574" s="637">
        <v>-126336.78</v>
      </c>
      <c r="G574" s="637">
        <v>-113252.81</v>
      </c>
      <c r="H574" s="637">
        <v>-98837.58</v>
      </c>
      <c r="I574" s="637">
        <v>-81877.09</v>
      </c>
      <c r="J574" s="637">
        <v>-78252.990000000005</v>
      </c>
      <c r="K574" s="637">
        <v>-81465.86</v>
      </c>
      <c r="L574" s="637">
        <v>-88304.51</v>
      </c>
      <c r="M574" s="637">
        <v>-94920.55</v>
      </c>
      <c r="N574" s="637">
        <v>-101367.35</v>
      </c>
      <c r="O574" s="637">
        <v>-108163.05</v>
      </c>
      <c r="P574" s="637">
        <v>-111075.57</v>
      </c>
      <c r="Q574" s="637">
        <v>-108527.96</v>
      </c>
      <c r="R574" s="637">
        <v>-99392.62</v>
      </c>
      <c r="S574" s="514">
        <f t="shared" si="124"/>
        <v>-98242.501666666663</v>
      </c>
      <c r="T574" s="638"/>
      <c r="U574" s="675"/>
      <c r="V574" s="713"/>
      <c r="W574" s="713"/>
      <c r="X574" s="736">
        <f t="shared" si="154"/>
        <v>-98242.501666666663</v>
      </c>
      <c r="Y574" s="713"/>
      <c r="Z574" s="713"/>
      <c r="AA574" s="675"/>
      <c r="AB574" s="713">
        <f t="shared" si="155"/>
        <v>-98242.501666666663</v>
      </c>
      <c r="AC574" s="676"/>
      <c r="AD574" s="677"/>
      <c r="AE574" s="676"/>
      <c r="AF574" s="711">
        <f t="shared" si="131"/>
        <v>0</v>
      </c>
    </row>
    <row r="575" spans="1:32">
      <c r="A575" s="638">
        <v>565</v>
      </c>
      <c r="B575" s="342" t="s">
        <v>984</v>
      </c>
      <c r="C575" s="342" t="s">
        <v>634</v>
      </c>
      <c r="D575" s="342" t="s">
        <v>1444</v>
      </c>
      <c r="E575" s="623" t="s">
        <v>1762</v>
      </c>
      <c r="F575" s="637">
        <v>-863199.97</v>
      </c>
      <c r="G575" s="637">
        <v>-699908.41</v>
      </c>
      <c r="H575" s="637">
        <v>-529243.91</v>
      </c>
      <c r="I575" s="637">
        <v>-344301.35</v>
      </c>
      <c r="J575" s="637">
        <v>-234375.07</v>
      </c>
      <c r="K575" s="637">
        <v>-162900.16</v>
      </c>
      <c r="L575" s="637">
        <v>-111684.07</v>
      </c>
      <c r="M575" s="637">
        <v>-58935.039999999899</v>
      </c>
      <c r="N575" s="637">
        <v>-5075.4299999999203</v>
      </c>
      <c r="O575" s="637">
        <v>46774.890000000101</v>
      </c>
      <c r="P575" s="637">
        <v>120083.18</v>
      </c>
      <c r="Q575" s="637">
        <v>177539.49</v>
      </c>
      <c r="R575" s="637">
        <v>8.7311491370201098E-11</v>
      </c>
      <c r="S575" s="514">
        <f t="shared" si="124"/>
        <v>-186135.48874999993</v>
      </c>
      <c r="T575" s="638"/>
      <c r="U575" s="675"/>
      <c r="V575" s="713"/>
      <c r="W575" s="713"/>
      <c r="X575" s="736">
        <f t="shared" si="154"/>
        <v>-186135.48874999993</v>
      </c>
      <c r="Y575" s="713"/>
      <c r="Z575" s="713"/>
      <c r="AA575" s="675"/>
      <c r="AB575" s="713">
        <f t="shared" si="155"/>
        <v>-186135.48874999993</v>
      </c>
      <c r="AC575" s="676"/>
      <c r="AD575" s="677"/>
      <c r="AE575" s="676"/>
      <c r="AF575" s="711">
        <f t="shared" si="131"/>
        <v>0</v>
      </c>
    </row>
    <row r="576" spans="1:32">
      <c r="A576" s="638">
        <v>566</v>
      </c>
      <c r="B576" s="342" t="s">
        <v>984</v>
      </c>
      <c r="C576" s="342" t="s">
        <v>634</v>
      </c>
      <c r="D576" s="342" t="s">
        <v>1445</v>
      </c>
      <c r="E576" s="623" t="s">
        <v>1763</v>
      </c>
      <c r="F576" s="637">
        <v>-236935.84</v>
      </c>
      <c r="G576" s="637">
        <v>-183989.76000000001</v>
      </c>
      <c r="H576" s="637">
        <v>-128623.71</v>
      </c>
      <c r="I576" s="637">
        <v>-68609.960000000006</v>
      </c>
      <c r="J576" s="637">
        <v>-32980.78</v>
      </c>
      <c r="K576" s="637">
        <v>-9851.0400000000009</v>
      </c>
      <c r="L576" s="637">
        <v>6665.54</v>
      </c>
      <c r="M576" s="637">
        <v>23623.64</v>
      </c>
      <c r="N576" s="637">
        <v>40910.720000000001</v>
      </c>
      <c r="O576" s="637">
        <v>57554.2</v>
      </c>
      <c r="P576" s="637">
        <v>81250.36</v>
      </c>
      <c r="Q576" s="637">
        <v>99940.78</v>
      </c>
      <c r="R576" s="637">
        <v>0</v>
      </c>
      <c r="S576" s="514">
        <f t="shared" si="124"/>
        <v>-19381.494166666675</v>
      </c>
      <c r="T576" s="638"/>
      <c r="U576" s="675"/>
      <c r="V576" s="713"/>
      <c r="W576" s="713"/>
      <c r="X576" s="736">
        <f t="shared" si="154"/>
        <v>-19381.494166666675</v>
      </c>
      <c r="Y576" s="713"/>
      <c r="Z576" s="713"/>
      <c r="AA576" s="675"/>
      <c r="AB576" s="713">
        <f t="shared" si="155"/>
        <v>-19381.494166666675</v>
      </c>
      <c r="AC576" s="676"/>
      <c r="AD576" s="677"/>
      <c r="AE576" s="676"/>
      <c r="AF576" s="711">
        <f t="shared" si="131"/>
        <v>0</v>
      </c>
    </row>
    <row r="577" spans="1:32">
      <c r="A577" s="638">
        <v>567</v>
      </c>
      <c r="B577" s="342" t="s">
        <v>984</v>
      </c>
      <c r="C577" s="342" t="s">
        <v>634</v>
      </c>
      <c r="D577" s="342" t="s">
        <v>1446</v>
      </c>
      <c r="E577" s="629" t="s">
        <v>1764</v>
      </c>
      <c r="F577" s="637">
        <v>367551.32</v>
      </c>
      <c r="G577" s="637">
        <v>367551.32</v>
      </c>
      <c r="H577" s="637">
        <v>367551.32</v>
      </c>
      <c r="I577" s="637">
        <v>367551.32</v>
      </c>
      <c r="J577" s="637">
        <v>367551.32</v>
      </c>
      <c r="K577" s="637">
        <v>367551.32</v>
      </c>
      <c r="L577" s="637">
        <v>367551.32</v>
      </c>
      <c r="M577" s="637">
        <v>367551.32</v>
      </c>
      <c r="N577" s="637">
        <v>367551.32</v>
      </c>
      <c r="O577" s="637">
        <v>473806.37</v>
      </c>
      <c r="P577" s="637">
        <v>473806.37</v>
      </c>
      <c r="Q577" s="637">
        <v>473806.37</v>
      </c>
      <c r="R577" s="637">
        <v>0</v>
      </c>
      <c r="S577" s="514">
        <f t="shared" si="124"/>
        <v>378800.44416666665</v>
      </c>
      <c r="T577" s="638"/>
      <c r="U577" s="675"/>
      <c r="V577" s="713"/>
      <c r="W577" s="713"/>
      <c r="X577" s="736">
        <f t="shared" si="154"/>
        <v>378800.44416666665</v>
      </c>
      <c r="Y577" s="713"/>
      <c r="Z577" s="713"/>
      <c r="AA577" s="675"/>
      <c r="AB577" s="713">
        <f t="shared" si="155"/>
        <v>378800.44416666665</v>
      </c>
      <c r="AC577" s="676"/>
      <c r="AD577" s="677"/>
      <c r="AE577" s="676"/>
      <c r="AF577" s="711">
        <f t="shared" si="131"/>
        <v>0</v>
      </c>
    </row>
    <row r="578" spans="1:32">
      <c r="A578" s="638">
        <v>568</v>
      </c>
      <c r="B578" s="342" t="s">
        <v>1009</v>
      </c>
      <c r="C578" s="342" t="s">
        <v>634</v>
      </c>
      <c r="D578" s="342" t="s">
        <v>1237</v>
      </c>
      <c r="E578" s="623" t="s">
        <v>1757</v>
      </c>
      <c r="F578" s="637">
        <v>151304.69</v>
      </c>
      <c r="G578" s="637">
        <v>0</v>
      </c>
      <c r="H578" s="637">
        <v>0</v>
      </c>
      <c r="I578" s="637">
        <v>0</v>
      </c>
      <c r="J578" s="637">
        <v>5267.35</v>
      </c>
      <c r="K578" s="637">
        <v>2626.02</v>
      </c>
      <c r="L578" s="637">
        <v>2032.81</v>
      </c>
      <c r="M578" s="637">
        <v>1667.79</v>
      </c>
      <c r="N578" s="637">
        <v>870.6</v>
      </c>
      <c r="O578" s="637">
        <v>2138.62</v>
      </c>
      <c r="P578" s="637">
        <v>31782.5</v>
      </c>
      <c r="Q578" s="637">
        <v>157413.66</v>
      </c>
      <c r="R578" s="637">
        <v>179237.64</v>
      </c>
      <c r="S578" s="514">
        <f t="shared" si="124"/>
        <v>30755.876250000001</v>
      </c>
      <c r="T578" s="638"/>
      <c r="U578" s="675"/>
      <c r="V578" s="713">
        <f t="shared" ref="V578:V579" si="156">+S578</f>
        <v>30755.876250000001</v>
      </c>
      <c r="W578" s="713"/>
      <c r="X578" s="736"/>
      <c r="Y578" s="713"/>
      <c r="Z578" s="713"/>
      <c r="AA578" s="675"/>
      <c r="AB578" s="713"/>
      <c r="AC578" s="676"/>
      <c r="AD578" s="677">
        <f t="shared" ref="AD578:AD579" si="157">+V578</f>
        <v>30755.876250000001</v>
      </c>
      <c r="AE578" s="676"/>
      <c r="AF578" s="711">
        <f t="shared" si="131"/>
        <v>0</v>
      </c>
    </row>
    <row r="579" spans="1:32">
      <c r="A579" s="638">
        <v>569</v>
      </c>
      <c r="B579" s="342" t="s">
        <v>984</v>
      </c>
      <c r="C579" s="342" t="s">
        <v>634</v>
      </c>
      <c r="D579" s="342" t="s">
        <v>1237</v>
      </c>
      <c r="E579" s="629" t="s">
        <v>1757</v>
      </c>
      <c r="F579" s="637">
        <v>934952.23</v>
      </c>
      <c r="G579" s="637">
        <v>269615.28000000003</v>
      </c>
      <c r="H579" s="637">
        <v>336752.89</v>
      </c>
      <c r="I579" s="637">
        <v>221356.89</v>
      </c>
      <c r="J579" s="637">
        <v>117146.9</v>
      </c>
      <c r="K579" s="637">
        <v>67735.67</v>
      </c>
      <c r="L579" s="637">
        <v>47646.15</v>
      </c>
      <c r="M579" s="637">
        <v>46845.95</v>
      </c>
      <c r="N579" s="637">
        <v>25782.880000000001</v>
      </c>
      <c r="O579" s="637">
        <v>62495.17</v>
      </c>
      <c r="P579" s="637">
        <v>154564.26999999999</v>
      </c>
      <c r="Q579" s="637">
        <v>163913.10999999999</v>
      </c>
      <c r="R579" s="637">
        <v>189403.67</v>
      </c>
      <c r="S579" s="514">
        <f t="shared" si="124"/>
        <v>173002.75916666663</v>
      </c>
      <c r="T579" s="638"/>
      <c r="U579" s="675"/>
      <c r="V579" s="713">
        <f t="shared" si="156"/>
        <v>173002.75916666663</v>
      </c>
      <c r="W579" s="713"/>
      <c r="X579" s="736"/>
      <c r="Y579" s="713"/>
      <c r="Z579" s="713"/>
      <c r="AA579" s="675"/>
      <c r="AB579" s="713"/>
      <c r="AC579" s="676"/>
      <c r="AD579" s="677">
        <f t="shared" si="157"/>
        <v>173002.75916666663</v>
      </c>
      <c r="AE579" s="676"/>
      <c r="AF579" s="711">
        <f t="shared" si="131"/>
        <v>0</v>
      </c>
    </row>
    <row r="580" spans="1:32">
      <c r="A580" s="638">
        <v>570</v>
      </c>
      <c r="B580" s="342" t="s">
        <v>981</v>
      </c>
      <c r="C580" s="342" t="s">
        <v>459</v>
      </c>
      <c r="D580" s="342" t="s">
        <v>732</v>
      </c>
      <c r="E580" s="636" t="s">
        <v>733</v>
      </c>
      <c r="F580" s="637">
        <v>49007788.119999997</v>
      </c>
      <c r="G580" s="637">
        <v>49338211.450000003</v>
      </c>
      <c r="H580" s="637">
        <v>49670032.240000002</v>
      </c>
      <c r="I580" s="637">
        <v>50003256.799999997</v>
      </c>
      <c r="J580" s="637">
        <v>50337891.619999997</v>
      </c>
      <c r="K580" s="637">
        <v>50673943.340000004</v>
      </c>
      <c r="L580" s="637">
        <v>51011418.359999999</v>
      </c>
      <c r="M580" s="637">
        <v>51350323.100000001</v>
      </c>
      <c r="N580" s="637">
        <v>51690664.189999998</v>
      </c>
      <c r="O580" s="637">
        <v>52032448.350000001</v>
      </c>
      <c r="P580" s="637">
        <v>52375682.159999996</v>
      </c>
      <c r="Q580" s="637">
        <v>52720372.310000002</v>
      </c>
      <c r="R580" s="637">
        <v>52645191.759999998</v>
      </c>
      <c r="S580" s="514">
        <f t="shared" si="124"/>
        <v>51002561.155000009</v>
      </c>
      <c r="T580" s="638"/>
      <c r="U580" s="675"/>
      <c r="V580" s="683"/>
      <c r="W580" s="713"/>
      <c r="X580" s="713">
        <f>+S580</f>
        <v>51002561.155000009</v>
      </c>
      <c r="Y580" s="741">
        <f>+X580*Z7</f>
        <v>38338625.22021351</v>
      </c>
      <c r="Z580" s="713">
        <f>+X580*Z8</f>
        <v>12663935.934786502</v>
      </c>
      <c r="AA580" s="675"/>
      <c r="AB580" s="713"/>
      <c r="AC580" s="676"/>
      <c r="AD580" s="677"/>
      <c r="AE580" s="676"/>
      <c r="AF580" s="711">
        <f t="shared" ref="AF580:AF656" si="158">+U580+V580-AD580</f>
        <v>0</v>
      </c>
    </row>
    <row r="581" spans="1:32">
      <c r="A581" s="638">
        <v>571</v>
      </c>
      <c r="B581" s="342" t="s">
        <v>981</v>
      </c>
      <c r="C581" s="342" t="s">
        <v>634</v>
      </c>
      <c r="D581" s="342" t="s">
        <v>635</v>
      </c>
      <c r="E581" s="636" t="s">
        <v>636</v>
      </c>
      <c r="F581" s="637">
        <v>-2706980</v>
      </c>
      <c r="G581" s="637">
        <v>-2706980</v>
      </c>
      <c r="H581" s="637">
        <v>-2706980</v>
      </c>
      <c r="I581" s="637">
        <v>-2706980</v>
      </c>
      <c r="J581" s="637">
        <v>-2706980</v>
      </c>
      <c r="K581" s="637">
        <v>-2706980</v>
      </c>
      <c r="L581" s="637">
        <v>-2706980</v>
      </c>
      <c r="M581" s="637">
        <v>-2706980</v>
      </c>
      <c r="N581" s="637">
        <v>-2706980</v>
      </c>
      <c r="O581" s="637">
        <v>-2706980</v>
      </c>
      <c r="P581" s="637">
        <v>-2706980</v>
      </c>
      <c r="Q581" s="637">
        <v>0</v>
      </c>
      <c r="R581" s="637">
        <v>0</v>
      </c>
      <c r="S581" s="514">
        <f t="shared" si="124"/>
        <v>-2368607.5</v>
      </c>
      <c r="T581" s="638"/>
      <c r="U581" s="675"/>
      <c r="V581" s="683">
        <f>+S581</f>
        <v>-2368607.5</v>
      </c>
      <c r="W581" s="713"/>
      <c r="X581" s="713"/>
      <c r="Y581" s="713"/>
      <c r="Z581" s="713"/>
      <c r="AA581" s="675"/>
      <c r="AB581" s="713"/>
      <c r="AC581" s="676"/>
      <c r="AD581" s="677">
        <f>+S581</f>
        <v>-2368607.5</v>
      </c>
      <c r="AE581" s="676"/>
      <c r="AF581" s="711"/>
    </row>
    <row r="582" spans="1:32">
      <c r="A582" s="638">
        <v>572</v>
      </c>
      <c r="B582" s="342" t="s">
        <v>1009</v>
      </c>
      <c r="C582" s="342" t="s">
        <v>625</v>
      </c>
      <c r="D582" s="342" t="s">
        <v>1955</v>
      </c>
      <c r="E582" s="636" t="s">
        <v>1956</v>
      </c>
      <c r="F582" s="637">
        <v>0</v>
      </c>
      <c r="G582" s="637">
        <v>0</v>
      </c>
      <c r="H582" s="637">
        <v>0</v>
      </c>
      <c r="I582" s="637">
        <v>0</v>
      </c>
      <c r="J582" s="637">
        <v>0</v>
      </c>
      <c r="K582" s="637">
        <v>0</v>
      </c>
      <c r="L582" s="637">
        <v>0</v>
      </c>
      <c r="M582" s="637">
        <v>0</v>
      </c>
      <c r="N582" s="637">
        <v>0</v>
      </c>
      <c r="O582" s="637">
        <v>0</v>
      </c>
      <c r="P582" s="637">
        <v>-2751</v>
      </c>
      <c r="Q582" s="637">
        <v>0</v>
      </c>
      <c r="R582" s="637">
        <v>0</v>
      </c>
      <c r="S582" s="514">
        <f t="shared" si="124"/>
        <v>-229.25</v>
      </c>
      <c r="T582" s="638"/>
      <c r="U582" s="675"/>
      <c r="V582" s="683">
        <f>+S582</f>
        <v>-229.25</v>
      </c>
      <c r="W582" s="713"/>
      <c r="X582" s="713"/>
      <c r="Y582" s="713"/>
      <c r="Z582" s="713"/>
      <c r="AA582" s="675"/>
      <c r="AB582" s="713"/>
      <c r="AC582" s="676"/>
      <c r="AD582" s="677">
        <f t="shared" ref="AD582:AD583" si="159">+S582</f>
        <v>-229.25</v>
      </c>
      <c r="AE582" s="676"/>
      <c r="AF582" s="711"/>
    </row>
    <row r="583" spans="1:32">
      <c r="A583" s="638">
        <v>573</v>
      </c>
      <c r="B583" s="342" t="s">
        <v>1009</v>
      </c>
      <c r="C583" s="342" t="s">
        <v>634</v>
      </c>
      <c r="D583" s="342" t="s">
        <v>1200</v>
      </c>
      <c r="E583" s="636" t="s">
        <v>1754</v>
      </c>
      <c r="F583" s="637">
        <v>-444461.68</v>
      </c>
      <c r="G583" s="637">
        <v>0</v>
      </c>
      <c r="H583" s="637">
        <v>0</v>
      </c>
      <c r="I583" s="637">
        <v>0</v>
      </c>
      <c r="J583" s="637">
        <v>0</v>
      </c>
      <c r="K583" s="637">
        <v>0</v>
      </c>
      <c r="L583" s="637">
        <v>0</v>
      </c>
      <c r="M583" s="637">
        <v>0</v>
      </c>
      <c r="N583" s="637">
        <v>0</v>
      </c>
      <c r="O583" s="637">
        <v>0</v>
      </c>
      <c r="P583" s="637">
        <v>0</v>
      </c>
      <c r="Q583" s="637">
        <v>0</v>
      </c>
      <c r="R583" s="637">
        <v>0</v>
      </c>
      <c r="S583" s="514">
        <f t="shared" si="124"/>
        <v>-18519.236666666668</v>
      </c>
      <c r="T583" s="638"/>
      <c r="U583" s="675"/>
      <c r="V583" s="683">
        <f>+S583</f>
        <v>-18519.236666666668</v>
      </c>
      <c r="W583" s="713"/>
      <c r="X583" s="713"/>
      <c r="Y583" s="713"/>
      <c r="Z583" s="713"/>
      <c r="AA583" s="675"/>
      <c r="AB583" s="713"/>
      <c r="AC583" s="676"/>
      <c r="AD583" s="677">
        <f t="shared" si="159"/>
        <v>-18519.236666666668</v>
      </c>
      <c r="AE583" s="676"/>
      <c r="AF583" s="711"/>
    </row>
    <row r="584" spans="1:32">
      <c r="A584" s="638">
        <v>574</v>
      </c>
      <c r="B584" s="342" t="s">
        <v>1009</v>
      </c>
      <c r="C584" s="342" t="s">
        <v>634</v>
      </c>
      <c r="D584" s="342" t="s">
        <v>1957</v>
      </c>
      <c r="E584" s="636" t="s">
        <v>1760</v>
      </c>
      <c r="F584" s="637">
        <v>0</v>
      </c>
      <c r="G584" s="637">
        <v>0</v>
      </c>
      <c r="H584" s="637">
        <v>0</v>
      </c>
      <c r="I584" s="637">
        <v>0</v>
      </c>
      <c r="J584" s="637">
        <v>-624311.89</v>
      </c>
      <c r="K584" s="637">
        <v>-701416.39</v>
      </c>
      <c r="L584" s="637">
        <v>-738531.33</v>
      </c>
      <c r="M584" s="637">
        <v>-776777.21</v>
      </c>
      <c r="N584" s="637">
        <v>-815511.26</v>
      </c>
      <c r="O584" s="637">
        <v>-854258.7</v>
      </c>
      <c r="P584" s="637">
        <v>-880766.49</v>
      </c>
      <c r="Q584" s="637">
        <v>-872379.15</v>
      </c>
      <c r="R584" s="637">
        <v>-842630.59</v>
      </c>
      <c r="S584" s="514">
        <f t="shared" si="124"/>
        <v>-557105.64291666669</v>
      </c>
      <c r="T584" s="638"/>
      <c r="U584" s="675"/>
      <c r="V584" s="683"/>
      <c r="W584" s="713"/>
      <c r="X584" s="713">
        <f>+S584</f>
        <v>-557105.64291666669</v>
      </c>
      <c r="Y584" s="713"/>
      <c r="Z584" s="713"/>
      <c r="AA584" s="675"/>
      <c r="AB584" s="713">
        <f>+S584</f>
        <v>-557105.64291666669</v>
      </c>
      <c r="AC584" s="676"/>
      <c r="AD584" s="677"/>
      <c r="AE584" s="676"/>
      <c r="AF584" s="711"/>
    </row>
    <row r="585" spans="1:32">
      <c r="A585" s="638">
        <v>575</v>
      </c>
      <c r="B585" s="342" t="s">
        <v>1009</v>
      </c>
      <c r="C585" s="342" t="s">
        <v>634</v>
      </c>
      <c r="D585" s="342" t="s">
        <v>1958</v>
      </c>
      <c r="E585" s="636" t="s">
        <v>1959</v>
      </c>
      <c r="F585" s="637">
        <v>0</v>
      </c>
      <c r="G585" s="637">
        <v>0</v>
      </c>
      <c r="H585" s="637">
        <v>0</v>
      </c>
      <c r="I585" s="637">
        <v>0</v>
      </c>
      <c r="J585" s="637">
        <v>0</v>
      </c>
      <c r="K585" s="637">
        <v>0</v>
      </c>
      <c r="L585" s="637">
        <v>0</v>
      </c>
      <c r="M585" s="637">
        <v>0</v>
      </c>
      <c r="N585" s="637">
        <v>0</v>
      </c>
      <c r="O585" s="637">
        <v>0</v>
      </c>
      <c r="P585" s="637">
        <v>0</v>
      </c>
      <c r="Q585" s="637">
        <v>-1349945.46</v>
      </c>
      <c r="R585" s="637">
        <v>-1171372.06</v>
      </c>
      <c r="S585" s="514">
        <f t="shared" si="124"/>
        <v>-161302.62416666668</v>
      </c>
      <c r="T585" s="638"/>
      <c r="U585" s="675"/>
      <c r="V585" s="683"/>
      <c r="W585" s="713"/>
      <c r="X585" s="713">
        <f>+S585</f>
        <v>-161302.62416666668</v>
      </c>
      <c r="Y585" s="713"/>
      <c r="Z585" s="713"/>
      <c r="AA585" s="675"/>
      <c r="AB585" s="713">
        <f>+S585</f>
        <v>-161302.62416666668</v>
      </c>
      <c r="AC585" s="676"/>
      <c r="AD585" s="677"/>
      <c r="AE585" s="676"/>
      <c r="AF585" s="711"/>
    </row>
    <row r="586" spans="1:32">
      <c r="A586" s="638">
        <v>576</v>
      </c>
      <c r="B586" s="342" t="s">
        <v>984</v>
      </c>
      <c r="C586" s="342" t="s">
        <v>625</v>
      </c>
      <c r="D586" s="342" t="s">
        <v>1960</v>
      </c>
      <c r="E586" s="636" t="s">
        <v>1956</v>
      </c>
      <c r="F586" s="637">
        <v>0</v>
      </c>
      <c r="G586" s="637">
        <v>0</v>
      </c>
      <c r="H586" s="637">
        <v>0</v>
      </c>
      <c r="I586" s="637">
        <v>0</v>
      </c>
      <c r="J586" s="637">
        <v>0</v>
      </c>
      <c r="K586" s="637">
        <v>0</v>
      </c>
      <c r="L586" s="637">
        <v>0</v>
      </c>
      <c r="M586" s="637">
        <v>0</v>
      </c>
      <c r="N586" s="637">
        <v>0</v>
      </c>
      <c r="O586" s="637">
        <v>0</v>
      </c>
      <c r="P586" s="637">
        <v>-9146</v>
      </c>
      <c r="Q586" s="637">
        <v>0</v>
      </c>
      <c r="R586" s="637">
        <v>0</v>
      </c>
      <c r="S586" s="514">
        <f t="shared" si="124"/>
        <v>-762.16666666666663</v>
      </c>
      <c r="T586" s="638"/>
      <c r="U586" s="675"/>
      <c r="V586" s="683">
        <f>+S586</f>
        <v>-762.16666666666663</v>
      </c>
      <c r="W586" s="713"/>
      <c r="X586" s="713"/>
      <c r="Y586" s="713"/>
      <c r="Z586" s="713"/>
      <c r="AA586" s="675"/>
      <c r="AB586" s="713"/>
      <c r="AC586" s="676"/>
      <c r="AD586" s="677">
        <f>+S586</f>
        <v>-762.16666666666663</v>
      </c>
      <c r="AE586" s="676"/>
      <c r="AF586" s="711"/>
    </row>
    <row r="587" spans="1:32">
      <c r="A587" s="638">
        <v>577</v>
      </c>
      <c r="B587" s="342" t="s">
        <v>984</v>
      </c>
      <c r="C587" s="342" t="s">
        <v>634</v>
      </c>
      <c r="D587" s="342" t="s">
        <v>1427</v>
      </c>
      <c r="E587" s="636" t="s">
        <v>1754</v>
      </c>
      <c r="F587" s="637">
        <v>-4075395.82</v>
      </c>
      <c r="G587" s="637">
        <v>0</v>
      </c>
      <c r="H587" s="637">
        <v>0</v>
      </c>
      <c r="I587" s="637">
        <v>0</v>
      </c>
      <c r="J587" s="637">
        <v>0</v>
      </c>
      <c r="K587" s="637">
        <v>0</v>
      </c>
      <c r="L587" s="637">
        <v>0</v>
      </c>
      <c r="M587" s="637">
        <v>0</v>
      </c>
      <c r="N587" s="637">
        <v>0</v>
      </c>
      <c r="O587" s="637">
        <v>0</v>
      </c>
      <c r="P587" s="637">
        <v>0</v>
      </c>
      <c r="Q587" s="637">
        <v>0</v>
      </c>
      <c r="R587" s="637">
        <v>0</v>
      </c>
      <c r="S587" s="514">
        <f t="shared" si="124"/>
        <v>-169808.15916666665</v>
      </c>
      <c r="T587" s="638"/>
      <c r="U587" s="675"/>
      <c r="V587" s="683">
        <f>+S587</f>
        <v>-169808.15916666665</v>
      </c>
      <c r="W587" s="713"/>
      <c r="X587" s="713"/>
      <c r="Y587" s="713"/>
      <c r="Z587" s="713"/>
      <c r="AA587" s="675"/>
      <c r="AB587" s="713"/>
      <c r="AC587" s="676"/>
      <c r="AD587" s="677">
        <f>+S587</f>
        <v>-169808.15916666665</v>
      </c>
      <c r="AE587" s="676"/>
      <c r="AF587" s="711"/>
    </row>
    <row r="588" spans="1:32">
      <c r="A588" s="638">
        <v>578</v>
      </c>
      <c r="B588" s="638"/>
      <c r="C588" s="638"/>
      <c r="D588" s="638"/>
      <c r="E588" s="628" t="s">
        <v>638</v>
      </c>
      <c r="F588" s="321">
        <f>SUM(F548:F587)</f>
        <v>-118715360.98000005</v>
      </c>
      <c r="G588" s="321">
        <f t="shared" ref="G588:R588" si="160">SUM(G548:G587)</f>
        <v>-112234229.63999997</v>
      </c>
      <c r="H588" s="321">
        <f t="shared" si="160"/>
        <v>-118623771.25000006</v>
      </c>
      <c r="I588" s="321">
        <f t="shared" si="160"/>
        <v>-111200242.52000003</v>
      </c>
      <c r="J588" s="321">
        <f t="shared" si="160"/>
        <v>-110676301.68999998</v>
      </c>
      <c r="K588" s="321">
        <f t="shared" si="160"/>
        <v>-110632339.43999998</v>
      </c>
      <c r="L588" s="321">
        <f t="shared" si="160"/>
        <v>-109774998.52999994</v>
      </c>
      <c r="M588" s="321">
        <f t="shared" si="160"/>
        <v>-109261606.96000008</v>
      </c>
      <c r="N588" s="321">
        <f t="shared" si="160"/>
        <v>-108851654.8</v>
      </c>
      <c r="O588" s="321">
        <f t="shared" si="160"/>
        <v>-108709356.27000009</v>
      </c>
      <c r="P588" s="321">
        <f t="shared" si="160"/>
        <v>-108194769.05999993</v>
      </c>
      <c r="Q588" s="321">
        <f t="shared" si="160"/>
        <v>-105089956.29000001</v>
      </c>
      <c r="R588" s="321">
        <f t="shared" si="160"/>
        <v>-104913886.56000006</v>
      </c>
      <c r="S588" s="321">
        <f>SUM(S548:S587)</f>
        <v>-110421987.51833339</v>
      </c>
      <c r="T588" s="638"/>
      <c r="U588" s="675"/>
      <c r="V588" s="713"/>
      <c r="W588" s="713"/>
      <c r="X588" s="736"/>
      <c r="Y588" s="713"/>
      <c r="Z588" s="713"/>
      <c r="AA588" s="675"/>
      <c r="AB588" s="713"/>
      <c r="AC588" s="676"/>
      <c r="AD588" s="676"/>
      <c r="AE588" s="676"/>
      <c r="AF588" s="711">
        <f t="shared" si="158"/>
        <v>0</v>
      </c>
    </row>
    <row r="589" spans="1:32">
      <c r="A589" s="638">
        <v>579</v>
      </c>
      <c r="B589" s="638"/>
      <c r="C589" s="638"/>
      <c r="D589" s="638"/>
      <c r="E589" s="623"/>
      <c r="F589" s="637"/>
      <c r="G589" s="340"/>
      <c r="H589" s="331"/>
      <c r="I589" s="331"/>
      <c r="J589" s="332"/>
      <c r="K589" s="333"/>
      <c r="L589" s="334"/>
      <c r="M589" s="335"/>
      <c r="N589" s="336"/>
      <c r="O589" s="624"/>
      <c r="P589" s="337"/>
      <c r="Q589" s="341"/>
      <c r="R589" s="637"/>
      <c r="S589" s="320"/>
      <c r="T589" s="638"/>
      <c r="U589" s="675"/>
      <c r="V589" s="713"/>
      <c r="W589" s="713"/>
      <c r="X589" s="736"/>
      <c r="Y589" s="713"/>
      <c r="Z589" s="713"/>
      <c r="AA589" s="675"/>
      <c r="AB589" s="713"/>
      <c r="AC589" s="676"/>
      <c r="AD589" s="676"/>
      <c r="AE589" s="676"/>
      <c r="AF589" s="711">
        <f t="shared" si="158"/>
        <v>0</v>
      </c>
    </row>
    <row r="590" spans="1:32">
      <c r="A590" s="638">
        <v>580</v>
      </c>
      <c r="B590" s="342" t="s">
        <v>981</v>
      </c>
      <c r="C590" s="342" t="s">
        <v>639</v>
      </c>
      <c r="D590" s="342" t="s">
        <v>528</v>
      </c>
      <c r="E590" s="623" t="s">
        <v>640</v>
      </c>
      <c r="F590" s="637">
        <v>-243929</v>
      </c>
      <c r="G590" s="637">
        <v>-240427.42</v>
      </c>
      <c r="H590" s="637">
        <v>-236925.83</v>
      </c>
      <c r="I590" s="637">
        <v>-233424.05</v>
      </c>
      <c r="J590" s="637">
        <v>-229922.67</v>
      </c>
      <c r="K590" s="637">
        <v>-226421.1</v>
      </c>
      <c r="L590" s="637">
        <v>-222919.52</v>
      </c>
      <c r="M590" s="637">
        <v>-219417.94</v>
      </c>
      <c r="N590" s="637">
        <v>-215916.36</v>
      </c>
      <c r="O590" s="637">
        <v>-212414.78</v>
      </c>
      <c r="P590" s="637">
        <v>-208913.2</v>
      </c>
      <c r="Q590" s="637">
        <v>-205411.62</v>
      </c>
      <c r="R590" s="637">
        <v>-201910.04</v>
      </c>
      <c r="S590" s="514">
        <f t="shared" si="124"/>
        <v>-222919.50083333335</v>
      </c>
      <c r="T590" s="638"/>
      <c r="U590" s="675"/>
      <c r="V590" s="713"/>
      <c r="W590" s="713"/>
      <c r="X590" s="736">
        <f>+S590</f>
        <v>-222919.50083333335</v>
      </c>
      <c r="Y590" s="713"/>
      <c r="Z590" s="713"/>
      <c r="AA590" s="675"/>
      <c r="AB590" s="713">
        <f>+X590</f>
        <v>-222919.50083333335</v>
      </c>
      <c r="AC590" s="676"/>
      <c r="AD590" s="676"/>
      <c r="AE590" s="676"/>
      <c r="AF590" s="711">
        <f t="shared" si="158"/>
        <v>0</v>
      </c>
    </row>
    <row r="591" spans="1:32">
      <c r="A591" s="638">
        <v>581</v>
      </c>
      <c r="B591" s="342" t="s">
        <v>981</v>
      </c>
      <c r="C591" s="342" t="s">
        <v>641</v>
      </c>
      <c r="D591" s="342" t="s">
        <v>1013</v>
      </c>
      <c r="E591" s="623" t="s">
        <v>1765</v>
      </c>
      <c r="F591" s="637">
        <v>10230519.77</v>
      </c>
      <c r="G591" s="637">
        <v>10189450.65</v>
      </c>
      <c r="H591" s="637">
        <v>10148381.529999999</v>
      </c>
      <c r="I591" s="637">
        <v>10107312.4</v>
      </c>
      <c r="J591" s="637">
        <v>10066243.27</v>
      </c>
      <c r="K591" s="637">
        <v>10025174.17</v>
      </c>
      <c r="L591" s="637">
        <v>9984105.0199999996</v>
      </c>
      <c r="M591" s="637">
        <v>9943036.9100000001</v>
      </c>
      <c r="N591" s="637">
        <v>9901967.7899999991</v>
      </c>
      <c r="O591" s="637">
        <v>9860898.6600000001</v>
      </c>
      <c r="P591" s="637">
        <v>9819829.5399999991</v>
      </c>
      <c r="Q591" s="637">
        <v>9774270.3900000006</v>
      </c>
      <c r="R591" s="637">
        <v>9711531.8900000006</v>
      </c>
      <c r="S591" s="514">
        <f t="shared" si="124"/>
        <v>9982641.3466666639</v>
      </c>
      <c r="T591" s="638"/>
      <c r="U591" s="675"/>
      <c r="V591" s="713"/>
      <c r="W591" s="713"/>
      <c r="X591" s="736">
        <f t="shared" ref="X591:X600" si="161">+S591</f>
        <v>9982641.3466666639</v>
      </c>
      <c r="Y591" s="713"/>
      <c r="Z591" s="713"/>
      <c r="AA591" s="675"/>
      <c r="AB591" s="713">
        <f>+S591</f>
        <v>9982641.3466666639</v>
      </c>
      <c r="AC591" s="676"/>
      <c r="AD591" s="676"/>
      <c r="AE591" s="676"/>
      <c r="AF591" s="711">
        <f t="shared" si="158"/>
        <v>0</v>
      </c>
    </row>
    <row r="592" spans="1:32">
      <c r="A592" s="638">
        <v>582</v>
      </c>
      <c r="B592" s="342" t="s">
        <v>981</v>
      </c>
      <c r="C592" s="342" t="s">
        <v>641</v>
      </c>
      <c r="D592" s="342" t="s">
        <v>1014</v>
      </c>
      <c r="E592" s="623" t="s">
        <v>1766</v>
      </c>
      <c r="F592" s="637">
        <v>39297042.920000002</v>
      </c>
      <c r="G592" s="637">
        <v>39137349.799999997</v>
      </c>
      <c r="H592" s="637">
        <v>38977656.649999999</v>
      </c>
      <c r="I592" s="637">
        <v>38817963.509999998</v>
      </c>
      <c r="J592" s="637">
        <v>38658270.439999998</v>
      </c>
      <c r="K592" s="637">
        <v>38498577.340000004</v>
      </c>
      <c r="L592" s="637">
        <v>38338884.200000003</v>
      </c>
      <c r="M592" s="637">
        <v>38179194.590000004</v>
      </c>
      <c r="N592" s="637">
        <v>38019501.460000001</v>
      </c>
      <c r="O592" s="637">
        <v>37859808.329999998</v>
      </c>
      <c r="P592" s="637">
        <v>37700115.229999997</v>
      </c>
      <c r="Q592" s="637">
        <v>37530125.719999999</v>
      </c>
      <c r="R592" s="637">
        <v>37290719.920000002</v>
      </c>
      <c r="S592" s="514">
        <f t="shared" si="124"/>
        <v>38334277.390833333</v>
      </c>
      <c r="T592" s="638"/>
      <c r="U592" s="675"/>
      <c r="V592" s="713"/>
      <c r="W592" s="713"/>
      <c r="X592" s="736">
        <f t="shared" si="161"/>
        <v>38334277.390833333</v>
      </c>
      <c r="Y592" s="713"/>
      <c r="Z592" s="713"/>
      <c r="AA592" s="675"/>
      <c r="AB592" s="713">
        <f>+S592</f>
        <v>38334277.390833333</v>
      </c>
      <c r="AC592" s="676"/>
      <c r="AD592" s="676"/>
      <c r="AE592" s="676"/>
      <c r="AF592" s="711">
        <f t="shared" si="158"/>
        <v>0</v>
      </c>
    </row>
    <row r="593" spans="1:32">
      <c r="A593" s="638">
        <v>583</v>
      </c>
      <c r="B593" s="342" t="s">
        <v>981</v>
      </c>
      <c r="C593" s="342" t="s">
        <v>641</v>
      </c>
      <c r="D593" s="342" t="s">
        <v>998</v>
      </c>
      <c r="E593" s="623" t="s">
        <v>1767</v>
      </c>
      <c r="F593" s="637">
        <v>-99638867.390000001</v>
      </c>
      <c r="G593" s="637">
        <v>-99562756.319999993</v>
      </c>
      <c r="H593" s="637">
        <v>-99486645.239999995</v>
      </c>
      <c r="I593" s="637">
        <v>-99410534.159999996</v>
      </c>
      <c r="J593" s="637">
        <v>-99334423.090000004</v>
      </c>
      <c r="K593" s="637">
        <v>-1.4901161193847699E-8</v>
      </c>
      <c r="L593" s="637">
        <v>-1.4901161193847699E-8</v>
      </c>
      <c r="M593" s="637">
        <v>-1.4901161193847699E-8</v>
      </c>
      <c r="N593" s="637">
        <v>-1.4901161193847699E-8</v>
      </c>
      <c r="O593" s="637">
        <v>-1.4901161193847699E-8</v>
      </c>
      <c r="P593" s="637">
        <v>-1.4901161193847699E-8</v>
      </c>
      <c r="Q593" s="637">
        <v>-1.4901161193847699E-8</v>
      </c>
      <c r="R593" s="637">
        <v>-1.4901161193847699E-8</v>
      </c>
      <c r="S593" s="514">
        <f t="shared" si="124"/>
        <v>-37301149.375416674</v>
      </c>
      <c r="T593" s="638"/>
      <c r="U593" s="675"/>
      <c r="V593" s="713"/>
      <c r="W593" s="713"/>
      <c r="X593" s="736">
        <f t="shared" si="161"/>
        <v>-37301149.375416674</v>
      </c>
      <c r="Y593" s="713">
        <f>+X593*Z7</f>
        <v>-28039273.985500716</v>
      </c>
      <c r="Z593" s="713">
        <f>+X593*Z8</f>
        <v>-9261875.3899159599</v>
      </c>
      <c r="AA593" s="675"/>
      <c r="AB593" s="713"/>
      <c r="AC593" s="676"/>
      <c r="AD593" s="676"/>
      <c r="AE593" s="676" t="s">
        <v>1457</v>
      </c>
      <c r="AF593" s="711">
        <f t="shared" si="158"/>
        <v>0</v>
      </c>
    </row>
    <row r="594" spans="1:32">
      <c r="A594" s="638">
        <v>584</v>
      </c>
      <c r="B594" s="342" t="s">
        <v>981</v>
      </c>
      <c r="C594" s="342" t="s">
        <v>641</v>
      </c>
      <c r="D594" s="342" t="s">
        <v>1015</v>
      </c>
      <c r="E594" s="623" t="s">
        <v>1768</v>
      </c>
      <c r="F594" s="637">
        <v>347877.73</v>
      </c>
      <c r="G594" s="637">
        <v>328898.68</v>
      </c>
      <c r="H594" s="637">
        <v>330302.68</v>
      </c>
      <c r="I594" s="637">
        <v>372396.35</v>
      </c>
      <c r="J594" s="637">
        <v>377559.63</v>
      </c>
      <c r="K594" s="637">
        <v>372596.72</v>
      </c>
      <c r="L594" s="637">
        <v>367161.58</v>
      </c>
      <c r="M594" s="637">
        <v>362934.5</v>
      </c>
      <c r="N594" s="637">
        <v>420633.06</v>
      </c>
      <c r="O594" s="637">
        <v>440461.47</v>
      </c>
      <c r="P594" s="637">
        <v>445104.75</v>
      </c>
      <c r="Q594" s="637">
        <v>-389294.49</v>
      </c>
      <c r="R594" s="637">
        <v>496455.14</v>
      </c>
      <c r="S594" s="514">
        <f t="shared" si="124"/>
        <v>320910.11374999996</v>
      </c>
      <c r="T594" s="638"/>
      <c r="U594" s="675"/>
      <c r="V594" s="713"/>
      <c r="W594" s="713"/>
      <c r="X594" s="736">
        <f t="shared" si="161"/>
        <v>320910.11374999996</v>
      </c>
      <c r="Y594" s="713"/>
      <c r="Z594" s="713"/>
      <c r="AA594" s="675"/>
      <c r="AB594" s="713">
        <f>+S594</f>
        <v>320910.11374999996</v>
      </c>
      <c r="AC594" s="676"/>
      <c r="AD594" s="676"/>
      <c r="AE594" s="676"/>
      <c r="AF594" s="711">
        <f t="shared" si="158"/>
        <v>0</v>
      </c>
    </row>
    <row r="595" spans="1:32">
      <c r="A595" s="638">
        <v>585</v>
      </c>
      <c r="B595" s="342" t="s">
        <v>984</v>
      </c>
      <c r="C595" s="342" t="s">
        <v>641</v>
      </c>
      <c r="D595" s="342" t="s">
        <v>1343</v>
      </c>
      <c r="E595" s="623" t="s">
        <v>1776</v>
      </c>
      <c r="F595" s="637">
        <v>0</v>
      </c>
      <c r="G595" s="637">
        <v>0</v>
      </c>
      <c r="H595" s="637">
        <v>0</v>
      </c>
      <c r="I595" s="637">
        <v>0</v>
      </c>
      <c r="J595" s="637">
        <v>0</v>
      </c>
      <c r="K595" s="637">
        <v>0</v>
      </c>
      <c r="L595" s="637">
        <v>0</v>
      </c>
      <c r="M595" s="637">
        <v>0</v>
      </c>
      <c r="N595" s="637">
        <v>0</v>
      </c>
      <c r="O595" s="637">
        <v>0</v>
      </c>
      <c r="P595" s="637">
        <v>0</v>
      </c>
      <c r="Q595" s="637">
        <v>0</v>
      </c>
      <c r="R595" s="637">
        <v>0</v>
      </c>
      <c r="S595" s="514">
        <f t="shared" si="124"/>
        <v>0</v>
      </c>
      <c r="T595" s="638"/>
      <c r="U595" s="675"/>
      <c r="V595" s="713"/>
      <c r="W595" s="713"/>
      <c r="X595" s="736">
        <f t="shared" si="161"/>
        <v>0</v>
      </c>
      <c r="Y595" s="713"/>
      <c r="Z595" s="713"/>
      <c r="AA595" s="675"/>
      <c r="AB595" s="713"/>
      <c r="AC595" s="676"/>
      <c r="AD595" s="676"/>
      <c r="AE595" s="676" t="s">
        <v>1458</v>
      </c>
      <c r="AF595" s="711">
        <f t="shared" si="158"/>
        <v>0</v>
      </c>
    </row>
    <row r="596" spans="1:32">
      <c r="A596" s="638">
        <v>586</v>
      </c>
      <c r="B596" s="342" t="s">
        <v>1009</v>
      </c>
      <c r="C596" s="342" t="s">
        <v>641</v>
      </c>
      <c r="D596" s="342" t="s">
        <v>1010</v>
      </c>
      <c r="E596" s="623" t="s">
        <v>1772</v>
      </c>
      <c r="F596" s="637">
        <v>895436.16</v>
      </c>
      <c r="G596" s="637">
        <v>891841.56</v>
      </c>
      <c r="H596" s="637">
        <v>888246.94</v>
      </c>
      <c r="I596" s="637">
        <v>884652.33</v>
      </c>
      <c r="J596" s="637">
        <v>881057.7</v>
      </c>
      <c r="K596" s="637">
        <v>877463.1</v>
      </c>
      <c r="L596" s="637">
        <v>873868.48</v>
      </c>
      <c r="M596" s="637">
        <v>870273.95</v>
      </c>
      <c r="N596" s="637">
        <v>866679.33</v>
      </c>
      <c r="O596" s="637">
        <v>863084.72</v>
      </c>
      <c r="P596" s="637">
        <v>859490.1</v>
      </c>
      <c r="Q596" s="637">
        <v>855502.51</v>
      </c>
      <c r="R596" s="637">
        <v>850011.25</v>
      </c>
      <c r="S596" s="514">
        <f t="shared" si="124"/>
        <v>873740.36874999991</v>
      </c>
      <c r="T596" s="638"/>
      <c r="U596" s="675"/>
      <c r="V596" s="713"/>
      <c r="W596" s="713"/>
      <c r="X596" s="736">
        <f t="shared" si="161"/>
        <v>873740.36874999991</v>
      </c>
      <c r="Y596" s="713"/>
      <c r="Z596" s="713"/>
      <c r="AA596" s="675"/>
      <c r="AB596" s="713">
        <f>+S596</f>
        <v>873740.36874999991</v>
      </c>
      <c r="AC596" s="676"/>
      <c r="AD596" s="676"/>
      <c r="AE596" s="676"/>
      <c r="AF596" s="711">
        <f t="shared" si="158"/>
        <v>0</v>
      </c>
    </row>
    <row r="597" spans="1:32">
      <c r="A597" s="638">
        <v>587</v>
      </c>
      <c r="B597" s="342" t="s">
        <v>1009</v>
      </c>
      <c r="C597" s="342" t="s">
        <v>641</v>
      </c>
      <c r="D597" s="342" t="s">
        <v>1011</v>
      </c>
      <c r="E597" s="623" t="s">
        <v>1773</v>
      </c>
      <c r="F597" s="637">
        <v>-798533.89</v>
      </c>
      <c r="G597" s="637">
        <v>-793515.04</v>
      </c>
      <c r="H597" s="637">
        <v>-788496.17</v>
      </c>
      <c r="I597" s="637">
        <v>-783477.27</v>
      </c>
      <c r="J597" s="637">
        <v>-778458.43</v>
      </c>
      <c r="K597" s="637">
        <v>-773439.56</v>
      </c>
      <c r="L597" s="637">
        <v>-768420.69</v>
      </c>
      <c r="M597" s="637">
        <v>-763401.51</v>
      </c>
      <c r="N597" s="637">
        <v>-758382.62</v>
      </c>
      <c r="O597" s="637">
        <v>-753363.76</v>
      </c>
      <c r="P597" s="637">
        <v>-748344.91</v>
      </c>
      <c r="Q597" s="637">
        <v>-751585.57</v>
      </c>
      <c r="R597" s="637">
        <v>-748372.32</v>
      </c>
      <c r="S597" s="514">
        <f t="shared" si="124"/>
        <v>-769528.21958333335</v>
      </c>
      <c r="T597" s="638"/>
      <c r="U597" s="675"/>
      <c r="V597" s="713"/>
      <c r="W597" s="713"/>
      <c r="X597" s="736">
        <f t="shared" si="161"/>
        <v>-769528.21958333335</v>
      </c>
      <c r="Y597" s="713"/>
      <c r="Z597" s="713"/>
      <c r="AA597" s="675"/>
      <c r="AB597" s="713">
        <f>+S597</f>
        <v>-769528.21958333335</v>
      </c>
      <c r="AC597" s="676"/>
      <c r="AD597" s="676"/>
      <c r="AE597" s="676"/>
      <c r="AF597" s="711">
        <f t="shared" si="158"/>
        <v>0</v>
      </c>
    </row>
    <row r="598" spans="1:32">
      <c r="A598" s="638">
        <v>588</v>
      </c>
      <c r="B598" s="342" t="s">
        <v>1009</v>
      </c>
      <c r="C598" s="342" t="s">
        <v>641</v>
      </c>
      <c r="D598" s="342" t="s">
        <v>1002</v>
      </c>
      <c r="E598" s="623" t="s">
        <v>1774</v>
      </c>
      <c r="F598" s="637">
        <v>-4420542.34</v>
      </c>
      <c r="G598" s="637">
        <v>-4433550.5599999996</v>
      </c>
      <c r="H598" s="637">
        <v>-4446558.79</v>
      </c>
      <c r="I598" s="637">
        <v>-4459567.03</v>
      </c>
      <c r="J598" s="637">
        <v>-4472575.25</v>
      </c>
      <c r="K598" s="637">
        <v>-4485583.4800000004</v>
      </c>
      <c r="L598" s="637">
        <v>-4498591.7</v>
      </c>
      <c r="M598" s="637">
        <v>-4511599.92</v>
      </c>
      <c r="N598" s="637">
        <v>-4524608.1500000004</v>
      </c>
      <c r="O598" s="637">
        <v>-4537616.3899999997</v>
      </c>
      <c r="P598" s="637">
        <v>-4550624.6100000003</v>
      </c>
      <c r="Q598" s="637">
        <v>-4641330.5999999996</v>
      </c>
      <c r="R598" s="637">
        <v>-4791249.5199999996</v>
      </c>
      <c r="S598" s="514">
        <f t="shared" si="124"/>
        <v>-4514008.5341666667</v>
      </c>
      <c r="T598" s="638"/>
      <c r="U598" s="675"/>
      <c r="V598" s="713"/>
      <c r="W598" s="713"/>
      <c r="X598" s="736">
        <f t="shared" si="161"/>
        <v>-4514008.5341666667</v>
      </c>
      <c r="Y598" s="713"/>
      <c r="Z598" s="713">
        <f>+X598</f>
        <v>-4514008.5341666667</v>
      </c>
      <c r="AA598" s="675"/>
      <c r="AB598" s="713"/>
      <c r="AC598" s="676"/>
      <c r="AD598" s="676"/>
      <c r="AE598" s="676" t="s">
        <v>1459</v>
      </c>
      <c r="AF598" s="711">
        <f t="shared" si="158"/>
        <v>0</v>
      </c>
    </row>
    <row r="599" spans="1:32">
      <c r="A599" s="638">
        <v>589</v>
      </c>
      <c r="B599" s="342" t="s">
        <v>1009</v>
      </c>
      <c r="C599" s="342" t="s">
        <v>641</v>
      </c>
      <c r="D599" s="342" t="s">
        <v>1012</v>
      </c>
      <c r="E599" s="623" t="s">
        <v>1775</v>
      </c>
      <c r="F599" s="637">
        <v>492728.47</v>
      </c>
      <c r="G599" s="637">
        <v>491067.3</v>
      </c>
      <c r="H599" s="637">
        <v>491190.19</v>
      </c>
      <c r="I599" s="637">
        <v>494874.48</v>
      </c>
      <c r="J599" s="637">
        <v>495326.42</v>
      </c>
      <c r="K599" s="637">
        <v>494892.02</v>
      </c>
      <c r="L599" s="637">
        <v>494416.3</v>
      </c>
      <c r="M599" s="637">
        <v>494046.33</v>
      </c>
      <c r="N599" s="637">
        <v>499096.44</v>
      </c>
      <c r="O599" s="637">
        <v>500831.95</v>
      </c>
      <c r="P599" s="637">
        <v>501238.35</v>
      </c>
      <c r="Q599" s="637">
        <v>428206.76</v>
      </c>
      <c r="R599" s="637">
        <v>505732.86</v>
      </c>
      <c r="S599" s="514">
        <f t="shared" si="124"/>
        <v>490368.1004166666</v>
      </c>
      <c r="T599" s="638"/>
      <c r="U599" s="675"/>
      <c r="V599" s="713"/>
      <c r="W599" s="713"/>
      <c r="X599" s="736">
        <f t="shared" si="161"/>
        <v>490368.1004166666</v>
      </c>
      <c r="Y599" s="713"/>
      <c r="Z599" s="713"/>
      <c r="AA599" s="675"/>
      <c r="AB599" s="713">
        <f>+S599</f>
        <v>490368.1004166666</v>
      </c>
      <c r="AC599" s="676"/>
      <c r="AD599" s="676"/>
      <c r="AE599" s="676"/>
      <c r="AF599" s="711">
        <f t="shared" si="158"/>
        <v>0</v>
      </c>
    </row>
    <row r="600" spans="1:32">
      <c r="A600" s="638">
        <v>590</v>
      </c>
      <c r="B600" s="342" t="s">
        <v>1009</v>
      </c>
      <c r="C600" s="342" t="s">
        <v>641</v>
      </c>
      <c r="D600" s="342" t="s">
        <v>1343</v>
      </c>
      <c r="E600" s="623" t="s">
        <v>1776</v>
      </c>
      <c r="F600" s="637">
        <v>0</v>
      </c>
      <c r="G600" s="637">
        <v>0</v>
      </c>
      <c r="H600" s="637">
        <v>0</v>
      </c>
      <c r="I600" s="637">
        <v>0</v>
      </c>
      <c r="J600" s="637">
        <v>0</v>
      </c>
      <c r="K600" s="637">
        <v>0</v>
      </c>
      <c r="L600" s="637">
        <v>0</v>
      </c>
      <c r="M600" s="637">
        <v>0</v>
      </c>
      <c r="N600" s="637">
        <v>0</v>
      </c>
      <c r="O600" s="637">
        <v>0</v>
      </c>
      <c r="P600" s="637">
        <v>0</v>
      </c>
      <c r="Q600" s="637">
        <v>0</v>
      </c>
      <c r="R600" s="637">
        <v>0</v>
      </c>
      <c r="S600" s="514">
        <f t="shared" si="124"/>
        <v>0</v>
      </c>
      <c r="T600" s="638"/>
      <c r="U600" s="675"/>
      <c r="V600" s="713"/>
      <c r="W600" s="713"/>
      <c r="X600" s="736">
        <f t="shared" si="161"/>
        <v>0</v>
      </c>
      <c r="Y600" s="713"/>
      <c r="Z600" s="713"/>
      <c r="AA600" s="675"/>
      <c r="AB600" s="713"/>
      <c r="AC600" s="676"/>
      <c r="AD600" s="676"/>
      <c r="AE600" s="676" t="s">
        <v>1460</v>
      </c>
      <c r="AF600" s="711">
        <f t="shared" si="158"/>
        <v>0</v>
      </c>
    </row>
    <row r="601" spans="1:32">
      <c r="A601" s="638">
        <v>591</v>
      </c>
      <c r="B601" s="342" t="s">
        <v>981</v>
      </c>
      <c r="C601" s="342" t="s">
        <v>642</v>
      </c>
      <c r="D601" s="342" t="s">
        <v>1013</v>
      </c>
      <c r="E601" s="623" t="s">
        <v>1765</v>
      </c>
      <c r="F601" s="637">
        <v>1913970.3</v>
      </c>
      <c r="G601" s="637">
        <v>1893054.62</v>
      </c>
      <c r="H601" s="637">
        <v>1872138.94</v>
      </c>
      <c r="I601" s="637">
        <v>1851223.29</v>
      </c>
      <c r="J601" s="637">
        <v>1830307.64</v>
      </c>
      <c r="K601" s="637">
        <v>1809391.99</v>
      </c>
      <c r="L601" s="637">
        <v>1788476.31</v>
      </c>
      <c r="M601" s="637">
        <v>1767560.66</v>
      </c>
      <c r="N601" s="637">
        <v>1746645</v>
      </c>
      <c r="O601" s="637">
        <v>1725729.32</v>
      </c>
      <c r="P601" s="637">
        <v>1704813.64</v>
      </c>
      <c r="Q601" s="637">
        <v>1683897.97</v>
      </c>
      <c r="R601" s="637">
        <v>1662982.3</v>
      </c>
      <c r="S601" s="514">
        <f t="shared" si="124"/>
        <v>1788476.3066666666</v>
      </c>
      <c r="T601" s="638"/>
      <c r="U601" s="675"/>
      <c r="V601" s="713"/>
      <c r="W601" s="713"/>
      <c r="X601" s="736">
        <f>+S601</f>
        <v>1788476.3066666666</v>
      </c>
      <c r="Y601" s="713"/>
      <c r="Z601" s="713"/>
      <c r="AA601" s="675"/>
      <c r="AB601" s="713">
        <f>+S601</f>
        <v>1788476.3066666666</v>
      </c>
      <c r="AC601" s="676"/>
      <c r="AD601" s="677"/>
      <c r="AE601" s="676"/>
      <c r="AF601" s="711">
        <f t="shared" si="158"/>
        <v>0</v>
      </c>
    </row>
    <row r="602" spans="1:32">
      <c r="A602" s="638">
        <v>592</v>
      </c>
      <c r="B602" s="342" t="s">
        <v>981</v>
      </c>
      <c r="C602" s="342" t="s">
        <v>642</v>
      </c>
      <c r="D602" s="342" t="s">
        <v>1014</v>
      </c>
      <c r="E602" s="623" t="s">
        <v>1766</v>
      </c>
      <c r="F602" s="637">
        <v>7294680.6500000004</v>
      </c>
      <c r="G602" s="637">
        <v>7214029.0300000003</v>
      </c>
      <c r="H602" s="637">
        <v>7133377.3700000001</v>
      </c>
      <c r="I602" s="637">
        <v>7052725.7300000004</v>
      </c>
      <c r="J602" s="637">
        <v>6972074.0999999996</v>
      </c>
      <c r="K602" s="637">
        <v>6891422.5099999998</v>
      </c>
      <c r="L602" s="637">
        <v>6810770.9199999999</v>
      </c>
      <c r="M602" s="637">
        <v>6730119.3099999996</v>
      </c>
      <c r="N602" s="637">
        <v>6649467.6600000001</v>
      </c>
      <c r="O602" s="637">
        <v>6568816.04</v>
      </c>
      <c r="P602" s="637">
        <v>6488164.3399999999</v>
      </c>
      <c r="Q602" s="637">
        <v>6407512.7000000002</v>
      </c>
      <c r="R602" s="637">
        <v>6326861.0300000003</v>
      </c>
      <c r="S602" s="514">
        <f t="shared" si="124"/>
        <v>6810770.8791666673</v>
      </c>
      <c r="T602" s="638"/>
      <c r="U602" s="675"/>
      <c r="V602" s="713"/>
      <c r="W602" s="713"/>
      <c r="X602" s="736">
        <f>+S602</f>
        <v>6810770.8791666673</v>
      </c>
      <c r="Y602" s="713"/>
      <c r="Z602" s="713"/>
      <c r="AA602" s="675"/>
      <c r="AB602" s="713">
        <f>+S602</f>
        <v>6810770.8791666673</v>
      </c>
      <c r="AC602" s="676"/>
      <c r="AD602" s="677"/>
      <c r="AE602" s="676"/>
      <c r="AF602" s="711">
        <f t="shared" si="158"/>
        <v>0</v>
      </c>
    </row>
    <row r="603" spans="1:32">
      <c r="A603" s="638">
        <v>593</v>
      </c>
      <c r="B603" s="342" t="s">
        <v>981</v>
      </c>
      <c r="C603" s="342" t="s">
        <v>642</v>
      </c>
      <c r="D603" s="342" t="s">
        <v>1000</v>
      </c>
      <c r="E603" s="623" t="s">
        <v>1769</v>
      </c>
      <c r="F603" s="637">
        <v>-153482.01</v>
      </c>
      <c r="G603" s="637">
        <v>-152777.97</v>
      </c>
      <c r="H603" s="637">
        <v>-152073.93</v>
      </c>
      <c r="I603" s="637">
        <v>-151369.9</v>
      </c>
      <c r="J603" s="637">
        <v>-150665.85999999999</v>
      </c>
      <c r="K603" s="637">
        <v>0</v>
      </c>
      <c r="L603" s="637">
        <v>0</v>
      </c>
      <c r="M603" s="637">
        <v>0</v>
      </c>
      <c r="N603" s="637">
        <v>0</v>
      </c>
      <c r="O603" s="637">
        <v>0</v>
      </c>
      <c r="P603" s="637">
        <v>0</v>
      </c>
      <c r="Q603" s="637">
        <v>0</v>
      </c>
      <c r="R603" s="637">
        <v>0</v>
      </c>
      <c r="S603" s="514">
        <f t="shared" si="124"/>
        <v>-56969.05541666667</v>
      </c>
      <c r="T603" s="638"/>
      <c r="U603" s="675"/>
      <c r="V603" s="683"/>
      <c r="W603" s="713"/>
      <c r="X603" s="713">
        <f>+S603</f>
        <v>-56969.05541666667</v>
      </c>
      <c r="Y603" s="713">
        <f>+X603*Z7</f>
        <v>-42823.638956708339</v>
      </c>
      <c r="Z603" s="713">
        <f>+X603*Z8</f>
        <v>-14145.416459958335</v>
      </c>
      <c r="AA603" s="675"/>
      <c r="AB603" s="713"/>
      <c r="AC603" s="676"/>
      <c r="AD603" s="676"/>
      <c r="AE603" s="676" t="s">
        <v>1461</v>
      </c>
      <c r="AF603" s="711">
        <f t="shared" si="158"/>
        <v>0</v>
      </c>
    </row>
    <row r="604" spans="1:32">
      <c r="A604" s="638">
        <v>594</v>
      </c>
      <c r="B604" s="342" t="s">
        <v>981</v>
      </c>
      <c r="C604" s="342" t="s">
        <v>642</v>
      </c>
      <c r="D604" s="342" t="s">
        <v>1406</v>
      </c>
      <c r="E604" s="623" t="s">
        <v>1770</v>
      </c>
      <c r="F604" s="637">
        <v>-638740.75</v>
      </c>
      <c r="G604" s="637">
        <v>-638740.75</v>
      </c>
      <c r="H604" s="637">
        <v>-638740.75</v>
      </c>
      <c r="I604" s="637">
        <v>-638740.75</v>
      </c>
      <c r="J604" s="637">
        <v>-638740.75</v>
      </c>
      <c r="K604" s="637">
        <v>-638740.75</v>
      </c>
      <c r="L604" s="637">
        <v>-638740.75</v>
      </c>
      <c r="M604" s="637">
        <v>-638740.75</v>
      </c>
      <c r="N604" s="637">
        <v>-638740.75</v>
      </c>
      <c r="O604" s="637">
        <v>-638740.75</v>
      </c>
      <c r="P604" s="637">
        <v>-638740.75</v>
      </c>
      <c r="Q604" s="637">
        <v>-638740.75</v>
      </c>
      <c r="R604" s="637">
        <v>-666160.88</v>
      </c>
      <c r="S604" s="514">
        <f t="shared" si="124"/>
        <v>-639883.25541666662</v>
      </c>
      <c r="T604" s="638"/>
      <c r="U604" s="675"/>
      <c r="W604" s="713"/>
      <c r="X604" s="713">
        <f>+S604</f>
        <v>-639883.25541666662</v>
      </c>
      <c r="Y604" s="713"/>
      <c r="Z604" s="713"/>
      <c r="AA604" s="675"/>
      <c r="AB604" s="713">
        <f>+S604</f>
        <v>-639883.25541666662</v>
      </c>
      <c r="AC604" s="676"/>
      <c r="AD604" s="677"/>
      <c r="AE604" s="676"/>
      <c r="AF604" s="711">
        <f>+U604+X604-AD604</f>
        <v>-639883.25541666662</v>
      </c>
    </row>
    <row r="605" spans="1:32">
      <c r="A605" s="638">
        <v>595</v>
      </c>
      <c r="B605" s="342" t="s">
        <v>981</v>
      </c>
      <c r="C605" s="342" t="s">
        <v>642</v>
      </c>
      <c r="D605" s="342" t="s">
        <v>1015</v>
      </c>
      <c r="E605" s="623" t="s">
        <v>1771</v>
      </c>
      <c r="F605" s="637">
        <v>-40255923.640000001</v>
      </c>
      <c r="G605" s="637">
        <v>-41475441.259999998</v>
      </c>
      <c r="H605" s="637">
        <v>-45749804.460000001</v>
      </c>
      <c r="I605" s="637">
        <v>-50082768.520000003</v>
      </c>
      <c r="J605" s="637">
        <v>-49801847.409999996</v>
      </c>
      <c r="K605" s="637">
        <v>-42694512.810000002</v>
      </c>
      <c r="L605" s="637">
        <v>-43048310.259999998</v>
      </c>
      <c r="M605" s="637">
        <v>-43697144.140000001</v>
      </c>
      <c r="N605" s="637">
        <v>-44434469.880000003</v>
      </c>
      <c r="O605" s="637">
        <v>-42928561.740000002</v>
      </c>
      <c r="P605" s="637">
        <v>-42937621.810000002</v>
      </c>
      <c r="Q605" s="637">
        <v>-42032794.729999997</v>
      </c>
      <c r="R605" s="637">
        <v>-41379613.530000001</v>
      </c>
      <c r="S605" s="514">
        <f t="shared" si="124"/>
        <v>-44141753.800416671</v>
      </c>
      <c r="T605" s="638"/>
      <c r="U605" s="675"/>
      <c r="V605" s="713">
        <f t="shared" ref="V605" si="162">+S605</f>
        <v>-44141753.800416671</v>
      </c>
      <c r="W605" s="713"/>
      <c r="X605" s="736"/>
      <c r="Y605" s="713"/>
      <c r="Z605" s="713"/>
      <c r="AA605" s="675"/>
      <c r="AB605" s="713"/>
      <c r="AC605" s="676"/>
      <c r="AD605" s="677">
        <f t="shared" ref="AD605" si="163">+V605</f>
        <v>-44141753.800416671</v>
      </c>
      <c r="AE605" s="676"/>
      <c r="AF605" s="711">
        <f t="shared" si="158"/>
        <v>0</v>
      </c>
    </row>
    <row r="606" spans="1:32">
      <c r="A606" s="638">
        <v>596</v>
      </c>
      <c r="B606" s="342" t="s">
        <v>1009</v>
      </c>
      <c r="C606" s="342" t="s">
        <v>642</v>
      </c>
      <c r="D606" s="552" t="s">
        <v>1010</v>
      </c>
      <c r="E606" s="623" t="s">
        <v>1772</v>
      </c>
      <c r="F606" s="637">
        <v>167522.1</v>
      </c>
      <c r="G606" s="637">
        <v>165691.44</v>
      </c>
      <c r="H606" s="637">
        <v>163860.78</v>
      </c>
      <c r="I606" s="637">
        <v>162030.10999999999</v>
      </c>
      <c r="J606" s="637">
        <v>160199.45000000001</v>
      </c>
      <c r="K606" s="637">
        <v>158368.76999999999</v>
      </c>
      <c r="L606" s="637">
        <v>156538.10999999999</v>
      </c>
      <c r="M606" s="637">
        <v>154707.46</v>
      </c>
      <c r="N606" s="637">
        <v>152876.79</v>
      </c>
      <c r="O606" s="637">
        <v>151046.13</v>
      </c>
      <c r="P606" s="637">
        <v>149215.47</v>
      </c>
      <c r="Q606" s="637">
        <v>147384.79999999999</v>
      </c>
      <c r="R606" s="637">
        <v>145554.14000000001</v>
      </c>
      <c r="S606" s="514">
        <f t="shared" si="124"/>
        <v>156538.11916666667</v>
      </c>
      <c r="T606" s="638"/>
      <c r="U606" s="675"/>
      <c r="W606" s="713"/>
      <c r="X606" s="713">
        <f>+S606</f>
        <v>156538.11916666667</v>
      </c>
      <c r="Y606" s="713"/>
      <c r="Z606" s="713"/>
      <c r="AA606" s="675"/>
      <c r="AB606" s="713">
        <f>+S606</f>
        <v>156538.11916666667</v>
      </c>
      <c r="AC606" s="676"/>
      <c r="AD606" s="677"/>
      <c r="AE606" s="676"/>
      <c r="AF606" s="711">
        <f>+U606+X606-AD606</f>
        <v>156538.11916666667</v>
      </c>
    </row>
    <row r="607" spans="1:32">
      <c r="A607" s="638">
        <v>597</v>
      </c>
      <c r="B607" s="342" t="s">
        <v>1009</v>
      </c>
      <c r="C607" s="342" t="s">
        <v>642</v>
      </c>
      <c r="D607" s="342" t="s">
        <v>1011</v>
      </c>
      <c r="E607" s="623" t="s">
        <v>1773</v>
      </c>
      <c r="F607" s="637">
        <v>-94506.66</v>
      </c>
      <c r="G607" s="637">
        <v>-92537.75</v>
      </c>
      <c r="H607" s="637">
        <v>-90568.86</v>
      </c>
      <c r="I607" s="637">
        <v>-88599.98</v>
      </c>
      <c r="J607" s="637">
        <v>-86631.06</v>
      </c>
      <c r="K607" s="637">
        <v>-84662.19</v>
      </c>
      <c r="L607" s="637">
        <v>-82693.31</v>
      </c>
      <c r="M607" s="637">
        <v>-80724.41</v>
      </c>
      <c r="N607" s="637">
        <v>-78755.520000000004</v>
      </c>
      <c r="O607" s="637">
        <v>-76786.63</v>
      </c>
      <c r="P607" s="637">
        <v>-74817.77</v>
      </c>
      <c r="Q607" s="637">
        <v>-72848.850000000006</v>
      </c>
      <c r="R607" s="637">
        <v>-70879.97</v>
      </c>
      <c r="S607" s="514">
        <f t="shared" si="124"/>
        <v>-82693.303750000006</v>
      </c>
      <c r="T607" s="638"/>
      <c r="U607" s="675"/>
      <c r="W607" s="713"/>
      <c r="X607" s="713">
        <f>+S607</f>
        <v>-82693.303750000006</v>
      </c>
      <c r="Y607" s="713"/>
      <c r="Z607" s="713"/>
      <c r="AA607" s="675"/>
      <c r="AB607" s="713">
        <f>+S607</f>
        <v>-82693.303750000006</v>
      </c>
      <c r="AC607" s="676"/>
      <c r="AD607" s="677"/>
      <c r="AE607" s="676"/>
      <c r="AF607" s="711">
        <f>+U607+X607-AD607</f>
        <v>-82693.303750000006</v>
      </c>
    </row>
    <row r="608" spans="1:32">
      <c r="A608" s="638">
        <v>598</v>
      </c>
      <c r="B608" s="342" t="s">
        <v>1009</v>
      </c>
      <c r="C608" s="342" t="s">
        <v>642</v>
      </c>
      <c r="D608" s="342" t="s">
        <v>1004</v>
      </c>
      <c r="E608" s="623" t="s">
        <v>1777</v>
      </c>
      <c r="F608" s="637">
        <v>-13433.67</v>
      </c>
      <c r="G608" s="637">
        <v>-13372.05</v>
      </c>
      <c r="H608" s="637">
        <v>-13310.43</v>
      </c>
      <c r="I608" s="637">
        <v>-13248.81</v>
      </c>
      <c r="J608" s="637">
        <v>-13187.19</v>
      </c>
      <c r="K608" s="637">
        <v>-13125.57</v>
      </c>
      <c r="L608" s="637">
        <v>-13063.95</v>
      </c>
      <c r="M608" s="637">
        <v>-13002.33</v>
      </c>
      <c r="N608" s="637">
        <v>-12940.71</v>
      </c>
      <c r="O608" s="637">
        <v>-12879.09</v>
      </c>
      <c r="P608" s="637">
        <v>-12817.47</v>
      </c>
      <c r="Q608" s="637">
        <v>-12755.85</v>
      </c>
      <c r="R608" s="637">
        <v>-12694.23</v>
      </c>
      <c r="S608" s="514">
        <f t="shared" si="124"/>
        <v>-13063.950000000003</v>
      </c>
      <c r="T608" s="638"/>
      <c r="U608" s="675"/>
      <c r="W608" s="713"/>
      <c r="X608" s="713">
        <f>+S608</f>
        <v>-13063.950000000003</v>
      </c>
      <c r="Y608" s="713"/>
      <c r="Z608" s="713">
        <f>+X608</f>
        <v>-13063.950000000003</v>
      </c>
      <c r="AA608" s="675"/>
      <c r="AB608" s="713"/>
      <c r="AC608" s="676"/>
      <c r="AD608" s="677"/>
      <c r="AE608" s="676"/>
      <c r="AF608" s="711">
        <f>+U608+X608-AD608</f>
        <v>-13063.950000000003</v>
      </c>
    </row>
    <row r="609" spans="1:32">
      <c r="A609" s="638">
        <v>599</v>
      </c>
      <c r="B609" s="342" t="s">
        <v>1009</v>
      </c>
      <c r="C609" s="342" t="s">
        <v>642</v>
      </c>
      <c r="D609" s="342" t="s">
        <v>1405</v>
      </c>
      <c r="E609" s="623" t="s">
        <v>1778</v>
      </c>
      <c r="F609" s="637">
        <v>-55906.400000000001</v>
      </c>
      <c r="G609" s="637">
        <v>-55906.400000000001</v>
      </c>
      <c r="H609" s="637">
        <v>-55906.400000000001</v>
      </c>
      <c r="I609" s="637">
        <v>-55906.400000000001</v>
      </c>
      <c r="J609" s="637">
        <v>-55906.400000000001</v>
      </c>
      <c r="K609" s="637">
        <v>-55906.400000000001</v>
      </c>
      <c r="L609" s="637">
        <v>-55906.400000000001</v>
      </c>
      <c r="M609" s="637">
        <v>-55906.400000000001</v>
      </c>
      <c r="N609" s="637">
        <v>-55906.400000000001</v>
      </c>
      <c r="O609" s="637">
        <v>-55906.400000000001</v>
      </c>
      <c r="P609" s="637">
        <v>-55906.400000000001</v>
      </c>
      <c r="Q609" s="637">
        <v>-55906.400000000001</v>
      </c>
      <c r="R609" s="637">
        <v>-58306.37</v>
      </c>
      <c r="S609" s="514">
        <f t="shared" si="124"/>
        <v>-56006.398750000015</v>
      </c>
      <c r="T609" s="638"/>
      <c r="U609" s="675"/>
      <c r="W609" s="713"/>
      <c r="X609" s="713">
        <f>+S609</f>
        <v>-56006.398750000015</v>
      </c>
      <c r="Y609" s="713"/>
      <c r="Z609" s="713"/>
      <c r="AA609" s="675"/>
      <c r="AB609" s="713">
        <f>+S609</f>
        <v>-56006.398750000015</v>
      </c>
      <c r="AC609" s="676"/>
      <c r="AD609" s="677"/>
      <c r="AE609" s="676"/>
      <c r="AF609" s="711">
        <f>+U609+X609-AD609</f>
        <v>-56006.398750000015</v>
      </c>
    </row>
    <row r="610" spans="1:32">
      <c r="A610" s="638">
        <v>600</v>
      </c>
      <c r="B610" s="342" t="s">
        <v>1009</v>
      </c>
      <c r="C610" s="342" t="s">
        <v>642</v>
      </c>
      <c r="D610" s="342" t="s">
        <v>1012</v>
      </c>
      <c r="E610" s="623" t="s">
        <v>1779</v>
      </c>
      <c r="F610" s="637">
        <v>-3065780.91</v>
      </c>
      <c r="G610" s="637">
        <v>-3181548.37</v>
      </c>
      <c r="H610" s="637">
        <v>-3564694.16</v>
      </c>
      <c r="I610" s="637">
        <v>-3952969.04</v>
      </c>
      <c r="J610" s="637">
        <v>-3937409.17</v>
      </c>
      <c r="K610" s="637">
        <v>-3324360.74</v>
      </c>
      <c r="L610" s="637">
        <v>-3364355.18</v>
      </c>
      <c r="M610" s="637">
        <v>-3430173.01</v>
      </c>
      <c r="N610" s="637">
        <v>-3503736.18</v>
      </c>
      <c r="O610" s="637">
        <v>-3380958.09</v>
      </c>
      <c r="P610" s="637">
        <v>-3390779.09</v>
      </c>
      <c r="Q610" s="637">
        <v>-3320611.22</v>
      </c>
      <c r="R610" s="637">
        <v>-3272468.91</v>
      </c>
      <c r="S610" s="514">
        <f t="shared" si="124"/>
        <v>-3460059.9299999997</v>
      </c>
      <c r="T610" s="638"/>
      <c r="U610" s="675"/>
      <c r="V610" s="713">
        <f>+S610</f>
        <v>-3460059.9299999997</v>
      </c>
      <c r="W610" s="713"/>
      <c r="X610" s="736"/>
      <c r="Y610" s="713"/>
      <c r="Z610" s="713"/>
      <c r="AA610" s="675"/>
      <c r="AB610" s="713"/>
      <c r="AC610" s="676"/>
      <c r="AD610" s="677">
        <f>+S610</f>
        <v>-3460059.9299999997</v>
      </c>
      <c r="AE610" s="676"/>
      <c r="AF610" s="711">
        <f t="shared" si="158"/>
        <v>0</v>
      </c>
    </row>
    <row r="611" spans="1:32">
      <c r="A611" s="638">
        <v>601</v>
      </c>
      <c r="B611" s="342" t="s">
        <v>1009</v>
      </c>
      <c r="C611" s="342" t="s">
        <v>641</v>
      </c>
      <c r="D611" s="342" t="s">
        <v>998</v>
      </c>
      <c r="E611" s="623" t="s">
        <v>1767</v>
      </c>
      <c r="F611" s="637">
        <v>0</v>
      </c>
      <c r="G611" s="637">
        <v>0</v>
      </c>
      <c r="H611" s="637">
        <v>0</v>
      </c>
      <c r="I611" s="637">
        <v>0</v>
      </c>
      <c r="J611" s="637">
        <v>0</v>
      </c>
      <c r="K611" s="637">
        <v>-22343046.039999999</v>
      </c>
      <c r="L611" s="637">
        <v>-22325913.43</v>
      </c>
      <c r="M611" s="637">
        <v>-22308780.829999998</v>
      </c>
      <c r="N611" s="637">
        <v>-22291648.23</v>
      </c>
      <c r="O611" s="637">
        <v>-22274515.629999999</v>
      </c>
      <c r="P611" s="637">
        <v>-22257383.030000001</v>
      </c>
      <c r="Q611" s="637">
        <v>-22454623.309999999</v>
      </c>
      <c r="R611" s="637">
        <v>-22776131.02</v>
      </c>
      <c r="S611" s="514">
        <f t="shared" si="124"/>
        <v>-13970331.334166666</v>
      </c>
      <c r="T611" s="638"/>
      <c r="U611" s="675"/>
      <c r="V611" s="713"/>
      <c r="W611" s="713"/>
      <c r="X611" s="736">
        <f>+S611</f>
        <v>-13970331.334166666</v>
      </c>
      <c r="Y611" s="713"/>
      <c r="Z611" s="713">
        <f>+X611</f>
        <v>-13970331.334166666</v>
      </c>
      <c r="AA611" s="675"/>
      <c r="AB611" s="713"/>
      <c r="AC611" s="676"/>
      <c r="AD611" s="677"/>
      <c r="AE611" s="676"/>
      <c r="AF611" s="711"/>
    </row>
    <row r="612" spans="1:32">
      <c r="A612" s="638">
        <v>602</v>
      </c>
      <c r="B612" s="342" t="s">
        <v>1009</v>
      </c>
      <c r="C612" s="342" t="s">
        <v>642</v>
      </c>
      <c r="D612" s="342" t="s">
        <v>1000</v>
      </c>
      <c r="E612" s="623" t="s">
        <v>1769</v>
      </c>
      <c r="F612" s="637">
        <v>0</v>
      </c>
      <c r="G612" s="637">
        <v>0</v>
      </c>
      <c r="H612" s="637">
        <v>0</v>
      </c>
      <c r="I612" s="637">
        <v>0</v>
      </c>
      <c r="J612" s="637">
        <v>0</v>
      </c>
      <c r="K612" s="637">
        <v>-36680.65</v>
      </c>
      <c r="L612" s="637">
        <v>-36508.44</v>
      </c>
      <c r="M612" s="637">
        <v>-36336.230000000003</v>
      </c>
      <c r="N612" s="637">
        <v>-36164.019999999997</v>
      </c>
      <c r="O612" s="637">
        <v>-35991.82</v>
      </c>
      <c r="P612" s="637">
        <v>-35819.61</v>
      </c>
      <c r="Q612" s="637">
        <v>-35647.4</v>
      </c>
      <c r="R612" s="637">
        <v>-35475.199999999997</v>
      </c>
      <c r="S612" s="514">
        <f t="shared" si="124"/>
        <v>-22573.814166666667</v>
      </c>
      <c r="T612" s="638"/>
      <c r="U612" s="675"/>
      <c r="V612" s="713"/>
      <c r="W612" s="713"/>
      <c r="X612" s="736">
        <f>+S612</f>
        <v>-22573.814166666667</v>
      </c>
      <c r="Y612" s="713"/>
      <c r="Z612" s="713">
        <f>+X612</f>
        <v>-22573.814166666667</v>
      </c>
      <c r="AA612" s="675"/>
      <c r="AB612" s="713"/>
      <c r="AC612" s="676"/>
      <c r="AD612" s="677"/>
      <c r="AE612" s="676"/>
      <c r="AF612" s="711"/>
    </row>
    <row r="613" spans="1:32">
      <c r="A613" s="638">
        <v>603</v>
      </c>
      <c r="B613" s="342" t="s">
        <v>984</v>
      </c>
      <c r="C613" s="342" t="s">
        <v>641</v>
      </c>
      <c r="D613" s="342" t="s">
        <v>998</v>
      </c>
      <c r="E613" s="623" t="s">
        <v>1767</v>
      </c>
      <c r="F613" s="637">
        <v>0</v>
      </c>
      <c r="G613" s="637">
        <v>0</v>
      </c>
      <c r="H613" s="637">
        <v>0</v>
      </c>
      <c r="I613" s="637">
        <v>0</v>
      </c>
      <c r="J613" s="637">
        <v>0</v>
      </c>
      <c r="K613" s="637">
        <v>-76915265.980000004</v>
      </c>
      <c r="L613" s="637">
        <v>-76856287.510000005</v>
      </c>
      <c r="M613" s="637">
        <v>-76797309.040000007</v>
      </c>
      <c r="N613" s="637">
        <v>-76738330.569999993</v>
      </c>
      <c r="O613" s="637">
        <v>-76679352.090000004</v>
      </c>
      <c r="P613" s="637">
        <v>-76620373.620000005</v>
      </c>
      <c r="Q613" s="637">
        <v>-77299367.390000001</v>
      </c>
      <c r="R613" s="637">
        <v>-78406148.049999997</v>
      </c>
      <c r="S613" s="514">
        <f t="shared" si="124"/>
        <v>-48092446.685416669</v>
      </c>
      <c r="T613" s="638"/>
      <c r="U613" s="675"/>
      <c r="V613" s="713"/>
      <c r="W613" s="713"/>
      <c r="X613" s="736">
        <f>+S613</f>
        <v>-48092446.685416669</v>
      </c>
      <c r="Y613" s="713">
        <f>+X613</f>
        <v>-48092446.685416669</v>
      </c>
      <c r="Z613" s="713"/>
      <c r="AA613" s="675"/>
      <c r="AB613" s="713"/>
      <c r="AC613" s="676"/>
      <c r="AD613" s="677"/>
      <c r="AE613" s="676"/>
      <c r="AF613" s="711"/>
    </row>
    <row r="614" spans="1:32">
      <c r="A614" s="638">
        <v>604</v>
      </c>
      <c r="B614" s="342" t="s">
        <v>984</v>
      </c>
      <c r="C614" s="342" t="s">
        <v>642</v>
      </c>
      <c r="D614" s="342" t="s">
        <v>1000</v>
      </c>
      <c r="E614" s="623" t="s">
        <v>1769</v>
      </c>
      <c r="F614" s="637">
        <v>0</v>
      </c>
      <c r="G614" s="637">
        <v>0</v>
      </c>
      <c r="H614" s="637">
        <v>0</v>
      </c>
      <c r="I614" s="637">
        <v>0</v>
      </c>
      <c r="J614" s="637">
        <v>0</v>
      </c>
      <c r="K614" s="637">
        <v>-113281.17</v>
      </c>
      <c r="L614" s="637">
        <v>-112749.34</v>
      </c>
      <c r="M614" s="637">
        <v>-112217.51</v>
      </c>
      <c r="N614" s="637">
        <v>-111685.68</v>
      </c>
      <c r="O614" s="637">
        <v>-111153.85</v>
      </c>
      <c r="P614" s="637">
        <v>-110622.02</v>
      </c>
      <c r="Q614" s="637">
        <v>-110090.19</v>
      </c>
      <c r="R614" s="637">
        <v>-109558.36</v>
      </c>
      <c r="S614" s="514">
        <f t="shared" si="124"/>
        <v>-69714.911666666667</v>
      </c>
      <c r="T614" s="638"/>
      <c r="U614" s="675"/>
      <c r="V614" s="713"/>
      <c r="W614" s="713"/>
      <c r="X614" s="736">
        <f>+S614</f>
        <v>-69714.911666666667</v>
      </c>
      <c r="Y614" s="713">
        <f>+X614</f>
        <v>-69714.911666666667</v>
      </c>
      <c r="Z614" s="713"/>
      <c r="AA614" s="675"/>
      <c r="AB614" s="713"/>
      <c r="AC614" s="676"/>
      <c r="AD614" s="677"/>
      <c r="AE614" s="676"/>
      <c r="AF614" s="711"/>
    </row>
    <row r="615" spans="1:32">
      <c r="A615" s="638">
        <v>605</v>
      </c>
      <c r="B615" s="638"/>
      <c r="C615" s="638"/>
      <c r="D615" s="638"/>
      <c r="E615" s="623" t="s">
        <v>643</v>
      </c>
      <c r="F615" s="321">
        <f>SUM(F590:F614)</f>
        <v>-88739868.560000017</v>
      </c>
      <c r="G615" s="321">
        <f t="shared" ref="G615:P615" si="164">SUM(G590:G614)</f>
        <v>-90329190.810000002</v>
      </c>
      <c r="H615" s="321">
        <f t="shared" si="164"/>
        <v>-95218569.940000013</v>
      </c>
      <c r="I615" s="321">
        <f t="shared" si="164"/>
        <v>-100127427.71000002</v>
      </c>
      <c r="J615" s="321">
        <f t="shared" si="164"/>
        <v>-100058728.63</v>
      </c>
      <c r="K615" s="321">
        <f t="shared" si="164"/>
        <v>-92577139.820000023</v>
      </c>
      <c r="L615" s="321">
        <f t="shared" si="164"/>
        <v>-93210239.560000017</v>
      </c>
      <c r="M615" s="321">
        <f t="shared" si="164"/>
        <v>-94162880.310000017</v>
      </c>
      <c r="N615" s="321">
        <f t="shared" si="164"/>
        <v>-95144417.540000021</v>
      </c>
      <c r="O615" s="321">
        <f t="shared" si="164"/>
        <v>-93727564.400000006</v>
      </c>
      <c r="P615" s="321">
        <f t="shared" si="164"/>
        <v>-93974792.87000002</v>
      </c>
      <c r="Q615" s="321">
        <f>SUM(Q590:Q614)</f>
        <v>-95194107.520000011</v>
      </c>
      <c r="R615" s="321">
        <f t="shared" ref="R615" si="165">SUM(R590:R614)</f>
        <v>-95539119.870000005</v>
      </c>
      <c r="S615" s="516">
        <f>SUM(S590:S614)</f>
        <v>-94655379.443750009</v>
      </c>
      <c r="T615" s="638"/>
      <c r="U615" s="675"/>
      <c r="V615" s="713"/>
      <c r="W615" s="713"/>
      <c r="X615" s="736"/>
      <c r="Y615" s="713"/>
      <c r="Z615" s="713"/>
      <c r="AA615" s="675"/>
      <c r="AB615" s="713"/>
      <c r="AC615" s="676"/>
      <c r="AD615" s="676"/>
      <c r="AE615" s="676"/>
      <c r="AF615" s="711">
        <f t="shared" si="158"/>
        <v>0</v>
      </c>
    </row>
    <row r="616" spans="1:32">
      <c r="A616" s="638">
        <v>606</v>
      </c>
      <c r="B616" s="638"/>
      <c r="C616" s="638"/>
      <c r="D616" s="638"/>
      <c r="E616" s="623"/>
      <c r="F616" s="637"/>
      <c r="G616" s="340"/>
      <c r="H616" s="331"/>
      <c r="I616" s="331"/>
      <c r="J616" s="332"/>
      <c r="K616" s="333"/>
      <c r="L616" s="334"/>
      <c r="M616" s="335"/>
      <c r="N616" s="336"/>
      <c r="O616" s="624"/>
      <c r="P616" s="337"/>
      <c r="Q616" s="341"/>
      <c r="R616" s="637"/>
      <c r="S616" s="320"/>
      <c r="T616" s="638"/>
      <c r="U616" s="675"/>
      <c r="V616" s="713"/>
      <c r="W616" s="713"/>
      <c r="X616" s="736"/>
      <c r="Y616" s="713"/>
      <c r="Z616" s="713"/>
      <c r="AA616" s="675"/>
      <c r="AB616" s="713"/>
      <c r="AC616" s="676"/>
      <c r="AD616" s="676"/>
      <c r="AE616" s="676"/>
      <c r="AF616" s="711">
        <f t="shared" si="158"/>
        <v>0</v>
      </c>
    </row>
    <row r="617" spans="1:32">
      <c r="A617" s="638">
        <v>607</v>
      </c>
      <c r="B617" s="342" t="s">
        <v>1009</v>
      </c>
      <c r="C617" s="342" t="s">
        <v>644</v>
      </c>
      <c r="D617" s="342" t="s">
        <v>1251</v>
      </c>
      <c r="E617" s="623" t="s">
        <v>1781</v>
      </c>
      <c r="F617" s="635">
        <v>-36899838.780000001</v>
      </c>
      <c r="G617" s="635">
        <v>-5659206.4100000001</v>
      </c>
      <c r="H617" s="635">
        <v>-10923602.24</v>
      </c>
      <c r="I617" s="635">
        <v>-16838345.66</v>
      </c>
      <c r="J617" s="635">
        <v>-20972373.75</v>
      </c>
      <c r="K617" s="635">
        <v>-23288857.010000002</v>
      </c>
      <c r="L617" s="635">
        <v>-24957907.989999998</v>
      </c>
      <c r="M617" s="635">
        <v>-26193515.859999999</v>
      </c>
      <c r="N617" s="635">
        <v>-27265717.48</v>
      </c>
      <c r="O617" s="635">
        <v>-28342685.350000001</v>
      </c>
      <c r="P617" s="635">
        <v>-30687397.800000001</v>
      </c>
      <c r="Q617" s="635">
        <v>-34292176</v>
      </c>
      <c r="R617" s="635">
        <v>-39768724.710000001</v>
      </c>
      <c r="S617" s="514">
        <f t="shared" si="124"/>
        <v>-23979672.274583336</v>
      </c>
      <c r="T617" s="638"/>
      <c r="U617" s="675"/>
      <c r="V617" s="713"/>
      <c r="W617" s="713">
        <f t="shared" ref="W617:W684" si="166">+S617</f>
        <v>-23979672.274583336</v>
      </c>
      <c r="X617" s="736"/>
      <c r="Y617" s="713"/>
      <c r="Z617" s="713"/>
      <c r="AA617" s="675"/>
      <c r="AB617" s="713"/>
      <c r="AC617" s="677">
        <f>+S617</f>
        <v>-23979672.274583336</v>
      </c>
      <c r="AD617" s="676"/>
      <c r="AE617" s="676"/>
      <c r="AF617" s="711">
        <f t="shared" si="158"/>
        <v>0</v>
      </c>
    </row>
    <row r="618" spans="1:32">
      <c r="A618" s="638">
        <v>608</v>
      </c>
      <c r="B618" s="342" t="s">
        <v>1009</v>
      </c>
      <c r="C618" s="342" t="s">
        <v>644</v>
      </c>
      <c r="D618" s="342" t="s">
        <v>1252</v>
      </c>
      <c r="E618" s="623" t="s">
        <v>1782</v>
      </c>
      <c r="F618" s="635">
        <v>164849.44</v>
      </c>
      <c r="G618" s="635">
        <v>412580.73</v>
      </c>
      <c r="H618" s="635">
        <v>816333.62</v>
      </c>
      <c r="I618" s="635">
        <v>1518764.99</v>
      </c>
      <c r="J618" s="635">
        <v>1730785.4</v>
      </c>
      <c r="K618" s="635">
        <v>1440073.66</v>
      </c>
      <c r="L618" s="635">
        <v>1514908.04</v>
      </c>
      <c r="M618" s="635">
        <v>1515377.82</v>
      </c>
      <c r="N618" s="635">
        <v>1372102.68</v>
      </c>
      <c r="O618" s="635">
        <v>1448349.36</v>
      </c>
      <c r="P618" s="635">
        <v>2147306.23</v>
      </c>
      <c r="Q618" s="635">
        <v>2207433.56</v>
      </c>
      <c r="R618" s="635">
        <v>2056561.28</v>
      </c>
      <c r="S618" s="514">
        <f t="shared" si="124"/>
        <v>1436226.7874999999</v>
      </c>
      <c r="T618" s="638"/>
      <c r="U618" s="675"/>
      <c r="V618" s="713"/>
      <c r="W618" s="713">
        <f t="shared" si="166"/>
        <v>1436226.7874999999</v>
      </c>
      <c r="X618" s="736"/>
      <c r="Y618" s="713"/>
      <c r="Z618" s="713"/>
      <c r="AA618" s="675"/>
      <c r="AB618" s="713"/>
      <c r="AC618" s="677">
        <f t="shared" ref="AC618:AC683" si="167">+S618</f>
        <v>1436226.7874999999</v>
      </c>
      <c r="AD618" s="676"/>
      <c r="AE618" s="676"/>
      <c r="AF618" s="711">
        <f t="shared" si="158"/>
        <v>0</v>
      </c>
    </row>
    <row r="619" spans="1:32">
      <c r="A619" s="638">
        <v>609</v>
      </c>
      <c r="B619" s="342" t="s">
        <v>1009</v>
      </c>
      <c r="C619" s="342" t="s">
        <v>644</v>
      </c>
      <c r="D619" s="342" t="s">
        <v>1253</v>
      </c>
      <c r="E619" s="623" t="s">
        <v>1783</v>
      </c>
      <c r="F619" s="635">
        <v>-2767726.57</v>
      </c>
      <c r="G619" s="635">
        <v>-303761.21999999997</v>
      </c>
      <c r="H619" s="635">
        <v>-616155.87</v>
      </c>
      <c r="I619" s="635">
        <v>-950886.07</v>
      </c>
      <c r="J619" s="635">
        <v>-1218988.5900000001</v>
      </c>
      <c r="K619" s="635">
        <v>-1396905.06</v>
      </c>
      <c r="L619" s="635">
        <v>-1520877.32</v>
      </c>
      <c r="M619" s="635">
        <v>-1639729.28</v>
      </c>
      <c r="N619" s="635">
        <v>-1743892.29</v>
      </c>
      <c r="O619" s="635">
        <v>-1853754.59</v>
      </c>
      <c r="P619" s="635">
        <v>-2084650.21</v>
      </c>
      <c r="Q619" s="635">
        <v>-2386646.41</v>
      </c>
      <c r="R619" s="635">
        <v>-2759274.39</v>
      </c>
      <c r="S619" s="514">
        <f t="shared" si="124"/>
        <v>-1539978.9491666667</v>
      </c>
      <c r="T619" s="638"/>
      <c r="U619" s="675"/>
      <c r="V619" s="713"/>
      <c r="W619" s="713">
        <f t="shared" si="166"/>
        <v>-1539978.9491666667</v>
      </c>
      <c r="X619" s="736"/>
      <c r="Y619" s="713"/>
      <c r="Z619" s="713"/>
      <c r="AA619" s="675"/>
      <c r="AB619" s="713"/>
      <c r="AC619" s="677">
        <f t="shared" si="167"/>
        <v>-1539978.9491666667</v>
      </c>
      <c r="AD619" s="676"/>
      <c r="AE619" s="676"/>
      <c r="AF619" s="711">
        <f t="shared" si="158"/>
        <v>0</v>
      </c>
    </row>
    <row r="620" spans="1:32">
      <c r="A620" s="638">
        <v>610</v>
      </c>
      <c r="B620" s="342" t="s">
        <v>1009</v>
      </c>
      <c r="C620" s="342" t="s">
        <v>644</v>
      </c>
      <c r="D620" s="342" t="s">
        <v>1254</v>
      </c>
      <c r="E620" s="623" t="s">
        <v>1784</v>
      </c>
      <c r="F620" s="635">
        <v>-49982.23</v>
      </c>
      <c r="G620" s="635">
        <v>0</v>
      </c>
      <c r="H620" s="635">
        <v>0</v>
      </c>
      <c r="I620" s="635">
        <v>0</v>
      </c>
      <c r="J620" s="635">
        <v>0</v>
      </c>
      <c r="K620" s="635">
        <v>0</v>
      </c>
      <c r="L620" s="635">
        <v>0</v>
      </c>
      <c r="M620" s="635">
        <v>0</v>
      </c>
      <c r="N620" s="635">
        <v>0</v>
      </c>
      <c r="O620" s="635">
        <v>0</v>
      </c>
      <c r="P620" s="635">
        <v>0</v>
      </c>
      <c r="Q620" s="635">
        <v>0</v>
      </c>
      <c r="R620" s="635">
        <v>0</v>
      </c>
      <c r="S620" s="514">
        <f t="shared" si="124"/>
        <v>-2082.592916666667</v>
      </c>
      <c r="T620" s="638"/>
      <c r="U620" s="675"/>
      <c r="V620" s="713"/>
      <c r="W620" s="713">
        <f t="shared" si="166"/>
        <v>-2082.592916666667</v>
      </c>
      <c r="X620" s="736"/>
      <c r="Y620" s="713"/>
      <c r="Z620" s="713"/>
      <c r="AA620" s="675"/>
      <c r="AB620" s="713"/>
      <c r="AC620" s="677">
        <f t="shared" si="167"/>
        <v>-2082.592916666667</v>
      </c>
      <c r="AD620" s="676"/>
      <c r="AE620" s="676"/>
      <c r="AF620" s="711">
        <f t="shared" si="158"/>
        <v>0</v>
      </c>
    </row>
    <row r="621" spans="1:32">
      <c r="A621" s="638">
        <v>611</v>
      </c>
      <c r="B621" s="342" t="s">
        <v>1009</v>
      </c>
      <c r="C621" s="342" t="s">
        <v>644</v>
      </c>
      <c r="D621" s="342" t="s">
        <v>1255</v>
      </c>
      <c r="E621" s="623" t="s">
        <v>1785</v>
      </c>
      <c r="F621" s="635">
        <v>-20625012.760000002</v>
      </c>
      <c r="G621" s="635">
        <v>-2998108.82</v>
      </c>
      <c r="H621" s="635">
        <v>-5844376.1500000004</v>
      </c>
      <c r="I621" s="635">
        <v>-9078513.3800000008</v>
      </c>
      <c r="J621" s="635">
        <v>-11278517.199999999</v>
      </c>
      <c r="K621" s="635">
        <v>-12520643.09</v>
      </c>
      <c r="L621" s="635">
        <v>-13428303.67</v>
      </c>
      <c r="M621" s="635">
        <v>-14181182.210000001</v>
      </c>
      <c r="N621" s="635">
        <v>-14852822.18</v>
      </c>
      <c r="O621" s="635">
        <v>-15499886.27</v>
      </c>
      <c r="P621" s="635">
        <v>-16707611.380000001</v>
      </c>
      <c r="Q621" s="635">
        <v>-18721945.16</v>
      </c>
      <c r="R621" s="635">
        <v>-21730220.710000001</v>
      </c>
      <c r="S621" s="514">
        <f t="shared" si="124"/>
        <v>-13024127.187083334</v>
      </c>
      <c r="T621" s="638"/>
      <c r="U621" s="675"/>
      <c r="V621" s="713"/>
      <c r="W621" s="713">
        <f t="shared" si="166"/>
        <v>-13024127.187083334</v>
      </c>
      <c r="X621" s="736"/>
      <c r="Y621" s="713"/>
      <c r="Z621" s="713"/>
      <c r="AA621" s="675"/>
      <c r="AB621" s="713"/>
      <c r="AC621" s="677">
        <f t="shared" si="167"/>
        <v>-13024127.187083334</v>
      </c>
      <c r="AD621" s="676"/>
      <c r="AE621" s="676"/>
      <c r="AF621" s="711">
        <f t="shared" si="158"/>
        <v>0</v>
      </c>
    </row>
    <row r="622" spans="1:32">
      <c r="A622" s="638">
        <v>612</v>
      </c>
      <c r="B622" s="342" t="s">
        <v>1009</v>
      </c>
      <c r="C622" s="342" t="s">
        <v>644</v>
      </c>
      <c r="D622" s="342" t="s">
        <v>1256</v>
      </c>
      <c r="E622" s="623" t="s">
        <v>1786</v>
      </c>
      <c r="F622" s="635">
        <v>340736.39</v>
      </c>
      <c r="G622" s="635">
        <v>150575.98000000001</v>
      </c>
      <c r="H622" s="635">
        <v>428972.95</v>
      </c>
      <c r="I622" s="635">
        <v>794648.35</v>
      </c>
      <c r="J622" s="635">
        <v>911301.65</v>
      </c>
      <c r="K622" s="635">
        <v>788275.79</v>
      </c>
      <c r="L622" s="635">
        <v>795241.41</v>
      </c>
      <c r="M622" s="635">
        <v>813275.91</v>
      </c>
      <c r="N622" s="635">
        <v>716590.19</v>
      </c>
      <c r="O622" s="635">
        <v>764857.29</v>
      </c>
      <c r="P622" s="635">
        <v>1000563.16</v>
      </c>
      <c r="Q622" s="635">
        <v>974203.11</v>
      </c>
      <c r="R622" s="635">
        <v>870919.73</v>
      </c>
      <c r="S622" s="514">
        <f t="shared" si="124"/>
        <v>728694.48750000016</v>
      </c>
      <c r="T622" s="638"/>
      <c r="U622" s="675"/>
      <c r="V622" s="713"/>
      <c r="W622" s="713">
        <f t="shared" si="166"/>
        <v>728694.48750000016</v>
      </c>
      <c r="X622" s="736"/>
      <c r="Y622" s="713"/>
      <c r="Z622" s="713"/>
      <c r="AA622" s="675"/>
      <c r="AB622" s="713"/>
      <c r="AC622" s="677">
        <f t="shared" si="167"/>
        <v>728694.48750000016</v>
      </c>
      <c r="AD622" s="676"/>
      <c r="AE622" s="676"/>
      <c r="AF622" s="711">
        <f t="shared" si="158"/>
        <v>0</v>
      </c>
    </row>
    <row r="623" spans="1:32">
      <c r="A623" s="638">
        <v>613</v>
      </c>
      <c r="B623" s="342" t="s">
        <v>1009</v>
      </c>
      <c r="C623" s="342" t="s">
        <v>644</v>
      </c>
      <c r="D623" s="342" t="s">
        <v>1257</v>
      </c>
      <c r="E623" s="623" t="s">
        <v>1787</v>
      </c>
      <c r="F623" s="635">
        <v>-1216.5999999999999</v>
      </c>
      <c r="G623" s="635">
        <v>0</v>
      </c>
      <c r="H623" s="635">
        <v>0</v>
      </c>
      <c r="I623" s="635">
        <v>0</v>
      </c>
      <c r="J623" s="635">
        <v>0</v>
      </c>
      <c r="K623" s="635">
        <v>-36017.35</v>
      </c>
      <c r="L623" s="635">
        <v>-36017.35</v>
      </c>
      <c r="M623" s="635">
        <v>-36017.35</v>
      </c>
      <c r="N623" s="635">
        <v>-36017.35</v>
      </c>
      <c r="O623" s="635">
        <v>-36017.35</v>
      </c>
      <c r="P623" s="635">
        <v>-36017.35</v>
      </c>
      <c r="Q623" s="635">
        <v>-36017.35</v>
      </c>
      <c r="R623" s="635">
        <v>-36017.35</v>
      </c>
      <c r="S623" s="514">
        <f t="shared" si="124"/>
        <v>-22561.535416666666</v>
      </c>
      <c r="T623" s="638"/>
      <c r="U623" s="675"/>
      <c r="V623" s="713"/>
      <c r="W623" s="713">
        <f t="shared" si="166"/>
        <v>-22561.535416666666</v>
      </c>
      <c r="X623" s="736"/>
      <c r="Y623" s="713"/>
      <c r="Z623" s="713"/>
      <c r="AA623" s="675"/>
      <c r="AB623" s="713"/>
      <c r="AC623" s="677">
        <f t="shared" si="167"/>
        <v>-22561.535416666666</v>
      </c>
      <c r="AD623" s="676"/>
      <c r="AE623" s="676"/>
      <c r="AF623" s="711">
        <f t="shared" si="158"/>
        <v>0</v>
      </c>
    </row>
    <row r="624" spans="1:32">
      <c r="A624" s="638">
        <v>614</v>
      </c>
      <c r="B624" s="342" t="s">
        <v>1009</v>
      </c>
      <c r="C624" s="342" t="s">
        <v>644</v>
      </c>
      <c r="D624" s="342" t="s">
        <v>1258</v>
      </c>
      <c r="E624" s="623" t="s">
        <v>1788</v>
      </c>
      <c r="F624" s="635">
        <v>-1293851.8600000001</v>
      </c>
      <c r="G624" s="635">
        <v>-152819.1</v>
      </c>
      <c r="H624" s="635">
        <v>-307199.43</v>
      </c>
      <c r="I624" s="635">
        <v>-462008.56</v>
      </c>
      <c r="J624" s="635">
        <v>-596551.94999999995</v>
      </c>
      <c r="K624" s="635">
        <v>-681399.05</v>
      </c>
      <c r="L624" s="635">
        <v>-747637.59</v>
      </c>
      <c r="M624" s="635">
        <v>-801380.03</v>
      </c>
      <c r="N624" s="635">
        <v>-853914.22</v>
      </c>
      <c r="O624" s="635">
        <v>-904037.6</v>
      </c>
      <c r="P624" s="635">
        <v>-959221.54</v>
      </c>
      <c r="Q624" s="635">
        <v>-1063583.5</v>
      </c>
      <c r="R624" s="635">
        <v>-1216974.53</v>
      </c>
      <c r="S624" s="514">
        <f t="shared" si="124"/>
        <v>-732097.14708333323</v>
      </c>
      <c r="T624" s="638"/>
      <c r="U624" s="675"/>
      <c r="V624" s="713"/>
      <c r="W624" s="713">
        <f t="shared" si="166"/>
        <v>-732097.14708333323</v>
      </c>
      <c r="X624" s="736"/>
      <c r="Y624" s="713"/>
      <c r="Z624" s="713"/>
      <c r="AA624" s="675"/>
      <c r="AB624" s="713"/>
      <c r="AC624" s="677">
        <f t="shared" si="167"/>
        <v>-732097.14708333323</v>
      </c>
      <c r="AD624" s="676"/>
      <c r="AE624" s="676"/>
      <c r="AF624" s="711">
        <f t="shared" si="158"/>
        <v>0</v>
      </c>
    </row>
    <row r="625" spans="1:32">
      <c r="A625" s="638">
        <v>615</v>
      </c>
      <c r="B625" s="342" t="s">
        <v>984</v>
      </c>
      <c r="C625" s="342" t="s">
        <v>644</v>
      </c>
      <c r="D625" s="342" t="s">
        <v>1251</v>
      </c>
      <c r="E625" s="623" t="s">
        <v>1781</v>
      </c>
      <c r="F625" s="635">
        <v>-112178476.55</v>
      </c>
      <c r="G625" s="635">
        <v>-15541486.24</v>
      </c>
      <c r="H625" s="635">
        <v>-32136970.350000001</v>
      </c>
      <c r="I625" s="635">
        <v>-49933517.75</v>
      </c>
      <c r="J625" s="635">
        <v>-60396406.18</v>
      </c>
      <c r="K625" s="635">
        <v>-67524724.519999996</v>
      </c>
      <c r="L625" s="635">
        <v>-71884740.939999998</v>
      </c>
      <c r="M625" s="635">
        <v>-75559977.310000002</v>
      </c>
      <c r="N625" s="635">
        <v>-78870238.109999999</v>
      </c>
      <c r="O625" s="635">
        <v>-82107883.25</v>
      </c>
      <c r="P625" s="635">
        <v>-88384702.230000004</v>
      </c>
      <c r="Q625" s="635">
        <v>-99293159.810000002</v>
      </c>
      <c r="R625" s="635">
        <v>-116095325.08</v>
      </c>
      <c r="S625" s="514">
        <f t="shared" si="124"/>
        <v>-69647558.95875001</v>
      </c>
      <c r="T625" s="638"/>
      <c r="U625" s="675"/>
      <c r="V625" s="713"/>
      <c r="W625" s="713">
        <f t="shared" si="166"/>
        <v>-69647558.95875001</v>
      </c>
      <c r="X625" s="736"/>
      <c r="Y625" s="713"/>
      <c r="Z625" s="713"/>
      <c r="AA625" s="675"/>
      <c r="AB625" s="713"/>
      <c r="AC625" s="677">
        <f t="shared" si="167"/>
        <v>-69647558.95875001</v>
      </c>
      <c r="AD625" s="676"/>
      <c r="AE625" s="676"/>
      <c r="AF625" s="711">
        <f t="shared" si="158"/>
        <v>0</v>
      </c>
    </row>
    <row r="626" spans="1:32">
      <c r="A626" s="638">
        <v>616</v>
      </c>
      <c r="B626" s="342" t="s">
        <v>984</v>
      </c>
      <c r="C626" s="342" t="s">
        <v>644</v>
      </c>
      <c r="D626" s="342" t="s">
        <v>1252</v>
      </c>
      <c r="E626" s="623" t="s">
        <v>1802</v>
      </c>
      <c r="F626" s="635">
        <v>-1439586.55</v>
      </c>
      <c r="G626" s="635">
        <v>-506033.06</v>
      </c>
      <c r="H626" s="635">
        <v>1835042.22</v>
      </c>
      <c r="I626" s="635">
        <v>2369542.04</v>
      </c>
      <c r="J626" s="635">
        <v>1868319.35</v>
      </c>
      <c r="K626" s="635">
        <v>1872488.19</v>
      </c>
      <c r="L626" s="635">
        <v>1767546.44</v>
      </c>
      <c r="M626" s="635">
        <v>1807230.59</v>
      </c>
      <c r="N626" s="635">
        <v>1634330.51</v>
      </c>
      <c r="O626" s="635">
        <v>1811732.36</v>
      </c>
      <c r="P626" s="635">
        <v>2334200.54</v>
      </c>
      <c r="Q626" s="635">
        <v>2010314.74</v>
      </c>
      <c r="R626" s="635">
        <v>1197917.97</v>
      </c>
      <c r="S626" s="514">
        <f t="shared" si="124"/>
        <v>1556989.9691666665</v>
      </c>
      <c r="T626" s="638"/>
      <c r="U626" s="675"/>
      <c r="V626" s="713"/>
      <c r="W626" s="713">
        <f t="shared" si="166"/>
        <v>1556989.9691666665</v>
      </c>
      <c r="X626" s="736"/>
      <c r="Y626" s="713"/>
      <c r="Z626" s="713"/>
      <c r="AA626" s="675"/>
      <c r="AB626" s="713"/>
      <c r="AC626" s="677">
        <f t="shared" si="167"/>
        <v>1556989.9691666665</v>
      </c>
      <c r="AD626" s="676"/>
      <c r="AE626" s="676"/>
      <c r="AF626" s="711">
        <f t="shared" si="158"/>
        <v>0</v>
      </c>
    </row>
    <row r="627" spans="1:32">
      <c r="A627" s="638">
        <v>617</v>
      </c>
      <c r="B627" s="342" t="s">
        <v>984</v>
      </c>
      <c r="C627" s="342" t="s">
        <v>644</v>
      </c>
      <c r="D627" s="342" t="s">
        <v>1447</v>
      </c>
      <c r="E627" s="623" t="s">
        <v>1803</v>
      </c>
      <c r="F627" s="635">
        <v>-2144806.7000000002</v>
      </c>
      <c r="G627" s="635">
        <v>-534993.67000000004</v>
      </c>
      <c r="H627" s="635">
        <v>-1108567.76</v>
      </c>
      <c r="I627" s="635">
        <v>-1725655.1</v>
      </c>
      <c r="J627" s="635">
        <v>-2063499.86</v>
      </c>
      <c r="K627" s="635">
        <v>-2267619.12</v>
      </c>
      <c r="L627" s="635">
        <v>-2379157.91</v>
      </c>
      <c r="M627" s="635">
        <v>-2467884.13</v>
      </c>
      <c r="N627" s="635">
        <v>-2544422.75</v>
      </c>
      <c r="O627" s="635">
        <v>-2618677.42</v>
      </c>
      <c r="P627" s="635">
        <v>-2794060.89</v>
      </c>
      <c r="Q627" s="635">
        <v>-3109450.8</v>
      </c>
      <c r="R627" s="635">
        <v>-3574036.83</v>
      </c>
      <c r="S627" s="514">
        <f t="shared" si="124"/>
        <v>-2206117.5979166669</v>
      </c>
      <c r="T627" s="638"/>
      <c r="U627" s="675"/>
      <c r="V627" s="713"/>
      <c r="W627" s="713">
        <f t="shared" si="166"/>
        <v>-2206117.5979166669</v>
      </c>
      <c r="X627" s="736"/>
      <c r="Y627" s="713"/>
      <c r="Z627" s="713"/>
      <c r="AA627" s="675"/>
      <c r="AB627" s="713"/>
      <c r="AC627" s="677">
        <f t="shared" si="167"/>
        <v>-2206117.5979166669</v>
      </c>
      <c r="AD627" s="676"/>
      <c r="AE627" s="676"/>
      <c r="AF627" s="711">
        <f t="shared" si="158"/>
        <v>0</v>
      </c>
    </row>
    <row r="628" spans="1:32">
      <c r="A628" s="638">
        <v>618</v>
      </c>
      <c r="B628" s="342" t="s">
        <v>984</v>
      </c>
      <c r="C628" s="342" t="s">
        <v>644</v>
      </c>
      <c r="D628" s="342" t="s">
        <v>1253</v>
      </c>
      <c r="E628" s="623" t="s">
        <v>1783</v>
      </c>
      <c r="F628" s="635">
        <v>-10628565.26</v>
      </c>
      <c r="G628" s="635">
        <v>-1081894.3999999999</v>
      </c>
      <c r="H628" s="635">
        <v>-2267572.48</v>
      </c>
      <c r="I628" s="635">
        <v>-3572928.08</v>
      </c>
      <c r="J628" s="635">
        <v>-4628405.24</v>
      </c>
      <c r="K628" s="635">
        <v>-5366548.62</v>
      </c>
      <c r="L628" s="635">
        <v>-5964647.4900000002</v>
      </c>
      <c r="M628" s="635">
        <v>-6555623.9800000004</v>
      </c>
      <c r="N628" s="635">
        <v>-7188459.2300000004</v>
      </c>
      <c r="O628" s="635">
        <v>-7853023.2599999998</v>
      </c>
      <c r="P628" s="635">
        <v>-8992963.1699999999</v>
      </c>
      <c r="Q628" s="635">
        <v>-10154584.33</v>
      </c>
      <c r="R628" s="635">
        <v>-11495619.82</v>
      </c>
      <c r="S628" s="514">
        <f t="shared" si="124"/>
        <v>-6224061.9016666664</v>
      </c>
      <c r="T628" s="638"/>
      <c r="U628" s="675"/>
      <c r="V628" s="713"/>
      <c r="W628" s="713">
        <f t="shared" si="166"/>
        <v>-6224061.9016666664</v>
      </c>
      <c r="X628" s="736"/>
      <c r="Y628" s="713"/>
      <c r="Z628" s="713"/>
      <c r="AA628" s="675"/>
      <c r="AB628" s="713"/>
      <c r="AC628" s="677">
        <f t="shared" si="167"/>
        <v>-6224061.9016666664</v>
      </c>
      <c r="AD628" s="676"/>
      <c r="AE628" s="676"/>
      <c r="AF628" s="711">
        <f t="shared" si="158"/>
        <v>0</v>
      </c>
    </row>
    <row r="629" spans="1:32">
      <c r="A629" s="638">
        <v>619</v>
      </c>
      <c r="B629" s="342" t="s">
        <v>984</v>
      </c>
      <c r="C629" s="342" t="s">
        <v>644</v>
      </c>
      <c r="D629" s="342" t="s">
        <v>1259</v>
      </c>
      <c r="E629" s="623" t="s">
        <v>1804</v>
      </c>
      <c r="F629" s="635">
        <v>247687.63</v>
      </c>
      <c r="G629" s="635">
        <v>-11142.35</v>
      </c>
      <c r="H629" s="635">
        <v>42139.87</v>
      </c>
      <c r="I629" s="635">
        <v>130678.66</v>
      </c>
      <c r="J629" s="635">
        <v>213184</v>
      </c>
      <c r="K629" s="635">
        <v>254248.99</v>
      </c>
      <c r="L629" s="635">
        <v>271105.64</v>
      </c>
      <c r="M629" s="635">
        <v>304993.3</v>
      </c>
      <c r="N629" s="635">
        <v>338004.12</v>
      </c>
      <c r="O629" s="635">
        <v>359234.39</v>
      </c>
      <c r="P629" s="635">
        <v>410269.92</v>
      </c>
      <c r="Q629" s="635">
        <v>469226.13</v>
      </c>
      <c r="R629" s="635">
        <v>489197.46</v>
      </c>
      <c r="S629" s="514">
        <f t="shared" si="124"/>
        <v>262532.10125000001</v>
      </c>
      <c r="T629" s="638"/>
      <c r="U629" s="675"/>
      <c r="V629" s="713"/>
      <c r="W629" s="713">
        <f t="shared" si="166"/>
        <v>262532.10125000001</v>
      </c>
      <c r="X629" s="736"/>
      <c r="Y629" s="713"/>
      <c r="Z629" s="713"/>
      <c r="AA629" s="675"/>
      <c r="AB629" s="713"/>
      <c r="AC629" s="677">
        <f t="shared" si="167"/>
        <v>262532.10125000001</v>
      </c>
      <c r="AD629" s="676"/>
      <c r="AE629" s="676"/>
      <c r="AF629" s="711">
        <f t="shared" si="158"/>
        <v>0</v>
      </c>
    </row>
    <row r="630" spans="1:32">
      <c r="A630" s="638">
        <v>620</v>
      </c>
      <c r="B630" s="342" t="s">
        <v>984</v>
      </c>
      <c r="C630" s="342" t="s">
        <v>644</v>
      </c>
      <c r="D630" s="342" t="s">
        <v>1448</v>
      </c>
      <c r="E630" s="623" t="s">
        <v>1805</v>
      </c>
      <c r="F630" s="635">
        <v>-241595.26</v>
      </c>
      <c r="G630" s="635">
        <v>-48598.97</v>
      </c>
      <c r="H630" s="635">
        <v>-102084.88</v>
      </c>
      <c r="I630" s="635">
        <v>-160996.44</v>
      </c>
      <c r="J630" s="635">
        <v>-206998.02</v>
      </c>
      <c r="K630" s="635">
        <v>-236122.8</v>
      </c>
      <c r="L630" s="635">
        <v>-259644.24</v>
      </c>
      <c r="M630" s="635">
        <v>-283118.45</v>
      </c>
      <c r="N630" s="635">
        <v>-308323.61</v>
      </c>
      <c r="O630" s="635">
        <v>-334833.71999999997</v>
      </c>
      <c r="P630" s="635">
        <v>-381311.17</v>
      </c>
      <c r="Q630" s="635">
        <v>-425847.36</v>
      </c>
      <c r="R630" s="635">
        <v>-473018.25</v>
      </c>
      <c r="S630" s="514">
        <f t="shared" si="124"/>
        <v>-258765.53458333333</v>
      </c>
      <c r="T630" s="638"/>
      <c r="U630" s="675"/>
      <c r="V630" s="713"/>
      <c r="W630" s="713">
        <f t="shared" si="166"/>
        <v>-258765.53458333333</v>
      </c>
      <c r="X630" s="736"/>
      <c r="Y630" s="713"/>
      <c r="Z630" s="713"/>
      <c r="AA630" s="675"/>
      <c r="AB630" s="713"/>
      <c r="AC630" s="677">
        <f t="shared" si="167"/>
        <v>-258765.53458333333</v>
      </c>
      <c r="AD630" s="676"/>
      <c r="AE630" s="676"/>
      <c r="AF630" s="711">
        <f t="shared" si="158"/>
        <v>0</v>
      </c>
    </row>
    <row r="631" spans="1:32">
      <c r="A631" s="638">
        <v>621</v>
      </c>
      <c r="B631" s="342" t="s">
        <v>984</v>
      </c>
      <c r="C631" s="342" t="s">
        <v>644</v>
      </c>
      <c r="D631" s="342" t="s">
        <v>1254</v>
      </c>
      <c r="E631" s="623" t="s">
        <v>1784</v>
      </c>
      <c r="F631" s="635">
        <v>-29548.43</v>
      </c>
      <c r="G631" s="635">
        <v>0</v>
      </c>
      <c r="H631" s="635">
        <v>0</v>
      </c>
      <c r="I631" s="635">
        <v>0</v>
      </c>
      <c r="J631" s="635">
        <v>0</v>
      </c>
      <c r="K631" s="635">
        <v>0</v>
      </c>
      <c r="L631" s="635">
        <v>0</v>
      </c>
      <c r="M631" s="635">
        <v>0</v>
      </c>
      <c r="N631" s="635">
        <v>0</v>
      </c>
      <c r="O631" s="635">
        <v>0</v>
      </c>
      <c r="P631" s="635">
        <v>0</v>
      </c>
      <c r="Q631" s="635">
        <v>0</v>
      </c>
      <c r="R631" s="635">
        <v>0</v>
      </c>
      <c r="S631" s="514">
        <f t="shared" si="124"/>
        <v>-1231.1845833333334</v>
      </c>
      <c r="T631" s="638"/>
      <c r="U631" s="675"/>
      <c r="V631" s="713"/>
      <c r="W631" s="713">
        <f t="shared" si="166"/>
        <v>-1231.1845833333334</v>
      </c>
      <c r="X631" s="736"/>
      <c r="Y631" s="713"/>
      <c r="Z631" s="713"/>
      <c r="AA631" s="675"/>
      <c r="AB631" s="713"/>
      <c r="AC631" s="677">
        <f t="shared" si="167"/>
        <v>-1231.1845833333334</v>
      </c>
      <c r="AD631" s="676"/>
      <c r="AE631" s="676"/>
      <c r="AF631" s="711">
        <f t="shared" si="158"/>
        <v>0</v>
      </c>
    </row>
    <row r="632" spans="1:32">
      <c r="A632" s="638">
        <v>622</v>
      </c>
      <c r="B632" s="342" t="s">
        <v>984</v>
      </c>
      <c r="C632" s="342" t="s">
        <v>644</v>
      </c>
      <c r="D632" s="342" t="s">
        <v>1255</v>
      </c>
      <c r="E632" s="623" t="s">
        <v>1785</v>
      </c>
      <c r="F632" s="635">
        <v>-79180712.310000002</v>
      </c>
      <c r="G632" s="635">
        <v>-10499037.24</v>
      </c>
      <c r="H632" s="635">
        <v>-21640694.600000001</v>
      </c>
      <c r="I632" s="635">
        <v>-34241316.68</v>
      </c>
      <c r="J632" s="635">
        <v>-41849021.350000001</v>
      </c>
      <c r="K632" s="635">
        <v>-46892253.909999996</v>
      </c>
      <c r="L632" s="635">
        <v>-50312050.200000003</v>
      </c>
      <c r="M632" s="635">
        <v>-53358566.310000002</v>
      </c>
      <c r="N632" s="635">
        <v>-56188948</v>
      </c>
      <c r="O632" s="635">
        <v>-58893899.530000001</v>
      </c>
      <c r="P632" s="635">
        <v>-63590306.25</v>
      </c>
      <c r="Q632" s="635">
        <v>-71795380.379999995</v>
      </c>
      <c r="R632" s="635">
        <v>-84231132.900000006</v>
      </c>
      <c r="S632" s="514">
        <f t="shared" si="124"/>
        <v>-49247283.087916672</v>
      </c>
      <c r="T632" s="638"/>
      <c r="U632" s="675"/>
      <c r="V632" s="713"/>
      <c r="W632" s="713">
        <f t="shared" si="166"/>
        <v>-49247283.087916672</v>
      </c>
      <c r="X632" s="736"/>
      <c r="Y632" s="713"/>
      <c r="Z632" s="713"/>
      <c r="AA632" s="675"/>
      <c r="AB632" s="713"/>
      <c r="AC632" s="677">
        <f t="shared" si="167"/>
        <v>-49247283.087916672</v>
      </c>
      <c r="AD632" s="676"/>
      <c r="AE632" s="676"/>
      <c r="AF632" s="711">
        <f t="shared" si="158"/>
        <v>0</v>
      </c>
    </row>
    <row r="633" spans="1:32">
      <c r="A633" s="638">
        <v>623</v>
      </c>
      <c r="B633" s="342" t="s">
        <v>984</v>
      </c>
      <c r="C633" s="342" t="s">
        <v>644</v>
      </c>
      <c r="D633" s="342" t="s">
        <v>1256</v>
      </c>
      <c r="E633" s="623" t="s">
        <v>1806</v>
      </c>
      <c r="F633" s="635">
        <v>188923.97</v>
      </c>
      <c r="G633" s="635">
        <v>-320152.02</v>
      </c>
      <c r="H633" s="635">
        <v>1037055.3</v>
      </c>
      <c r="I633" s="635">
        <v>1816330.28</v>
      </c>
      <c r="J633" s="635">
        <v>1826263.37</v>
      </c>
      <c r="K633" s="635">
        <v>1837282.8</v>
      </c>
      <c r="L633" s="635">
        <v>1883799.34</v>
      </c>
      <c r="M633" s="635">
        <v>1981656.98</v>
      </c>
      <c r="N633" s="635">
        <v>1850432.57</v>
      </c>
      <c r="O633" s="635">
        <v>1996705.13</v>
      </c>
      <c r="P633" s="635">
        <v>2378792.92</v>
      </c>
      <c r="Q633" s="635">
        <v>2798208.6</v>
      </c>
      <c r="R633" s="635">
        <v>2558275.73</v>
      </c>
      <c r="S633" s="514">
        <f t="shared" si="124"/>
        <v>1704997.9266666668</v>
      </c>
      <c r="T633" s="638"/>
      <c r="U633" s="675"/>
      <c r="V633" s="713"/>
      <c r="W633" s="713">
        <f t="shared" si="166"/>
        <v>1704997.9266666668</v>
      </c>
      <c r="X633" s="736"/>
      <c r="Y633" s="713"/>
      <c r="Z633" s="713"/>
      <c r="AA633" s="675"/>
      <c r="AB633" s="713"/>
      <c r="AC633" s="677">
        <f t="shared" si="167"/>
        <v>1704997.9266666668</v>
      </c>
      <c r="AD633" s="676"/>
      <c r="AE633" s="676"/>
      <c r="AF633" s="711">
        <f t="shared" si="158"/>
        <v>0</v>
      </c>
    </row>
    <row r="634" spans="1:32">
      <c r="A634" s="638">
        <v>624</v>
      </c>
      <c r="B634" s="342" t="s">
        <v>984</v>
      </c>
      <c r="C634" s="342" t="s">
        <v>644</v>
      </c>
      <c r="D634" s="342" t="s">
        <v>1449</v>
      </c>
      <c r="E634" s="623" t="s">
        <v>1807</v>
      </c>
      <c r="F634" s="635">
        <v>-1689706.2</v>
      </c>
      <c r="G634" s="635">
        <v>-402091.06</v>
      </c>
      <c r="H634" s="635">
        <v>-829567.37</v>
      </c>
      <c r="I634" s="635">
        <v>-1314201.75</v>
      </c>
      <c r="J634" s="635">
        <v>-1593120.94</v>
      </c>
      <c r="K634" s="635">
        <v>-1760151.94</v>
      </c>
      <c r="L634" s="635">
        <v>-1868839.88</v>
      </c>
      <c r="M634" s="635">
        <v>-1964165.18</v>
      </c>
      <c r="N634" s="635">
        <v>-2052119.74</v>
      </c>
      <c r="O634" s="635">
        <v>-2135304.36</v>
      </c>
      <c r="P634" s="635">
        <v>-2287736.65</v>
      </c>
      <c r="Q634" s="635">
        <v>-2567636.0299999998</v>
      </c>
      <c r="R634" s="635">
        <v>-2955922.48</v>
      </c>
      <c r="S634" s="514">
        <f t="shared" si="124"/>
        <v>-1758145.7699999998</v>
      </c>
      <c r="T634" s="638"/>
      <c r="U634" s="675"/>
      <c r="V634" s="713"/>
      <c r="W634" s="713">
        <f t="shared" si="166"/>
        <v>-1758145.7699999998</v>
      </c>
      <c r="X634" s="736"/>
      <c r="Y634" s="713"/>
      <c r="Z634" s="713"/>
      <c r="AA634" s="675"/>
      <c r="AB634" s="713"/>
      <c r="AC634" s="677">
        <f t="shared" si="167"/>
        <v>-1758145.7699999998</v>
      </c>
      <c r="AD634" s="676"/>
      <c r="AE634" s="676"/>
      <c r="AF634" s="711">
        <f t="shared" si="158"/>
        <v>0</v>
      </c>
    </row>
    <row r="635" spans="1:32">
      <c r="A635" s="638">
        <v>625</v>
      </c>
      <c r="B635" s="342" t="s">
        <v>984</v>
      </c>
      <c r="C635" s="342" t="s">
        <v>644</v>
      </c>
      <c r="D635" s="342" t="s">
        <v>1257</v>
      </c>
      <c r="E635" s="623" t="s">
        <v>1787</v>
      </c>
      <c r="F635" s="635">
        <v>-54452.09</v>
      </c>
      <c r="G635" s="635">
        <v>-3344.32</v>
      </c>
      <c r="H635" s="635">
        <v>-7503.29</v>
      </c>
      <c r="I635" s="635">
        <v>-10068.129999999999</v>
      </c>
      <c r="J635" s="635">
        <v>-10068.129999999999</v>
      </c>
      <c r="K635" s="635">
        <v>-10068.129999999999</v>
      </c>
      <c r="L635" s="635">
        <v>-12828.35</v>
      </c>
      <c r="M635" s="635">
        <v>-12828.35</v>
      </c>
      <c r="N635" s="635">
        <v>-18661.25</v>
      </c>
      <c r="O635" s="635">
        <v>-18661.25</v>
      </c>
      <c r="P635" s="635">
        <v>-47642.78</v>
      </c>
      <c r="Q635" s="635">
        <v>-47642.78</v>
      </c>
      <c r="R635" s="635">
        <v>-51429.03</v>
      </c>
      <c r="S635" s="514">
        <f t="shared" si="124"/>
        <v>-21021.443333333333</v>
      </c>
      <c r="T635" s="638"/>
      <c r="U635" s="675"/>
      <c r="V635" s="713"/>
      <c r="W635" s="713">
        <f t="shared" si="166"/>
        <v>-21021.443333333333</v>
      </c>
      <c r="X635" s="736"/>
      <c r="Y635" s="713"/>
      <c r="Z635" s="713"/>
      <c r="AA635" s="675"/>
      <c r="AB635" s="713"/>
      <c r="AC635" s="677">
        <f t="shared" si="167"/>
        <v>-21021.443333333333</v>
      </c>
      <c r="AD635" s="676"/>
      <c r="AE635" s="676"/>
      <c r="AF635" s="711">
        <f t="shared" si="158"/>
        <v>0</v>
      </c>
    </row>
    <row r="636" spans="1:32">
      <c r="A636" s="638">
        <v>626</v>
      </c>
      <c r="B636" s="342" t="s">
        <v>984</v>
      </c>
      <c r="C636" s="342" t="s">
        <v>644</v>
      </c>
      <c r="D636" s="342" t="s">
        <v>1260</v>
      </c>
      <c r="E636" s="623" t="s">
        <v>1808</v>
      </c>
      <c r="F636" s="635">
        <v>-2345.14</v>
      </c>
      <c r="G636" s="635">
        <v>-107.98</v>
      </c>
      <c r="H636" s="635">
        <v>-172.24</v>
      </c>
      <c r="I636" s="635">
        <v>-232.24</v>
      </c>
      <c r="J636" s="635">
        <v>-291.83</v>
      </c>
      <c r="K636" s="635">
        <v>-438.9</v>
      </c>
      <c r="L636" s="635">
        <v>-602.17999999999995</v>
      </c>
      <c r="M636" s="635">
        <v>-661.66</v>
      </c>
      <c r="N636" s="635">
        <v>-833.15</v>
      </c>
      <c r="O636" s="635">
        <v>-891.83</v>
      </c>
      <c r="P636" s="635">
        <v>-1231.9100000000001</v>
      </c>
      <c r="Q636" s="635">
        <v>-1511.6</v>
      </c>
      <c r="R636" s="635">
        <v>-1933.11</v>
      </c>
      <c r="S636" s="514">
        <f t="shared" si="124"/>
        <v>-759.55375000000004</v>
      </c>
      <c r="T636" s="638"/>
      <c r="U636" s="675"/>
      <c r="V636" s="713"/>
      <c r="W636" s="713">
        <f t="shared" si="166"/>
        <v>-759.55375000000004</v>
      </c>
      <c r="X636" s="736"/>
      <c r="Y636" s="713"/>
      <c r="Z636" s="713"/>
      <c r="AA636" s="675"/>
      <c r="AB636" s="713"/>
      <c r="AC636" s="677">
        <f t="shared" si="167"/>
        <v>-759.55375000000004</v>
      </c>
      <c r="AD636" s="676"/>
      <c r="AE636" s="676"/>
      <c r="AF636" s="711">
        <f t="shared" si="158"/>
        <v>0</v>
      </c>
    </row>
    <row r="637" spans="1:32">
      <c r="A637" s="638">
        <v>627</v>
      </c>
      <c r="B637" s="342" t="s">
        <v>984</v>
      </c>
      <c r="C637" s="342" t="s">
        <v>644</v>
      </c>
      <c r="D637" s="342" t="s">
        <v>1261</v>
      </c>
      <c r="E637" s="623" t="s">
        <v>1809</v>
      </c>
      <c r="F637" s="635">
        <v>-3467.93</v>
      </c>
      <c r="G637" s="635">
        <v>-496.98</v>
      </c>
      <c r="H637" s="635">
        <v>-920.1</v>
      </c>
      <c r="I637" s="635">
        <v>-1318</v>
      </c>
      <c r="J637" s="635">
        <v>-1584.26</v>
      </c>
      <c r="K637" s="635">
        <v>-1767.52</v>
      </c>
      <c r="L637" s="635">
        <v>-1957.05</v>
      </c>
      <c r="M637" s="635">
        <v>-2080.4499999999998</v>
      </c>
      <c r="N637" s="635">
        <v>-2241.88</v>
      </c>
      <c r="O637" s="635">
        <v>-2378.21</v>
      </c>
      <c r="P637" s="635">
        <v>-2752.26</v>
      </c>
      <c r="Q637" s="635">
        <v>-2972.64</v>
      </c>
      <c r="R637" s="635">
        <v>-3356.48</v>
      </c>
      <c r="S637" s="514">
        <f t="shared" si="124"/>
        <v>-1990.1295833333334</v>
      </c>
      <c r="T637" s="638"/>
      <c r="U637" s="675"/>
      <c r="V637" s="713"/>
      <c r="W637" s="713">
        <f t="shared" si="166"/>
        <v>-1990.1295833333334</v>
      </c>
      <c r="X637" s="736"/>
      <c r="Y637" s="713"/>
      <c r="Z637" s="713"/>
      <c r="AA637" s="675"/>
      <c r="AB637" s="713"/>
      <c r="AC637" s="677">
        <f t="shared" si="167"/>
        <v>-1990.1295833333334</v>
      </c>
      <c r="AD637" s="676"/>
      <c r="AE637" s="676"/>
      <c r="AF637" s="711">
        <f t="shared" si="158"/>
        <v>0</v>
      </c>
    </row>
    <row r="638" spans="1:32">
      <c r="A638" s="638">
        <v>628</v>
      </c>
      <c r="B638" s="638" t="s">
        <v>984</v>
      </c>
      <c r="C638" s="342" t="s">
        <v>644</v>
      </c>
      <c r="D638" s="342" t="s">
        <v>1450</v>
      </c>
      <c r="E638" s="623" t="s">
        <v>1810</v>
      </c>
      <c r="F638" s="635">
        <v>-35.46</v>
      </c>
      <c r="G638" s="635">
        <v>-2.1800000000000002</v>
      </c>
      <c r="H638" s="635">
        <v>-2.37</v>
      </c>
      <c r="I638" s="635">
        <v>-2.37</v>
      </c>
      <c r="J638" s="635">
        <v>-2.37</v>
      </c>
      <c r="K638" s="635">
        <v>-5.9</v>
      </c>
      <c r="L638" s="635">
        <v>-10.06</v>
      </c>
      <c r="M638" s="635">
        <v>-10.06</v>
      </c>
      <c r="N638" s="635">
        <v>-14.55</v>
      </c>
      <c r="O638" s="635">
        <v>-14.55</v>
      </c>
      <c r="P638" s="635">
        <v>-25.87</v>
      </c>
      <c r="Q638" s="635">
        <v>-34.6</v>
      </c>
      <c r="R638" s="635">
        <v>-47.51</v>
      </c>
      <c r="S638" s="514">
        <f t="shared" si="124"/>
        <v>-13.863750000000001</v>
      </c>
      <c r="T638" s="638"/>
      <c r="U638" s="675"/>
      <c r="V638" s="713"/>
      <c r="W638" s="713">
        <f t="shared" si="166"/>
        <v>-13.863750000000001</v>
      </c>
      <c r="X638" s="736"/>
      <c r="Y638" s="713"/>
      <c r="Z638" s="713"/>
      <c r="AA638" s="675"/>
      <c r="AB638" s="713"/>
      <c r="AC638" s="677">
        <f t="shared" si="167"/>
        <v>-13.863750000000001</v>
      </c>
      <c r="AD638" s="676"/>
      <c r="AE638" s="676"/>
      <c r="AF638" s="711">
        <f t="shared" si="158"/>
        <v>0</v>
      </c>
    </row>
    <row r="639" spans="1:32">
      <c r="A639" s="638">
        <v>629</v>
      </c>
      <c r="B639" s="638" t="s">
        <v>984</v>
      </c>
      <c r="C639" s="342" t="s">
        <v>644</v>
      </c>
      <c r="D639" s="342" t="s">
        <v>1262</v>
      </c>
      <c r="E639" s="623" t="s">
        <v>1811</v>
      </c>
      <c r="F639" s="635">
        <v>-3266.14</v>
      </c>
      <c r="G639" s="635">
        <v>0</v>
      </c>
      <c r="H639" s="635">
        <v>0</v>
      </c>
      <c r="I639" s="635">
        <v>0</v>
      </c>
      <c r="J639" s="635">
        <v>0</v>
      </c>
      <c r="K639" s="635">
        <v>0</v>
      </c>
      <c r="L639" s="635">
        <v>0</v>
      </c>
      <c r="M639" s="635">
        <v>0</v>
      </c>
      <c r="N639" s="635">
        <v>0</v>
      </c>
      <c r="O639" s="635">
        <v>0</v>
      </c>
      <c r="P639" s="635">
        <v>0</v>
      </c>
      <c r="Q639" s="635">
        <v>0</v>
      </c>
      <c r="R639" s="635">
        <v>0</v>
      </c>
      <c r="S639" s="514">
        <f t="shared" si="124"/>
        <v>-136.08916666666667</v>
      </c>
      <c r="T639" s="638"/>
      <c r="U639" s="675"/>
      <c r="V639" s="713"/>
      <c r="W639" s="713">
        <f t="shared" si="166"/>
        <v>-136.08916666666667</v>
      </c>
      <c r="X639" s="736"/>
      <c r="Y639" s="713"/>
      <c r="Z639" s="713"/>
      <c r="AA639" s="675"/>
      <c r="AB639" s="713"/>
      <c r="AC639" s="677">
        <f t="shared" si="167"/>
        <v>-136.08916666666667</v>
      </c>
      <c r="AD639" s="676"/>
      <c r="AE639" s="676"/>
      <c r="AF639" s="711">
        <f t="shared" si="158"/>
        <v>0</v>
      </c>
    </row>
    <row r="640" spans="1:32">
      <c r="A640" s="638">
        <v>630</v>
      </c>
      <c r="B640" s="638" t="s">
        <v>984</v>
      </c>
      <c r="C640" s="342" t="s">
        <v>644</v>
      </c>
      <c r="D640" s="342" t="s">
        <v>1258</v>
      </c>
      <c r="E640" s="623" t="s">
        <v>1788</v>
      </c>
      <c r="F640" s="635">
        <v>-1213225.9099999999</v>
      </c>
      <c r="G640" s="635">
        <v>-124207.65</v>
      </c>
      <c r="H640" s="635">
        <v>-247565.82</v>
      </c>
      <c r="I640" s="635">
        <v>-376285.15</v>
      </c>
      <c r="J640" s="635">
        <v>-495128.44</v>
      </c>
      <c r="K640" s="635">
        <v>-602311.25</v>
      </c>
      <c r="L640" s="635">
        <v>-682926.34</v>
      </c>
      <c r="M640" s="635">
        <v>-746372.73</v>
      </c>
      <c r="N640" s="635">
        <v>-816340.67</v>
      </c>
      <c r="O640" s="635">
        <v>-870684.71</v>
      </c>
      <c r="P640" s="635">
        <v>-933734.32</v>
      </c>
      <c r="Q640" s="635">
        <v>-1061766.92</v>
      </c>
      <c r="R640" s="635">
        <v>-1202440.45</v>
      </c>
      <c r="S640" s="514">
        <f t="shared" si="124"/>
        <v>-680429.76500000001</v>
      </c>
      <c r="T640" s="638"/>
      <c r="U640" s="675"/>
      <c r="V640" s="713"/>
      <c r="W640" s="713">
        <f t="shared" si="166"/>
        <v>-680429.76500000001</v>
      </c>
      <c r="X640" s="736"/>
      <c r="Y640" s="713"/>
      <c r="Z640" s="713"/>
      <c r="AA640" s="675"/>
      <c r="AB640" s="713"/>
      <c r="AC640" s="677">
        <f t="shared" si="167"/>
        <v>-680429.76500000001</v>
      </c>
      <c r="AD640" s="676"/>
      <c r="AE640" s="676"/>
      <c r="AF640" s="711">
        <f t="shared" si="158"/>
        <v>0</v>
      </c>
    </row>
    <row r="641" spans="1:32">
      <c r="A641" s="638">
        <v>631</v>
      </c>
      <c r="B641" s="342" t="s">
        <v>984</v>
      </c>
      <c r="C641" s="342" t="s">
        <v>644</v>
      </c>
      <c r="D641" s="342" t="s">
        <v>1263</v>
      </c>
      <c r="E641" s="623" t="s">
        <v>1812</v>
      </c>
      <c r="F641" s="635">
        <v>-37768.239999999998</v>
      </c>
      <c r="G641" s="635">
        <v>-6134.82</v>
      </c>
      <c r="H641" s="635">
        <v>-12012.5</v>
      </c>
      <c r="I641" s="635">
        <v>-13324.49</v>
      </c>
      <c r="J641" s="635">
        <v>-16701.689999999999</v>
      </c>
      <c r="K641" s="635">
        <v>-18129.04</v>
      </c>
      <c r="L641" s="635">
        <v>-19178.830000000002</v>
      </c>
      <c r="M641" s="635">
        <v>-18400.28</v>
      </c>
      <c r="N641" s="635">
        <v>-20825.009999999998</v>
      </c>
      <c r="O641" s="635">
        <v>-19444.53</v>
      </c>
      <c r="P641" s="635">
        <v>-36753.32</v>
      </c>
      <c r="Q641" s="635">
        <v>-18014.23</v>
      </c>
      <c r="R641" s="635">
        <v>-20059.57</v>
      </c>
      <c r="S641" s="514">
        <f t="shared" si="124"/>
        <v>-18986.053750000003</v>
      </c>
      <c r="T641" s="638"/>
      <c r="U641" s="675"/>
      <c r="V641" s="713"/>
      <c r="W641" s="713">
        <f t="shared" si="166"/>
        <v>-18986.053750000003</v>
      </c>
      <c r="X641" s="736"/>
      <c r="Y641" s="713"/>
      <c r="Z641" s="713"/>
      <c r="AA641" s="675"/>
      <c r="AB641" s="713"/>
      <c r="AC641" s="677">
        <f t="shared" si="167"/>
        <v>-18986.053750000003</v>
      </c>
      <c r="AD641" s="676"/>
      <c r="AE641" s="676"/>
      <c r="AF641" s="711">
        <f t="shared" si="158"/>
        <v>0</v>
      </c>
    </row>
    <row r="642" spans="1:32">
      <c r="A642" s="638">
        <v>632</v>
      </c>
      <c r="B642" s="342" t="s">
        <v>984</v>
      </c>
      <c r="C642" s="342" t="s">
        <v>644</v>
      </c>
      <c r="D642" s="342" t="s">
        <v>1451</v>
      </c>
      <c r="E642" s="623" t="s">
        <v>1813</v>
      </c>
      <c r="F642" s="635">
        <v>-33021.06</v>
      </c>
      <c r="G642" s="635">
        <v>-7173.67</v>
      </c>
      <c r="H642" s="635">
        <v>-14301.33</v>
      </c>
      <c r="I642" s="635">
        <v>-21742.2</v>
      </c>
      <c r="J642" s="635">
        <v>-28576.12</v>
      </c>
      <c r="K642" s="635">
        <v>-33849.120000000003</v>
      </c>
      <c r="L642" s="635">
        <v>-37766.85</v>
      </c>
      <c r="M642" s="635">
        <v>-40823.43</v>
      </c>
      <c r="N642" s="635">
        <v>-44129.01</v>
      </c>
      <c r="O642" s="635">
        <v>-46707.47</v>
      </c>
      <c r="P642" s="635">
        <v>-49776.58</v>
      </c>
      <c r="Q642" s="635">
        <v>-56188.43</v>
      </c>
      <c r="R642" s="635">
        <v>-62243.55</v>
      </c>
      <c r="S642" s="514">
        <f t="shared" si="124"/>
        <v>-35722.209583333337</v>
      </c>
      <c r="T642" s="638"/>
      <c r="U642" s="675"/>
      <c r="V642" s="713"/>
      <c r="W642" s="713">
        <f t="shared" si="166"/>
        <v>-35722.209583333337</v>
      </c>
      <c r="X642" s="736"/>
      <c r="Y642" s="713"/>
      <c r="Z642" s="713"/>
      <c r="AA642" s="675"/>
      <c r="AB642" s="713"/>
      <c r="AC642" s="677">
        <f t="shared" si="167"/>
        <v>-35722.209583333337</v>
      </c>
      <c r="AD642" s="676"/>
      <c r="AE642" s="676"/>
      <c r="AF642" s="711">
        <f t="shared" si="158"/>
        <v>0</v>
      </c>
    </row>
    <row r="643" spans="1:32">
      <c r="A643" s="638">
        <v>633</v>
      </c>
      <c r="B643" s="342" t="s">
        <v>1009</v>
      </c>
      <c r="C643" s="342" t="s">
        <v>645</v>
      </c>
      <c r="D643" s="342" t="s">
        <v>1251</v>
      </c>
      <c r="E643" s="623" t="s">
        <v>1789</v>
      </c>
      <c r="F643" s="635">
        <v>999034.86</v>
      </c>
      <c r="G643" s="635">
        <v>-62177.74</v>
      </c>
      <c r="H643" s="635">
        <v>-410981.96</v>
      </c>
      <c r="I643" s="635">
        <v>998030.61</v>
      </c>
      <c r="J643" s="635">
        <v>1978429.15</v>
      </c>
      <c r="K643" s="635">
        <v>2907179.96</v>
      </c>
      <c r="L643" s="635">
        <v>3123756.83</v>
      </c>
      <c r="M643" s="635">
        <v>3282263.93</v>
      </c>
      <c r="N643" s="635">
        <v>3538652.94</v>
      </c>
      <c r="O643" s="635">
        <v>3142494.99</v>
      </c>
      <c r="P643" s="635">
        <v>1649019.22</v>
      </c>
      <c r="Q643" s="635">
        <v>586257.81000000006</v>
      </c>
      <c r="R643" s="635">
        <v>64063.2600000003</v>
      </c>
      <c r="S643" s="514">
        <f t="shared" si="124"/>
        <v>1772039.5666666664</v>
      </c>
      <c r="T643" s="638"/>
      <c r="U643" s="675"/>
      <c r="V643" s="713"/>
      <c r="W643" s="713">
        <f t="shared" si="166"/>
        <v>1772039.5666666664</v>
      </c>
      <c r="X643" s="736"/>
      <c r="Y643" s="713"/>
      <c r="Z643" s="713"/>
      <c r="AA643" s="675"/>
      <c r="AB643" s="713"/>
      <c r="AC643" s="677">
        <f t="shared" si="167"/>
        <v>1772039.5666666664</v>
      </c>
      <c r="AD643" s="676"/>
      <c r="AE643" s="676"/>
      <c r="AF643" s="711">
        <f t="shared" si="158"/>
        <v>0</v>
      </c>
    </row>
    <row r="644" spans="1:32">
      <c r="A644" s="638">
        <v>634</v>
      </c>
      <c r="B644" s="342" t="s">
        <v>1009</v>
      </c>
      <c r="C644" s="342" t="s">
        <v>645</v>
      </c>
      <c r="D644" s="342" t="s">
        <v>1255</v>
      </c>
      <c r="E644" s="623" t="s">
        <v>1790</v>
      </c>
      <c r="F644" s="635">
        <v>550202.9</v>
      </c>
      <c r="G644" s="635">
        <v>24382.080000000002</v>
      </c>
      <c r="H644" s="635">
        <v>-220380.4</v>
      </c>
      <c r="I644" s="635">
        <v>555464.92000000004</v>
      </c>
      <c r="J644" s="635">
        <v>1141879.06</v>
      </c>
      <c r="K644" s="635">
        <v>1624968</v>
      </c>
      <c r="L644" s="635">
        <v>1723115.26</v>
      </c>
      <c r="M644" s="635">
        <v>1750801.68</v>
      </c>
      <c r="N644" s="635">
        <v>1927594.36</v>
      </c>
      <c r="O644" s="635">
        <v>1631275.81</v>
      </c>
      <c r="P644" s="635">
        <v>761588.56</v>
      </c>
      <c r="Q644" s="635">
        <v>-1162.87000000023</v>
      </c>
      <c r="R644" s="635">
        <v>-116275.02</v>
      </c>
      <c r="S644" s="514">
        <f t="shared" si="124"/>
        <v>928040.86666666658</v>
      </c>
      <c r="T644" s="638"/>
      <c r="U644" s="675"/>
      <c r="V644" s="713"/>
      <c r="W644" s="713">
        <f t="shared" si="166"/>
        <v>928040.86666666658</v>
      </c>
      <c r="X644" s="736"/>
      <c r="Y644" s="713"/>
      <c r="Z644" s="713"/>
      <c r="AA644" s="675"/>
      <c r="AB644" s="713"/>
      <c r="AC644" s="677">
        <f t="shared" si="167"/>
        <v>928040.86666666658</v>
      </c>
      <c r="AD644" s="676"/>
      <c r="AE644" s="676"/>
      <c r="AF644" s="711">
        <f t="shared" si="158"/>
        <v>0</v>
      </c>
    </row>
    <row r="645" spans="1:32">
      <c r="A645" s="638">
        <v>635</v>
      </c>
      <c r="B645" s="638" t="s">
        <v>1009</v>
      </c>
      <c r="C645" s="342" t="s">
        <v>645</v>
      </c>
      <c r="D645" s="342" t="s">
        <v>1258</v>
      </c>
      <c r="E645" s="623" t="s">
        <v>1791</v>
      </c>
      <c r="F645" s="635">
        <v>47343.45</v>
      </c>
      <c r="G645" s="635">
        <v>-1561.66</v>
      </c>
      <c r="H645" s="635">
        <v>-1964.01</v>
      </c>
      <c r="I645" s="635">
        <v>18406.63</v>
      </c>
      <c r="J645" s="635">
        <v>68118.36</v>
      </c>
      <c r="K645" s="635">
        <v>86737.25</v>
      </c>
      <c r="L645" s="635">
        <v>99234.39</v>
      </c>
      <c r="M645" s="635">
        <v>100444.61</v>
      </c>
      <c r="N645" s="635">
        <v>102851.18</v>
      </c>
      <c r="O645" s="635">
        <v>97749.4</v>
      </c>
      <c r="P645" s="635">
        <v>48261.72</v>
      </c>
      <c r="Q645" s="635">
        <v>-850.15999999998905</v>
      </c>
      <c r="R645" s="635">
        <v>-32783.61</v>
      </c>
      <c r="S645" s="514">
        <f t="shared" si="124"/>
        <v>52058.969166666669</v>
      </c>
      <c r="T645" s="638"/>
      <c r="U645" s="675"/>
      <c r="V645" s="713"/>
      <c r="W645" s="713">
        <f t="shared" si="166"/>
        <v>52058.969166666669</v>
      </c>
      <c r="X645" s="736"/>
      <c r="Y645" s="713"/>
      <c r="Z645" s="713"/>
      <c r="AA645" s="675"/>
      <c r="AB645" s="713"/>
      <c r="AC645" s="677">
        <f t="shared" si="167"/>
        <v>52058.969166666669</v>
      </c>
      <c r="AD645" s="676"/>
      <c r="AE645" s="676"/>
      <c r="AF645" s="711">
        <f t="shared" si="158"/>
        <v>0</v>
      </c>
    </row>
    <row r="646" spans="1:32">
      <c r="A646" s="638">
        <v>636</v>
      </c>
      <c r="B646" s="638" t="s">
        <v>984</v>
      </c>
      <c r="C646" s="342" t="s">
        <v>645</v>
      </c>
      <c r="D646" s="342" t="s">
        <v>1251</v>
      </c>
      <c r="E646" s="623" t="s">
        <v>1789</v>
      </c>
      <c r="F646" s="635">
        <v>3374622.68</v>
      </c>
      <c r="G646" s="635">
        <v>-1344.14</v>
      </c>
      <c r="H646" s="635">
        <v>-2463980.2999999998</v>
      </c>
      <c r="I646" s="635">
        <v>1886464.21</v>
      </c>
      <c r="J646" s="635">
        <v>5241236.08</v>
      </c>
      <c r="K646" s="635">
        <v>7130166.5199999996</v>
      </c>
      <c r="L646" s="635">
        <v>8034036.7699999996</v>
      </c>
      <c r="M646" s="635">
        <v>8135627.71</v>
      </c>
      <c r="N646" s="635">
        <v>8892139.3300000001</v>
      </c>
      <c r="O646" s="635">
        <v>7631615.7800000003</v>
      </c>
      <c r="P646" s="635">
        <v>3903787.65</v>
      </c>
      <c r="Q646" s="635">
        <v>-192516.25</v>
      </c>
      <c r="R646" s="635">
        <v>-2017201.21</v>
      </c>
      <c r="S646" s="514">
        <f t="shared" si="124"/>
        <v>4072995.3412500001</v>
      </c>
      <c r="T646" s="638"/>
      <c r="U646" s="675"/>
      <c r="V646" s="713"/>
      <c r="W646" s="713">
        <f t="shared" si="166"/>
        <v>4072995.3412500001</v>
      </c>
      <c r="X646" s="736"/>
      <c r="Y646" s="713"/>
      <c r="Z646" s="713"/>
      <c r="AA646" s="675"/>
      <c r="AB646" s="713"/>
      <c r="AC646" s="677">
        <f t="shared" si="167"/>
        <v>4072995.3412500001</v>
      </c>
      <c r="AD646" s="676"/>
      <c r="AE646" s="676"/>
      <c r="AF646" s="711">
        <f t="shared" si="158"/>
        <v>0</v>
      </c>
    </row>
    <row r="647" spans="1:32">
      <c r="A647" s="638">
        <v>637</v>
      </c>
      <c r="B647" s="342" t="s">
        <v>984</v>
      </c>
      <c r="C647" s="342" t="s">
        <v>645</v>
      </c>
      <c r="D647" s="342" t="s">
        <v>1255</v>
      </c>
      <c r="E647" s="623" t="s">
        <v>1790</v>
      </c>
      <c r="F647" s="635">
        <v>2090238.1</v>
      </c>
      <c r="G647" s="635">
        <v>16964.689999999999</v>
      </c>
      <c r="H647" s="635">
        <v>-1611473.73</v>
      </c>
      <c r="I647" s="635">
        <v>1033586.64</v>
      </c>
      <c r="J647" s="635">
        <v>3241911.49</v>
      </c>
      <c r="K647" s="635">
        <v>4721962.2</v>
      </c>
      <c r="L647" s="635">
        <v>5158958.49</v>
      </c>
      <c r="M647" s="635">
        <v>5096312.51</v>
      </c>
      <c r="N647" s="635">
        <v>5782423.8700000001</v>
      </c>
      <c r="O647" s="635">
        <v>4516556.3499999996</v>
      </c>
      <c r="P647" s="635">
        <v>1282667.2</v>
      </c>
      <c r="Q647" s="635">
        <v>-2415264.3199999998</v>
      </c>
      <c r="R647" s="635">
        <v>-3501522.79</v>
      </c>
      <c r="S647" s="514">
        <f t="shared" si="124"/>
        <v>2176580.2537499997</v>
      </c>
      <c r="T647" s="638"/>
      <c r="U647" s="675"/>
      <c r="V647" s="713"/>
      <c r="W647" s="713">
        <f t="shared" si="166"/>
        <v>2176580.2537499997</v>
      </c>
      <c r="X647" s="736"/>
      <c r="Y647" s="713"/>
      <c r="Z647" s="713"/>
      <c r="AA647" s="675"/>
      <c r="AB647" s="713"/>
      <c r="AC647" s="677">
        <f t="shared" si="167"/>
        <v>2176580.2537499997</v>
      </c>
      <c r="AD647" s="676"/>
      <c r="AE647" s="676"/>
      <c r="AF647" s="711">
        <f t="shared" si="158"/>
        <v>0</v>
      </c>
    </row>
    <row r="648" spans="1:32">
      <c r="A648" s="638">
        <v>638</v>
      </c>
      <c r="B648" s="342" t="s">
        <v>984</v>
      </c>
      <c r="C648" s="342" t="s">
        <v>645</v>
      </c>
      <c r="D648" s="342" t="s">
        <v>1260</v>
      </c>
      <c r="E648" s="623" t="s">
        <v>1814</v>
      </c>
      <c r="F648" s="635">
        <v>237.33</v>
      </c>
      <c r="G648" s="635">
        <v>45.73</v>
      </c>
      <c r="H648" s="635">
        <v>50.18</v>
      </c>
      <c r="I648" s="635">
        <v>50.18</v>
      </c>
      <c r="J648" s="635">
        <v>-40.89</v>
      </c>
      <c r="K648" s="635">
        <v>-57.24</v>
      </c>
      <c r="L648" s="635">
        <v>50.18</v>
      </c>
      <c r="M648" s="635">
        <v>-65.78</v>
      </c>
      <c r="N648" s="635">
        <v>50.18</v>
      </c>
      <c r="O648" s="635">
        <v>-242.21</v>
      </c>
      <c r="P648" s="635">
        <v>-175.34</v>
      </c>
      <c r="Q648" s="635">
        <v>-322.68</v>
      </c>
      <c r="R648" s="635">
        <v>-148.01</v>
      </c>
      <c r="S648" s="514">
        <f t="shared" si="124"/>
        <v>-51.085833333333341</v>
      </c>
      <c r="T648" s="638"/>
      <c r="U648" s="675"/>
      <c r="V648" s="713"/>
      <c r="W648" s="713">
        <f t="shared" si="166"/>
        <v>-51.085833333333341</v>
      </c>
      <c r="X648" s="736"/>
      <c r="Y648" s="713"/>
      <c r="Z648" s="713"/>
      <c r="AA648" s="675"/>
      <c r="AB648" s="713"/>
      <c r="AC648" s="677">
        <f t="shared" si="167"/>
        <v>-51.085833333333341</v>
      </c>
      <c r="AD648" s="676"/>
      <c r="AE648" s="676"/>
      <c r="AF648" s="711">
        <f t="shared" si="158"/>
        <v>0</v>
      </c>
    </row>
    <row r="649" spans="1:32">
      <c r="A649" s="638">
        <v>639</v>
      </c>
      <c r="B649" s="342" t="s">
        <v>984</v>
      </c>
      <c r="C649" s="342" t="s">
        <v>645</v>
      </c>
      <c r="D649" s="342" t="s">
        <v>1258</v>
      </c>
      <c r="E649" s="623" t="s">
        <v>1791</v>
      </c>
      <c r="F649" s="635">
        <v>13073.21</v>
      </c>
      <c r="G649" s="635">
        <v>810.06</v>
      </c>
      <c r="H649" s="635">
        <v>-4698.57</v>
      </c>
      <c r="I649" s="635">
        <v>6377.51</v>
      </c>
      <c r="J649" s="635">
        <v>19799.46</v>
      </c>
      <c r="K649" s="635">
        <v>47956.29</v>
      </c>
      <c r="L649" s="635">
        <v>65917.63</v>
      </c>
      <c r="M649" s="635">
        <v>59345.55</v>
      </c>
      <c r="N649" s="635">
        <v>75562.240000000005</v>
      </c>
      <c r="O649" s="635">
        <v>65454.82</v>
      </c>
      <c r="P649" s="635">
        <v>-5508.2399999999898</v>
      </c>
      <c r="Q649" s="635">
        <v>-18245.77</v>
      </c>
      <c r="R649" s="635">
        <v>-33675.279999999999</v>
      </c>
      <c r="S649" s="514">
        <f t="shared" si="124"/>
        <v>25205.828750000001</v>
      </c>
      <c r="T649" s="638"/>
      <c r="U649" s="675"/>
      <c r="V649" s="713"/>
      <c r="W649" s="713">
        <f t="shared" si="166"/>
        <v>25205.828750000001</v>
      </c>
      <c r="X649" s="736"/>
      <c r="Y649" s="713"/>
      <c r="Z649" s="713"/>
      <c r="AA649" s="675"/>
      <c r="AB649" s="713"/>
      <c r="AC649" s="677">
        <f t="shared" si="167"/>
        <v>25205.828750000001</v>
      </c>
      <c r="AD649" s="676"/>
      <c r="AE649" s="676"/>
      <c r="AF649" s="711">
        <f t="shared" si="158"/>
        <v>0</v>
      </c>
    </row>
    <row r="650" spans="1:32">
      <c r="A650" s="638">
        <v>640</v>
      </c>
      <c r="B650" s="342" t="s">
        <v>984</v>
      </c>
      <c r="C650" s="342" t="s">
        <v>645</v>
      </c>
      <c r="D650" s="342" t="s">
        <v>1447</v>
      </c>
      <c r="E650" s="623" t="s">
        <v>1965</v>
      </c>
      <c r="F650" s="635">
        <v>0</v>
      </c>
      <c r="G650" s="635">
        <v>0</v>
      </c>
      <c r="H650" s="635">
        <v>-90871.42</v>
      </c>
      <c r="I650" s="635">
        <v>69660.240000000005</v>
      </c>
      <c r="J650" s="635">
        <v>209531.44</v>
      </c>
      <c r="K650" s="635">
        <v>272514.12</v>
      </c>
      <c r="L650" s="635">
        <v>302651.90000000002</v>
      </c>
      <c r="M650" s="635">
        <v>306039.25</v>
      </c>
      <c r="N650" s="635">
        <v>331263.64</v>
      </c>
      <c r="O650" s="635">
        <v>289233.96000000002</v>
      </c>
      <c r="P650" s="635">
        <v>164936.84</v>
      </c>
      <c r="Q650" s="635">
        <v>66133.98</v>
      </c>
      <c r="R650" s="635">
        <v>12218.77</v>
      </c>
      <c r="S650" s="514">
        <f t="shared" si="124"/>
        <v>160600.27791666667</v>
      </c>
      <c r="T650" s="638"/>
      <c r="U650" s="675"/>
      <c r="V650" s="713"/>
      <c r="W650" s="713">
        <f t="shared" si="166"/>
        <v>160600.27791666667</v>
      </c>
      <c r="X650" s="736"/>
      <c r="Y650" s="713"/>
      <c r="Z650" s="713"/>
      <c r="AA650" s="675"/>
      <c r="AB650" s="713"/>
      <c r="AC650" s="677">
        <f t="shared" si="167"/>
        <v>160600.27791666667</v>
      </c>
      <c r="AD650" s="676"/>
      <c r="AE650" s="676"/>
      <c r="AF650" s="711"/>
    </row>
    <row r="651" spans="1:32">
      <c r="A651" s="638">
        <v>641</v>
      </c>
      <c r="B651" s="342" t="s">
        <v>984</v>
      </c>
      <c r="C651" s="342" t="s">
        <v>645</v>
      </c>
      <c r="D651" s="342" t="s">
        <v>1449</v>
      </c>
      <c r="E651" s="623" t="s">
        <v>1966</v>
      </c>
      <c r="F651" s="635">
        <v>0</v>
      </c>
      <c r="G651" s="635">
        <v>1085.6300000000001</v>
      </c>
      <c r="H651" s="635">
        <v>-64218.29</v>
      </c>
      <c r="I651" s="635">
        <v>42371.89</v>
      </c>
      <c r="J651" s="635">
        <v>145269.76000000001</v>
      </c>
      <c r="K651" s="635">
        <v>198404.65</v>
      </c>
      <c r="L651" s="635">
        <v>214108.72</v>
      </c>
      <c r="M651" s="635">
        <v>211886.52</v>
      </c>
      <c r="N651" s="635">
        <v>236651.49</v>
      </c>
      <c r="O651" s="635">
        <v>190966.21</v>
      </c>
      <c r="P651" s="635">
        <v>100995.93</v>
      </c>
      <c r="Q651" s="635">
        <v>9639.0699999999597</v>
      </c>
      <c r="R651" s="635">
        <v>-20097.54</v>
      </c>
      <c r="S651" s="514">
        <f t="shared" si="124"/>
        <v>106426.0675</v>
      </c>
      <c r="T651" s="638"/>
      <c r="U651" s="675"/>
      <c r="V651" s="713"/>
      <c r="W651" s="713">
        <f t="shared" si="166"/>
        <v>106426.0675</v>
      </c>
      <c r="X651" s="736"/>
      <c r="Y651" s="713"/>
      <c r="Z651" s="713"/>
      <c r="AA651" s="675"/>
      <c r="AB651" s="713"/>
      <c r="AC651" s="677">
        <f t="shared" si="167"/>
        <v>106426.0675</v>
      </c>
      <c r="AD651" s="676"/>
      <c r="AE651" s="676"/>
      <c r="AF651" s="711"/>
    </row>
    <row r="652" spans="1:32">
      <c r="A652" s="638">
        <v>642</v>
      </c>
      <c r="B652" s="342" t="s">
        <v>1009</v>
      </c>
      <c r="C652" s="342" t="s">
        <v>646</v>
      </c>
      <c r="D652" s="342" t="s">
        <v>1264</v>
      </c>
      <c r="E652" s="623" t="s">
        <v>1792</v>
      </c>
      <c r="F652" s="635">
        <v>-140982.17000000001</v>
      </c>
      <c r="G652" s="635">
        <v>-12256.15</v>
      </c>
      <c r="H652" s="635">
        <v>-26549.47</v>
      </c>
      <c r="I652" s="635">
        <v>-44603.13</v>
      </c>
      <c r="J652" s="635">
        <v>-66606.009999999995</v>
      </c>
      <c r="K652" s="635">
        <v>-86272.63</v>
      </c>
      <c r="L652" s="635">
        <v>-100734.47</v>
      </c>
      <c r="M652" s="635">
        <v>-110497.17</v>
      </c>
      <c r="N652" s="635">
        <v>-119149.39</v>
      </c>
      <c r="O652" s="635">
        <v>-127065.43</v>
      </c>
      <c r="P652" s="635">
        <v>-137027.87</v>
      </c>
      <c r="Q652" s="635">
        <v>-145581.19</v>
      </c>
      <c r="R652" s="635">
        <v>-159699.38</v>
      </c>
      <c r="S652" s="514">
        <f t="shared" si="124"/>
        <v>-93890.307083333333</v>
      </c>
      <c r="T652" s="638"/>
      <c r="U652" s="675"/>
      <c r="V652" s="713"/>
      <c r="W652" s="713">
        <f t="shared" si="166"/>
        <v>-93890.307083333333</v>
      </c>
      <c r="X652" s="736"/>
      <c r="Y652" s="713"/>
      <c r="Z652" s="713"/>
      <c r="AA652" s="675"/>
      <c r="AB652" s="713"/>
      <c r="AC652" s="677">
        <f t="shared" si="167"/>
        <v>-93890.307083333333</v>
      </c>
      <c r="AD652" s="676"/>
      <c r="AE652" s="676"/>
      <c r="AF652" s="711">
        <f t="shared" si="158"/>
        <v>0</v>
      </c>
    </row>
    <row r="653" spans="1:32">
      <c r="A653" s="638">
        <v>643</v>
      </c>
      <c r="B653" s="638" t="s">
        <v>1009</v>
      </c>
      <c r="C653" s="342" t="s">
        <v>646</v>
      </c>
      <c r="D653" s="342" t="s">
        <v>1265</v>
      </c>
      <c r="E653" s="623" t="s">
        <v>1793</v>
      </c>
      <c r="F653" s="635">
        <v>-5487.69</v>
      </c>
      <c r="G653" s="635">
        <v>0</v>
      </c>
      <c r="H653" s="635">
        <v>0</v>
      </c>
      <c r="I653" s="635">
        <v>0</v>
      </c>
      <c r="J653" s="635">
        <v>0</v>
      </c>
      <c r="K653" s="635">
        <v>0</v>
      </c>
      <c r="L653" s="635">
        <v>3080</v>
      </c>
      <c r="M653" s="635">
        <v>2286.1</v>
      </c>
      <c r="N653" s="635">
        <v>-456.34</v>
      </c>
      <c r="O653" s="635">
        <v>-3649.39</v>
      </c>
      <c r="P653" s="635">
        <v>-3649.39</v>
      </c>
      <c r="Q653" s="635">
        <v>-4734.2</v>
      </c>
      <c r="R653" s="635">
        <v>-10284.31</v>
      </c>
      <c r="S653" s="514">
        <f t="shared" si="124"/>
        <v>-1250.7683333333332</v>
      </c>
      <c r="T653" s="638"/>
      <c r="U653" s="675"/>
      <c r="V653" s="713"/>
      <c r="W653" s="713">
        <f t="shared" si="166"/>
        <v>-1250.7683333333332</v>
      </c>
      <c r="X653" s="736"/>
      <c r="Y653" s="713"/>
      <c r="Z653" s="713"/>
      <c r="AA653" s="675"/>
      <c r="AB653" s="713"/>
      <c r="AC653" s="677">
        <f t="shared" si="167"/>
        <v>-1250.7683333333332</v>
      </c>
      <c r="AD653" s="676"/>
      <c r="AE653" s="676"/>
      <c r="AF653" s="711">
        <f t="shared" si="158"/>
        <v>0</v>
      </c>
    </row>
    <row r="654" spans="1:32">
      <c r="A654" s="638">
        <v>644</v>
      </c>
      <c r="B654" s="638" t="s">
        <v>984</v>
      </c>
      <c r="C654" s="342" t="s">
        <v>646</v>
      </c>
      <c r="D654" s="342" t="s">
        <v>1270</v>
      </c>
      <c r="E654" s="623" t="s">
        <v>1815</v>
      </c>
      <c r="F654" s="635">
        <v>-11067.2</v>
      </c>
      <c r="G654" s="635">
        <v>0</v>
      </c>
      <c r="H654" s="635">
        <v>2041.34</v>
      </c>
      <c r="I654" s="635">
        <v>2041.34</v>
      </c>
      <c r="J654" s="635">
        <v>2041.34</v>
      </c>
      <c r="K654" s="635">
        <v>2041.34</v>
      </c>
      <c r="L654" s="635">
        <v>2041.34</v>
      </c>
      <c r="M654" s="635">
        <v>1388.54</v>
      </c>
      <c r="N654" s="635">
        <v>-1338.06</v>
      </c>
      <c r="O654" s="635">
        <v>-1338.06</v>
      </c>
      <c r="P654" s="635">
        <v>-5098.68</v>
      </c>
      <c r="Q654" s="635">
        <v>-5098.68</v>
      </c>
      <c r="R654" s="635">
        <v>-6738.68</v>
      </c>
      <c r="S654" s="514">
        <f t="shared" si="124"/>
        <v>-848.43166666666684</v>
      </c>
      <c r="T654" s="638"/>
      <c r="U654" s="675"/>
      <c r="V654" s="713"/>
      <c r="W654" s="713">
        <f t="shared" si="166"/>
        <v>-848.43166666666684</v>
      </c>
      <c r="X654" s="736"/>
      <c r="Y654" s="713"/>
      <c r="Z654" s="713"/>
      <c r="AA654" s="675"/>
      <c r="AB654" s="713"/>
      <c r="AC654" s="677">
        <f t="shared" si="167"/>
        <v>-848.43166666666684</v>
      </c>
      <c r="AD654" s="676"/>
      <c r="AE654" s="676"/>
      <c r="AF654" s="711">
        <f t="shared" si="158"/>
        <v>0</v>
      </c>
    </row>
    <row r="655" spans="1:32">
      <c r="A655" s="638">
        <v>645</v>
      </c>
      <c r="B655" s="342" t="s">
        <v>984</v>
      </c>
      <c r="C655" s="342" t="s">
        <v>646</v>
      </c>
      <c r="D655" s="342" t="s">
        <v>1266</v>
      </c>
      <c r="E655" s="623" t="s">
        <v>1816</v>
      </c>
      <c r="F655" s="635">
        <v>-658.89</v>
      </c>
      <c r="G655" s="635">
        <v>0</v>
      </c>
      <c r="H655" s="635">
        <v>0</v>
      </c>
      <c r="I655" s="635">
        <v>0</v>
      </c>
      <c r="J655" s="635">
        <v>0</v>
      </c>
      <c r="K655" s="635">
        <v>0</v>
      </c>
      <c r="L655" s="635">
        <v>0</v>
      </c>
      <c r="M655" s="635">
        <v>0</v>
      </c>
      <c r="N655" s="635">
        <v>0</v>
      </c>
      <c r="O655" s="635">
        <v>0</v>
      </c>
      <c r="P655" s="635">
        <v>0</v>
      </c>
      <c r="Q655" s="635">
        <v>0</v>
      </c>
      <c r="R655" s="635">
        <v>0</v>
      </c>
      <c r="S655" s="514">
        <f t="shared" si="124"/>
        <v>-27.453749999999999</v>
      </c>
      <c r="T655" s="638"/>
      <c r="U655" s="675"/>
      <c r="V655" s="713"/>
      <c r="W655" s="713">
        <f t="shared" si="166"/>
        <v>-27.453749999999999</v>
      </c>
      <c r="X655" s="736"/>
      <c r="Y655" s="713"/>
      <c r="Z655" s="713"/>
      <c r="AA655" s="675"/>
      <c r="AB655" s="713"/>
      <c r="AC655" s="677">
        <f t="shared" si="167"/>
        <v>-27.453749999999999</v>
      </c>
      <c r="AD655" s="676"/>
      <c r="AE655" s="676"/>
      <c r="AF655" s="711">
        <f t="shared" si="158"/>
        <v>0</v>
      </c>
    </row>
    <row r="656" spans="1:32">
      <c r="A656" s="638">
        <v>646</v>
      </c>
      <c r="B656" s="342" t="s">
        <v>984</v>
      </c>
      <c r="C656" s="342" t="s">
        <v>646</v>
      </c>
      <c r="D656" s="342" t="s">
        <v>1264</v>
      </c>
      <c r="E656" s="623" t="s">
        <v>1792</v>
      </c>
      <c r="F656" s="635">
        <v>-686266.72</v>
      </c>
      <c r="G656" s="635">
        <v>-66421.89</v>
      </c>
      <c r="H656" s="635">
        <v>-129116</v>
      </c>
      <c r="I656" s="635">
        <v>-199295.82</v>
      </c>
      <c r="J656" s="635">
        <v>-259174.85</v>
      </c>
      <c r="K656" s="635">
        <v>-305446.2</v>
      </c>
      <c r="L656" s="635">
        <v>-343104.03</v>
      </c>
      <c r="M656" s="635">
        <v>-371966.42</v>
      </c>
      <c r="N656" s="635">
        <v>-398405.15</v>
      </c>
      <c r="O656" s="635">
        <v>-421188.39</v>
      </c>
      <c r="P656" s="635">
        <v>-453639.51</v>
      </c>
      <c r="Q656" s="635">
        <v>-482862.39</v>
      </c>
      <c r="R656" s="635">
        <v>-521426.68</v>
      </c>
      <c r="S656" s="514">
        <f t="shared" si="124"/>
        <v>-336205.61249999999</v>
      </c>
      <c r="T656" s="638"/>
      <c r="U656" s="675"/>
      <c r="V656" s="713"/>
      <c r="W656" s="713">
        <f t="shared" si="166"/>
        <v>-336205.61249999999</v>
      </c>
      <c r="X656" s="736"/>
      <c r="Y656" s="713"/>
      <c r="Z656" s="713"/>
      <c r="AA656" s="675"/>
      <c r="AB656" s="713"/>
      <c r="AC656" s="677">
        <f t="shared" si="167"/>
        <v>-336205.61249999999</v>
      </c>
      <c r="AD656" s="676"/>
      <c r="AE656" s="676"/>
      <c r="AF656" s="711">
        <f t="shared" si="158"/>
        <v>0</v>
      </c>
    </row>
    <row r="657" spans="1:32">
      <c r="A657" s="638">
        <v>647</v>
      </c>
      <c r="B657" s="342" t="s">
        <v>984</v>
      </c>
      <c r="C657" s="342" t="s">
        <v>646</v>
      </c>
      <c r="D657" s="342" t="s">
        <v>1265</v>
      </c>
      <c r="E657" s="623" t="s">
        <v>1817</v>
      </c>
      <c r="F657" s="635">
        <v>-80723.89</v>
      </c>
      <c r="G657" s="635">
        <v>0</v>
      </c>
      <c r="H657" s="635">
        <v>46008.06</v>
      </c>
      <c r="I657" s="635">
        <v>46228.06</v>
      </c>
      <c r="J657" s="635">
        <v>37914.300000000003</v>
      </c>
      <c r="K657" s="635">
        <v>37914.300000000003</v>
      </c>
      <c r="L657" s="635">
        <v>35449.1</v>
      </c>
      <c r="M657" s="635">
        <v>31109.47</v>
      </c>
      <c r="N657" s="635">
        <v>26315.14</v>
      </c>
      <c r="O657" s="635">
        <v>19593.03</v>
      </c>
      <c r="P657" s="635">
        <v>18050.29</v>
      </c>
      <c r="Q657" s="635">
        <v>5211.08</v>
      </c>
      <c r="R657" s="635">
        <v>495.599999999999</v>
      </c>
      <c r="S657" s="514">
        <f t="shared" si="124"/>
        <v>21973.223749999994</v>
      </c>
      <c r="T657" s="638"/>
      <c r="U657" s="675"/>
      <c r="V657" s="713"/>
      <c r="W657" s="713">
        <f t="shared" si="166"/>
        <v>21973.223749999994</v>
      </c>
      <c r="X657" s="736"/>
      <c r="Y657" s="713"/>
      <c r="Z657" s="713"/>
      <c r="AA657" s="675"/>
      <c r="AB657" s="713"/>
      <c r="AC657" s="677">
        <f t="shared" si="167"/>
        <v>21973.223749999994</v>
      </c>
      <c r="AD657" s="676"/>
      <c r="AE657" s="676"/>
      <c r="AF657" s="711">
        <f t="shared" ref="AF657:AF697" si="168">+U657+V657-AD657</f>
        <v>0</v>
      </c>
    </row>
    <row r="658" spans="1:32">
      <c r="A658" s="638">
        <v>648</v>
      </c>
      <c r="B658" s="638" t="s">
        <v>1009</v>
      </c>
      <c r="C658" s="342" t="s">
        <v>136</v>
      </c>
      <c r="D658" s="342" t="s">
        <v>1267</v>
      </c>
      <c r="E658" s="623" t="s">
        <v>1794</v>
      </c>
      <c r="F658" s="635">
        <v>-2711571.86</v>
      </c>
      <c r="G658" s="635">
        <v>-215774.49</v>
      </c>
      <c r="H658" s="635">
        <v>-452141.57</v>
      </c>
      <c r="I658" s="635">
        <v>-671307.46</v>
      </c>
      <c r="J658" s="635">
        <v>-910733.06</v>
      </c>
      <c r="K658" s="635">
        <v>-1144418.47</v>
      </c>
      <c r="L658" s="635">
        <v>-1403989.25</v>
      </c>
      <c r="M658" s="635">
        <v>-1659926.97</v>
      </c>
      <c r="N658" s="635">
        <v>-1907514.43</v>
      </c>
      <c r="O658" s="635">
        <v>-2158251.5699999998</v>
      </c>
      <c r="P658" s="635">
        <v>-2420963.89</v>
      </c>
      <c r="Q658" s="635">
        <v>-2698038.52</v>
      </c>
      <c r="R658" s="635">
        <v>-2947273.72</v>
      </c>
      <c r="S658" s="514">
        <f t="shared" si="124"/>
        <v>-1539373.5391666666</v>
      </c>
      <c r="T658" s="638"/>
      <c r="U658" s="675"/>
      <c r="V658" s="713"/>
      <c r="W658" s="713">
        <f t="shared" si="166"/>
        <v>-1539373.5391666666</v>
      </c>
      <c r="X658" s="736"/>
      <c r="Y658" s="713"/>
      <c r="Z658" s="713"/>
      <c r="AA658" s="675"/>
      <c r="AB658" s="713"/>
      <c r="AC658" s="677">
        <f t="shared" si="167"/>
        <v>-1539373.5391666666</v>
      </c>
      <c r="AD658" s="676"/>
      <c r="AE658" s="676"/>
      <c r="AF658" s="711">
        <f t="shared" si="168"/>
        <v>0</v>
      </c>
    </row>
    <row r="659" spans="1:32">
      <c r="A659" s="638">
        <v>649</v>
      </c>
      <c r="B659" s="342" t="s">
        <v>1009</v>
      </c>
      <c r="C659" s="342" t="s">
        <v>136</v>
      </c>
      <c r="D659" s="342" t="s">
        <v>1268</v>
      </c>
      <c r="E659" s="623" t="s">
        <v>1795</v>
      </c>
      <c r="F659" s="635">
        <v>-1423332.79</v>
      </c>
      <c r="G659" s="635">
        <v>-131375.94</v>
      </c>
      <c r="H659" s="635">
        <v>-253228.69</v>
      </c>
      <c r="I659" s="635">
        <v>-380246.18</v>
      </c>
      <c r="J659" s="635">
        <v>-499898.83</v>
      </c>
      <c r="K659" s="635">
        <v>-605392.73</v>
      </c>
      <c r="L659" s="635">
        <v>-706020.67</v>
      </c>
      <c r="M659" s="635">
        <v>-815772.71</v>
      </c>
      <c r="N659" s="635">
        <v>-943469.65</v>
      </c>
      <c r="O659" s="635">
        <v>-1071780.99</v>
      </c>
      <c r="P659" s="635">
        <v>-1197426.67</v>
      </c>
      <c r="Q659" s="635">
        <v>-1326083.8</v>
      </c>
      <c r="R659" s="635">
        <v>-1453712.59</v>
      </c>
      <c r="S659" s="514">
        <f t="shared" si="124"/>
        <v>-780768.2958333334</v>
      </c>
      <c r="T659" s="638"/>
      <c r="U659" s="675"/>
      <c r="V659" s="713"/>
      <c r="W659" s="713">
        <f t="shared" si="166"/>
        <v>-780768.2958333334</v>
      </c>
      <c r="X659" s="736"/>
      <c r="Y659" s="713"/>
      <c r="Z659" s="713"/>
      <c r="AA659" s="675"/>
      <c r="AB659" s="713"/>
      <c r="AC659" s="677">
        <f t="shared" si="167"/>
        <v>-780768.2958333334</v>
      </c>
      <c r="AD659" s="676"/>
      <c r="AE659" s="676"/>
      <c r="AF659" s="711">
        <f t="shared" si="168"/>
        <v>0</v>
      </c>
    </row>
    <row r="660" spans="1:32">
      <c r="A660" s="638">
        <v>650</v>
      </c>
      <c r="B660" s="342" t="s">
        <v>984</v>
      </c>
      <c r="C660" s="342" t="s">
        <v>136</v>
      </c>
      <c r="D660" s="342" t="s">
        <v>1267</v>
      </c>
      <c r="E660" s="623" t="s">
        <v>1794</v>
      </c>
      <c r="F660" s="635">
        <v>-15401260.67</v>
      </c>
      <c r="G660" s="635">
        <v>-1278826.8999999999</v>
      </c>
      <c r="H660" s="635">
        <v>-2638578.7200000002</v>
      </c>
      <c r="I660" s="635">
        <v>-3976110.09</v>
      </c>
      <c r="J660" s="635">
        <v>-5294653.7300000004</v>
      </c>
      <c r="K660" s="635">
        <v>-6560503.7400000002</v>
      </c>
      <c r="L660" s="635">
        <v>-7808074.6100000003</v>
      </c>
      <c r="M660" s="635">
        <v>-9039951.9299999997</v>
      </c>
      <c r="N660" s="635">
        <v>-10249959.119999999</v>
      </c>
      <c r="O660" s="635">
        <v>-11486160.49</v>
      </c>
      <c r="P660" s="635">
        <v>-12814088.75</v>
      </c>
      <c r="Q660" s="635">
        <v>-14180347.17</v>
      </c>
      <c r="R660" s="635">
        <v>-15481019.82</v>
      </c>
      <c r="S660" s="514">
        <f t="shared" si="124"/>
        <v>-8397366.2912499998</v>
      </c>
      <c r="T660" s="638"/>
      <c r="U660" s="675"/>
      <c r="V660" s="713"/>
      <c r="W660" s="713">
        <f t="shared" si="166"/>
        <v>-8397366.2912499998</v>
      </c>
      <c r="X660" s="736"/>
      <c r="Y660" s="713"/>
      <c r="Z660" s="713"/>
      <c r="AA660" s="675"/>
      <c r="AB660" s="713"/>
      <c r="AC660" s="677">
        <f t="shared" si="167"/>
        <v>-8397366.2912499998</v>
      </c>
      <c r="AD660" s="676"/>
      <c r="AE660" s="676"/>
      <c r="AF660" s="711">
        <f t="shared" si="168"/>
        <v>0</v>
      </c>
    </row>
    <row r="661" spans="1:32">
      <c r="A661" s="638">
        <v>651</v>
      </c>
      <c r="B661" s="638" t="s">
        <v>984</v>
      </c>
      <c r="C661" s="342" t="s">
        <v>136</v>
      </c>
      <c r="D661" s="342" t="s">
        <v>1268</v>
      </c>
      <c r="E661" s="623" t="s">
        <v>1795</v>
      </c>
      <c r="F661" s="635">
        <v>-7759181.6299999999</v>
      </c>
      <c r="G661" s="635">
        <v>-673031.52</v>
      </c>
      <c r="H661" s="635">
        <v>-1339174.8500000001</v>
      </c>
      <c r="I661" s="635">
        <v>-2009186.07</v>
      </c>
      <c r="J661" s="635">
        <v>-2666870.58</v>
      </c>
      <c r="K661" s="635">
        <v>-3285795.58</v>
      </c>
      <c r="L661" s="635">
        <v>-3836276.72</v>
      </c>
      <c r="M661" s="635">
        <v>-4442681.8899999997</v>
      </c>
      <c r="N661" s="635">
        <v>-5299607.18</v>
      </c>
      <c r="O661" s="635">
        <v>-6212927.3399999999</v>
      </c>
      <c r="P661" s="635">
        <v>-7050671.2999999998</v>
      </c>
      <c r="Q661" s="635">
        <v>-7703424.7199999997</v>
      </c>
      <c r="R661" s="635">
        <v>-8374092.2400000002</v>
      </c>
      <c r="S661" s="514">
        <f t="shared" si="124"/>
        <v>-4382190.3904166669</v>
      </c>
      <c r="T661" s="638"/>
      <c r="U661" s="675"/>
      <c r="V661" s="713"/>
      <c r="W661" s="713">
        <f t="shared" si="166"/>
        <v>-4382190.3904166669</v>
      </c>
      <c r="X661" s="736"/>
      <c r="Y661" s="713"/>
      <c r="Z661" s="713"/>
      <c r="AA661" s="675"/>
      <c r="AB661" s="713"/>
      <c r="AC661" s="677">
        <f t="shared" si="167"/>
        <v>-4382190.3904166669</v>
      </c>
      <c r="AD661" s="676"/>
      <c r="AE661" s="676"/>
      <c r="AF661" s="711">
        <f t="shared" si="168"/>
        <v>0</v>
      </c>
    </row>
    <row r="662" spans="1:32">
      <c r="A662" s="638">
        <v>652</v>
      </c>
      <c r="B662" s="638" t="s">
        <v>984</v>
      </c>
      <c r="C662" s="342" t="s">
        <v>647</v>
      </c>
      <c r="D662" s="342" t="s">
        <v>1267</v>
      </c>
      <c r="E662" s="623" t="s">
        <v>1796</v>
      </c>
      <c r="F662" s="635">
        <v>110797.96</v>
      </c>
      <c r="G662" s="635">
        <v>-80907.600000000006</v>
      </c>
      <c r="H662" s="635">
        <v>-56293.74</v>
      </c>
      <c r="I662" s="635">
        <v>-40593.620000000003</v>
      </c>
      <c r="J662" s="635">
        <v>12962.06</v>
      </c>
      <c r="K662" s="635">
        <v>32621.7</v>
      </c>
      <c r="L662" s="635">
        <v>46926.77</v>
      </c>
      <c r="M662" s="635">
        <v>72798.12</v>
      </c>
      <c r="N662" s="635">
        <v>46553.53</v>
      </c>
      <c r="O662" s="635">
        <v>6715.47</v>
      </c>
      <c r="P662" s="635">
        <v>-87381.58</v>
      </c>
      <c r="Q662" s="635">
        <v>-19460.04</v>
      </c>
      <c r="R662" s="635">
        <v>-61336.62</v>
      </c>
      <c r="S662" s="514">
        <f t="shared" si="124"/>
        <v>-3444.0216666666661</v>
      </c>
      <c r="T662" s="638"/>
      <c r="U662" s="675"/>
      <c r="V662" s="713"/>
      <c r="W662" s="713">
        <f t="shared" si="166"/>
        <v>-3444.0216666666661</v>
      </c>
      <c r="X662" s="736"/>
      <c r="Y662" s="713"/>
      <c r="Z662" s="713"/>
      <c r="AA662" s="675"/>
      <c r="AB662" s="713"/>
      <c r="AC662" s="677">
        <f t="shared" si="167"/>
        <v>-3444.0216666666661</v>
      </c>
      <c r="AD662" s="676"/>
      <c r="AE662" s="676"/>
      <c r="AF662" s="711"/>
    </row>
    <row r="663" spans="1:32">
      <c r="A663" s="638">
        <v>653</v>
      </c>
      <c r="B663" s="638" t="s">
        <v>984</v>
      </c>
      <c r="C663" s="342" t="s">
        <v>647</v>
      </c>
      <c r="D663" s="342" t="s">
        <v>1268</v>
      </c>
      <c r="E663" s="623" t="s">
        <v>1797</v>
      </c>
      <c r="F663" s="635">
        <v>43315.199999999997</v>
      </c>
      <c r="G663" s="635">
        <v>6890.68</v>
      </c>
      <c r="H663" s="635">
        <v>2966.25</v>
      </c>
      <c r="I663" s="635">
        <v>15287.16</v>
      </c>
      <c r="J663" s="635">
        <v>54019.31</v>
      </c>
      <c r="K663" s="635">
        <v>122421.04</v>
      </c>
      <c r="L663" s="635">
        <v>66594.59</v>
      </c>
      <c r="M663" s="635">
        <v>-183745.92000000001</v>
      </c>
      <c r="N663" s="635">
        <v>-240064.83</v>
      </c>
      <c r="O663" s="635">
        <v>-164574.29999999999</v>
      </c>
      <c r="P663" s="635">
        <v>20215.52</v>
      </c>
      <c r="Q663" s="635">
        <v>2363.7599999999902</v>
      </c>
      <c r="R663" s="635">
        <v>-178179.26</v>
      </c>
      <c r="S663" s="514">
        <f t="shared" si="124"/>
        <v>-30421.56416666666</v>
      </c>
      <c r="T663" s="638"/>
      <c r="U663" s="675"/>
      <c r="V663" s="713"/>
      <c r="W663" s="713">
        <f t="shared" si="166"/>
        <v>-30421.56416666666</v>
      </c>
      <c r="X663" s="736"/>
      <c r="Y663" s="713"/>
      <c r="Z663" s="713"/>
      <c r="AA663" s="675"/>
      <c r="AB663" s="713"/>
      <c r="AC663" s="677">
        <f t="shared" si="167"/>
        <v>-30421.56416666666</v>
      </c>
      <c r="AD663" s="676"/>
      <c r="AE663" s="676"/>
      <c r="AF663" s="711"/>
    </row>
    <row r="664" spans="1:32">
      <c r="A664" s="638">
        <v>654</v>
      </c>
      <c r="B664" s="342" t="s">
        <v>1009</v>
      </c>
      <c r="C664" s="342" t="s">
        <v>647</v>
      </c>
      <c r="D664" s="638" t="s">
        <v>1267</v>
      </c>
      <c r="E664" s="623" t="s">
        <v>1796</v>
      </c>
      <c r="F664" s="635">
        <v>14614.39</v>
      </c>
      <c r="G664" s="635">
        <v>-20425.59</v>
      </c>
      <c r="H664" s="635">
        <v>-3444.68</v>
      </c>
      <c r="I664" s="635">
        <v>-22974.99</v>
      </c>
      <c r="J664" s="635">
        <v>-17437.82</v>
      </c>
      <c r="K664" s="635">
        <v>-43341.43</v>
      </c>
      <c r="L664" s="635">
        <v>-39704.26</v>
      </c>
      <c r="M664" s="635">
        <v>-31335.63</v>
      </c>
      <c r="N664" s="635">
        <v>-34483.31</v>
      </c>
      <c r="O664" s="635">
        <v>-46595.040000000001</v>
      </c>
      <c r="P664" s="635">
        <v>-63727.839999999997</v>
      </c>
      <c r="Q664" s="635">
        <v>-35938.35</v>
      </c>
      <c r="R664" s="635">
        <v>-31143.1</v>
      </c>
      <c r="S664" s="514">
        <f t="shared" si="124"/>
        <v>-30639.44125</v>
      </c>
      <c r="T664" s="638"/>
      <c r="U664" s="675"/>
      <c r="V664" s="713"/>
      <c r="W664" s="713">
        <f t="shared" si="166"/>
        <v>-30639.44125</v>
      </c>
      <c r="X664" s="736"/>
      <c r="Y664" s="713"/>
      <c r="Z664" s="713"/>
      <c r="AA664" s="675"/>
      <c r="AB664" s="713"/>
      <c r="AC664" s="677">
        <f t="shared" si="167"/>
        <v>-30639.44125</v>
      </c>
      <c r="AD664" s="676"/>
      <c r="AE664" s="676"/>
      <c r="AF664" s="711">
        <f t="shared" si="168"/>
        <v>0</v>
      </c>
    </row>
    <row r="665" spans="1:32">
      <c r="A665" s="638">
        <v>655</v>
      </c>
      <c r="B665" s="552" t="s">
        <v>1009</v>
      </c>
      <c r="C665" s="342" t="s">
        <v>647</v>
      </c>
      <c r="D665" s="638" t="s">
        <v>1268</v>
      </c>
      <c r="E665" s="629" t="s">
        <v>1797</v>
      </c>
      <c r="F665" s="635">
        <v>-5388.73</v>
      </c>
      <c r="G665" s="635">
        <v>9523.19</v>
      </c>
      <c r="H665" s="635">
        <v>4358.45</v>
      </c>
      <c r="I665" s="635">
        <v>11723.29</v>
      </c>
      <c r="J665" s="635">
        <v>25882.04</v>
      </c>
      <c r="K665" s="635">
        <v>30748</v>
      </c>
      <c r="L665" s="635">
        <v>21623.9</v>
      </c>
      <c r="M665" s="635">
        <v>3679</v>
      </c>
      <c r="N665" s="635">
        <v>3064.6</v>
      </c>
      <c r="O665" s="635">
        <v>5730.26</v>
      </c>
      <c r="P665" s="635">
        <v>2718.81</v>
      </c>
      <c r="Q665" s="635">
        <v>3747.15</v>
      </c>
      <c r="R665" s="635">
        <v>-146.91999999999999</v>
      </c>
      <c r="S665" s="514">
        <f t="shared" si="124"/>
        <v>10002.572083333333</v>
      </c>
      <c r="T665" s="638"/>
      <c r="U665" s="675"/>
      <c r="V665" s="713"/>
      <c r="W665" s="713">
        <f t="shared" si="166"/>
        <v>10002.572083333333</v>
      </c>
      <c r="X665" s="736"/>
      <c r="Y665" s="713"/>
      <c r="Z665" s="713"/>
      <c r="AA665" s="675"/>
      <c r="AB665" s="713"/>
      <c r="AC665" s="677">
        <f t="shared" si="167"/>
        <v>10002.572083333333</v>
      </c>
      <c r="AD665" s="676"/>
      <c r="AE665" s="676"/>
      <c r="AF665" s="711">
        <f t="shared" si="168"/>
        <v>0</v>
      </c>
    </row>
    <row r="666" spans="1:32">
      <c r="A666" s="638">
        <v>656</v>
      </c>
      <c r="B666" s="552" t="s">
        <v>1009</v>
      </c>
      <c r="C666" s="342" t="s">
        <v>138</v>
      </c>
      <c r="D666" s="638"/>
      <c r="E666" s="629" t="s">
        <v>648</v>
      </c>
      <c r="F666" s="635">
        <v>-11000</v>
      </c>
      <c r="G666" s="635">
        <v>-1000</v>
      </c>
      <c r="H666" s="635">
        <v>-2000</v>
      </c>
      <c r="I666" s="635">
        <v>-4000</v>
      </c>
      <c r="J666" s="635">
        <v>-5000</v>
      </c>
      <c r="K666" s="635">
        <v>-6000</v>
      </c>
      <c r="L666" s="635">
        <v>-7000</v>
      </c>
      <c r="M666" s="635">
        <v>-7000</v>
      </c>
      <c r="N666" s="635">
        <v>-8000</v>
      </c>
      <c r="O666" s="635">
        <v>-9000</v>
      </c>
      <c r="P666" s="635">
        <v>-11000</v>
      </c>
      <c r="Q666" s="635">
        <v>-11000</v>
      </c>
      <c r="R666" s="635">
        <v>-12000</v>
      </c>
      <c r="S666" s="514">
        <f t="shared" si="124"/>
        <v>-6875</v>
      </c>
      <c r="T666" s="638"/>
      <c r="U666" s="675"/>
      <c r="V666" s="713"/>
      <c r="W666" s="713">
        <f t="shared" si="166"/>
        <v>-6875</v>
      </c>
      <c r="X666" s="736"/>
      <c r="Y666" s="713"/>
      <c r="Z666" s="713"/>
      <c r="AA666" s="675"/>
      <c r="AB666" s="713"/>
      <c r="AC666" s="677">
        <f t="shared" si="167"/>
        <v>-6875</v>
      </c>
      <c r="AD666" s="676"/>
      <c r="AE666" s="676"/>
      <c r="AF666" s="711">
        <f t="shared" si="168"/>
        <v>0</v>
      </c>
    </row>
    <row r="667" spans="1:32">
      <c r="A667" s="638">
        <v>657</v>
      </c>
      <c r="B667" s="552" t="s">
        <v>984</v>
      </c>
      <c r="C667" s="342" t="s">
        <v>138</v>
      </c>
      <c r="D667" s="638"/>
      <c r="E667" s="629" t="s">
        <v>648</v>
      </c>
      <c r="F667" s="635">
        <v>-100</v>
      </c>
      <c r="G667" s="635">
        <v>0</v>
      </c>
      <c r="H667" s="635">
        <v>0</v>
      </c>
      <c r="I667" s="635">
        <v>0</v>
      </c>
      <c r="J667" s="635">
        <v>0</v>
      </c>
      <c r="K667" s="635">
        <v>0</v>
      </c>
      <c r="L667" s="635">
        <v>0</v>
      </c>
      <c r="M667" s="635">
        <v>0</v>
      </c>
      <c r="N667" s="635">
        <v>0</v>
      </c>
      <c r="O667" s="635">
        <v>0</v>
      </c>
      <c r="P667" s="635">
        <v>0</v>
      </c>
      <c r="Q667" s="635">
        <v>0</v>
      </c>
      <c r="R667" s="635">
        <v>0</v>
      </c>
      <c r="S667" s="514">
        <f t="shared" si="124"/>
        <v>-4.166666666666667</v>
      </c>
      <c r="T667" s="638"/>
      <c r="U667" s="675"/>
      <c r="V667" s="713"/>
      <c r="W667" s="713">
        <f t="shared" si="166"/>
        <v>-4.166666666666667</v>
      </c>
      <c r="X667" s="736"/>
      <c r="Y667" s="713"/>
      <c r="Z667" s="713"/>
      <c r="AA667" s="675"/>
      <c r="AB667" s="713"/>
      <c r="AC667" s="677">
        <f t="shared" si="167"/>
        <v>-4.166666666666667</v>
      </c>
      <c r="AD667" s="676"/>
      <c r="AE667" s="676"/>
      <c r="AF667" s="711">
        <f t="shared" si="168"/>
        <v>0</v>
      </c>
    </row>
    <row r="668" spans="1:32">
      <c r="A668" s="638">
        <v>658</v>
      </c>
      <c r="B668" s="552" t="s">
        <v>981</v>
      </c>
      <c r="C668" s="342" t="s">
        <v>140</v>
      </c>
      <c r="D668" s="638"/>
      <c r="E668" s="629" t="s">
        <v>141</v>
      </c>
      <c r="F668" s="635">
        <v>-114312</v>
      </c>
      <c r="G668" s="635">
        <v>-14184</v>
      </c>
      <c r="H668" s="635">
        <v>-28368</v>
      </c>
      <c r="I668" s="635">
        <v>-42552</v>
      </c>
      <c r="J668" s="635">
        <v>-56736</v>
      </c>
      <c r="K668" s="635">
        <v>0</v>
      </c>
      <c r="L668" s="635">
        <v>0</v>
      </c>
      <c r="M668" s="635">
        <v>0</v>
      </c>
      <c r="N668" s="635">
        <v>0</v>
      </c>
      <c r="O668" s="635">
        <v>0</v>
      </c>
      <c r="P668" s="635">
        <v>0</v>
      </c>
      <c r="Q668" s="635">
        <v>0</v>
      </c>
      <c r="R668" s="635">
        <v>0</v>
      </c>
      <c r="S668" s="514">
        <f t="shared" si="124"/>
        <v>-16583</v>
      </c>
      <c r="T668" s="638"/>
      <c r="U668" s="675"/>
      <c r="V668" s="713"/>
      <c r="W668" s="713">
        <f t="shared" si="166"/>
        <v>-16583</v>
      </c>
      <c r="X668" s="736"/>
      <c r="Y668" s="713"/>
      <c r="Z668" s="713"/>
      <c r="AA668" s="675"/>
      <c r="AB668" s="713"/>
      <c r="AC668" s="677">
        <f t="shared" si="167"/>
        <v>-16583</v>
      </c>
      <c r="AD668" s="676"/>
      <c r="AE668" s="676"/>
      <c r="AF668" s="711">
        <f t="shared" si="168"/>
        <v>0</v>
      </c>
    </row>
    <row r="669" spans="1:32">
      <c r="A669" s="638">
        <v>659</v>
      </c>
      <c r="B669" s="552" t="s">
        <v>981</v>
      </c>
      <c r="C669" s="342" t="s">
        <v>140</v>
      </c>
      <c r="D669" s="638" t="s">
        <v>1961</v>
      </c>
      <c r="E669" s="629" t="s">
        <v>1962</v>
      </c>
      <c r="F669" s="635">
        <v>0</v>
      </c>
      <c r="G669" s="635">
        <v>0</v>
      </c>
      <c r="H669" s="635">
        <v>0</v>
      </c>
      <c r="I669" s="635">
        <v>0</v>
      </c>
      <c r="J669" s="635">
        <v>0</v>
      </c>
      <c r="K669" s="635">
        <v>-34175</v>
      </c>
      <c r="L669" s="635">
        <v>-41010</v>
      </c>
      <c r="M669" s="635">
        <v>-47845</v>
      </c>
      <c r="N669" s="635">
        <v>-54680</v>
      </c>
      <c r="O669" s="635">
        <v>-61515</v>
      </c>
      <c r="P669" s="635">
        <v>-68350</v>
      </c>
      <c r="Q669" s="635">
        <v>-75185</v>
      </c>
      <c r="R669" s="635">
        <v>-82020</v>
      </c>
      <c r="S669" s="514">
        <f t="shared" si="124"/>
        <v>-35314.166666666664</v>
      </c>
      <c r="T669" s="638"/>
      <c r="U669" s="675"/>
      <c r="V669" s="713"/>
      <c r="W669" s="713">
        <f t="shared" si="166"/>
        <v>-35314.166666666664</v>
      </c>
      <c r="X669" s="736"/>
      <c r="Y669" s="713"/>
      <c r="Z669" s="713"/>
      <c r="AA669" s="675"/>
      <c r="AB669" s="713"/>
      <c r="AC669" s="677">
        <f t="shared" si="167"/>
        <v>-35314.166666666664</v>
      </c>
      <c r="AD669" s="676"/>
      <c r="AE669" s="676"/>
      <c r="AF669" s="711"/>
    </row>
    <row r="670" spans="1:32">
      <c r="A670" s="638">
        <v>660</v>
      </c>
      <c r="B670" s="552" t="s">
        <v>981</v>
      </c>
      <c r="C670" s="342" t="s">
        <v>140</v>
      </c>
      <c r="D670" s="638" t="s">
        <v>1963</v>
      </c>
      <c r="E670" s="629" t="s">
        <v>1964</v>
      </c>
      <c r="F670" s="635">
        <v>0</v>
      </c>
      <c r="G670" s="635">
        <v>0</v>
      </c>
      <c r="H670" s="635">
        <v>0</v>
      </c>
      <c r="I670" s="635">
        <v>0</v>
      </c>
      <c r="J670" s="635">
        <v>0</v>
      </c>
      <c r="K670" s="635">
        <v>-36745</v>
      </c>
      <c r="L670" s="635">
        <v>-44094</v>
      </c>
      <c r="M670" s="635">
        <v>-51443</v>
      </c>
      <c r="N670" s="635">
        <v>-58792</v>
      </c>
      <c r="O670" s="635">
        <v>-66141</v>
      </c>
      <c r="P670" s="635">
        <v>-73490</v>
      </c>
      <c r="Q670" s="635">
        <v>-80839</v>
      </c>
      <c r="R670" s="635">
        <v>-88188</v>
      </c>
      <c r="S670" s="514">
        <f t="shared" si="124"/>
        <v>-37969.833333333336</v>
      </c>
      <c r="T670" s="638"/>
      <c r="U670" s="675"/>
      <c r="V670" s="713"/>
      <c r="W670" s="713">
        <f t="shared" si="166"/>
        <v>-37969.833333333336</v>
      </c>
      <c r="X670" s="736"/>
      <c r="Y670" s="713"/>
      <c r="Z670" s="713"/>
      <c r="AA670" s="675"/>
      <c r="AB670" s="713"/>
      <c r="AC670" s="677">
        <f t="shared" si="167"/>
        <v>-37969.833333333336</v>
      </c>
      <c r="AD670" s="676"/>
      <c r="AE670" s="676"/>
      <c r="AF670" s="711"/>
    </row>
    <row r="671" spans="1:32">
      <c r="A671" s="638">
        <v>661</v>
      </c>
      <c r="B671" s="342" t="s">
        <v>981</v>
      </c>
      <c r="C671" s="342" t="s">
        <v>142</v>
      </c>
      <c r="D671" s="342" t="s">
        <v>1269</v>
      </c>
      <c r="E671" s="623" t="s">
        <v>1780</v>
      </c>
      <c r="F671" s="635">
        <v>-56362.15</v>
      </c>
      <c r="G671" s="635">
        <v>-224.3</v>
      </c>
      <c r="H671" s="635">
        <v>-224.3</v>
      </c>
      <c r="I671" s="635">
        <v>-224.3</v>
      </c>
      <c r="J671" s="635">
        <v>-224.3</v>
      </c>
      <c r="K671" s="635">
        <v>-224.3</v>
      </c>
      <c r="L671" s="635">
        <v>-224.3</v>
      </c>
      <c r="M671" s="635">
        <v>-224.3</v>
      </c>
      <c r="N671" s="635">
        <v>-224.3</v>
      </c>
      <c r="O671" s="635">
        <v>-224.3</v>
      </c>
      <c r="P671" s="635">
        <v>-224.3</v>
      </c>
      <c r="Q671" s="635">
        <v>-224.3</v>
      </c>
      <c r="R671" s="635">
        <v>-224.3</v>
      </c>
      <c r="S671" s="514">
        <f t="shared" si="124"/>
        <v>-2563.3770833333333</v>
      </c>
      <c r="T671" s="638"/>
      <c r="U671" s="675"/>
      <c r="V671" s="713"/>
      <c r="W671" s="713">
        <f t="shared" si="166"/>
        <v>-2563.3770833333333</v>
      </c>
      <c r="X671" s="736"/>
      <c r="Y671" s="713"/>
      <c r="Z671" s="713"/>
      <c r="AA671" s="675"/>
      <c r="AB671" s="713"/>
      <c r="AC671" s="677">
        <f t="shared" si="167"/>
        <v>-2563.3770833333333</v>
      </c>
      <c r="AD671" s="676"/>
      <c r="AE671" s="676"/>
      <c r="AF671" s="711">
        <f t="shared" si="168"/>
        <v>0</v>
      </c>
    </row>
    <row r="672" spans="1:32">
      <c r="A672" s="638">
        <v>662</v>
      </c>
      <c r="B672" s="638" t="s">
        <v>1009</v>
      </c>
      <c r="C672" s="342" t="s">
        <v>142</v>
      </c>
      <c r="D672" s="342" t="s">
        <v>1270</v>
      </c>
      <c r="E672" s="623" t="s">
        <v>1798</v>
      </c>
      <c r="F672" s="635">
        <v>0</v>
      </c>
      <c r="G672" s="635">
        <v>0</v>
      </c>
      <c r="H672" s="635">
        <v>0</v>
      </c>
      <c r="I672" s="635">
        <v>0</v>
      </c>
      <c r="J672" s="635">
        <v>0</v>
      </c>
      <c r="K672" s="635">
        <v>0</v>
      </c>
      <c r="L672" s="635">
        <v>0</v>
      </c>
      <c r="M672" s="635">
        <v>0</v>
      </c>
      <c r="N672" s="635">
        <v>0</v>
      </c>
      <c r="O672" s="635">
        <v>0</v>
      </c>
      <c r="P672" s="635">
        <v>0</v>
      </c>
      <c r="Q672" s="635">
        <v>0</v>
      </c>
      <c r="R672" s="635">
        <v>0</v>
      </c>
      <c r="S672" s="514">
        <f t="shared" si="124"/>
        <v>0</v>
      </c>
      <c r="T672" s="638"/>
      <c r="U672" s="675"/>
      <c r="V672" s="713"/>
      <c r="W672" s="713">
        <f t="shared" si="166"/>
        <v>0</v>
      </c>
      <c r="X672" s="736"/>
      <c r="Y672" s="713"/>
      <c r="Z672" s="713"/>
      <c r="AA672" s="675"/>
      <c r="AB672" s="713"/>
      <c r="AC672" s="677">
        <f t="shared" si="167"/>
        <v>0</v>
      </c>
      <c r="AD672" s="676"/>
      <c r="AE672" s="676"/>
      <c r="AF672" s="711">
        <f t="shared" si="168"/>
        <v>0</v>
      </c>
    </row>
    <row r="673" spans="1:32">
      <c r="A673" s="638">
        <v>663</v>
      </c>
      <c r="B673" s="638" t="s">
        <v>1009</v>
      </c>
      <c r="C673" s="342" t="s">
        <v>142</v>
      </c>
      <c r="D673" s="342" t="s">
        <v>1269</v>
      </c>
      <c r="E673" s="623" t="s">
        <v>1780</v>
      </c>
      <c r="F673" s="635">
        <v>-973</v>
      </c>
      <c r="G673" s="635">
        <v>-76</v>
      </c>
      <c r="H673" s="635">
        <v>-76</v>
      </c>
      <c r="I673" s="635">
        <v>-76</v>
      </c>
      <c r="J673" s="635">
        <v>-615</v>
      </c>
      <c r="K673" s="635">
        <v>-615</v>
      </c>
      <c r="L673" s="635">
        <v>-615</v>
      </c>
      <c r="M673" s="635">
        <v>-615</v>
      </c>
      <c r="N673" s="635">
        <v>-615</v>
      </c>
      <c r="O673" s="635">
        <v>-615</v>
      </c>
      <c r="P673" s="635">
        <v>-615</v>
      </c>
      <c r="Q673" s="635">
        <v>-615</v>
      </c>
      <c r="R673" s="635">
        <v>-615</v>
      </c>
      <c r="S673" s="514">
        <f t="shared" si="124"/>
        <v>-495.16666666666669</v>
      </c>
      <c r="T673" s="638"/>
      <c r="U673" s="675"/>
      <c r="V673" s="713"/>
      <c r="W673" s="713">
        <f t="shared" si="166"/>
        <v>-495.16666666666669</v>
      </c>
      <c r="X673" s="736"/>
      <c r="Y673" s="713"/>
      <c r="Z673" s="713"/>
      <c r="AA673" s="675"/>
      <c r="AB673" s="713"/>
      <c r="AC673" s="677">
        <f t="shared" si="167"/>
        <v>-495.16666666666669</v>
      </c>
      <c r="AD673" s="676"/>
      <c r="AE673" s="676"/>
      <c r="AF673" s="711">
        <f t="shared" si="168"/>
        <v>0</v>
      </c>
    </row>
    <row r="674" spans="1:32">
      <c r="A674" s="638">
        <v>664</v>
      </c>
      <c r="B674" s="638" t="s">
        <v>1009</v>
      </c>
      <c r="C674" s="342" t="s">
        <v>142</v>
      </c>
      <c r="D674" s="342" t="s">
        <v>1266</v>
      </c>
      <c r="E674" s="623" t="s">
        <v>1799</v>
      </c>
      <c r="F674" s="635">
        <v>-715.4</v>
      </c>
      <c r="G674" s="635">
        <v>0</v>
      </c>
      <c r="H674" s="635">
        <v>-27.02</v>
      </c>
      <c r="I674" s="635">
        <v>-27.02</v>
      </c>
      <c r="J674" s="635">
        <v>-250.22</v>
      </c>
      <c r="K674" s="635">
        <v>-250.22</v>
      </c>
      <c r="L674" s="635">
        <v>-250.22</v>
      </c>
      <c r="M674" s="635">
        <v>-371.32</v>
      </c>
      <c r="N674" s="635">
        <v>-459.07</v>
      </c>
      <c r="O674" s="635">
        <v>-459.07</v>
      </c>
      <c r="P674" s="635">
        <v>-459.07</v>
      </c>
      <c r="Q674" s="635">
        <v>-459.07</v>
      </c>
      <c r="R674" s="635">
        <v>-459.07</v>
      </c>
      <c r="S674" s="514">
        <f t="shared" si="124"/>
        <v>-299.96125000000001</v>
      </c>
      <c r="T674" s="638"/>
      <c r="U674" s="675"/>
      <c r="V674" s="713"/>
      <c r="W674" s="713">
        <f t="shared" si="166"/>
        <v>-299.96125000000001</v>
      </c>
      <c r="X674" s="736"/>
      <c r="Y674" s="713"/>
      <c r="Z674" s="713"/>
      <c r="AA674" s="675"/>
      <c r="AB674" s="713"/>
      <c r="AC674" s="677">
        <f t="shared" si="167"/>
        <v>-299.96125000000001</v>
      </c>
      <c r="AD674" s="676"/>
      <c r="AE674" s="676"/>
      <c r="AF674" s="711">
        <f t="shared" si="168"/>
        <v>0</v>
      </c>
    </row>
    <row r="675" spans="1:32">
      <c r="A675" s="638">
        <v>665</v>
      </c>
      <c r="B675" s="638" t="s">
        <v>1009</v>
      </c>
      <c r="C675" s="342" t="s">
        <v>142</v>
      </c>
      <c r="D675" s="342" t="s">
        <v>1265</v>
      </c>
      <c r="E675" s="623" t="s">
        <v>1800</v>
      </c>
      <c r="F675" s="635">
        <v>-35828.370000000003</v>
      </c>
      <c r="G675" s="635">
        <v>0</v>
      </c>
      <c r="H675" s="635">
        <v>-5142.38</v>
      </c>
      <c r="I675" s="635">
        <v>-3526.64</v>
      </c>
      <c r="J675" s="635">
        <v>-4666.45</v>
      </c>
      <c r="K675" s="635">
        <v>-4666.45</v>
      </c>
      <c r="L675" s="635">
        <v>-11442.12</v>
      </c>
      <c r="M675" s="635">
        <v>-12362.01</v>
      </c>
      <c r="N675" s="635">
        <v>-12362.01</v>
      </c>
      <c r="O675" s="635">
        <v>-12362.01</v>
      </c>
      <c r="P675" s="635">
        <v>-12362.01</v>
      </c>
      <c r="Q675" s="635">
        <v>-12362.01</v>
      </c>
      <c r="R675" s="635">
        <v>-12362.01</v>
      </c>
      <c r="S675" s="514">
        <f t="shared" si="124"/>
        <v>-9612.44</v>
      </c>
      <c r="T675" s="638"/>
      <c r="U675" s="675"/>
      <c r="V675" s="713"/>
      <c r="W675" s="713">
        <f t="shared" si="166"/>
        <v>-9612.44</v>
      </c>
      <c r="X675" s="736"/>
      <c r="Y675" s="713"/>
      <c r="Z675" s="713"/>
      <c r="AA675" s="675"/>
      <c r="AB675" s="713"/>
      <c r="AC675" s="677">
        <f t="shared" si="167"/>
        <v>-9612.44</v>
      </c>
      <c r="AD675" s="676"/>
      <c r="AE675" s="676"/>
      <c r="AF675" s="711">
        <f t="shared" si="168"/>
        <v>0</v>
      </c>
    </row>
    <row r="676" spans="1:32">
      <c r="A676" s="638">
        <v>666</v>
      </c>
      <c r="B676" s="638" t="s">
        <v>984</v>
      </c>
      <c r="C676" s="342" t="s">
        <v>142</v>
      </c>
      <c r="D676" s="342" t="s">
        <v>1270</v>
      </c>
      <c r="E676" s="623" t="s">
        <v>1798</v>
      </c>
      <c r="F676" s="635">
        <v>-4831.1899999999996</v>
      </c>
      <c r="G676" s="635">
        <v>0</v>
      </c>
      <c r="H676" s="635">
        <v>2249.67</v>
      </c>
      <c r="I676" s="635">
        <v>2249.67</v>
      </c>
      <c r="J676" s="635">
        <v>2249.67</v>
      </c>
      <c r="K676" s="635">
        <v>-328.31</v>
      </c>
      <c r="L676" s="635">
        <v>-2548.41</v>
      </c>
      <c r="M676" s="635">
        <v>-7661.83</v>
      </c>
      <c r="N676" s="635">
        <v>-15556.23</v>
      </c>
      <c r="O676" s="635">
        <v>-15556.23</v>
      </c>
      <c r="P676" s="635">
        <v>-15556.23</v>
      </c>
      <c r="Q676" s="635">
        <v>-42033.75</v>
      </c>
      <c r="R676" s="635">
        <v>-44223.51</v>
      </c>
      <c r="S676" s="514">
        <f t="shared" si="124"/>
        <v>-9751.6108333333341</v>
      </c>
      <c r="T676" s="638"/>
      <c r="U676" s="675"/>
      <c r="V676" s="713"/>
      <c r="W676" s="713">
        <f t="shared" si="166"/>
        <v>-9751.6108333333341</v>
      </c>
      <c r="X676" s="736"/>
      <c r="Y676" s="713"/>
      <c r="Z676" s="713"/>
      <c r="AA676" s="675"/>
      <c r="AB676" s="713"/>
      <c r="AC676" s="677">
        <f t="shared" si="167"/>
        <v>-9751.6108333333341</v>
      </c>
      <c r="AD676" s="676"/>
      <c r="AE676" s="676"/>
      <c r="AF676" s="711">
        <f t="shared" si="168"/>
        <v>0</v>
      </c>
    </row>
    <row r="677" spans="1:32">
      <c r="A677" s="638">
        <v>667</v>
      </c>
      <c r="B677" s="638" t="s">
        <v>984</v>
      </c>
      <c r="C677" s="342" t="s">
        <v>142</v>
      </c>
      <c r="D677" s="342" t="s">
        <v>1269</v>
      </c>
      <c r="E677" s="623" t="s">
        <v>1780</v>
      </c>
      <c r="F677" s="635">
        <v>-4853.8900000000003</v>
      </c>
      <c r="G677" s="635">
        <v>-590</v>
      </c>
      <c r="H677" s="635">
        <v>-1180</v>
      </c>
      <c r="I677" s="635">
        <v>-1770</v>
      </c>
      <c r="J677" s="635">
        <v>-3683.08</v>
      </c>
      <c r="K677" s="635">
        <v>-10038.27</v>
      </c>
      <c r="L677" s="635">
        <v>-10678.27</v>
      </c>
      <c r="M677" s="635">
        <v>-11318.27</v>
      </c>
      <c r="N677" s="635">
        <v>-12463.11</v>
      </c>
      <c r="O677" s="635">
        <v>-14116.62</v>
      </c>
      <c r="P677" s="635">
        <v>-14756.62</v>
      </c>
      <c r="Q677" s="635">
        <v>-15396.62</v>
      </c>
      <c r="R677" s="635">
        <v>-15446.62</v>
      </c>
      <c r="S677" s="514">
        <f t="shared" si="124"/>
        <v>-8845.0929166666665</v>
      </c>
      <c r="T677" s="638"/>
      <c r="U677" s="675"/>
      <c r="V677" s="713"/>
      <c r="W677" s="713">
        <f t="shared" si="166"/>
        <v>-8845.0929166666665</v>
      </c>
      <c r="X677" s="736"/>
      <c r="Y677" s="713"/>
      <c r="Z677" s="713"/>
      <c r="AA677" s="675"/>
      <c r="AB677" s="713"/>
      <c r="AC677" s="677">
        <f t="shared" si="167"/>
        <v>-8845.0929166666665</v>
      </c>
      <c r="AD677" s="676"/>
      <c r="AE677" s="676"/>
      <c r="AF677" s="711">
        <f t="shared" si="168"/>
        <v>0</v>
      </c>
    </row>
    <row r="678" spans="1:32">
      <c r="A678" s="638">
        <v>668</v>
      </c>
      <c r="B678" s="638" t="s">
        <v>984</v>
      </c>
      <c r="C678" s="342" t="s">
        <v>142</v>
      </c>
      <c r="D678" s="342" t="s">
        <v>1266</v>
      </c>
      <c r="E678" s="623" t="s">
        <v>1799</v>
      </c>
      <c r="F678" s="635">
        <v>-2511.16</v>
      </c>
      <c r="G678" s="635">
        <v>0</v>
      </c>
      <c r="H678" s="635">
        <v>-245.39</v>
      </c>
      <c r="I678" s="635">
        <v>-245.39</v>
      </c>
      <c r="J678" s="635">
        <v>-245.39</v>
      </c>
      <c r="K678" s="635">
        <v>-1093.49</v>
      </c>
      <c r="L678" s="635">
        <v>-1737.34</v>
      </c>
      <c r="M678" s="635">
        <v>-1957.19</v>
      </c>
      <c r="N678" s="635">
        <v>-2489.61</v>
      </c>
      <c r="O678" s="635">
        <v>-2490.52</v>
      </c>
      <c r="P678" s="635">
        <v>-2626.9</v>
      </c>
      <c r="Q678" s="635">
        <v>-2626.9</v>
      </c>
      <c r="R678" s="635">
        <v>-2784.79</v>
      </c>
      <c r="S678" s="514">
        <f t="shared" si="124"/>
        <v>-1533.8412500000002</v>
      </c>
      <c r="T678" s="638"/>
      <c r="U678" s="675"/>
      <c r="V678" s="713"/>
      <c r="W678" s="713">
        <f t="shared" si="166"/>
        <v>-1533.8412500000002</v>
      </c>
      <c r="X678" s="736"/>
      <c r="Y678" s="713"/>
      <c r="Z678" s="713"/>
      <c r="AA678" s="675"/>
      <c r="AB678" s="713"/>
      <c r="AC678" s="677">
        <f t="shared" si="167"/>
        <v>-1533.8412500000002</v>
      </c>
      <c r="AD678" s="676"/>
      <c r="AE678" s="676"/>
      <c r="AF678" s="711">
        <f t="shared" si="168"/>
        <v>0</v>
      </c>
    </row>
    <row r="679" spans="1:32">
      <c r="A679" s="638">
        <v>669</v>
      </c>
      <c r="B679" s="638" t="s">
        <v>984</v>
      </c>
      <c r="C679" s="342" t="s">
        <v>142</v>
      </c>
      <c r="D679" s="342" t="s">
        <v>1265</v>
      </c>
      <c r="E679" s="623" t="s">
        <v>1800</v>
      </c>
      <c r="F679" s="635">
        <v>-18478</v>
      </c>
      <c r="G679" s="635">
        <v>0</v>
      </c>
      <c r="H679" s="635">
        <v>0</v>
      </c>
      <c r="I679" s="635">
        <v>0</v>
      </c>
      <c r="J679" s="635">
        <v>-1980.35</v>
      </c>
      <c r="K679" s="635">
        <v>-2110.35</v>
      </c>
      <c r="L679" s="635">
        <v>-7357.95</v>
      </c>
      <c r="M679" s="635">
        <v>-7940.26</v>
      </c>
      <c r="N679" s="635">
        <v>-9463.67</v>
      </c>
      <c r="O679" s="635">
        <v>-9463.67</v>
      </c>
      <c r="P679" s="635">
        <v>-12512.1</v>
      </c>
      <c r="Q679" s="635">
        <v>-16089.16</v>
      </c>
      <c r="R679" s="635">
        <v>-28833.91</v>
      </c>
      <c r="S679" s="514">
        <f t="shared" si="124"/>
        <v>-7547.7887499999997</v>
      </c>
      <c r="T679" s="638"/>
      <c r="U679" s="675"/>
      <c r="V679" s="713"/>
      <c r="W679" s="713">
        <f t="shared" si="166"/>
        <v>-7547.7887499999997</v>
      </c>
      <c r="X679" s="736"/>
      <c r="Y679" s="713"/>
      <c r="Z679" s="713"/>
      <c r="AA679" s="675"/>
      <c r="AB679" s="713"/>
      <c r="AC679" s="677">
        <f t="shared" si="167"/>
        <v>-7547.7887499999997</v>
      </c>
      <c r="AD679" s="676"/>
      <c r="AE679" s="676"/>
      <c r="AF679" s="711">
        <f t="shared" si="168"/>
        <v>0</v>
      </c>
    </row>
    <row r="680" spans="1:32">
      <c r="A680" s="638">
        <v>670</v>
      </c>
      <c r="B680" s="638" t="s">
        <v>984</v>
      </c>
      <c r="C680" s="342">
        <v>4962</v>
      </c>
      <c r="D680" s="342"/>
      <c r="E680" s="623" t="s">
        <v>1801</v>
      </c>
      <c r="F680" s="635">
        <v>2764815.37</v>
      </c>
      <c r="G680" s="635">
        <v>-280982.87</v>
      </c>
      <c r="H680" s="635">
        <v>-665675.09</v>
      </c>
      <c r="I680" s="635">
        <v>-921322.2</v>
      </c>
      <c r="J680" s="635">
        <v>-924164.05</v>
      </c>
      <c r="K680" s="635">
        <v>-846390.45</v>
      </c>
      <c r="L680" s="635">
        <v>-714598.13</v>
      </c>
      <c r="M680" s="635">
        <v>-582529.80000000005</v>
      </c>
      <c r="N680" s="635">
        <v>-419848.05</v>
      </c>
      <c r="O680" s="635">
        <v>-418430.1</v>
      </c>
      <c r="P680" s="635">
        <v>-472174.9</v>
      </c>
      <c r="Q680" s="635">
        <v>-533440.56000000006</v>
      </c>
      <c r="R680" s="635">
        <v>-171784.99</v>
      </c>
      <c r="S680" s="514">
        <f t="shared" si="124"/>
        <v>-456920.08416666667</v>
      </c>
      <c r="T680" s="638"/>
      <c r="U680" s="675"/>
      <c r="V680" s="713"/>
      <c r="W680" s="713">
        <f t="shared" si="166"/>
        <v>-456920.08416666667</v>
      </c>
      <c r="X680" s="736"/>
      <c r="Y680" s="713"/>
      <c r="Z680" s="713"/>
      <c r="AA680" s="675"/>
      <c r="AB680" s="713"/>
      <c r="AC680" s="677">
        <f t="shared" si="167"/>
        <v>-456920.08416666667</v>
      </c>
      <c r="AD680" s="676"/>
      <c r="AE680" s="676"/>
      <c r="AF680" s="711">
        <f t="shared" si="168"/>
        <v>0</v>
      </c>
    </row>
    <row r="681" spans="1:32">
      <c r="A681" s="638">
        <v>671</v>
      </c>
      <c r="B681" s="638" t="s">
        <v>984</v>
      </c>
      <c r="C681" s="342">
        <v>4962</v>
      </c>
      <c r="D681" s="342">
        <v>1</v>
      </c>
      <c r="E681" s="623" t="s">
        <v>1818</v>
      </c>
      <c r="F681" s="635">
        <v>-340090.29</v>
      </c>
      <c r="G681" s="635">
        <v>-73314.78</v>
      </c>
      <c r="H681" s="635">
        <v>-137130.63</v>
      </c>
      <c r="I681" s="635">
        <v>-198957.22</v>
      </c>
      <c r="J681" s="635">
        <v>-254405.82</v>
      </c>
      <c r="K681" s="635">
        <v>-306680.53000000003</v>
      </c>
      <c r="L681" s="635">
        <v>-369131.22</v>
      </c>
      <c r="M681" s="635">
        <v>-456366</v>
      </c>
      <c r="N681" s="635">
        <v>-557780.61</v>
      </c>
      <c r="O681" s="635">
        <v>-654771.38</v>
      </c>
      <c r="P681" s="635">
        <v>-723450.44</v>
      </c>
      <c r="Q681" s="635">
        <v>-770696.42</v>
      </c>
      <c r="R681" s="635">
        <v>-829904.01</v>
      </c>
      <c r="S681" s="514">
        <f t="shared" si="124"/>
        <v>-423973.51666666666</v>
      </c>
      <c r="T681" s="638"/>
      <c r="U681" s="675"/>
      <c r="V681" s="713"/>
      <c r="W681" s="713">
        <f t="shared" si="166"/>
        <v>-423973.51666666666</v>
      </c>
      <c r="X681" s="736"/>
      <c r="Y681" s="713"/>
      <c r="Z681" s="713"/>
      <c r="AA681" s="675"/>
      <c r="AB681" s="713"/>
      <c r="AC681" s="677">
        <f t="shared" si="167"/>
        <v>-423973.51666666666</v>
      </c>
      <c r="AD681" s="676"/>
      <c r="AE681" s="676"/>
      <c r="AF681" s="711">
        <f t="shared" si="168"/>
        <v>0</v>
      </c>
    </row>
    <row r="682" spans="1:32">
      <c r="A682" s="638">
        <v>672</v>
      </c>
      <c r="B682" s="638" t="s">
        <v>1009</v>
      </c>
      <c r="C682" s="342" t="s">
        <v>1967</v>
      </c>
      <c r="D682" s="638"/>
      <c r="E682" s="623" t="s">
        <v>1801</v>
      </c>
      <c r="F682" s="635">
        <v>1558019.97</v>
      </c>
      <c r="G682" s="635">
        <v>249016.3</v>
      </c>
      <c r="H682" s="635">
        <v>450949.83</v>
      </c>
      <c r="I682" s="635">
        <v>621635.15</v>
      </c>
      <c r="J682" s="635">
        <v>489060.61</v>
      </c>
      <c r="K682" s="635">
        <v>569478.41</v>
      </c>
      <c r="L682" s="635">
        <v>607869.43000000005</v>
      </c>
      <c r="M682" s="635">
        <v>647160.75</v>
      </c>
      <c r="N682" s="635">
        <v>687361.43</v>
      </c>
      <c r="O682" s="635">
        <v>698023.77</v>
      </c>
      <c r="P682" s="635">
        <v>698636.72</v>
      </c>
      <c r="Q682" s="635">
        <v>522111.3</v>
      </c>
      <c r="R682" s="635">
        <v>299675.57</v>
      </c>
      <c r="S682" s="514">
        <f>((F682+R682)+((G682+H682+I682+J682+K682+L682+M682+N682+O682+P682+Q682)*2))/24</f>
        <v>597512.62249999994</v>
      </c>
      <c r="T682" s="638"/>
      <c r="U682" s="675"/>
      <c r="V682" s="713"/>
      <c r="W682" s="713">
        <f t="shared" si="166"/>
        <v>597512.62249999994</v>
      </c>
      <c r="X682" s="736"/>
      <c r="Y682" s="713"/>
      <c r="Z682" s="713"/>
      <c r="AA682" s="675"/>
      <c r="AB682" s="713"/>
      <c r="AC682" s="677">
        <f t="shared" si="167"/>
        <v>597512.62249999994</v>
      </c>
      <c r="AD682" s="676"/>
      <c r="AE682" s="676"/>
      <c r="AF682" s="711">
        <f t="shared" si="168"/>
        <v>0</v>
      </c>
    </row>
    <row r="683" spans="1:32">
      <c r="A683" s="638">
        <v>673</v>
      </c>
      <c r="B683" s="638" t="s">
        <v>1009</v>
      </c>
      <c r="C683" s="342" t="s">
        <v>1967</v>
      </c>
      <c r="D683" s="638" t="s">
        <v>528</v>
      </c>
      <c r="E683" s="623" t="s">
        <v>1818</v>
      </c>
      <c r="F683" s="635">
        <v>0</v>
      </c>
      <c r="G683" s="635">
        <v>0</v>
      </c>
      <c r="H683" s="635">
        <v>0</v>
      </c>
      <c r="I683" s="635">
        <v>0</v>
      </c>
      <c r="J683" s="635">
        <v>-550.71</v>
      </c>
      <c r="K683" s="635">
        <v>-1222.68</v>
      </c>
      <c r="L683" s="635">
        <v>-1905.55</v>
      </c>
      <c r="M683" s="635">
        <v>-2585.9699999999998</v>
      </c>
      <c r="N683" s="635">
        <v>-3255.41</v>
      </c>
      <c r="O683" s="635">
        <v>-3923.66</v>
      </c>
      <c r="P683" s="635">
        <v>-7672.7</v>
      </c>
      <c r="Q683" s="635">
        <v>-19523.88</v>
      </c>
      <c r="R683" s="635">
        <v>-31522.11</v>
      </c>
      <c r="S683" s="514">
        <f>((F683+R683)+((G683+H683+I683+J683+K683+L683+M683+N683+O683+P683+Q683)*2))/24</f>
        <v>-4700.1345833333335</v>
      </c>
      <c r="T683" s="638"/>
      <c r="U683" s="675"/>
      <c r="V683" s="713"/>
      <c r="W683" s="713">
        <f t="shared" si="166"/>
        <v>-4700.1345833333335</v>
      </c>
      <c r="X683" s="736"/>
      <c r="Y683" s="713"/>
      <c r="Z683" s="713"/>
      <c r="AA683" s="675"/>
      <c r="AB683" s="713"/>
      <c r="AC683" s="677">
        <f t="shared" si="167"/>
        <v>-4700.1345833333335</v>
      </c>
      <c r="AD683" s="676"/>
      <c r="AE683" s="676"/>
      <c r="AF683" s="711"/>
    </row>
    <row r="684" spans="1:32">
      <c r="A684" s="638">
        <v>674</v>
      </c>
      <c r="B684" s="638" t="s">
        <v>382</v>
      </c>
      <c r="C684" s="342" t="s">
        <v>649</v>
      </c>
      <c r="D684" s="638" t="s">
        <v>382</v>
      </c>
      <c r="E684" s="623" t="s">
        <v>650</v>
      </c>
      <c r="F684" s="329">
        <v>0</v>
      </c>
      <c r="G684" s="329">
        <v>0</v>
      </c>
      <c r="H684" s="329">
        <v>0</v>
      </c>
      <c r="I684" s="329">
        <v>0</v>
      </c>
      <c r="J684" s="329">
        <v>0</v>
      </c>
      <c r="K684" s="329">
        <v>0</v>
      </c>
      <c r="L684" s="329">
        <v>0</v>
      </c>
      <c r="M684" s="329">
        <v>0</v>
      </c>
      <c r="N684" s="329">
        <v>0</v>
      </c>
      <c r="O684" s="329">
        <v>0</v>
      </c>
      <c r="P684" s="329">
        <v>0</v>
      </c>
      <c r="Q684" s="329">
        <v>0</v>
      </c>
      <c r="R684" s="329">
        <v>0</v>
      </c>
      <c r="S684" s="514">
        <f t="shared" si="124"/>
        <v>0</v>
      </c>
      <c r="T684" s="638"/>
      <c r="U684" s="675"/>
      <c r="V684" s="713"/>
      <c r="W684" s="713">
        <f t="shared" si="166"/>
        <v>0</v>
      </c>
      <c r="X684" s="736"/>
      <c r="Y684" s="713"/>
      <c r="Z684" s="713"/>
      <c r="AA684" s="675"/>
      <c r="AB684" s="713"/>
      <c r="AC684" s="677">
        <f t="shared" ref="AC684" si="169">+S684</f>
        <v>0</v>
      </c>
      <c r="AD684" s="676"/>
      <c r="AE684" s="676"/>
      <c r="AF684" s="711">
        <f t="shared" si="168"/>
        <v>0</v>
      </c>
    </row>
    <row r="685" spans="1:32">
      <c r="A685" s="638">
        <v>675</v>
      </c>
      <c r="B685" s="638"/>
      <c r="C685" s="638"/>
      <c r="D685" s="638"/>
      <c r="E685" s="623" t="s">
        <v>651</v>
      </c>
      <c r="F685" s="321">
        <f>SUM(F617:F684)</f>
        <v>-286825672.86999995</v>
      </c>
      <c r="G685" s="321">
        <f t="shared" ref="G685:R685" si="170">SUM(G617:G684)</f>
        <v>-40243392.660000004</v>
      </c>
      <c r="H685" s="321">
        <f t="shared" si="170"/>
        <v>-81998266.249999955</v>
      </c>
      <c r="I685" s="321">
        <f t="shared" si="170"/>
        <v>-115278818.35999994</v>
      </c>
      <c r="J685" s="321">
        <f t="shared" si="170"/>
        <v>-137104015.16</v>
      </c>
      <c r="K685" s="321">
        <f t="shared" si="170"/>
        <v>-151942097.19000003</v>
      </c>
      <c r="L685" s="321">
        <f t="shared" si="170"/>
        <v>-163827574.58999997</v>
      </c>
      <c r="M685" s="321">
        <f t="shared" si="170"/>
        <v>-175584823.07999995</v>
      </c>
      <c r="N685" s="321">
        <f t="shared" si="170"/>
        <v>-185596413.00999999</v>
      </c>
      <c r="O685" s="321">
        <f t="shared" si="170"/>
        <v>-199825338.64000005</v>
      </c>
      <c r="P685" s="321">
        <f t="shared" si="170"/>
        <v>-226710493.77999997</v>
      </c>
      <c r="Q685" s="321">
        <f t="shared" si="170"/>
        <v>-266190130.81999996</v>
      </c>
      <c r="R685" s="321">
        <f t="shared" si="170"/>
        <v>-314395576.48000008</v>
      </c>
      <c r="S685" s="516">
        <f>SUM(S617:S684)</f>
        <v>-170409332.35125008</v>
      </c>
      <c r="T685" s="638"/>
      <c r="U685" s="675"/>
      <c r="V685" s="713"/>
      <c r="W685" s="713"/>
      <c r="X685" s="736"/>
      <c r="Y685" s="713"/>
      <c r="Z685" s="713"/>
      <c r="AA685" s="675"/>
      <c r="AB685" s="713"/>
      <c r="AC685" s="676"/>
      <c r="AD685" s="676"/>
      <c r="AE685" s="676"/>
      <c r="AF685" s="711">
        <f t="shared" si="168"/>
        <v>0</v>
      </c>
    </row>
    <row r="686" spans="1:32">
      <c r="A686" s="638">
        <v>676</v>
      </c>
      <c r="B686" s="638"/>
      <c r="C686" s="638"/>
      <c r="D686" s="638"/>
      <c r="E686" s="623"/>
      <c r="F686" s="637"/>
      <c r="G686" s="340"/>
      <c r="H686" s="331"/>
      <c r="I686" s="331"/>
      <c r="J686" s="332"/>
      <c r="K686" s="333"/>
      <c r="L686" s="334"/>
      <c r="M686" s="335"/>
      <c r="N686" s="336"/>
      <c r="O686" s="624"/>
      <c r="P686" s="337"/>
      <c r="Q686" s="341"/>
      <c r="R686" s="637"/>
      <c r="S686" s="320"/>
      <c r="T686" s="638"/>
      <c r="U686" s="675"/>
      <c r="V686" s="713"/>
      <c r="W686" s="713"/>
      <c r="X686" s="736"/>
      <c r="Y686" s="713"/>
      <c r="Z686" s="713"/>
      <c r="AA686" s="675"/>
      <c r="AB686" s="713"/>
      <c r="AC686" s="676"/>
      <c r="AD686" s="676"/>
      <c r="AE686" s="676"/>
      <c r="AF686" s="711">
        <f t="shared" si="168"/>
        <v>0</v>
      </c>
    </row>
    <row r="687" spans="1:32">
      <c r="A687" s="638">
        <v>677</v>
      </c>
      <c r="B687" s="638" t="s">
        <v>981</v>
      </c>
      <c r="C687" s="638" t="s">
        <v>656</v>
      </c>
      <c r="D687" s="638"/>
      <c r="E687" s="623" t="s">
        <v>657</v>
      </c>
      <c r="F687" s="637">
        <v>-8686.9500000000007</v>
      </c>
      <c r="G687" s="340">
        <v>-1902.08</v>
      </c>
      <c r="H687" s="331">
        <v>-2909.11</v>
      </c>
      <c r="I687" s="331">
        <v>-3701.7</v>
      </c>
      <c r="J687" s="332">
        <v>-5088.7700000000004</v>
      </c>
      <c r="K687" s="333">
        <v>-5413.93</v>
      </c>
      <c r="L687" s="334">
        <v>-5821.58</v>
      </c>
      <c r="M687" s="335">
        <v>-6604.72</v>
      </c>
      <c r="N687" s="336">
        <v>-6604.72</v>
      </c>
      <c r="O687" s="624">
        <v>-6604.72</v>
      </c>
      <c r="P687" s="337">
        <v>-6937.53</v>
      </c>
      <c r="Q687" s="341">
        <v>-7240.98</v>
      </c>
      <c r="R687" s="637">
        <v>-8173.8</v>
      </c>
      <c r="S687" s="514">
        <f t="shared" ref="S687:S697" si="171">((F687+R687)+((G687+H687+I687+J687+K687+L687+M687+N687+O687+P687+Q687)*2))/24</f>
        <v>-5605.0179166666667</v>
      </c>
      <c r="T687" s="638"/>
      <c r="U687" s="675"/>
      <c r="V687" s="713"/>
      <c r="W687" s="713">
        <f>+S687</f>
        <v>-5605.0179166666667</v>
      </c>
      <c r="X687" s="736"/>
      <c r="Y687" s="713"/>
      <c r="Z687" s="713"/>
      <c r="AA687" s="675"/>
      <c r="AB687" s="713"/>
      <c r="AC687" s="677">
        <f>+S687</f>
        <v>-5605.0179166666667</v>
      </c>
      <c r="AD687" s="676"/>
      <c r="AE687" s="676"/>
      <c r="AF687" s="711"/>
    </row>
    <row r="688" spans="1:32">
      <c r="A688" s="638">
        <v>678</v>
      </c>
      <c r="B688" s="342" t="s">
        <v>981</v>
      </c>
      <c r="C688" s="342" t="s">
        <v>652</v>
      </c>
      <c r="D688" s="342" t="s">
        <v>1271</v>
      </c>
      <c r="E688" s="629" t="s">
        <v>338</v>
      </c>
      <c r="F688" s="635">
        <v>-3011.09</v>
      </c>
      <c r="G688" s="635">
        <v>-2.21</v>
      </c>
      <c r="H688" s="635">
        <v>-5.3</v>
      </c>
      <c r="I688" s="635">
        <v>-7.29</v>
      </c>
      <c r="J688" s="635">
        <v>-10.130000000000001</v>
      </c>
      <c r="K688" s="635">
        <v>-12.8</v>
      </c>
      <c r="L688" s="635">
        <v>-15.56</v>
      </c>
      <c r="M688" s="635">
        <v>-31.15</v>
      </c>
      <c r="N688" s="635">
        <v>-33.909999999999997</v>
      </c>
      <c r="O688" s="635">
        <v>-36.67</v>
      </c>
      <c r="P688" s="635">
        <v>-39.340000000000003</v>
      </c>
      <c r="Q688" s="635">
        <v>-44.08</v>
      </c>
      <c r="R688" s="635">
        <v>-45.93</v>
      </c>
      <c r="S688" s="514">
        <f t="shared" si="171"/>
        <v>-147.24583333333334</v>
      </c>
      <c r="T688" s="638"/>
      <c r="U688" s="675"/>
      <c r="V688" s="713"/>
      <c r="W688" s="713">
        <f>+S688</f>
        <v>-147.24583333333334</v>
      </c>
      <c r="X688" s="736"/>
      <c r="Y688" s="713"/>
      <c r="Z688" s="713"/>
      <c r="AA688" s="675"/>
      <c r="AB688" s="713"/>
      <c r="AC688" s="677">
        <f>+S688</f>
        <v>-147.24583333333334</v>
      </c>
      <c r="AD688" s="676"/>
      <c r="AE688" s="676"/>
      <c r="AF688" s="711">
        <f t="shared" si="168"/>
        <v>0</v>
      </c>
    </row>
    <row r="689" spans="1:32">
      <c r="A689" s="638">
        <v>679</v>
      </c>
      <c r="B689" s="342" t="s">
        <v>981</v>
      </c>
      <c r="C689" s="342" t="s">
        <v>652</v>
      </c>
      <c r="D689" s="342" t="s">
        <v>289</v>
      </c>
      <c r="E689" s="629" t="s">
        <v>1819</v>
      </c>
      <c r="F689" s="635">
        <v>-859.68</v>
      </c>
      <c r="G689" s="635">
        <v>-3040.72</v>
      </c>
      <c r="H689" s="635">
        <v>-3568.82</v>
      </c>
      <c r="I689" s="635">
        <v>-8187.51</v>
      </c>
      <c r="J689" s="635">
        <v>-8889.35</v>
      </c>
      <c r="K689" s="635">
        <v>-17552.66</v>
      </c>
      <c r="L689" s="635">
        <v>-27829.040000000001</v>
      </c>
      <c r="M689" s="635">
        <v>-28285.03</v>
      </c>
      <c r="N689" s="635">
        <v>-36630.01</v>
      </c>
      <c r="O689" s="635">
        <v>-39414.699999999997</v>
      </c>
      <c r="P689" s="635">
        <v>-45606.73</v>
      </c>
      <c r="Q689" s="635">
        <v>-48047.77</v>
      </c>
      <c r="R689" s="635">
        <v>-50576.59</v>
      </c>
      <c r="S689" s="514">
        <f t="shared" si="171"/>
        <v>-24397.539583333335</v>
      </c>
      <c r="T689" s="638"/>
      <c r="U689" s="675"/>
      <c r="V689" s="713"/>
      <c r="W689" s="713">
        <f>+S689</f>
        <v>-24397.539583333335</v>
      </c>
      <c r="X689" s="736"/>
      <c r="Y689" s="713"/>
      <c r="Z689" s="713"/>
      <c r="AA689" s="675"/>
      <c r="AB689" s="713"/>
      <c r="AC689" s="677">
        <f t="shared" ref="AC689:AC697" si="172">+S689</f>
        <v>-24397.539583333335</v>
      </c>
      <c r="AD689" s="676"/>
      <c r="AE689" s="676"/>
      <c r="AF689" s="711">
        <f t="shared" si="168"/>
        <v>0</v>
      </c>
    </row>
    <row r="690" spans="1:32">
      <c r="A690" s="638">
        <v>680</v>
      </c>
      <c r="B690" s="342" t="s">
        <v>1009</v>
      </c>
      <c r="C690" s="342" t="s">
        <v>652</v>
      </c>
      <c r="D690" s="342" t="s">
        <v>1141</v>
      </c>
      <c r="E690" s="629" t="s">
        <v>1822</v>
      </c>
      <c r="F690" s="635">
        <v>-36347.879999999997</v>
      </c>
      <c r="G690" s="635">
        <v>-455.26</v>
      </c>
      <c r="H690" s="635">
        <v>-842.9</v>
      </c>
      <c r="I690" s="635">
        <v>-24246.53</v>
      </c>
      <c r="J690" s="635">
        <v>-33614.74</v>
      </c>
      <c r="K690" s="635">
        <v>-34273.769999999997</v>
      </c>
      <c r="L690" s="635">
        <v>-40796.589999999997</v>
      </c>
      <c r="M690" s="635">
        <v>-42080.53</v>
      </c>
      <c r="N690" s="635">
        <v>-45378.37</v>
      </c>
      <c r="O690" s="635">
        <v>-48246.91</v>
      </c>
      <c r="P690" s="635">
        <v>-52939.5</v>
      </c>
      <c r="Q690" s="635">
        <v>-55862.38</v>
      </c>
      <c r="R690" s="635">
        <v>-57922.16</v>
      </c>
      <c r="S690" s="514">
        <f t="shared" si="171"/>
        <v>-35489.375</v>
      </c>
      <c r="T690" s="638"/>
      <c r="U690" s="675"/>
      <c r="V690" s="713"/>
      <c r="W690" s="713">
        <f t="shared" ref="W690:W697" si="173">+S690</f>
        <v>-35489.375</v>
      </c>
      <c r="X690" s="736"/>
      <c r="Y690" s="713"/>
      <c r="Z690" s="713"/>
      <c r="AA690" s="675"/>
      <c r="AB690" s="713"/>
      <c r="AC690" s="677">
        <f t="shared" si="172"/>
        <v>-35489.375</v>
      </c>
      <c r="AD690" s="676"/>
      <c r="AE690" s="676"/>
      <c r="AF690" s="711">
        <f t="shared" si="168"/>
        <v>0</v>
      </c>
    </row>
    <row r="691" spans="1:32">
      <c r="A691" s="638">
        <v>681</v>
      </c>
      <c r="B691" s="342" t="s">
        <v>1009</v>
      </c>
      <c r="C691" s="342" t="s">
        <v>652</v>
      </c>
      <c r="D691" s="342" t="s">
        <v>1272</v>
      </c>
      <c r="E691" s="629" t="s">
        <v>1823</v>
      </c>
      <c r="F691" s="635">
        <v>-48958.11</v>
      </c>
      <c r="G691" s="635">
        <v>-15345.72</v>
      </c>
      <c r="H691" s="635">
        <v>-24031.27</v>
      </c>
      <c r="I691" s="635">
        <v>-41781.269999999997</v>
      </c>
      <c r="J691" s="635">
        <v>-63424.37</v>
      </c>
      <c r="K691" s="635">
        <v>-89261.28</v>
      </c>
      <c r="L691" s="635">
        <v>-116170.82</v>
      </c>
      <c r="M691" s="635">
        <v>-145760.34</v>
      </c>
      <c r="N691" s="635">
        <v>-177943.42</v>
      </c>
      <c r="O691" s="635">
        <v>-214903.77</v>
      </c>
      <c r="P691" s="635">
        <v>-243170.11</v>
      </c>
      <c r="Q691" s="635">
        <v>-257003.67</v>
      </c>
      <c r="R691" s="635">
        <v>-272944.33</v>
      </c>
      <c r="S691" s="514">
        <f t="shared" si="171"/>
        <v>-129145.605</v>
      </c>
      <c r="T691" s="638"/>
      <c r="U691" s="675"/>
      <c r="V691" s="713"/>
      <c r="W691" s="713">
        <f t="shared" si="173"/>
        <v>-129145.605</v>
      </c>
      <c r="X691" s="736"/>
      <c r="Y691" s="713"/>
      <c r="Z691" s="713"/>
      <c r="AA691" s="675"/>
      <c r="AB691" s="713"/>
      <c r="AC691" s="677">
        <f t="shared" si="172"/>
        <v>-129145.605</v>
      </c>
      <c r="AD691" s="676"/>
      <c r="AE691" s="676"/>
      <c r="AF691" s="711">
        <f t="shared" si="168"/>
        <v>0</v>
      </c>
    </row>
    <row r="692" spans="1:32">
      <c r="A692" s="638">
        <v>682</v>
      </c>
      <c r="B692" s="342" t="s">
        <v>984</v>
      </c>
      <c r="C692" s="342" t="s">
        <v>652</v>
      </c>
      <c r="D692" s="342" t="s">
        <v>1141</v>
      </c>
      <c r="E692" s="629" t="s">
        <v>1822</v>
      </c>
      <c r="F692" s="635">
        <v>-91231.87</v>
      </c>
      <c r="G692" s="635">
        <v>-280.89999999999998</v>
      </c>
      <c r="H692" s="635">
        <v>-2902.45</v>
      </c>
      <c r="I692" s="635">
        <v>-24331.4</v>
      </c>
      <c r="J692" s="635">
        <v>-27446.55</v>
      </c>
      <c r="K692" s="635">
        <v>-32005.73</v>
      </c>
      <c r="L692" s="635">
        <v>-32880.769999999997</v>
      </c>
      <c r="M692" s="635">
        <v>-39606.519999999997</v>
      </c>
      <c r="N692" s="635">
        <v>-75710.539999999994</v>
      </c>
      <c r="O692" s="635">
        <v>-99548.37</v>
      </c>
      <c r="P692" s="635">
        <v>-101812.08</v>
      </c>
      <c r="Q692" s="635">
        <v>-117810.33</v>
      </c>
      <c r="R692" s="635">
        <v>-127456.02</v>
      </c>
      <c r="S692" s="514">
        <f t="shared" si="171"/>
        <v>-55306.63208333333</v>
      </c>
      <c r="T692" s="638"/>
      <c r="U692" s="675"/>
      <c r="V692" s="713"/>
      <c r="W692" s="713">
        <f t="shared" si="173"/>
        <v>-55306.63208333333</v>
      </c>
      <c r="X692" s="736"/>
      <c r="Y692" s="713"/>
      <c r="Z692" s="713"/>
      <c r="AA692" s="675"/>
      <c r="AB692" s="713"/>
      <c r="AC692" s="677">
        <f t="shared" si="172"/>
        <v>-55306.63208333333</v>
      </c>
      <c r="AD692" s="676"/>
      <c r="AE692" s="676"/>
      <c r="AF692" s="711">
        <f t="shared" si="168"/>
        <v>0</v>
      </c>
    </row>
    <row r="693" spans="1:32">
      <c r="A693" s="638">
        <v>683</v>
      </c>
      <c r="B693" s="342" t="s">
        <v>984</v>
      </c>
      <c r="C693" s="342" t="s">
        <v>652</v>
      </c>
      <c r="D693" s="342" t="s">
        <v>1272</v>
      </c>
      <c r="E693" s="629" t="s">
        <v>1823</v>
      </c>
      <c r="F693" s="635">
        <v>-333259.12</v>
      </c>
      <c r="G693" s="635">
        <v>-193561.47</v>
      </c>
      <c r="H693" s="635">
        <v>-401513.57</v>
      </c>
      <c r="I693" s="635">
        <v>-702540.04</v>
      </c>
      <c r="J693" s="635">
        <v>-1025192.68</v>
      </c>
      <c r="K693" s="635">
        <v>-1512761.49</v>
      </c>
      <c r="L693" s="635">
        <v>-1918089.91</v>
      </c>
      <c r="M693" s="635">
        <v>-2352378.36</v>
      </c>
      <c r="N693" s="635">
        <v>-2797749.95</v>
      </c>
      <c r="O693" s="635">
        <v>-3244603.12</v>
      </c>
      <c r="P693" s="635">
        <v>-3673229.92</v>
      </c>
      <c r="Q693" s="635">
        <v>-4086669.6</v>
      </c>
      <c r="R693" s="635">
        <v>-4504936.62</v>
      </c>
      <c r="S693" s="514">
        <f t="shared" si="171"/>
        <v>-2027282.3316666668</v>
      </c>
      <c r="T693" s="638"/>
      <c r="U693" s="675"/>
      <c r="V693" s="713"/>
      <c r="W693" s="713">
        <f t="shared" si="173"/>
        <v>-2027282.3316666668</v>
      </c>
      <c r="X693" s="736"/>
      <c r="Y693" s="713"/>
      <c r="Z693" s="713"/>
      <c r="AA693" s="675"/>
      <c r="AB693" s="713"/>
      <c r="AC693" s="677">
        <f t="shared" si="172"/>
        <v>-2027282.3316666668</v>
      </c>
      <c r="AD693" s="676"/>
      <c r="AE693" s="676"/>
      <c r="AF693" s="711">
        <f t="shared" si="168"/>
        <v>0</v>
      </c>
    </row>
    <row r="694" spans="1:32">
      <c r="A694" s="638">
        <v>684</v>
      </c>
      <c r="B694" s="342" t="s">
        <v>981</v>
      </c>
      <c r="C694" s="342" t="s">
        <v>653</v>
      </c>
      <c r="D694" s="638"/>
      <c r="E694" s="623" t="s">
        <v>654</v>
      </c>
      <c r="F694" s="635">
        <v>-555.79999999999995</v>
      </c>
      <c r="G694" s="635">
        <v>-418.9</v>
      </c>
      <c r="H694" s="635">
        <v>-458.49</v>
      </c>
      <c r="I694" s="635">
        <v>-579.49</v>
      </c>
      <c r="J694" s="635">
        <v>-900.44</v>
      </c>
      <c r="K694" s="635">
        <v>-900.44</v>
      </c>
      <c r="L694" s="635">
        <v>-900.44</v>
      </c>
      <c r="M694" s="635">
        <v>-1206.08</v>
      </c>
      <c r="N694" s="635">
        <v>-1206.08</v>
      </c>
      <c r="O694" s="635">
        <v>-1206.21</v>
      </c>
      <c r="P694" s="635">
        <v>-1511.72</v>
      </c>
      <c r="Q694" s="635">
        <v>-1511.72</v>
      </c>
      <c r="R694" s="635">
        <v>-1511.72</v>
      </c>
      <c r="S694" s="514">
        <f t="shared" si="171"/>
        <v>-986.14750000000004</v>
      </c>
      <c r="T694" s="638"/>
      <c r="U694" s="675"/>
      <c r="V694" s="713"/>
      <c r="W694" s="713">
        <f t="shared" si="173"/>
        <v>-986.14750000000004</v>
      </c>
      <c r="X694" s="736"/>
      <c r="Y694" s="713"/>
      <c r="Z694" s="713"/>
      <c r="AA694" s="675"/>
      <c r="AB694" s="713"/>
      <c r="AC694" s="677">
        <f t="shared" si="172"/>
        <v>-986.14750000000004</v>
      </c>
      <c r="AD694" s="676"/>
      <c r="AE694" s="676"/>
      <c r="AF694" s="711">
        <f t="shared" si="168"/>
        <v>0</v>
      </c>
    </row>
    <row r="695" spans="1:32">
      <c r="A695" s="638">
        <v>685</v>
      </c>
      <c r="B695" s="342" t="s">
        <v>981</v>
      </c>
      <c r="C695" s="342" t="s">
        <v>653</v>
      </c>
      <c r="D695" s="342" t="s">
        <v>1273</v>
      </c>
      <c r="E695" s="623" t="s">
        <v>1821</v>
      </c>
      <c r="F695" s="635">
        <v>-25320.63</v>
      </c>
      <c r="G695" s="635">
        <v>-8.3000000000000007</v>
      </c>
      <c r="H695" s="635">
        <v>-515.21</v>
      </c>
      <c r="I695" s="635">
        <v>-524.01</v>
      </c>
      <c r="J695" s="635">
        <v>-1324.65</v>
      </c>
      <c r="K695" s="635">
        <v>-1351.29</v>
      </c>
      <c r="L695" s="635">
        <v>-1862.76</v>
      </c>
      <c r="M695" s="635">
        <v>-2073.5500000000002</v>
      </c>
      <c r="N695" s="635">
        <v>-2277.0100000000002</v>
      </c>
      <c r="O695" s="635">
        <v>-2611.1</v>
      </c>
      <c r="P695" s="635">
        <v>-3018.85</v>
      </c>
      <c r="Q695" s="635">
        <v>-3038.46</v>
      </c>
      <c r="R695" s="635">
        <v>-3222.37</v>
      </c>
      <c r="S695" s="514">
        <f t="shared" si="171"/>
        <v>-2739.7241666666669</v>
      </c>
      <c r="T695" s="638"/>
      <c r="U695" s="675"/>
      <c r="V695" s="713"/>
      <c r="W695" s="713">
        <f t="shared" si="173"/>
        <v>-2739.7241666666669</v>
      </c>
      <c r="X695" s="736"/>
      <c r="Y695" s="713"/>
      <c r="Z695" s="713"/>
      <c r="AA695" s="675"/>
      <c r="AB695" s="713"/>
      <c r="AC695" s="677">
        <f t="shared" si="172"/>
        <v>-2739.7241666666669</v>
      </c>
      <c r="AD695" s="676"/>
      <c r="AE695" s="676"/>
      <c r="AF695" s="711">
        <f t="shared" si="168"/>
        <v>0</v>
      </c>
    </row>
    <row r="696" spans="1:32">
      <c r="A696" s="638">
        <v>686</v>
      </c>
      <c r="B696" s="342" t="s">
        <v>981</v>
      </c>
      <c r="C696" s="342" t="s">
        <v>655</v>
      </c>
      <c r="D696" s="638"/>
      <c r="E696" s="623" t="s">
        <v>1820</v>
      </c>
      <c r="F696" s="635">
        <v>-291152.65999999997</v>
      </c>
      <c r="G696" s="635">
        <v>-49036.05</v>
      </c>
      <c r="H696" s="635">
        <v>-93798.09</v>
      </c>
      <c r="I696" s="635">
        <v>-140846.35</v>
      </c>
      <c r="J696" s="635">
        <v>-181318.27</v>
      </c>
      <c r="K696" s="635">
        <v>-208200.92</v>
      </c>
      <c r="L696" s="635">
        <v>-247435.96</v>
      </c>
      <c r="M696" s="635">
        <v>-287914.62</v>
      </c>
      <c r="N696" s="635">
        <v>-346399.22</v>
      </c>
      <c r="O696" s="635">
        <v>-410815.07</v>
      </c>
      <c r="P696" s="635">
        <v>-486926.18</v>
      </c>
      <c r="Q696" s="635">
        <v>-563043.57999999996</v>
      </c>
      <c r="R696" s="635">
        <v>-649294.52</v>
      </c>
      <c r="S696" s="514">
        <f t="shared" si="171"/>
        <v>-290496.49166666664</v>
      </c>
      <c r="T696" s="638"/>
      <c r="U696" s="675"/>
      <c r="V696" s="713"/>
      <c r="W696" s="713">
        <f t="shared" si="173"/>
        <v>-290496.49166666664</v>
      </c>
      <c r="X696" s="736"/>
      <c r="Y696" s="713"/>
      <c r="Z696" s="713"/>
      <c r="AA696" s="675"/>
      <c r="AB696" s="713"/>
      <c r="AC696" s="677">
        <f t="shared" si="172"/>
        <v>-290496.49166666664</v>
      </c>
      <c r="AD696" s="676"/>
      <c r="AE696" s="676"/>
      <c r="AF696" s="711">
        <f t="shared" si="168"/>
        <v>0</v>
      </c>
    </row>
    <row r="697" spans="1:32">
      <c r="A697" s="638">
        <v>687</v>
      </c>
      <c r="B697" s="342" t="s">
        <v>981</v>
      </c>
      <c r="C697" s="342" t="s">
        <v>655</v>
      </c>
      <c r="D697" s="638"/>
      <c r="E697" s="623" t="s">
        <v>1820</v>
      </c>
      <c r="F697" s="635">
        <v>-47519.35</v>
      </c>
      <c r="G697" s="635">
        <v>0</v>
      </c>
      <c r="H697" s="635">
        <v>0</v>
      </c>
      <c r="I697" s="635">
        <v>0</v>
      </c>
      <c r="J697" s="635">
        <v>0</v>
      </c>
      <c r="K697" s="635">
        <v>0</v>
      </c>
      <c r="L697" s="635">
        <v>0</v>
      </c>
      <c r="M697" s="635">
        <v>16.91</v>
      </c>
      <c r="N697" s="635">
        <v>16.91</v>
      </c>
      <c r="O697" s="635">
        <v>16.91</v>
      </c>
      <c r="P697" s="635">
        <v>16.91</v>
      </c>
      <c r="Q697" s="635">
        <v>104.97</v>
      </c>
      <c r="R697" s="635">
        <v>104.97</v>
      </c>
      <c r="S697" s="514">
        <f t="shared" si="171"/>
        <v>-1961.2149999999999</v>
      </c>
      <c r="T697" s="638"/>
      <c r="U697" s="675"/>
      <c r="V697" s="713"/>
      <c r="W697" s="713">
        <f t="shared" si="173"/>
        <v>-1961.2149999999999</v>
      </c>
      <c r="X697" s="736"/>
      <c r="Y697" s="713"/>
      <c r="Z697" s="713"/>
      <c r="AA697" s="675"/>
      <c r="AB697" s="713"/>
      <c r="AC697" s="677">
        <f t="shared" si="172"/>
        <v>-1961.2149999999999</v>
      </c>
      <c r="AD697" s="676"/>
      <c r="AE697" s="676"/>
      <c r="AF697" s="711">
        <f t="shared" si="168"/>
        <v>0</v>
      </c>
    </row>
    <row r="698" spans="1:32">
      <c r="A698" s="638">
        <v>689</v>
      </c>
      <c r="B698" s="638"/>
      <c r="C698" s="638"/>
      <c r="D698" s="638"/>
      <c r="E698" s="623" t="s">
        <v>658</v>
      </c>
      <c r="F698" s="516">
        <f t="shared" ref="F698" si="174">SUM(F687:F697)</f>
        <v>-886903.13999999978</v>
      </c>
      <c r="G698" s="516">
        <f t="shared" ref="G698" si="175">SUM(G687:G697)</f>
        <v>-264051.61</v>
      </c>
      <c r="H698" s="516">
        <f t="shared" ref="H698" si="176">SUM(H687:H697)</f>
        <v>-530545.21</v>
      </c>
      <c r="I698" s="516">
        <f t="shared" ref="I698" si="177">SUM(I687:I697)</f>
        <v>-946745.59</v>
      </c>
      <c r="J698" s="516">
        <f t="shared" ref="J698" si="178">SUM(J687:J697)</f>
        <v>-1347209.95</v>
      </c>
      <c r="K698" s="516">
        <f t="shared" ref="K698" si="179">SUM(K687:K697)</f>
        <v>-1901734.3099999998</v>
      </c>
      <c r="L698" s="516">
        <f t="shared" ref="L698" si="180">SUM(L687:L697)</f>
        <v>-2391803.4299999997</v>
      </c>
      <c r="M698" s="516">
        <f t="shared" ref="M698" si="181">SUM(M687:M697)</f>
        <v>-2905923.9899999998</v>
      </c>
      <c r="N698" s="516">
        <f t="shared" ref="N698" si="182">SUM(N687:N697)</f>
        <v>-3489916.3200000003</v>
      </c>
      <c r="O698" s="516">
        <f t="shared" ref="O698" si="183">SUM(O687:O697)</f>
        <v>-4067973.73</v>
      </c>
      <c r="P698" s="516">
        <f t="shared" ref="P698" si="184">SUM(P687:P697)</f>
        <v>-4615175.05</v>
      </c>
      <c r="Q698" s="516">
        <f t="shared" ref="Q698" si="185">SUM(Q687:Q697)</f>
        <v>-5140167.6000000006</v>
      </c>
      <c r="R698" s="516">
        <f t="shared" ref="R698" si="186">SUM(R687:R697)</f>
        <v>-5675979.0900000008</v>
      </c>
      <c r="S698" s="516">
        <f>SUM(S687:S697)</f>
        <v>-2573557.3254166665</v>
      </c>
      <c r="T698" s="638"/>
      <c r="U698" s="675"/>
      <c r="V698" s="713"/>
      <c r="W698" s="713"/>
      <c r="X698" s="736"/>
      <c r="Y698" s="713"/>
      <c r="Z698" s="713"/>
      <c r="AA698" s="675"/>
      <c r="AB698" s="713"/>
      <c r="AC698" s="676"/>
      <c r="AD698" s="676"/>
      <c r="AE698" s="676"/>
    </row>
    <row r="699" spans="1:32">
      <c r="A699" s="638">
        <v>690</v>
      </c>
      <c r="B699" s="638"/>
      <c r="C699" s="638"/>
      <c r="D699" s="638"/>
      <c r="E699" s="623"/>
      <c r="F699" s="637"/>
      <c r="G699" s="340"/>
      <c r="H699" s="331"/>
      <c r="I699" s="331"/>
      <c r="J699" s="332"/>
      <c r="K699" s="333"/>
      <c r="L699" s="334"/>
      <c r="M699" s="335"/>
      <c r="N699" s="336"/>
      <c r="O699" s="624"/>
      <c r="P699" s="337"/>
      <c r="Q699" s="341"/>
      <c r="R699" s="637"/>
      <c r="S699" s="320"/>
      <c r="T699" s="638"/>
      <c r="U699" s="675"/>
      <c r="V699" s="713"/>
      <c r="W699" s="713"/>
      <c r="X699" s="736"/>
      <c r="Y699" s="713"/>
      <c r="Z699" s="713"/>
      <c r="AA699" s="675"/>
      <c r="AB699" s="713"/>
      <c r="AC699" s="676"/>
      <c r="AD699" s="676"/>
      <c r="AE699" s="676"/>
    </row>
    <row r="700" spans="1:32" ht="15" thickBot="1">
      <c r="A700" s="638">
        <v>691</v>
      </c>
      <c r="B700" s="557"/>
      <c r="C700" s="557"/>
      <c r="D700" s="557"/>
      <c r="E700" s="630" t="s">
        <v>659</v>
      </c>
      <c r="F700" s="348">
        <f t="shared" ref="F700:S700" si="187">+F698+F685+F615+F588+F546+F459+F419+F399</f>
        <v>-1117173255.4099998</v>
      </c>
      <c r="G700" s="348">
        <f t="shared" si="187"/>
        <v>-874125722.08000004</v>
      </c>
      <c r="H700" s="348">
        <f t="shared" si="187"/>
        <v>-939569369.36000013</v>
      </c>
      <c r="I700" s="348">
        <f t="shared" si="187"/>
        <v>-996037968.96000004</v>
      </c>
      <c r="J700" s="348">
        <f t="shared" si="187"/>
        <v>-998465333.85000002</v>
      </c>
      <c r="K700" s="348">
        <f t="shared" si="187"/>
        <v>-1006979612.15</v>
      </c>
      <c r="L700" s="348">
        <f t="shared" si="187"/>
        <v>-1026172554.4399999</v>
      </c>
      <c r="M700" s="348">
        <f t="shared" si="187"/>
        <v>-1052630814.3600001</v>
      </c>
      <c r="N700" s="348">
        <f t="shared" si="187"/>
        <v>-1077947351.52</v>
      </c>
      <c r="O700" s="348">
        <f t="shared" si="187"/>
        <v>-1095026663.54</v>
      </c>
      <c r="P700" s="348">
        <f t="shared" si="187"/>
        <v>-1143148336.5699997</v>
      </c>
      <c r="Q700" s="348">
        <f t="shared" si="187"/>
        <v>-1193037825.9899998</v>
      </c>
      <c r="R700" s="348">
        <f t="shared" si="187"/>
        <v>-1262198971.3000002</v>
      </c>
      <c r="S700" s="348">
        <f t="shared" si="187"/>
        <v>-1049402305.5145833</v>
      </c>
      <c r="T700" s="557"/>
      <c r="U700" s="680"/>
      <c r="V700" s="714"/>
      <c r="W700" s="714"/>
      <c r="X700" s="739"/>
      <c r="Y700" s="714"/>
      <c r="Z700" s="714"/>
      <c r="AA700" s="680"/>
      <c r="AB700" s="714"/>
      <c r="AC700" s="681"/>
      <c r="AD700" s="681"/>
      <c r="AE700" s="681"/>
    </row>
    <row r="701" spans="1:32" ht="15" thickTop="1">
      <c r="A701" s="638">
        <v>692</v>
      </c>
      <c r="B701" s="638"/>
      <c r="C701" s="638"/>
      <c r="D701" s="638"/>
      <c r="E701" s="638"/>
      <c r="F701" s="638"/>
      <c r="G701" s="638"/>
      <c r="H701" s="638"/>
      <c r="I701" s="638"/>
      <c r="J701" s="638"/>
      <c r="K701" s="638"/>
      <c r="L701" s="638"/>
      <c r="M701" s="638"/>
      <c r="N701" s="638"/>
      <c r="O701" s="638"/>
      <c r="P701" s="638"/>
      <c r="Q701" s="638"/>
      <c r="R701" s="638"/>
      <c r="S701" s="343"/>
      <c r="T701" s="638"/>
      <c r="U701" s="742"/>
      <c r="V701" s="743"/>
      <c r="W701" s="743"/>
      <c r="X701" s="743"/>
      <c r="Y701" s="743"/>
      <c r="Z701" s="743"/>
      <c r="AA701" s="742"/>
      <c r="AB701" s="743"/>
      <c r="AC701" s="744"/>
      <c r="AD701" s="744"/>
      <c r="AE701" s="744"/>
    </row>
    <row r="702" spans="1:32">
      <c r="A702" s="638">
        <v>693</v>
      </c>
      <c r="B702" s="638"/>
      <c r="C702" s="638"/>
      <c r="D702" s="638"/>
      <c r="E702" s="638"/>
      <c r="F702" s="638"/>
      <c r="G702" s="638"/>
      <c r="H702" s="638"/>
      <c r="I702" s="638"/>
      <c r="J702" s="638"/>
      <c r="K702" s="638"/>
      <c r="L702" s="638"/>
      <c r="M702" s="638"/>
      <c r="N702" s="638"/>
      <c r="O702" s="638"/>
      <c r="P702" s="638"/>
      <c r="Q702" s="638"/>
      <c r="R702" s="638"/>
      <c r="S702" s="343"/>
      <c r="T702" s="638"/>
      <c r="U702" s="343"/>
      <c r="V702" s="728"/>
      <c r="W702" s="728"/>
      <c r="X702" s="728"/>
      <c r="Y702" s="728"/>
      <c r="Z702" s="728"/>
      <c r="AA702" s="343"/>
      <c r="AB702" s="728"/>
      <c r="AC702" s="638"/>
      <c r="AD702" s="638"/>
      <c r="AE702" s="638"/>
    </row>
    <row r="703" spans="1:32">
      <c r="A703" s="638">
        <v>694</v>
      </c>
      <c r="B703" s="638"/>
      <c r="C703" s="638"/>
      <c r="D703" s="638"/>
      <c r="E703" s="557" t="s">
        <v>1274</v>
      </c>
      <c r="F703" s="638"/>
      <c r="G703" s="638"/>
      <c r="H703" s="638"/>
      <c r="I703" s="638"/>
      <c r="J703" s="638"/>
      <c r="K703" s="638"/>
      <c r="L703" s="638"/>
      <c r="M703" s="638"/>
      <c r="N703" s="638"/>
      <c r="O703" s="638"/>
      <c r="P703" s="638"/>
      <c r="Q703" s="638"/>
      <c r="R703" s="638"/>
      <c r="S703" s="343"/>
      <c r="T703" s="638"/>
      <c r="U703" s="360">
        <f t="shared" ref="U703:AD703" si="188">SUM(U15:U698)</f>
        <v>226453054.14000002</v>
      </c>
      <c r="V703" s="715">
        <f t="shared" si="188"/>
        <v>-213982709.2083334</v>
      </c>
      <c r="W703" s="715">
        <f t="shared" si="188"/>
        <v>-608665589.31624961</v>
      </c>
      <c r="X703" s="715">
        <f t="shared" si="188"/>
        <v>596195244.38458323</v>
      </c>
      <c r="Y703" s="715">
        <f t="shared" si="188"/>
        <v>361675908.75521296</v>
      </c>
      <c r="Z703" s="715">
        <f t="shared" si="188"/>
        <v>116788178.80603699</v>
      </c>
      <c r="AA703" s="360">
        <f t="shared" si="188"/>
        <v>0</v>
      </c>
      <c r="AB703" s="715">
        <f t="shared" si="188"/>
        <v>117731156.8233334</v>
      </c>
      <c r="AC703" s="745">
        <f t="shared" si="188"/>
        <v>-608665589.31624961</v>
      </c>
      <c r="AD703" s="745">
        <f t="shared" si="188"/>
        <v>12470344.931666918</v>
      </c>
      <c r="AE703" s="344">
        <f>+AB703+Z703+Y703</f>
        <v>596195244.38458335</v>
      </c>
    </row>
    <row r="704" spans="1:32">
      <c r="A704" s="638">
        <v>695</v>
      </c>
      <c r="B704" s="638"/>
      <c r="C704" s="638"/>
      <c r="D704" s="638"/>
      <c r="E704" s="638" t="s">
        <v>1275</v>
      </c>
      <c r="F704" s="638"/>
      <c r="G704" s="638"/>
      <c r="H704" s="638"/>
      <c r="I704" s="638"/>
      <c r="J704" s="638"/>
      <c r="K704" s="638"/>
      <c r="L704" s="638"/>
      <c r="M704" s="638"/>
      <c r="N704" s="638"/>
      <c r="O704" s="638"/>
      <c r="P704" s="638"/>
      <c r="Q704" s="638"/>
      <c r="R704" s="638"/>
      <c r="S704" s="343"/>
      <c r="T704" s="638"/>
      <c r="U704" s="732" t="s">
        <v>1276</v>
      </c>
      <c r="V704" s="715">
        <f>+U703+V703</f>
        <v>12470344.931666613</v>
      </c>
      <c r="W704" s="733" t="s">
        <v>1277</v>
      </c>
      <c r="X704" s="728">
        <f>-W703-X703</f>
        <v>12470344.931666374</v>
      </c>
      <c r="Y704" s="728"/>
      <c r="Z704" s="728"/>
      <c r="AA704" s="343"/>
      <c r="AB704" s="728"/>
      <c r="AC704" s="344">
        <f>+AB703+Z703+Y703</f>
        <v>596195244.38458335</v>
      </c>
      <c r="AD704" s="638"/>
      <c r="AE704" s="344">
        <f>+AE703-X703</f>
        <v>0</v>
      </c>
    </row>
    <row r="705" spans="1:31">
      <c r="A705" s="638">
        <v>696</v>
      </c>
      <c r="B705" s="638"/>
      <c r="C705" s="638"/>
      <c r="D705" s="638"/>
      <c r="E705" s="638"/>
      <c r="F705" s="638"/>
      <c r="G705" s="638"/>
      <c r="H705" s="638"/>
      <c r="I705" s="638"/>
      <c r="J705" s="638"/>
      <c r="K705" s="638"/>
      <c r="L705" s="638"/>
      <c r="M705" s="638"/>
      <c r="N705" s="638"/>
      <c r="O705" s="638"/>
      <c r="P705" s="638"/>
      <c r="Q705" s="638"/>
      <c r="R705" s="638"/>
      <c r="S705" s="343"/>
      <c r="T705" s="638"/>
      <c r="U705" s="343"/>
      <c r="V705" s="728"/>
      <c r="W705" s="728"/>
      <c r="X705" s="715">
        <f>+X704-V704</f>
        <v>-2.384185791015625E-7</v>
      </c>
      <c r="Y705" s="728"/>
      <c r="Z705" s="728"/>
      <c r="AA705" s="343">
        <f>+Y703+Z703+AB703-X703</f>
        <v>0</v>
      </c>
      <c r="AB705" s="728"/>
      <c r="AC705" s="638"/>
      <c r="AD705" s="344"/>
      <c r="AE705" s="638"/>
    </row>
    <row r="706" spans="1:31">
      <c r="A706" s="638">
        <v>697</v>
      </c>
      <c r="B706" s="638"/>
      <c r="C706" s="638"/>
      <c r="D706" s="638"/>
      <c r="E706" s="638" t="s">
        <v>1278</v>
      </c>
      <c r="F706" s="638"/>
      <c r="G706" s="638"/>
      <c r="H706" s="638"/>
      <c r="I706" s="638"/>
      <c r="J706" s="638"/>
      <c r="K706" s="638"/>
      <c r="L706" s="638"/>
      <c r="M706" s="638"/>
      <c r="N706" s="638"/>
      <c r="O706" s="638"/>
      <c r="P706" s="638"/>
      <c r="Q706" s="638"/>
      <c r="R706" s="638"/>
      <c r="S706" s="343"/>
      <c r="T706" s="638"/>
      <c r="U706" s="343"/>
      <c r="V706" s="728"/>
      <c r="W706" s="728"/>
      <c r="X706" s="728">
        <f>+X703-Y703-Z703-AB703</f>
        <v>-1.1920928955078125E-7</v>
      </c>
      <c r="Y706" s="674">
        <f>+Y703/AC704</f>
        <v>0.60664004310961817</v>
      </c>
      <c r="Z706" s="674">
        <f>+Z703/AC704</f>
        <v>0.19588914857345169</v>
      </c>
      <c r="AA706" s="674"/>
      <c r="AB706" s="674">
        <f>+AB703/AC704</f>
        <v>0.19747080831693017</v>
      </c>
      <c r="AC706" s="638"/>
      <c r="AD706" s="638"/>
      <c r="AE706" s="638"/>
    </row>
    <row r="707" spans="1:31">
      <c r="A707" s="638">
        <v>698</v>
      </c>
      <c r="B707" s="638"/>
      <c r="C707" s="638"/>
      <c r="D707" s="638"/>
      <c r="E707" s="638"/>
      <c r="F707" s="638"/>
      <c r="G707" s="638"/>
      <c r="H707" s="638"/>
      <c r="I707" s="638"/>
      <c r="J707" s="638"/>
      <c r="K707" s="638"/>
      <c r="L707" s="638"/>
      <c r="M707" s="638"/>
      <c r="N707" s="638"/>
      <c r="O707" s="638"/>
      <c r="P707" s="638"/>
      <c r="Q707" s="638"/>
      <c r="R707" s="638"/>
      <c r="S707" s="343"/>
      <c r="T707" s="638"/>
      <c r="U707" s="343"/>
      <c r="V707" s="728"/>
      <c r="W707" s="728"/>
      <c r="X707" s="728"/>
      <c r="Y707" s="728"/>
      <c r="Z707" s="728"/>
      <c r="AA707" s="343"/>
      <c r="AB707" s="728"/>
      <c r="AC707" s="638"/>
      <c r="AD707" s="638"/>
      <c r="AE707" s="638"/>
    </row>
    <row r="708" spans="1:31">
      <c r="A708" s="638">
        <v>699</v>
      </c>
      <c r="B708" s="638"/>
      <c r="C708" s="638"/>
      <c r="D708" s="638"/>
      <c r="E708" s="638" t="s">
        <v>1279</v>
      </c>
      <c r="F708" s="638"/>
      <c r="G708" s="638"/>
      <c r="H708" s="638"/>
      <c r="I708" s="638"/>
      <c r="J708" s="638"/>
      <c r="K708" s="638"/>
      <c r="L708" s="638"/>
      <c r="M708" s="638"/>
      <c r="N708" s="638"/>
      <c r="O708" s="638"/>
      <c r="P708" s="638"/>
      <c r="Q708" s="638"/>
      <c r="R708" s="638"/>
      <c r="S708" s="343"/>
      <c r="T708" s="638"/>
      <c r="U708" s="343"/>
      <c r="V708" s="728"/>
      <c r="W708" s="728"/>
      <c r="X708" s="728"/>
      <c r="Y708" s="746">
        <f>+X704*Y706</f>
        <v>7565010.5869378978</v>
      </c>
      <c r="Z708" s="728">
        <f>+X704*Z706</f>
        <v>2442805.2510813847</v>
      </c>
      <c r="AA708" s="343"/>
      <c r="AB708" s="728">
        <f>+X704*AB706</f>
        <v>2462529.0936470921</v>
      </c>
      <c r="AC708" s="638"/>
      <c r="AD708" s="638"/>
      <c r="AE708" s="638"/>
    </row>
    <row r="709" spans="1:31">
      <c r="A709" s="638"/>
      <c r="B709" s="638"/>
      <c r="C709" s="638"/>
      <c r="D709" s="638"/>
      <c r="E709" s="638"/>
      <c r="F709" s="638"/>
      <c r="G709" s="638"/>
      <c r="H709" s="638"/>
      <c r="I709" s="638"/>
      <c r="J709" s="638"/>
      <c r="K709" s="638"/>
      <c r="L709" s="638"/>
      <c r="M709" s="638"/>
      <c r="N709" s="638"/>
      <c r="O709" s="638"/>
      <c r="P709" s="638"/>
      <c r="Q709" s="638"/>
      <c r="R709" s="638"/>
      <c r="S709" s="343"/>
      <c r="T709" s="638"/>
      <c r="U709" s="343"/>
      <c r="V709" s="728"/>
      <c r="W709" s="728"/>
      <c r="X709" s="728"/>
      <c r="Y709" s="728"/>
      <c r="Z709" s="728"/>
      <c r="AA709" s="343"/>
      <c r="AB709" s="728"/>
      <c r="AC709" s="638"/>
      <c r="AD709" s="638"/>
      <c r="AE709" s="638"/>
    </row>
    <row r="710" spans="1:31">
      <c r="A710" s="638"/>
      <c r="B710" s="638"/>
      <c r="C710" s="638"/>
      <c r="D710" s="638"/>
      <c r="E710" s="638"/>
      <c r="F710" s="638"/>
      <c r="G710" s="638"/>
      <c r="H710" s="638"/>
      <c r="I710" s="638"/>
      <c r="J710" s="638"/>
      <c r="K710" s="638"/>
      <c r="L710" s="638"/>
      <c r="M710" s="638"/>
      <c r="N710" s="638"/>
      <c r="O710" s="638"/>
      <c r="P710" s="638"/>
      <c r="Q710" s="638"/>
      <c r="R710" s="638"/>
      <c r="S710" s="343"/>
      <c r="T710" s="638"/>
      <c r="U710" s="343"/>
      <c r="V710" s="728"/>
      <c r="W710" s="728"/>
      <c r="X710" s="728"/>
      <c r="Y710" s="728"/>
      <c r="Z710" s="728"/>
      <c r="AA710" s="343"/>
      <c r="AB710" s="728"/>
      <c r="AC710" s="638"/>
      <c r="AD710" s="638"/>
      <c r="AE710" s="638"/>
    </row>
    <row r="711" spans="1:31">
      <c r="A711" s="638"/>
      <c r="B711" s="638"/>
      <c r="C711" s="638"/>
      <c r="D711" s="638"/>
      <c r="E711" s="638"/>
      <c r="F711" s="638"/>
      <c r="G711" s="638"/>
      <c r="H711" s="638"/>
      <c r="I711" s="638"/>
      <c r="J711" s="638"/>
      <c r="K711" s="638"/>
      <c r="L711" s="638"/>
      <c r="M711" s="638"/>
      <c r="N711" s="638"/>
      <c r="O711" s="638"/>
      <c r="P711" s="638"/>
      <c r="Q711" s="638"/>
      <c r="R711" s="638"/>
      <c r="S711" s="343"/>
      <c r="T711" s="638"/>
      <c r="U711" s="343"/>
      <c r="V711" s="728"/>
      <c r="W711" s="728"/>
      <c r="X711" s="728"/>
      <c r="Y711" s="728"/>
      <c r="Z711" s="728"/>
      <c r="AA711" s="343"/>
      <c r="AB711" s="728"/>
      <c r="AC711" s="638"/>
      <c r="AD711" s="638"/>
      <c r="AE711" s="638"/>
    </row>
    <row r="712" spans="1:31">
      <c r="A712" s="638"/>
      <c r="B712" s="638"/>
      <c r="C712" s="638"/>
      <c r="D712" s="638"/>
      <c r="E712" s="638"/>
      <c r="F712" s="638"/>
      <c r="G712" s="638"/>
      <c r="H712" s="638"/>
      <c r="I712" s="638"/>
      <c r="J712" s="638"/>
      <c r="K712" s="638"/>
      <c r="L712" s="638"/>
      <c r="M712" s="638"/>
      <c r="N712" s="638"/>
      <c r="O712" s="638"/>
      <c r="P712" s="638"/>
      <c r="Q712" s="638"/>
      <c r="R712" s="638"/>
      <c r="S712" s="343"/>
      <c r="T712" s="638"/>
      <c r="U712" s="343"/>
      <c r="V712" s="728"/>
      <c r="W712" s="728"/>
      <c r="X712" s="728"/>
      <c r="Y712" s="728"/>
      <c r="Z712" s="728"/>
      <c r="AA712" s="343"/>
      <c r="AB712" s="728"/>
      <c r="AC712" s="638"/>
      <c r="AD712" s="638"/>
      <c r="AE712" s="638"/>
    </row>
    <row r="713" spans="1:31">
      <c r="A713" s="638"/>
      <c r="B713" s="638"/>
      <c r="C713" s="638"/>
      <c r="D713" s="638"/>
      <c r="E713" s="638"/>
      <c r="F713" s="638"/>
      <c r="G713" s="638"/>
      <c r="H713" s="638"/>
      <c r="I713" s="638"/>
      <c r="J713" s="638"/>
      <c r="K713" s="638"/>
      <c r="L713" s="638"/>
      <c r="M713" s="638"/>
      <c r="N713" s="638"/>
      <c r="O713" s="638"/>
      <c r="P713" s="638"/>
      <c r="Q713" s="638"/>
      <c r="R713" s="638"/>
      <c r="S713" s="343"/>
      <c r="T713" s="638"/>
      <c r="U713" s="343"/>
      <c r="V713" s="728"/>
      <c r="W713" s="728"/>
      <c r="X713" s="728"/>
      <c r="Y713" s="728"/>
      <c r="Z713" s="728"/>
      <c r="AA713" s="343"/>
      <c r="AB713" s="728"/>
      <c r="AC713" s="638"/>
      <c r="AD713" s="638"/>
      <c r="AE713" s="638"/>
    </row>
    <row r="714" spans="1:31">
      <c r="A714" s="638"/>
      <c r="B714" s="638"/>
      <c r="C714" s="638"/>
      <c r="D714" s="638"/>
      <c r="E714" s="638"/>
      <c r="F714" s="638"/>
      <c r="G714" s="638"/>
      <c r="H714" s="638"/>
      <c r="I714" s="638"/>
      <c r="J714" s="638"/>
      <c r="K714" s="638"/>
      <c r="L714" s="638"/>
      <c r="M714" s="638"/>
      <c r="N714" s="638"/>
      <c r="O714" s="638"/>
      <c r="P714" s="638"/>
      <c r="Q714" s="638"/>
      <c r="R714" s="638"/>
      <c r="S714" s="343"/>
      <c r="T714" s="638"/>
      <c r="U714" s="343"/>
      <c r="V714" s="728"/>
      <c r="W714" s="728"/>
      <c r="X714" s="728"/>
      <c r="Y714" s="728"/>
      <c r="Z714" s="728"/>
      <c r="AA714" s="343"/>
      <c r="AB714" s="728"/>
      <c r="AC714" s="638"/>
      <c r="AD714" s="638"/>
      <c r="AE714" s="638"/>
    </row>
    <row r="715" spans="1:31">
      <c r="A715" s="638"/>
      <c r="B715" s="638"/>
      <c r="C715" s="638"/>
      <c r="D715" s="638"/>
      <c r="E715" s="638"/>
      <c r="F715" s="638"/>
      <c r="G715" s="638"/>
      <c r="H715" s="638"/>
      <c r="I715" s="638"/>
      <c r="J715" s="638"/>
      <c r="K715" s="638"/>
      <c r="L715" s="638"/>
      <c r="M715" s="638"/>
      <c r="N715" s="638"/>
      <c r="O715" s="638"/>
      <c r="P715" s="638"/>
      <c r="Q715" s="638"/>
      <c r="R715" s="638"/>
      <c r="S715" s="343"/>
      <c r="T715" s="638"/>
      <c r="U715" s="343"/>
      <c r="V715" s="728"/>
      <c r="W715" s="728"/>
      <c r="X715" s="728"/>
      <c r="Y715" s="728"/>
      <c r="Z715" s="728"/>
      <c r="AA715" s="343"/>
      <c r="AB715" s="728"/>
      <c r="AC715" s="638"/>
      <c r="AD715" s="638"/>
      <c r="AE715" s="638"/>
    </row>
    <row r="716" spans="1:31">
      <c r="A716" s="638"/>
      <c r="B716" s="638"/>
      <c r="C716" s="638"/>
      <c r="D716" s="638"/>
      <c r="E716" s="638"/>
      <c r="F716" s="638"/>
      <c r="G716" s="638"/>
      <c r="H716" s="638"/>
      <c r="I716" s="638"/>
      <c r="J716" s="638"/>
      <c r="K716" s="638"/>
      <c r="L716" s="638"/>
      <c r="M716" s="638"/>
      <c r="N716" s="638"/>
      <c r="O716" s="638"/>
      <c r="P716" s="638"/>
      <c r="Q716" s="638"/>
      <c r="R716" s="638"/>
      <c r="S716" s="343"/>
      <c r="T716" s="638"/>
      <c r="U716" s="343"/>
      <c r="V716" s="728"/>
      <c r="W716" s="728"/>
      <c r="X716" s="728"/>
      <c r="Y716" s="728"/>
      <c r="Z716" s="728"/>
      <c r="AA716" s="343"/>
      <c r="AB716" s="728"/>
      <c r="AC716" s="638"/>
      <c r="AD716" s="638"/>
      <c r="AE716" s="638"/>
    </row>
    <row r="717" spans="1:31">
      <c r="A717" s="638"/>
      <c r="B717" s="638"/>
      <c r="C717" s="638"/>
      <c r="D717" s="638"/>
      <c r="E717" s="638"/>
      <c r="F717" s="638"/>
      <c r="G717" s="638"/>
      <c r="H717" s="638"/>
      <c r="I717" s="638"/>
      <c r="J717" s="638"/>
      <c r="K717" s="638"/>
      <c r="L717" s="638"/>
      <c r="M717" s="638"/>
      <c r="N717" s="638"/>
      <c r="O717" s="638"/>
      <c r="P717" s="638"/>
      <c r="Q717" s="638"/>
      <c r="R717" s="638"/>
      <c r="S717" s="343"/>
      <c r="T717" s="638"/>
      <c r="U717" s="343"/>
      <c r="V717" s="728"/>
      <c r="W717" s="728"/>
      <c r="X717" s="728"/>
      <c r="Y717" s="728"/>
      <c r="Z717" s="728"/>
      <c r="AA717" s="343"/>
      <c r="AB717" s="728"/>
      <c r="AC717" s="638"/>
      <c r="AD717" s="638"/>
      <c r="AE717" s="638"/>
    </row>
    <row r="718" spans="1:31">
      <c r="A718" s="638"/>
      <c r="B718" s="638"/>
      <c r="C718" s="638"/>
      <c r="D718" s="638"/>
      <c r="E718" s="638"/>
      <c r="F718" s="638"/>
      <c r="G718" s="638"/>
      <c r="H718" s="638"/>
      <c r="I718" s="638"/>
      <c r="J718" s="638"/>
      <c r="K718" s="638"/>
      <c r="L718" s="638"/>
      <c r="M718" s="638"/>
      <c r="N718" s="638"/>
      <c r="O718" s="638"/>
      <c r="P718" s="638"/>
      <c r="Q718" s="638"/>
      <c r="R718" s="638"/>
      <c r="S718" s="343"/>
      <c r="T718" s="638"/>
      <c r="U718" s="343"/>
      <c r="V718" s="728"/>
      <c r="W718" s="728"/>
      <c r="X718" s="728"/>
      <c r="Y718" s="728"/>
      <c r="Z718" s="728"/>
      <c r="AA718" s="343"/>
      <c r="AB718" s="728"/>
      <c r="AC718" s="638"/>
      <c r="AD718" s="638"/>
      <c r="AE718" s="638"/>
    </row>
    <row r="719" spans="1:31">
      <c r="A719" s="638"/>
      <c r="B719" s="638"/>
      <c r="C719" s="638"/>
      <c r="D719" s="638"/>
      <c r="E719" s="638"/>
      <c r="F719" s="638"/>
      <c r="G719" s="638"/>
      <c r="H719" s="638"/>
      <c r="I719" s="638"/>
      <c r="J719" s="638"/>
      <c r="K719" s="638"/>
      <c r="L719" s="638"/>
      <c r="M719" s="638"/>
      <c r="N719" s="638"/>
      <c r="O719" s="638"/>
      <c r="P719" s="638"/>
      <c r="Q719" s="638"/>
      <c r="R719" s="638"/>
      <c r="S719" s="343"/>
      <c r="T719" s="638"/>
      <c r="U719" s="343"/>
      <c r="V719" s="728"/>
      <c r="W719" s="728"/>
      <c r="X719" s="728"/>
      <c r="Y719" s="728"/>
      <c r="Z719" s="728"/>
      <c r="AA719" s="343"/>
      <c r="AB719" s="728"/>
      <c r="AC719" s="638"/>
      <c r="AD719" s="638"/>
      <c r="AE719" s="638"/>
    </row>
    <row r="720" spans="1:31">
      <c r="A720" s="638"/>
      <c r="B720" s="638"/>
      <c r="C720" s="638"/>
      <c r="D720" s="638"/>
      <c r="E720" s="638"/>
      <c r="F720" s="638"/>
      <c r="G720" s="638"/>
      <c r="H720" s="638"/>
      <c r="I720" s="638"/>
      <c r="J720" s="638"/>
      <c r="K720" s="638"/>
      <c r="L720" s="638"/>
      <c r="M720" s="638"/>
      <c r="N720" s="638"/>
      <c r="O720" s="638"/>
      <c r="P720" s="638"/>
      <c r="Q720" s="638"/>
      <c r="R720" s="638"/>
      <c r="S720" s="343"/>
      <c r="T720" s="638"/>
      <c r="U720" s="343"/>
      <c r="V720" s="728"/>
      <c r="W720" s="728"/>
      <c r="X720" s="728"/>
      <c r="Y720" s="728"/>
      <c r="Z720" s="728"/>
      <c r="AA720" s="343"/>
      <c r="AB720" s="728"/>
      <c r="AC720" s="638"/>
      <c r="AD720" s="638"/>
      <c r="AE720" s="638"/>
    </row>
    <row r="721" spans="1:31">
      <c r="A721" s="638"/>
      <c r="B721" s="638"/>
      <c r="C721" s="638"/>
      <c r="D721" s="638"/>
      <c r="E721" s="638"/>
      <c r="F721" s="638"/>
      <c r="G721" s="638"/>
      <c r="H721" s="638"/>
      <c r="I721" s="638"/>
      <c r="J721" s="638"/>
      <c r="K721" s="638"/>
      <c r="L721" s="638"/>
      <c r="M721" s="638"/>
      <c r="N721" s="638"/>
      <c r="O721" s="638"/>
      <c r="P721" s="638"/>
      <c r="Q721" s="638"/>
      <c r="R721" s="638"/>
      <c r="S721" s="343"/>
      <c r="T721" s="638"/>
      <c r="U721" s="343"/>
      <c r="V721" s="728"/>
      <c r="W721" s="728"/>
      <c r="X721" s="728"/>
      <c r="Y721" s="728"/>
      <c r="Z721" s="728"/>
      <c r="AA721" s="343"/>
      <c r="AB721" s="728"/>
      <c r="AC721" s="638"/>
      <c r="AD721" s="638"/>
      <c r="AE721" s="638"/>
    </row>
    <row r="722" spans="1:31">
      <c r="A722" s="638"/>
      <c r="B722" s="638"/>
      <c r="C722" s="638"/>
      <c r="D722" s="638"/>
      <c r="E722" s="638"/>
      <c r="F722" s="638"/>
      <c r="G722" s="638"/>
      <c r="H722" s="638"/>
      <c r="I722" s="638"/>
      <c r="J722" s="638"/>
      <c r="K722" s="638"/>
      <c r="L722" s="638"/>
      <c r="M722" s="638"/>
      <c r="N722" s="638"/>
      <c r="O722" s="638"/>
      <c r="P722" s="638"/>
      <c r="Q722" s="638"/>
      <c r="R722" s="638"/>
      <c r="S722" s="343"/>
      <c r="T722" s="638"/>
      <c r="U722" s="343"/>
      <c r="V722" s="728"/>
      <c r="W722" s="728"/>
      <c r="X722" s="728"/>
      <c r="Y722" s="728"/>
      <c r="Z722" s="728"/>
      <c r="AA722" s="343"/>
      <c r="AB722" s="728"/>
      <c r="AC722" s="638"/>
      <c r="AD722" s="638"/>
      <c r="AE722" s="638"/>
    </row>
    <row r="723" spans="1:31">
      <c r="A723" s="638"/>
      <c r="B723" s="638"/>
      <c r="C723" s="638"/>
      <c r="D723" s="638"/>
      <c r="E723" s="638"/>
      <c r="F723" s="638"/>
      <c r="G723" s="638"/>
      <c r="H723" s="638"/>
      <c r="I723" s="638"/>
      <c r="J723" s="638"/>
      <c r="K723" s="638"/>
      <c r="L723" s="638"/>
      <c r="M723" s="638"/>
      <c r="N723" s="638"/>
      <c r="O723" s="638"/>
      <c r="P723" s="638"/>
      <c r="Q723" s="638"/>
      <c r="R723" s="638"/>
      <c r="S723" s="343"/>
      <c r="T723" s="638"/>
      <c r="U723" s="343"/>
      <c r="V723" s="728"/>
      <c r="W723" s="728"/>
      <c r="X723" s="728"/>
      <c r="Y723" s="728"/>
      <c r="Z723" s="728"/>
      <c r="AA723" s="343"/>
      <c r="AB723" s="728"/>
      <c r="AC723" s="638"/>
      <c r="AD723" s="638"/>
      <c r="AE723" s="638"/>
    </row>
    <row r="724" spans="1:31">
      <c r="A724" s="638"/>
      <c r="B724" s="638"/>
      <c r="C724" s="638"/>
      <c r="D724" s="638"/>
      <c r="E724" s="638"/>
      <c r="F724" s="638"/>
      <c r="G724" s="638"/>
      <c r="H724" s="638"/>
      <c r="I724" s="638"/>
      <c r="J724" s="638"/>
      <c r="K724" s="638"/>
      <c r="L724" s="638"/>
      <c r="M724" s="638"/>
      <c r="N724" s="638"/>
      <c r="O724" s="638"/>
      <c r="P724" s="638"/>
      <c r="Q724" s="638"/>
      <c r="R724" s="638"/>
      <c r="S724" s="343"/>
      <c r="T724" s="638"/>
      <c r="U724" s="343"/>
      <c r="V724" s="728"/>
      <c r="W724" s="728"/>
      <c r="X724" s="728"/>
      <c r="Y724" s="728"/>
      <c r="Z724" s="728"/>
      <c r="AA724" s="343"/>
      <c r="AB724" s="728"/>
      <c r="AC724" s="638"/>
      <c r="AD724" s="638"/>
      <c r="AE724" s="638"/>
    </row>
    <row r="725" spans="1:31">
      <c r="A725" s="638"/>
      <c r="B725" s="638"/>
      <c r="C725" s="638"/>
      <c r="D725" s="638"/>
      <c r="E725" s="638"/>
      <c r="F725" s="638"/>
      <c r="G725" s="638"/>
      <c r="H725" s="638"/>
      <c r="I725" s="638"/>
      <c r="J725" s="638"/>
      <c r="K725" s="638"/>
      <c r="L725" s="638"/>
      <c r="M725" s="638"/>
      <c r="N725" s="638"/>
      <c r="O725" s="638"/>
      <c r="P725" s="638"/>
      <c r="Q725" s="638"/>
      <c r="R725" s="638"/>
      <c r="S725" s="343"/>
      <c r="T725" s="638"/>
      <c r="U725" s="343"/>
      <c r="V725" s="728"/>
      <c r="W725" s="728"/>
      <c r="X725" s="728"/>
      <c r="Y725" s="728"/>
      <c r="Z725" s="728"/>
      <c r="AA725" s="343"/>
      <c r="AB725" s="728"/>
      <c r="AC725" s="638"/>
      <c r="AD725" s="638"/>
      <c r="AE725" s="638"/>
    </row>
    <row r="726" spans="1:31">
      <c r="A726" s="638"/>
      <c r="B726" s="638"/>
      <c r="C726" s="638"/>
      <c r="D726" s="638"/>
      <c r="E726" s="638"/>
      <c r="F726" s="638"/>
      <c r="G726" s="638"/>
      <c r="H726" s="638"/>
      <c r="I726" s="638"/>
      <c r="J726" s="638"/>
      <c r="K726" s="638"/>
      <c r="L726" s="638"/>
      <c r="M726" s="638"/>
      <c r="N726" s="638"/>
      <c r="O726" s="638"/>
      <c r="P726" s="638"/>
      <c r="Q726" s="638"/>
      <c r="R726" s="638"/>
      <c r="S726" s="343"/>
      <c r="T726" s="638"/>
      <c r="U726" s="343"/>
      <c r="V726" s="728"/>
      <c r="W726" s="728"/>
      <c r="X726" s="728"/>
      <c r="Y726" s="728"/>
      <c r="Z726" s="728"/>
      <c r="AA726" s="343"/>
      <c r="AB726" s="728"/>
      <c r="AC726" s="638"/>
      <c r="AD726" s="638"/>
      <c r="AE726" s="638"/>
    </row>
    <row r="727" spans="1:31">
      <c r="A727" s="638"/>
      <c r="B727" s="638"/>
      <c r="C727" s="638"/>
      <c r="D727" s="638"/>
      <c r="E727" s="638"/>
      <c r="F727" s="638"/>
      <c r="G727" s="638"/>
      <c r="H727" s="638"/>
      <c r="I727" s="638"/>
      <c r="J727" s="638"/>
      <c r="K727" s="638"/>
      <c r="L727" s="638"/>
      <c r="M727" s="638"/>
      <c r="N727" s="638"/>
      <c r="O727" s="638"/>
      <c r="P727" s="638"/>
      <c r="Q727" s="638"/>
      <c r="R727" s="638"/>
      <c r="S727" s="343"/>
      <c r="T727" s="638"/>
      <c r="U727" s="343"/>
      <c r="V727" s="728"/>
      <c r="W727" s="728"/>
      <c r="X727" s="728"/>
      <c r="Y727" s="728"/>
      <c r="Z727" s="728"/>
      <c r="AA727" s="343"/>
      <c r="AB727" s="728"/>
      <c r="AC727" s="638"/>
      <c r="AD727" s="638"/>
      <c r="AE727" s="638"/>
    </row>
    <row r="728" spans="1:31">
      <c r="A728" s="638"/>
      <c r="B728" s="638"/>
      <c r="C728" s="638"/>
      <c r="D728" s="638"/>
      <c r="E728" s="638"/>
      <c r="F728" s="638"/>
      <c r="G728" s="638"/>
      <c r="H728" s="638"/>
      <c r="I728" s="638"/>
      <c r="J728" s="638"/>
      <c r="K728" s="638"/>
      <c r="L728" s="638"/>
      <c r="M728" s="638"/>
      <c r="N728" s="638"/>
      <c r="O728" s="638"/>
      <c r="P728" s="638"/>
      <c r="Q728" s="638"/>
      <c r="R728" s="638"/>
      <c r="S728" s="343"/>
      <c r="T728" s="638"/>
      <c r="U728" s="343"/>
      <c r="V728" s="728"/>
      <c r="W728" s="728"/>
      <c r="X728" s="728"/>
      <c r="Y728" s="728"/>
      <c r="Z728" s="728"/>
      <c r="AA728" s="343"/>
      <c r="AB728" s="728"/>
      <c r="AC728" s="638"/>
      <c r="AD728" s="638"/>
      <c r="AE728" s="638"/>
    </row>
    <row r="729" spans="1:31">
      <c r="A729" s="638"/>
      <c r="B729" s="638"/>
      <c r="C729" s="638"/>
      <c r="D729" s="638"/>
      <c r="E729" s="638"/>
      <c r="F729" s="638"/>
      <c r="G729" s="638"/>
      <c r="H729" s="638"/>
      <c r="I729" s="638"/>
      <c r="J729" s="638"/>
      <c r="K729" s="638"/>
      <c r="L729" s="638"/>
      <c r="M729" s="638"/>
      <c r="N729" s="638"/>
      <c r="O729" s="638"/>
      <c r="P729" s="638"/>
      <c r="Q729" s="638"/>
      <c r="R729" s="638"/>
      <c r="S729" s="343"/>
      <c r="T729" s="638"/>
      <c r="U729" s="343"/>
      <c r="V729" s="728"/>
      <c r="W729" s="728"/>
      <c r="X729" s="728"/>
      <c r="Y729" s="728"/>
      <c r="Z729" s="728"/>
      <c r="AA729" s="343"/>
      <c r="AB729" s="728"/>
      <c r="AC729" s="638"/>
      <c r="AD729" s="638"/>
      <c r="AE729" s="638"/>
    </row>
    <row r="730" spans="1:31">
      <c r="A730" s="638"/>
      <c r="B730" s="638"/>
      <c r="C730" s="638"/>
      <c r="D730" s="638"/>
      <c r="E730" s="638"/>
      <c r="F730" s="638"/>
      <c r="G730" s="638"/>
      <c r="H730" s="638"/>
      <c r="I730" s="638"/>
      <c r="J730" s="638"/>
      <c r="K730" s="638"/>
      <c r="L730" s="638"/>
      <c r="M730" s="638"/>
      <c r="N730" s="638"/>
      <c r="O730" s="638"/>
      <c r="P730" s="638"/>
      <c r="Q730" s="638"/>
      <c r="R730" s="638"/>
      <c r="S730" s="343"/>
      <c r="T730" s="638"/>
      <c r="U730" s="343"/>
      <c r="V730" s="728"/>
      <c r="W730" s="728"/>
      <c r="X730" s="728"/>
      <c r="Y730" s="728"/>
      <c r="Z730" s="728"/>
      <c r="AA730" s="343"/>
      <c r="AB730" s="728"/>
      <c r="AC730" s="638"/>
      <c r="AD730" s="638"/>
      <c r="AE730" s="638"/>
    </row>
    <row r="731" spans="1:31">
      <c r="A731" s="638"/>
      <c r="B731" s="638"/>
      <c r="C731" s="638"/>
      <c r="D731" s="638"/>
      <c r="E731" s="638"/>
      <c r="F731" s="638"/>
      <c r="G731" s="638"/>
      <c r="H731" s="638"/>
      <c r="I731" s="638"/>
      <c r="J731" s="638"/>
      <c r="K731" s="638"/>
      <c r="L731" s="638"/>
      <c r="M731" s="638"/>
      <c r="N731" s="638"/>
      <c r="O731" s="638"/>
      <c r="P731" s="638"/>
      <c r="Q731" s="638"/>
      <c r="R731" s="638"/>
      <c r="S731" s="343"/>
      <c r="T731" s="638"/>
      <c r="U731" s="343"/>
      <c r="V731" s="728"/>
      <c r="W731" s="728"/>
      <c r="X731" s="728"/>
      <c r="Y731" s="728"/>
      <c r="Z731" s="728"/>
      <c r="AA731" s="343"/>
      <c r="AB731" s="728"/>
      <c r="AC731" s="638"/>
      <c r="AD731" s="638"/>
      <c r="AE731" s="638"/>
    </row>
    <row r="732" spans="1:31">
      <c r="A732" s="638"/>
      <c r="B732" s="638"/>
      <c r="C732" s="638"/>
      <c r="D732" s="638"/>
      <c r="E732" s="638"/>
      <c r="F732" s="638"/>
      <c r="G732" s="638"/>
      <c r="H732" s="638"/>
      <c r="I732" s="638"/>
      <c r="J732" s="638"/>
      <c r="K732" s="638"/>
      <c r="L732" s="638"/>
      <c r="M732" s="638"/>
      <c r="N732" s="638"/>
      <c r="O732" s="638"/>
      <c r="P732" s="638"/>
      <c r="Q732" s="638"/>
      <c r="R732" s="638"/>
      <c r="S732" s="343"/>
      <c r="T732" s="638"/>
      <c r="U732" s="343"/>
      <c r="V732" s="728"/>
      <c r="W732" s="728"/>
      <c r="X732" s="728"/>
      <c r="Y732" s="728"/>
      <c r="Z732" s="728"/>
      <c r="AA732" s="343"/>
      <c r="AB732" s="728"/>
      <c r="AC732" s="638"/>
      <c r="AD732" s="638"/>
      <c r="AE732" s="638"/>
    </row>
    <row r="733" spans="1:31">
      <c r="A733" s="638"/>
      <c r="B733" s="638"/>
      <c r="C733" s="638"/>
      <c r="D733" s="638"/>
      <c r="E733" s="638"/>
      <c r="F733" s="638"/>
      <c r="G733" s="638"/>
      <c r="H733" s="638"/>
      <c r="I733" s="638"/>
      <c r="J733" s="638"/>
      <c r="K733" s="638"/>
      <c r="L733" s="638"/>
      <c r="M733" s="638"/>
      <c r="N733" s="638"/>
      <c r="O733" s="638"/>
      <c r="P733" s="638"/>
      <c r="Q733" s="638"/>
      <c r="R733" s="638"/>
      <c r="S733" s="343"/>
      <c r="T733" s="638"/>
      <c r="U733" s="343"/>
      <c r="V733" s="728"/>
      <c r="W733" s="728"/>
      <c r="X733" s="728"/>
      <c r="Y733" s="728"/>
      <c r="Z733" s="728"/>
      <c r="AA733" s="343"/>
      <c r="AB733" s="728"/>
      <c r="AC733" s="638"/>
      <c r="AD733" s="638"/>
      <c r="AE733" s="638"/>
    </row>
    <row r="734" spans="1:31">
      <c r="A734" s="638"/>
      <c r="B734" s="638"/>
      <c r="C734" s="638"/>
      <c r="D734" s="638"/>
      <c r="E734" s="638"/>
      <c r="F734" s="638"/>
      <c r="G734" s="638"/>
      <c r="H734" s="638"/>
      <c r="I734" s="638"/>
      <c r="J734" s="638"/>
      <c r="K734" s="638"/>
      <c r="L734" s="638"/>
      <c r="M734" s="638"/>
      <c r="N734" s="638"/>
      <c r="O734" s="638"/>
      <c r="P734" s="638"/>
      <c r="Q734" s="638"/>
      <c r="R734" s="638"/>
      <c r="S734" s="343"/>
      <c r="T734" s="638"/>
      <c r="U734" s="343"/>
      <c r="V734" s="728"/>
      <c r="W734" s="728"/>
      <c r="X734" s="728"/>
      <c r="Y734" s="728"/>
      <c r="Z734" s="728"/>
      <c r="AA734" s="343"/>
      <c r="AB734" s="728"/>
      <c r="AC734" s="638"/>
      <c r="AD734" s="638"/>
      <c r="AE734" s="638"/>
    </row>
    <row r="735" spans="1:31">
      <c r="A735" s="638"/>
      <c r="B735" s="638"/>
      <c r="C735" s="638"/>
      <c r="D735" s="638"/>
      <c r="E735" s="638"/>
      <c r="F735" s="638"/>
      <c r="G735" s="638"/>
      <c r="H735" s="638"/>
      <c r="I735" s="638"/>
      <c r="J735" s="638"/>
      <c r="K735" s="638"/>
      <c r="L735" s="638"/>
      <c r="M735" s="638"/>
      <c r="N735" s="638"/>
      <c r="O735" s="638"/>
      <c r="P735" s="638"/>
      <c r="Q735" s="638"/>
      <c r="R735" s="638"/>
      <c r="S735" s="343"/>
      <c r="T735" s="638"/>
      <c r="U735" s="343"/>
      <c r="V735" s="728"/>
      <c r="W735" s="728"/>
      <c r="X735" s="728"/>
      <c r="Y735" s="728"/>
      <c r="Z735" s="728"/>
      <c r="AA735" s="343"/>
      <c r="AB735" s="728"/>
      <c r="AC735" s="638"/>
      <c r="AD735" s="638"/>
      <c r="AE735" s="638"/>
    </row>
    <row r="736" spans="1:31">
      <c r="A736" s="638"/>
      <c r="B736" s="638"/>
      <c r="C736" s="638"/>
      <c r="D736" s="638"/>
      <c r="E736" s="638"/>
      <c r="F736" s="638"/>
      <c r="G736" s="638"/>
      <c r="H736" s="638"/>
      <c r="I736" s="638"/>
      <c r="J736" s="638"/>
      <c r="K736" s="638"/>
      <c r="L736" s="638"/>
      <c r="M736" s="638"/>
      <c r="N736" s="638"/>
      <c r="O736" s="638"/>
      <c r="P736" s="638"/>
      <c r="Q736" s="638"/>
      <c r="R736" s="638"/>
      <c r="S736" s="343"/>
      <c r="T736" s="638"/>
      <c r="U736" s="343"/>
      <c r="V736" s="728"/>
      <c r="W736" s="728"/>
      <c r="X736" s="728"/>
      <c r="Y736" s="728"/>
      <c r="Z736" s="728"/>
      <c r="AA736" s="343"/>
      <c r="AB736" s="728"/>
      <c r="AC736" s="638"/>
      <c r="AD736" s="638"/>
      <c r="AE736" s="638"/>
    </row>
    <row r="737" spans="1:31">
      <c r="A737" s="638"/>
      <c r="B737" s="638"/>
      <c r="C737" s="638"/>
      <c r="D737" s="638"/>
      <c r="E737" s="638"/>
      <c r="F737" s="638"/>
      <c r="G737" s="638"/>
      <c r="H737" s="638"/>
      <c r="I737" s="638"/>
      <c r="J737" s="638"/>
      <c r="K737" s="638"/>
      <c r="L737" s="638"/>
      <c r="M737" s="638"/>
      <c r="N737" s="638"/>
      <c r="O737" s="638"/>
      <c r="P737" s="638"/>
      <c r="Q737" s="638"/>
      <c r="R737" s="638"/>
      <c r="S737" s="343"/>
      <c r="T737" s="638"/>
      <c r="U737" s="343"/>
      <c r="V737" s="728"/>
      <c r="W737" s="728"/>
      <c r="X737" s="728"/>
      <c r="Y737" s="728"/>
      <c r="Z737" s="728"/>
      <c r="AA737" s="343"/>
      <c r="AB737" s="728"/>
      <c r="AC737" s="638"/>
      <c r="AD737" s="638"/>
      <c r="AE737" s="638"/>
    </row>
    <row r="738" spans="1:31">
      <c r="A738" s="638"/>
      <c r="B738" s="638"/>
      <c r="C738" s="638"/>
      <c r="D738" s="638"/>
      <c r="E738" s="638"/>
      <c r="F738" s="638"/>
      <c r="G738" s="638"/>
      <c r="H738" s="638"/>
      <c r="I738" s="638"/>
      <c r="J738" s="638"/>
      <c r="K738" s="638"/>
      <c r="L738" s="638"/>
      <c r="M738" s="638"/>
      <c r="N738" s="638"/>
      <c r="O738" s="638"/>
      <c r="P738" s="638"/>
      <c r="Q738" s="638"/>
      <c r="R738" s="638"/>
      <c r="S738" s="343"/>
      <c r="T738" s="638"/>
      <c r="U738" s="343"/>
      <c r="V738" s="728"/>
      <c r="W738" s="728"/>
      <c r="X738" s="728"/>
      <c r="Y738" s="728"/>
      <c r="Z738" s="728"/>
      <c r="AA738" s="343"/>
      <c r="AB738" s="728"/>
      <c r="AC738" s="638"/>
      <c r="AD738" s="638"/>
      <c r="AE738" s="638"/>
    </row>
    <row r="739" spans="1:31">
      <c r="A739" s="638"/>
      <c r="B739" s="638"/>
      <c r="C739" s="638"/>
      <c r="D739" s="638"/>
      <c r="E739" s="638"/>
      <c r="F739" s="638"/>
      <c r="G739" s="638"/>
      <c r="H739" s="638"/>
      <c r="I739" s="638"/>
      <c r="J739" s="638"/>
      <c r="K739" s="638"/>
      <c r="L739" s="638"/>
      <c r="M739" s="638"/>
      <c r="N739" s="638"/>
      <c r="O739" s="638"/>
      <c r="P739" s="638"/>
      <c r="Q739" s="638"/>
      <c r="R739" s="638"/>
      <c r="S739" s="343"/>
      <c r="T739" s="638"/>
      <c r="U739" s="343"/>
      <c r="V739" s="728"/>
      <c r="W739" s="728"/>
      <c r="X739" s="728"/>
      <c r="Y739" s="728"/>
      <c r="Z739" s="728"/>
      <c r="AA739" s="343"/>
      <c r="AB739" s="728"/>
      <c r="AC739" s="638"/>
      <c r="AD739" s="638"/>
      <c r="AE739" s="638"/>
    </row>
    <row r="740" spans="1:31">
      <c r="A740" s="638"/>
      <c r="B740" s="638"/>
      <c r="C740" s="638"/>
      <c r="D740" s="638"/>
      <c r="E740" s="638"/>
      <c r="F740" s="638"/>
      <c r="G740" s="638"/>
      <c r="H740" s="638"/>
      <c r="I740" s="638"/>
      <c r="J740" s="638"/>
      <c r="K740" s="638"/>
      <c r="L740" s="638"/>
      <c r="M740" s="638"/>
      <c r="N740" s="638"/>
      <c r="O740" s="638"/>
      <c r="P740" s="638"/>
      <c r="Q740" s="638"/>
      <c r="R740" s="638"/>
      <c r="S740" s="343"/>
      <c r="T740" s="638"/>
      <c r="U740" s="343"/>
      <c r="V740" s="728"/>
      <c r="W740" s="728"/>
      <c r="X740" s="728"/>
      <c r="Y740" s="728"/>
      <c r="Z740" s="728"/>
      <c r="AA740" s="343"/>
      <c r="AB740" s="728"/>
      <c r="AC740" s="638"/>
      <c r="AD740" s="638"/>
      <c r="AE740" s="638"/>
    </row>
    <row r="741" spans="1:31">
      <c r="A741" s="638"/>
      <c r="B741" s="638"/>
      <c r="C741" s="638"/>
      <c r="D741" s="638"/>
      <c r="E741" s="638"/>
      <c r="F741" s="638"/>
      <c r="G741" s="638"/>
      <c r="H741" s="638"/>
      <c r="I741" s="638"/>
      <c r="J741" s="638"/>
      <c r="K741" s="638"/>
      <c r="L741" s="638"/>
      <c r="M741" s="638"/>
      <c r="N741" s="638"/>
      <c r="O741" s="638"/>
      <c r="P741" s="638"/>
      <c r="Q741" s="638"/>
      <c r="R741" s="638"/>
      <c r="S741" s="343"/>
      <c r="T741" s="638"/>
      <c r="U741" s="343"/>
      <c r="V741" s="728"/>
      <c r="W741" s="728"/>
      <c r="X741" s="728"/>
      <c r="Y741" s="728"/>
      <c r="Z741" s="728"/>
      <c r="AA741" s="343"/>
      <c r="AB741" s="728"/>
      <c r="AC741" s="638"/>
      <c r="AD741" s="638"/>
      <c r="AE741" s="638"/>
    </row>
    <row r="742" spans="1:31">
      <c r="A742" s="638"/>
      <c r="B742" s="638"/>
      <c r="C742" s="638"/>
      <c r="D742" s="638"/>
      <c r="E742" s="638"/>
      <c r="F742" s="638"/>
      <c r="G742" s="638"/>
      <c r="H742" s="638"/>
      <c r="I742" s="638"/>
      <c r="J742" s="638"/>
      <c r="K742" s="638"/>
      <c r="L742" s="638"/>
      <c r="M742" s="638"/>
      <c r="N742" s="638"/>
      <c r="O742" s="638"/>
      <c r="P742" s="638"/>
      <c r="Q742" s="638"/>
      <c r="R742" s="638"/>
      <c r="S742" s="343"/>
      <c r="T742" s="638"/>
      <c r="U742" s="343"/>
      <c r="V742" s="728"/>
      <c r="W742" s="728"/>
      <c r="X742" s="728"/>
      <c r="Y742" s="728"/>
      <c r="Z742" s="728"/>
      <c r="AA742" s="343"/>
      <c r="AB742" s="728"/>
      <c r="AC742" s="638"/>
      <c r="AD742" s="638"/>
      <c r="AE742" s="638"/>
    </row>
    <row r="743" spans="1:31">
      <c r="A743" s="638"/>
      <c r="B743" s="638"/>
      <c r="C743" s="638"/>
      <c r="D743" s="638"/>
      <c r="E743" s="638"/>
      <c r="F743" s="638"/>
      <c r="G743" s="638"/>
      <c r="H743" s="638"/>
      <c r="I743" s="638"/>
      <c r="J743" s="638"/>
      <c r="K743" s="638"/>
      <c r="L743" s="638"/>
      <c r="M743" s="638"/>
      <c r="N743" s="638"/>
      <c r="O743" s="638"/>
      <c r="P743" s="638"/>
      <c r="Q743" s="638"/>
      <c r="R743" s="638"/>
      <c r="S743" s="343"/>
      <c r="T743" s="638"/>
      <c r="U743" s="343"/>
      <c r="V743" s="728"/>
      <c r="W743" s="728"/>
      <c r="X743" s="728"/>
      <c r="Y743" s="728"/>
      <c r="Z743" s="728"/>
      <c r="AA743" s="343"/>
      <c r="AB743" s="728"/>
      <c r="AC743" s="638"/>
      <c r="AD743" s="638"/>
      <c r="AE743" s="638"/>
    </row>
    <row r="744" spans="1:31">
      <c r="A744" s="638"/>
      <c r="B744" s="638"/>
      <c r="C744" s="638"/>
      <c r="D744" s="638"/>
      <c r="E744" s="638"/>
      <c r="F744" s="638"/>
      <c r="G744" s="638"/>
      <c r="H744" s="638"/>
      <c r="I744" s="638"/>
      <c r="J744" s="638"/>
      <c r="K744" s="638"/>
      <c r="L744" s="638"/>
      <c r="M744" s="638"/>
      <c r="N744" s="638"/>
      <c r="O744" s="638"/>
      <c r="P744" s="638"/>
      <c r="Q744" s="638"/>
      <c r="R744" s="638"/>
      <c r="S744" s="343"/>
      <c r="T744" s="638"/>
      <c r="U744" s="343"/>
      <c r="V744" s="728"/>
      <c r="W744" s="728"/>
      <c r="X744" s="728"/>
      <c r="Y744" s="728"/>
      <c r="Z744" s="728"/>
      <c r="AA744" s="343"/>
      <c r="AB744" s="728"/>
      <c r="AC744" s="638"/>
      <c r="AD744" s="638"/>
      <c r="AE744" s="638"/>
    </row>
    <row r="745" spans="1:31">
      <c r="A745" s="638"/>
      <c r="B745" s="638"/>
      <c r="C745" s="638"/>
      <c r="D745" s="638"/>
      <c r="E745" s="638"/>
      <c r="F745" s="638"/>
      <c r="G745" s="638"/>
      <c r="H745" s="638"/>
      <c r="I745" s="638"/>
      <c r="J745" s="638"/>
      <c r="K745" s="638"/>
      <c r="L745" s="638"/>
      <c r="M745" s="638"/>
      <c r="N745" s="638"/>
      <c r="O745" s="638"/>
      <c r="P745" s="638"/>
      <c r="Q745" s="638"/>
      <c r="R745" s="638"/>
      <c r="S745" s="343"/>
      <c r="T745" s="638"/>
      <c r="U745" s="343"/>
      <c r="V745" s="728"/>
      <c r="W745" s="728"/>
      <c r="X745" s="728"/>
      <c r="Y745" s="728"/>
      <c r="Z745" s="728"/>
      <c r="AA745" s="343"/>
      <c r="AB745" s="728"/>
      <c r="AC745" s="638"/>
      <c r="AD745" s="638"/>
      <c r="AE745" s="638"/>
    </row>
    <row r="746" spans="1:31">
      <c r="A746" s="638"/>
      <c r="B746" s="638"/>
      <c r="C746" s="638"/>
      <c r="D746" s="638"/>
      <c r="E746" s="638"/>
      <c r="F746" s="638"/>
      <c r="G746" s="638"/>
      <c r="H746" s="638"/>
      <c r="I746" s="638"/>
      <c r="J746" s="638"/>
      <c r="K746" s="638"/>
      <c r="L746" s="638"/>
      <c r="M746" s="638"/>
      <c r="N746" s="638"/>
      <c r="O746" s="638"/>
      <c r="P746" s="638"/>
      <c r="Q746" s="638"/>
      <c r="R746" s="638"/>
      <c r="S746" s="343"/>
      <c r="T746" s="638"/>
      <c r="U746" s="343"/>
      <c r="V746" s="728"/>
      <c r="W746" s="728"/>
      <c r="X746" s="728"/>
      <c r="Y746" s="728"/>
      <c r="Z746" s="728"/>
      <c r="AA746" s="343"/>
      <c r="AB746" s="728"/>
      <c r="AC746" s="638"/>
      <c r="AD746" s="638"/>
      <c r="AE746" s="638"/>
    </row>
    <row r="747" spans="1:31">
      <c r="A747" s="638"/>
      <c r="B747" s="638"/>
      <c r="C747" s="638"/>
      <c r="D747" s="638"/>
      <c r="E747" s="638"/>
      <c r="F747" s="638"/>
      <c r="G747" s="638"/>
      <c r="H747" s="638"/>
      <c r="I747" s="638"/>
      <c r="J747" s="638"/>
      <c r="K747" s="638"/>
      <c r="L747" s="638"/>
      <c r="M747" s="638"/>
      <c r="N747" s="638"/>
      <c r="O747" s="638"/>
      <c r="P747" s="638"/>
      <c r="Q747" s="638"/>
      <c r="R747" s="638"/>
      <c r="S747" s="343"/>
      <c r="T747" s="638"/>
      <c r="U747" s="343"/>
      <c r="V747" s="728"/>
      <c r="W747" s="728"/>
      <c r="X747" s="728"/>
      <c r="Y747" s="728"/>
      <c r="Z747" s="728"/>
      <c r="AA747" s="343"/>
      <c r="AB747" s="728"/>
      <c r="AC747" s="638"/>
      <c r="AD747" s="638"/>
      <c r="AE747" s="638"/>
    </row>
    <row r="748" spans="1:31">
      <c r="A748" s="638"/>
      <c r="B748" s="638"/>
      <c r="C748" s="638"/>
      <c r="D748" s="638"/>
      <c r="E748" s="638"/>
      <c r="F748" s="638"/>
      <c r="G748" s="638"/>
      <c r="H748" s="638"/>
      <c r="I748" s="638"/>
      <c r="J748" s="638"/>
      <c r="K748" s="638"/>
      <c r="L748" s="638"/>
      <c r="M748" s="638"/>
      <c r="N748" s="638"/>
      <c r="O748" s="638"/>
      <c r="P748" s="638"/>
      <c r="Q748" s="638"/>
      <c r="R748" s="638"/>
      <c r="S748" s="343"/>
      <c r="T748" s="638"/>
      <c r="U748" s="343"/>
      <c r="V748" s="728"/>
      <c r="W748" s="728"/>
      <c r="X748" s="728"/>
      <c r="Y748" s="728"/>
      <c r="Z748" s="728"/>
      <c r="AA748" s="343"/>
      <c r="AB748" s="728"/>
      <c r="AC748" s="638"/>
      <c r="AD748" s="638"/>
      <c r="AE748" s="638"/>
    </row>
    <row r="749" spans="1:31">
      <c r="A749" s="638"/>
      <c r="B749" s="638"/>
      <c r="C749" s="638"/>
      <c r="D749" s="638"/>
      <c r="E749" s="638"/>
      <c r="F749" s="638"/>
      <c r="G749" s="638"/>
      <c r="H749" s="638"/>
      <c r="I749" s="638"/>
      <c r="J749" s="638"/>
      <c r="K749" s="638"/>
      <c r="L749" s="638"/>
      <c r="M749" s="638"/>
      <c r="N749" s="638"/>
      <c r="O749" s="638"/>
      <c r="P749" s="638"/>
      <c r="Q749" s="638"/>
      <c r="R749" s="638"/>
      <c r="S749" s="343"/>
      <c r="T749" s="638"/>
      <c r="U749" s="343"/>
      <c r="V749" s="728"/>
      <c r="W749" s="728"/>
      <c r="X749" s="728"/>
      <c r="Y749" s="728"/>
      <c r="Z749" s="728"/>
      <c r="AA749" s="343"/>
      <c r="AB749" s="728"/>
      <c r="AC749" s="638"/>
      <c r="AD749" s="638"/>
      <c r="AE749" s="638"/>
    </row>
    <row r="750" spans="1:31">
      <c r="A750" s="638"/>
      <c r="B750" s="638"/>
      <c r="C750" s="638"/>
      <c r="D750" s="638"/>
      <c r="E750" s="638"/>
      <c r="F750" s="638"/>
      <c r="G750" s="638"/>
      <c r="H750" s="638"/>
      <c r="I750" s="638"/>
      <c r="J750" s="638"/>
      <c r="K750" s="638"/>
      <c r="L750" s="638"/>
      <c r="M750" s="638"/>
      <c r="N750" s="638"/>
      <c r="O750" s="638"/>
      <c r="P750" s="638"/>
      <c r="Q750" s="638"/>
      <c r="R750" s="638"/>
      <c r="S750" s="343"/>
      <c r="T750" s="638"/>
      <c r="U750" s="343"/>
      <c r="V750" s="728"/>
      <c r="W750" s="728"/>
      <c r="X750" s="728"/>
      <c r="Y750" s="728"/>
      <c r="Z750" s="728"/>
      <c r="AA750" s="343"/>
      <c r="AB750" s="728"/>
      <c r="AC750" s="638"/>
      <c r="AD750" s="638"/>
      <c r="AE750" s="638"/>
    </row>
    <row r="751" spans="1:31">
      <c r="A751" s="638"/>
      <c r="B751" s="638"/>
      <c r="C751" s="638"/>
      <c r="D751" s="638"/>
      <c r="E751" s="638"/>
      <c r="F751" s="638"/>
      <c r="G751" s="638"/>
      <c r="H751" s="638"/>
      <c r="I751" s="638"/>
      <c r="J751" s="638"/>
      <c r="K751" s="638"/>
      <c r="L751" s="638"/>
      <c r="M751" s="638"/>
      <c r="N751" s="638"/>
      <c r="O751" s="638"/>
      <c r="P751" s="638"/>
      <c r="Q751" s="638"/>
      <c r="R751" s="638"/>
      <c r="S751" s="343"/>
      <c r="T751" s="638"/>
      <c r="U751" s="343"/>
      <c r="V751" s="728"/>
      <c r="W751" s="728"/>
      <c r="X751" s="728"/>
      <c r="Y751" s="728"/>
      <c r="Z751" s="728"/>
      <c r="AA751" s="343"/>
      <c r="AB751" s="728"/>
      <c r="AC751" s="638"/>
      <c r="AD751" s="638"/>
      <c r="AE751" s="638"/>
    </row>
    <row r="752" spans="1:31">
      <c r="A752" s="638"/>
      <c r="B752" s="638"/>
      <c r="C752" s="638"/>
      <c r="D752" s="638"/>
      <c r="E752" s="638"/>
      <c r="F752" s="638"/>
      <c r="G752" s="638"/>
      <c r="H752" s="638"/>
      <c r="I752" s="638"/>
      <c r="J752" s="638"/>
      <c r="K752" s="638"/>
      <c r="L752" s="638"/>
      <c r="M752" s="638"/>
      <c r="N752" s="638"/>
      <c r="O752" s="638"/>
      <c r="P752" s="638"/>
      <c r="Q752" s="638"/>
      <c r="R752" s="638"/>
      <c r="S752" s="343"/>
      <c r="T752" s="638"/>
      <c r="U752" s="343"/>
      <c r="V752" s="728"/>
      <c r="W752" s="728"/>
      <c r="X752" s="728"/>
      <c r="Y752" s="728"/>
      <c r="Z752" s="728"/>
      <c r="AA752" s="343"/>
      <c r="AB752" s="728"/>
      <c r="AC752" s="638"/>
      <c r="AD752" s="638"/>
      <c r="AE752" s="638"/>
    </row>
    <row r="753" spans="1:31">
      <c r="A753" s="638"/>
      <c r="B753" s="638"/>
      <c r="C753" s="638"/>
      <c r="D753" s="638"/>
      <c r="E753" s="638"/>
      <c r="F753" s="638"/>
      <c r="G753" s="638"/>
      <c r="H753" s="638"/>
      <c r="I753" s="638"/>
      <c r="J753" s="638"/>
      <c r="K753" s="638"/>
      <c r="L753" s="638"/>
      <c r="M753" s="638"/>
      <c r="N753" s="638"/>
      <c r="O753" s="638"/>
      <c r="P753" s="638"/>
      <c r="Q753" s="638"/>
      <c r="R753" s="638"/>
      <c r="S753" s="343"/>
      <c r="T753" s="638"/>
      <c r="U753" s="343"/>
      <c r="V753" s="728"/>
      <c r="W753" s="728"/>
      <c r="X753" s="728"/>
      <c r="Y753" s="728"/>
      <c r="Z753" s="728"/>
      <c r="AA753" s="343"/>
      <c r="AB753" s="728"/>
      <c r="AC753" s="638"/>
      <c r="AD753" s="638"/>
      <c r="AE753" s="638"/>
    </row>
    <row r="754" spans="1:31">
      <c r="A754" s="638"/>
      <c r="B754" s="638"/>
      <c r="C754" s="638"/>
      <c r="D754" s="638"/>
      <c r="E754" s="638"/>
      <c r="F754" s="638"/>
      <c r="G754" s="638"/>
      <c r="H754" s="638"/>
      <c r="I754" s="638"/>
      <c r="J754" s="638"/>
      <c r="K754" s="638"/>
      <c r="L754" s="638"/>
      <c r="M754" s="638"/>
      <c r="N754" s="638"/>
      <c r="O754" s="638"/>
      <c r="P754" s="638"/>
      <c r="Q754" s="638"/>
      <c r="R754" s="638"/>
      <c r="S754" s="343"/>
      <c r="T754" s="638"/>
      <c r="U754" s="343"/>
      <c r="V754" s="728"/>
      <c r="W754" s="728"/>
      <c r="X754" s="728"/>
      <c r="Y754" s="728"/>
      <c r="Z754" s="728"/>
      <c r="AA754" s="343"/>
      <c r="AB754" s="728"/>
      <c r="AC754" s="638"/>
      <c r="AD754" s="638"/>
      <c r="AE754" s="638"/>
    </row>
    <row r="755" spans="1:31">
      <c r="A755" s="638"/>
      <c r="B755" s="638"/>
      <c r="C755" s="638"/>
      <c r="D755" s="638"/>
      <c r="E755" s="638"/>
      <c r="F755" s="638"/>
      <c r="G755" s="638"/>
      <c r="H755" s="638"/>
      <c r="I755" s="638"/>
      <c r="J755" s="638"/>
      <c r="K755" s="638"/>
      <c r="L755" s="638"/>
      <c r="M755" s="638"/>
      <c r="N755" s="638"/>
      <c r="O755" s="638"/>
      <c r="P755" s="638"/>
      <c r="Q755" s="638"/>
      <c r="R755" s="638"/>
      <c r="S755" s="343"/>
      <c r="T755" s="638"/>
      <c r="U755" s="343"/>
      <c r="V755" s="728"/>
      <c r="W755" s="728"/>
      <c r="X755" s="728"/>
      <c r="Y755" s="728"/>
      <c r="Z755" s="728"/>
      <c r="AA755" s="343"/>
      <c r="AB755" s="728"/>
      <c r="AC755" s="638"/>
      <c r="AD755" s="638"/>
      <c r="AE755" s="638"/>
    </row>
    <row r="756" spans="1:31">
      <c r="A756" s="638"/>
      <c r="B756" s="638"/>
      <c r="C756" s="638"/>
      <c r="D756" s="638"/>
      <c r="E756" s="638"/>
      <c r="F756" s="638"/>
      <c r="G756" s="638"/>
      <c r="H756" s="638"/>
      <c r="I756" s="638"/>
      <c r="J756" s="638"/>
      <c r="K756" s="638"/>
      <c r="L756" s="638"/>
      <c r="M756" s="638"/>
      <c r="N756" s="638"/>
      <c r="O756" s="638"/>
      <c r="P756" s="638"/>
      <c r="Q756" s="638"/>
      <c r="R756" s="638"/>
      <c r="S756" s="343"/>
      <c r="T756" s="638"/>
      <c r="U756" s="343"/>
      <c r="V756" s="728"/>
      <c r="W756" s="728"/>
      <c r="X756" s="728"/>
      <c r="Y756" s="728"/>
      <c r="Z756" s="728"/>
      <c r="AA756" s="343"/>
      <c r="AB756" s="728"/>
      <c r="AC756" s="638"/>
      <c r="AD756" s="638"/>
      <c r="AE756" s="638"/>
    </row>
    <row r="757" spans="1:31">
      <c r="A757" s="638"/>
      <c r="B757" s="638"/>
      <c r="C757" s="638"/>
      <c r="D757" s="638"/>
      <c r="E757" s="638"/>
      <c r="F757" s="638"/>
      <c r="G757" s="638"/>
      <c r="H757" s="638"/>
      <c r="I757" s="638"/>
      <c r="J757" s="638"/>
      <c r="K757" s="638"/>
      <c r="L757" s="638"/>
      <c r="M757" s="638"/>
      <c r="N757" s="638"/>
      <c r="O757" s="638"/>
      <c r="P757" s="638"/>
      <c r="Q757" s="638"/>
      <c r="R757" s="638"/>
      <c r="S757" s="343"/>
      <c r="T757" s="638"/>
      <c r="U757" s="343"/>
      <c r="V757" s="728"/>
      <c r="W757" s="728"/>
      <c r="X757" s="728"/>
      <c r="Y757" s="728"/>
      <c r="Z757" s="728"/>
      <c r="AA757" s="343"/>
      <c r="AB757" s="728"/>
      <c r="AC757" s="638"/>
      <c r="AD757" s="638"/>
      <c r="AE757" s="638"/>
    </row>
    <row r="758" spans="1:31">
      <c r="A758" s="638"/>
      <c r="B758" s="638"/>
      <c r="C758" s="638"/>
      <c r="D758" s="638"/>
      <c r="E758" s="638"/>
      <c r="F758" s="638"/>
      <c r="G758" s="638"/>
      <c r="H758" s="638"/>
      <c r="I758" s="638"/>
      <c r="J758" s="638"/>
      <c r="K758" s="638"/>
      <c r="L758" s="638"/>
      <c r="M758" s="638"/>
      <c r="N758" s="638"/>
      <c r="O758" s="638"/>
      <c r="P758" s="638"/>
      <c r="Q758" s="638"/>
      <c r="R758" s="638"/>
      <c r="S758" s="343"/>
      <c r="T758" s="638"/>
      <c r="U758" s="343"/>
      <c r="V758" s="728"/>
      <c r="W758" s="728"/>
      <c r="X758" s="728"/>
      <c r="Y758" s="728"/>
      <c r="Z758" s="728"/>
      <c r="AA758" s="343"/>
      <c r="AB758" s="728"/>
      <c r="AC758" s="638"/>
      <c r="AD758" s="638"/>
      <c r="AE758" s="638"/>
    </row>
    <row r="759" spans="1:31">
      <c r="A759" s="638"/>
      <c r="B759" s="638"/>
      <c r="C759" s="638"/>
      <c r="D759" s="638"/>
      <c r="E759" s="638"/>
      <c r="F759" s="638"/>
      <c r="G759" s="638"/>
      <c r="H759" s="638"/>
      <c r="I759" s="638"/>
      <c r="J759" s="638"/>
      <c r="K759" s="638"/>
      <c r="L759" s="638"/>
      <c r="M759" s="638"/>
      <c r="N759" s="638"/>
      <c r="O759" s="638"/>
      <c r="P759" s="638"/>
      <c r="Q759" s="638"/>
      <c r="R759" s="638"/>
      <c r="S759" s="343"/>
      <c r="T759" s="638"/>
      <c r="U759" s="343"/>
      <c r="V759" s="728"/>
      <c r="W759" s="728"/>
      <c r="X759" s="728"/>
      <c r="Y759" s="728"/>
      <c r="Z759" s="728"/>
      <c r="AA759" s="343"/>
      <c r="AB759" s="728"/>
      <c r="AC759" s="638"/>
      <c r="AD759" s="638"/>
      <c r="AE759" s="638"/>
    </row>
    <row r="760" spans="1:31">
      <c r="A760" s="638"/>
      <c r="B760" s="638"/>
      <c r="C760" s="638"/>
      <c r="D760" s="638"/>
      <c r="E760" s="638"/>
      <c r="F760" s="638"/>
      <c r="G760" s="638"/>
      <c r="H760" s="638"/>
      <c r="I760" s="638"/>
      <c r="J760" s="638"/>
      <c r="K760" s="638"/>
      <c r="L760" s="638"/>
      <c r="M760" s="638"/>
      <c r="N760" s="638"/>
      <c r="O760" s="638"/>
      <c r="P760" s="638"/>
      <c r="Q760" s="638"/>
      <c r="R760" s="638"/>
      <c r="S760" s="343"/>
      <c r="T760" s="638"/>
      <c r="U760" s="343"/>
      <c r="V760" s="728"/>
      <c r="W760" s="728"/>
      <c r="X760" s="728"/>
      <c r="Y760" s="728"/>
      <c r="Z760" s="728"/>
      <c r="AA760" s="343"/>
      <c r="AB760" s="728"/>
      <c r="AC760" s="638"/>
      <c r="AD760" s="638"/>
      <c r="AE760" s="638"/>
    </row>
    <row r="761" spans="1:31">
      <c r="A761" s="638"/>
      <c r="B761" s="638"/>
      <c r="C761" s="638"/>
      <c r="D761" s="638"/>
      <c r="E761" s="638"/>
      <c r="F761" s="638"/>
      <c r="G761" s="638"/>
      <c r="H761" s="638"/>
      <c r="I761" s="638"/>
      <c r="J761" s="638"/>
      <c r="K761" s="638"/>
      <c r="L761" s="638"/>
      <c r="M761" s="638"/>
      <c r="N761" s="638"/>
      <c r="O761" s="638"/>
      <c r="P761" s="638"/>
      <c r="Q761" s="638"/>
      <c r="R761" s="638"/>
      <c r="S761" s="343"/>
      <c r="T761" s="638"/>
      <c r="U761" s="343"/>
      <c r="V761" s="728"/>
      <c r="W761" s="728"/>
      <c r="X761" s="728"/>
      <c r="Y761" s="728"/>
      <c r="Z761" s="728"/>
      <c r="AA761" s="343"/>
      <c r="AB761" s="728"/>
      <c r="AC761" s="638"/>
      <c r="AD761" s="638"/>
      <c r="AE761" s="638"/>
    </row>
    <row r="762" spans="1:31">
      <c r="A762" s="638"/>
      <c r="B762" s="638"/>
      <c r="C762" s="638"/>
      <c r="D762" s="638"/>
      <c r="E762" s="638"/>
      <c r="F762" s="638"/>
      <c r="G762" s="638"/>
      <c r="H762" s="638"/>
      <c r="I762" s="638"/>
      <c r="J762" s="638"/>
      <c r="K762" s="638"/>
      <c r="L762" s="638"/>
      <c r="M762" s="638"/>
      <c r="N762" s="638"/>
      <c r="O762" s="638"/>
      <c r="P762" s="638"/>
      <c r="Q762" s="638"/>
      <c r="R762" s="638"/>
      <c r="S762" s="343"/>
      <c r="T762" s="638"/>
      <c r="U762" s="343"/>
      <c r="V762" s="728"/>
      <c r="W762" s="728"/>
      <c r="X762" s="728"/>
      <c r="Y762" s="728"/>
      <c r="Z762" s="728"/>
      <c r="AA762" s="343"/>
      <c r="AB762" s="728"/>
      <c r="AC762" s="638"/>
      <c r="AD762" s="638"/>
      <c r="AE762" s="638"/>
    </row>
    <row r="763" spans="1:31">
      <c r="A763" s="638"/>
      <c r="B763" s="638"/>
      <c r="C763" s="638"/>
      <c r="D763" s="638"/>
      <c r="E763" s="638"/>
      <c r="F763" s="638"/>
      <c r="G763" s="638"/>
      <c r="H763" s="638"/>
      <c r="I763" s="638"/>
      <c r="J763" s="638"/>
      <c r="K763" s="638"/>
      <c r="L763" s="638"/>
      <c r="M763" s="638"/>
      <c r="N763" s="638"/>
      <c r="O763" s="638"/>
      <c r="P763" s="638"/>
      <c r="Q763" s="638"/>
      <c r="R763" s="638"/>
      <c r="S763" s="343"/>
      <c r="T763" s="638"/>
      <c r="U763" s="343"/>
      <c r="V763" s="728"/>
      <c r="W763" s="728"/>
      <c r="X763" s="728"/>
      <c r="Y763" s="728"/>
      <c r="Z763" s="728"/>
      <c r="AA763" s="343"/>
      <c r="AB763" s="728"/>
      <c r="AC763" s="638"/>
      <c r="AD763" s="638"/>
      <c r="AE763" s="638"/>
    </row>
    <row r="764" spans="1:31">
      <c r="A764" s="638"/>
      <c r="B764" s="638"/>
      <c r="C764" s="638"/>
      <c r="D764" s="638"/>
      <c r="E764" s="638"/>
      <c r="F764" s="638"/>
      <c r="G764" s="638"/>
      <c r="H764" s="638"/>
      <c r="I764" s="638"/>
      <c r="J764" s="638"/>
      <c r="K764" s="638"/>
      <c r="L764" s="638"/>
      <c r="M764" s="638"/>
      <c r="N764" s="638"/>
      <c r="O764" s="638"/>
      <c r="P764" s="638"/>
      <c r="Q764" s="638"/>
      <c r="R764" s="638"/>
      <c r="S764" s="343"/>
      <c r="T764" s="638"/>
      <c r="U764" s="343"/>
      <c r="V764" s="728"/>
      <c r="W764" s="728"/>
      <c r="X764" s="728"/>
      <c r="Y764" s="728"/>
      <c r="Z764" s="728"/>
      <c r="AA764" s="343"/>
      <c r="AB764" s="728"/>
      <c r="AC764" s="638"/>
      <c r="AD764" s="638"/>
      <c r="AE764" s="638"/>
    </row>
    <row r="765" spans="1:31">
      <c r="A765" s="638"/>
      <c r="B765" s="638"/>
      <c r="C765" s="638"/>
      <c r="D765" s="638"/>
      <c r="E765" s="638"/>
      <c r="F765" s="638"/>
      <c r="G765" s="638"/>
      <c r="H765" s="638"/>
      <c r="I765" s="638"/>
      <c r="J765" s="638"/>
      <c r="K765" s="638"/>
      <c r="L765" s="638"/>
      <c r="M765" s="638"/>
      <c r="N765" s="638"/>
      <c r="O765" s="638"/>
      <c r="P765" s="638"/>
      <c r="Q765" s="638"/>
      <c r="R765" s="638"/>
      <c r="S765" s="343"/>
      <c r="T765" s="638"/>
      <c r="U765" s="343"/>
      <c r="V765" s="728"/>
      <c r="W765" s="728"/>
      <c r="X765" s="728"/>
      <c r="Y765" s="728"/>
      <c r="Z765" s="728"/>
      <c r="AA765" s="343"/>
      <c r="AB765" s="728"/>
      <c r="AC765" s="638"/>
      <c r="AD765" s="638"/>
      <c r="AE765" s="638"/>
    </row>
    <row r="766" spans="1:31">
      <c r="A766" s="638"/>
      <c r="B766" s="638"/>
      <c r="C766" s="638"/>
      <c r="D766" s="638"/>
      <c r="E766" s="638"/>
      <c r="F766" s="638"/>
      <c r="G766" s="638"/>
      <c r="H766" s="638"/>
      <c r="I766" s="638"/>
      <c r="J766" s="638"/>
      <c r="K766" s="638"/>
      <c r="L766" s="638"/>
      <c r="M766" s="638"/>
      <c r="N766" s="638"/>
      <c r="O766" s="638"/>
      <c r="P766" s="638"/>
      <c r="Q766" s="638"/>
      <c r="R766" s="638"/>
      <c r="S766" s="343"/>
      <c r="T766" s="638"/>
      <c r="U766" s="343"/>
      <c r="V766" s="728"/>
      <c r="W766" s="728"/>
      <c r="X766" s="728"/>
      <c r="Y766" s="728"/>
      <c r="Z766" s="728"/>
      <c r="AA766" s="343"/>
      <c r="AB766" s="728"/>
      <c r="AC766" s="638"/>
      <c r="AD766" s="638"/>
      <c r="AE766" s="638"/>
    </row>
    <row r="767" spans="1:31">
      <c r="A767" s="638"/>
      <c r="B767" s="638"/>
      <c r="C767" s="638"/>
      <c r="D767" s="638"/>
      <c r="E767" s="638"/>
      <c r="F767" s="638"/>
      <c r="G767" s="638"/>
      <c r="H767" s="638"/>
      <c r="I767" s="638"/>
      <c r="J767" s="638"/>
      <c r="K767" s="638"/>
      <c r="L767" s="638"/>
      <c r="M767" s="638"/>
      <c r="N767" s="638"/>
      <c r="O767" s="638"/>
      <c r="P767" s="638"/>
      <c r="Q767" s="638"/>
      <c r="R767" s="638"/>
      <c r="S767" s="343"/>
      <c r="T767" s="638"/>
      <c r="U767" s="343"/>
      <c r="V767" s="728"/>
      <c r="W767" s="728"/>
      <c r="X767" s="728"/>
      <c r="Y767" s="728"/>
      <c r="Z767" s="728"/>
      <c r="AA767" s="343"/>
      <c r="AB767" s="728"/>
      <c r="AC767" s="638"/>
      <c r="AD767" s="638"/>
      <c r="AE767" s="638"/>
    </row>
    <row r="768" spans="1:31">
      <c r="A768" s="638"/>
      <c r="B768" s="638"/>
      <c r="C768" s="638"/>
      <c r="D768" s="638"/>
      <c r="E768" s="638"/>
      <c r="F768" s="638"/>
      <c r="G768" s="638"/>
      <c r="H768" s="638"/>
      <c r="I768" s="638"/>
      <c r="J768" s="638"/>
      <c r="K768" s="638"/>
      <c r="L768" s="638"/>
      <c r="M768" s="638"/>
      <c r="N768" s="638"/>
      <c r="O768" s="638"/>
      <c r="P768" s="638"/>
      <c r="Q768" s="638"/>
      <c r="R768" s="638"/>
      <c r="S768" s="343"/>
      <c r="T768" s="638"/>
      <c r="U768" s="343"/>
      <c r="V768" s="728"/>
      <c r="W768" s="728"/>
      <c r="X768" s="728"/>
      <c r="Y768" s="728"/>
      <c r="Z768" s="728"/>
      <c r="AA768" s="343"/>
      <c r="AB768" s="728"/>
      <c r="AC768" s="638"/>
      <c r="AD768" s="638"/>
      <c r="AE768" s="638"/>
    </row>
    <row r="769" spans="1:31">
      <c r="A769" s="638"/>
      <c r="B769" s="638"/>
      <c r="C769" s="638"/>
      <c r="D769" s="638"/>
      <c r="E769" s="638"/>
      <c r="F769" s="638"/>
      <c r="G769" s="638"/>
      <c r="H769" s="638"/>
      <c r="I769" s="638"/>
      <c r="J769" s="638"/>
      <c r="K769" s="638"/>
      <c r="L769" s="638"/>
      <c r="M769" s="638"/>
      <c r="N769" s="638"/>
      <c r="O769" s="638"/>
      <c r="P769" s="638"/>
      <c r="Q769" s="638"/>
      <c r="R769" s="638"/>
      <c r="S769" s="343"/>
      <c r="T769" s="638"/>
      <c r="U769" s="343"/>
      <c r="V769" s="728"/>
      <c r="W769" s="728"/>
      <c r="X769" s="728"/>
      <c r="Y769" s="728"/>
      <c r="Z769" s="728"/>
      <c r="AA769" s="343"/>
      <c r="AB769" s="728"/>
      <c r="AC769" s="638"/>
      <c r="AD769" s="638"/>
      <c r="AE769" s="638"/>
    </row>
    <row r="770" spans="1:31">
      <c r="A770" s="638"/>
      <c r="B770" s="638"/>
      <c r="C770" s="638"/>
      <c r="D770" s="638"/>
      <c r="E770" s="638"/>
      <c r="F770" s="638"/>
      <c r="G770" s="638"/>
      <c r="H770" s="638"/>
      <c r="I770" s="638"/>
      <c r="J770" s="638"/>
      <c r="K770" s="638"/>
      <c r="L770" s="638"/>
      <c r="M770" s="638"/>
      <c r="N770" s="638"/>
      <c r="O770" s="638"/>
      <c r="P770" s="638"/>
      <c r="Q770" s="638"/>
      <c r="R770" s="638"/>
      <c r="S770" s="343"/>
      <c r="T770" s="638"/>
      <c r="U770" s="343"/>
      <c r="V770" s="728"/>
      <c r="W770" s="728"/>
      <c r="X770" s="728"/>
      <c r="Y770" s="728"/>
      <c r="Z770" s="728"/>
      <c r="AA770" s="343"/>
      <c r="AB770" s="728"/>
      <c r="AC770" s="638"/>
      <c r="AD770" s="638"/>
      <c r="AE770" s="638"/>
    </row>
    <row r="771" spans="1:31">
      <c r="A771" s="638"/>
      <c r="B771" s="638"/>
      <c r="C771" s="638"/>
      <c r="D771" s="638"/>
      <c r="E771" s="638"/>
      <c r="F771" s="638"/>
      <c r="G771" s="638"/>
      <c r="H771" s="638"/>
      <c r="I771" s="638"/>
      <c r="J771" s="638"/>
      <c r="K771" s="638"/>
      <c r="L771" s="638"/>
      <c r="M771" s="638"/>
      <c r="N771" s="638"/>
      <c r="O771" s="638"/>
      <c r="P771" s="638"/>
      <c r="Q771" s="638"/>
      <c r="R771" s="638"/>
      <c r="S771" s="343"/>
      <c r="T771" s="638"/>
      <c r="U771" s="343"/>
      <c r="V771" s="728"/>
      <c r="W771" s="728"/>
      <c r="X771" s="728"/>
      <c r="Y771" s="728"/>
      <c r="Z771" s="728"/>
      <c r="AA771" s="343"/>
      <c r="AB771" s="728"/>
      <c r="AC771" s="638"/>
      <c r="AD771" s="638"/>
      <c r="AE771" s="638"/>
    </row>
    <row r="772" spans="1:31">
      <c r="A772" s="638"/>
      <c r="B772" s="638"/>
      <c r="C772" s="638"/>
      <c r="D772" s="638"/>
      <c r="E772" s="638"/>
      <c r="F772" s="638"/>
      <c r="G772" s="638"/>
      <c r="H772" s="638"/>
      <c r="I772" s="638"/>
      <c r="J772" s="638"/>
      <c r="K772" s="638"/>
      <c r="L772" s="638"/>
      <c r="M772" s="638"/>
      <c r="N772" s="638"/>
      <c r="O772" s="638"/>
      <c r="P772" s="638"/>
      <c r="Q772" s="638"/>
      <c r="R772" s="638"/>
      <c r="S772" s="343"/>
      <c r="T772" s="638"/>
      <c r="U772" s="343"/>
      <c r="V772" s="728"/>
      <c r="W772" s="728"/>
      <c r="X772" s="728"/>
      <c r="Y772" s="728"/>
      <c r="Z772" s="728"/>
      <c r="AA772" s="343"/>
      <c r="AB772" s="728"/>
      <c r="AC772" s="638"/>
      <c r="AD772" s="638"/>
      <c r="AE772" s="638"/>
    </row>
    <row r="773" spans="1:31">
      <c r="A773" s="638"/>
      <c r="B773" s="638"/>
      <c r="C773" s="638"/>
      <c r="D773" s="638"/>
      <c r="E773" s="638"/>
      <c r="F773" s="638"/>
      <c r="G773" s="638"/>
      <c r="H773" s="638"/>
      <c r="I773" s="638"/>
      <c r="J773" s="638"/>
      <c r="K773" s="638"/>
      <c r="L773" s="638"/>
      <c r="M773" s="638"/>
      <c r="N773" s="638"/>
      <c r="O773" s="638"/>
      <c r="P773" s="638"/>
      <c r="Q773" s="638"/>
      <c r="R773" s="638"/>
      <c r="S773" s="343"/>
      <c r="T773" s="638"/>
      <c r="U773" s="343"/>
      <c r="V773" s="728"/>
      <c r="W773" s="728"/>
      <c r="X773" s="728"/>
      <c r="Y773" s="728"/>
      <c r="Z773" s="728"/>
      <c r="AA773" s="343"/>
      <c r="AB773" s="728"/>
      <c r="AC773" s="638"/>
      <c r="AD773" s="638"/>
      <c r="AE773" s="638"/>
    </row>
    <row r="774" spans="1:31">
      <c r="A774" s="638"/>
      <c r="B774" s="638"/>
      <c r="C774" s="638"/>
      <c r="D774" s="638"/>
      <c r="E774" s="638"/>
      <c r="F774" s="638"/>
      <c r="G774" s="638"/>
      <c r="H774" s="638"/>
      <c r="I774" s="638"/>
      <c r="J774" s="638"/>
      <c r="K774" s="638"/>
      <c r="L774" s="638"/>
      <c r="M774" s="638"/>
      <c r="N774" s="638"/>
      <c r="O774" s="638"/>
      <c r="P774" s="638"/>
      <c r="Q774" s="638"/>
      <c r="R774" s="638"/>
      <c r="S774" s="343"/>
      <c r="T774" s="638"/>
      <c r="U774" s="343"/>
      <c r="V774" s="728"/>
      <c r="W774" s="728"/>
      <c r="X774" s="728"/>
      <c r="Y774" s="728"/>
      <c r="Z774" s="728"/>
      <c r="AA774" s="343"/>
      <c r="AB774" s="728"/>
      <c r="AC774" s="638"/>
      <c r="AD774" s="638"/>
      <c r="AE774" s="638"/>
    </row>
    <row r="775" spans="1:31">
      <c r="A775" s="638"/>
      <c r="B775" s="638"/>
      <c r="C775" s="638"/>
      <c r="D775" s="638"/>
      <c r="E775" s="638"/>
      <c r="F775" s="638"/>
      <c r="G775" s="638"/>
      <c r="H775" s="638"/>
      <c r="I775" s="638"/>
      <c r="J775" s="638"/>
      <c r="K775" s="638"/>
      <c r="L775" s="638"/>
      <c r="M775" s="638"/>
      <c r="N775" s="638"/>
      <c r="O775" s="638"/>
      <c r="P775" s="638"/>
      <c r="Q775" s="638"/>
      <c r="R775" s="638"/>
      <c r="S775" s="343"/>
      <c r="T775" s="638"/>
      <c r="U775" s="343"/>
      <c r="V775" s="728"/>
      <c r="W775" s="728"/>
      <c r="X775" s="728"/>
      <c r="Y775" s="728"/>
      <c r="Z775" s="728"/>
      <c r="AA775" s="343"/>
      <c r="AB775" s="728"/>
      <c r="AC775" s="638"/>
      <c r="AD775" s="638"/>
      <c r="AE775" s="638"/>
    </row>
    <row r="776" spans="1:31">
      <c r="A776" s="638"/>
      <c r="B776" s="638"/>
      <c r="C776" s="638"/>
      <c r="D776" s="638"/>
      <c r="E776" s="638"/>
      <c r="F776" s="638"/>
      <c r="G776" s="638"/>
      <c r="H776" s="638"/>
      <c r="I776" s="638"/>
      <c r="J776" s="638"/>
      <c r="K776" s="638"/>
      <c r="L776" s="638"/>
      <c r="M776" s="638"/>
      <c r="N776" s="638"/>
      <c r="O776" s="638"/>
      <c r="P776" s="638"/>
      <c r="Q776" s="638"/>
      <c r="R776" s="638"/>
      <c r="S776" s="343"/>
      <c r="T776" s="638"/>
      <c r="U776" s="343"/>
      <c r="V776" s="728"/>
      <c r="W776" s="728"/>
      <c r="X776" s="728"/>
      <c r="Y776" s="728"/>
      <c r="Z776" s="728"/>
      <c r="AA776" s="343"/>
      <c r="AB776" s="728"/>
      <c r="AC776" s="638"/>
      <c r="AD776" s="638"/>
      <c r="AE776" s="638"/>
    </row>
    <row r="777" spans="1:31">
      <c r="A777" s="638"/>
      <c r="B777" s="638"/>
      <c r="C777" s="638"/>
      <c r="D777" s="638"/>
      <c r="E777" s="638"/>
      <c r="F777" s="638"/>
      <c r="G777" s="638"/>
      <c r="H777" s="638"/>
      <c r="I777" s="638"/>
      <c r="J777" s="638"/>
      <c r="K777" s="638"/>
      <c r="L777" s="638"/>
      <c r="M777" s="638"/>
      <c r="N777" s="638"/>
      <c r="O777" s="638"/>
      <c r="P777" s="638"/>
      <c r="Q777" s="638"/>
      <c r="R777" s="638"/>
      <c r="S777" s="343"/>
      <c r="T777" s="638"/>
      <c r="U777" s="343"/>
      <c r="V777" s="728"/>
      <c r="W777" s="728"/>
      <c r="X777" s="728"/>
      <c r="Y777" s="728"/>
      <c r="Z777" s="728"/>
      <c r="AA777" s="343"/>
      <c r="AB777" s="728"/>
      <c r="AC777" s="638"/>
      <c r="AD777" s="638"/>
      <c r="AE777" s="638"/>
    </row>
    <row r="778" spans="1:31">
      <c r="A778" s="638"/>
      <c r="B778" s="638"/>
      <c r="C778" s="638"/>
      <c r="D778" s="638"/>
      <c r="E778" s="638"/>
      <c r="F778" s="638"/>
      <c r="G778" s="638"/>
      <c r="H778" s="638"/>
      <c r="I778" s="638"/>
      <c r="J778" s="638"/>
      <c r="K778" s="638"/>
      <c r="L778" s="638"/>
      <c r="M778" s="638"/>
      <c r="N778" s="638"/>
      <c r="O778" s="638"/>
      <c r="P778" s="638"/>
      <c r="Q778" s="638"/>
      <c r="R778" s="638"/>
      <c r="S778" s="343"/>
      <c r="T778" s="638"/>
      <c r="U778" s="343"/>
      <c r="V778" s="728"/>
      <c r="W778" s="728"/>
      <c r="X778" s="728"/>
      <c r="Y778" s="728"/>
      <c r="Z778" s="728"/>
      <c r="AA778" s="343"/>
      <c r="AB778" s="728"/>
      <c r="AC778" s="638"/>
      <c r="AD778" s="638"/>
      <c r="AE778" s="638"/>
    </row>
    <row r="779" spans="1:31">
      <c r="A779" s="638"/>
      <c r="B779" s="638"/>
      <c r="C779" s="638"/>
      <c r="D779" s="638"/>
      <c r="E779" s="638"/>
      <c r="F779" s="638"/>
      <c r="G779" s="638"/>
      <c r="H779" s="638"/>
      <c r="I779" s="638"/>
      <c r="J779" s="638"/>
      <c r="K779" s="638"/>
      <c r="L779" s="638"/>
      <c r="M779" s="638"/>
      <c r="N779" s="638"/>
      <c r="O779" s="638"/>
      <c r="P779" s="638"/>
      <c r="Q779" s="638"/>
      <c r="R779" s="638"/>
      <c r="S779" s="343"/>
      <c r="T779" s="638"/>
      <c r="U779" s="343"/>
      <c r="V779" s="728"/>
      <c r="W779" s="728"/>
      <c r="X779" s="728"/>
      <c r="Y779" s="728"/>
      <c r="Z779" s="728"/>
      <c r="AA779" s="343"/>
      <c r="AB779" s="728"/>
      <c r="AC779" s="638"/>
      <c r="AD779" s="638"/>
      <c r="AE779" s="638"/>
    </row>
    <row r="780" spans="1:31">
      <c r="A780" s="638"/>
      <c r="B780" s="638"/>
      <c r="C780" s="638"/>
      <c r="D780" s="638"/>
      <c r="E780" s="638"/>
      <c r="F780" s="638"/>
      <c r="G780" s="638"/>
      <c r="H780" s="638"/>
      <c r="I780" s="638"/>
      <c r="J780" s="638"/>
      <c r="K780" s="638"/>
      <c r="L780" s="638"/>
      <c r="M780" s="638"/>
      <c r="N780" s="638"/>
      <c r="O780" s="638"/>
      <c r="P780" s="638"/>
      <c r="Q780" s="638"/>
      <c r="R780" s="638"/>
      <c r="S780" s="343"/>
      <c r="T780" s="638"/>
      <c r="U780" s="343"/>
      <c r="V780" s="728"/>
      <c r="W780" s="728"/>
      <c r="X780" s="728"/>
      <c r="Y780" s="728"/>
      <c r="Z780" s="728"/>
      <c r="AA780" s="343"/>
      <c r="AB780" s="728"/>
      <c r="AC780" s="638"/>
      <c r="AD780" s="638"/>
      <c r="AE780" s="638"/>
    </row>
    <row r="781" spans="1:31">
      <c r="A781" s="638"/>
      <c r="B781" s="638"/>
      <c r="C781" s="638"/>
      <c r="D781" s="638"/>
      <c r="E781" s="638"/>
      <c r="F781" s="638"/>
      <c r="G781" s="638"/>
      <c r="H781" s="638"/>
      <c r="I781" s="638"/>
      <c r="J781" s="638"/>
      <c r="K781" s="638"/>
      <c r="L781" s="638"/>
      <c r="M781" s="638"/>
      <c r="N781" s="638"/>
      <c r="O781" s="638"/>
      <c r="P781" s="638"/>
      <c r="Q781" s="638"/>
      <c r="R781" s="638"/>
      <c r="S781" s="343"/>
      <c r="T781" s="638"/>
      <c r="U781" s="343"/>
      <c r="V781" s="728"/>
      <c r="W781" s="728"/>
      <c r="X781" s="728"/>
      <c r="Y781" s="728"/>
      <c r="Z781" s="728"/>
      <c r="AA781" s="343"/>
      <c r="AB781" s="728"/>
      <c r="AC781" s="638"/>
      <c r="AD781" s="638"/>
      <c r="AE781" s="638"/>
    </row>
    <row r="782" spans="1:31">
      <c r="A782" s="638"/>
      <c r="B782" s="638"/>
      <c r="C782" s="638"/>
      <c r="D782" s="638"/>
      <c r="E782" s="638"/>
      <c r="F782" s="638"/>
      <c r="G782" s="638"/>
      <c r="H782" s="638"/>
      <c r="I782" s="638"/>
      <c r="J782" s="638"/>
      <c r="K782" s="638"/>
      <c r="L782" s="638"/>
      <c r="M782" s="638"/>
      <c r="N782" s="638"/>
      <c r="O782" s="638"/>
      <c r="P782" s="638"/>
      <c r="Q782" s="638"/>
      <c r="R782" s="638"/>
      <c r="S782" s="343"/>
      <c r="T782" s="638"/>
      <c r="U782" s="343"/>
      <c r="V782" s="728"/>
      <c r="W782" s="728"/>
      <c r="X782" s="728"/>
      <c r="Y782" s="728"/>
      <c r="Z782" s="728"/>
      <c r="AA782" s="343"/>
      <c r="AB782" s="728"/>
      <c r="AC782" s="638"/>
      <c r="AD782" s="638"/>
      <c r="AE782" s="638"/>
    </row>
    <row r="783" spans="1:31">
      <c r="A783" s="638"/>
      <c r="B783" s="638"/>
      <c r="C783" s="638"/>
      <c r="D783" s="638"/>
      <c r="E783" s="638"/>
      <c r="F783" s="638"/>
      <c r="G783" s="638"/>
      <c r="H783" s="638"/>
      <c r="I783" s="638"/>
      <c r="J783" s="638"/>
      <c r="K783" s="638"/>
      <c r="L783" s="638"/>
      <c r="M783" s="638"/>
      <c r="N783" s="638"/>
      <c r="O783" s="638"/>
      <c r="P783" s="638"/>
      <c r="Q783" s="638"/>
      <c r="R783" s="638"/>
      <c r="S783" s="343"/>
      <c r="T783" s="638"/>
      <c r="U783" s="343"/>
      <c r="V783" s="728"/>
      <c r="W783" s="728"/>
      <c r="X783" s="728"/>
      <c r="Y783" s="728"/>
      <c r="Z783" s="728"/>
      <c r="AA783" s="343"/>
      <c r="AB783" s="728"/>
      <c r="AC783" s="638"/>
      <c r="AD783" s="638"/>
      <c r="AE783" s="638"/>
    </row>
    <row r="784" spans="1:31">
      <c r="A784" s="638"/>
      <c r="B784" s="638"/>
      <c r="C784" s="638"/>
      <c r="D784" s="638"/>
      <c r="E784" s="638"/>
      <c r="F784" s="638"/>
      <c r="G784" s="638"/>
      <c r="H784" s="638"/>
      <c r="I784" s="638"/>
      <c r="J784" s="638"/>
      <c r="K784" s="638"/>
      <c r="L784" s="638"/>
      <c r="M784" s="638"/>
      <c r="N784" s="638"/>
      <c r="O784" s="638"/>
      <c r="P784" s="638"/>
      <c r="Q784" s="638"/>
      <c r="R784" s="638"/>
      <c r="S784" s="343"/>
      <c r="T784" s="638"/>
      <c r="U784" s="343"/>
      <c r="V784" s="728"/>
      <c r="W784" s="728"/>
      <c r="X784" s="728"/>
      <c r="Y784" s="728"/>
      <c r="Z784" s="728"/>
      <c r="AA784" s="343"/>
      <c r="AB784" s="728"/>
      <c r="AC784" s="638"/>
      <c r="AD784" s="638"/>
      <c r="AE784" s="638"/>
    </row>
    <row r="785" spans="1:31">
      <c r="A785" s="638"/>
      <c r="B785" s="638"/>
      <c r="C785" s="638"/>
      <c r="D785" s="638"/>
      <c r="E785" s="638"/>
      <c r="F785" s="638"/>
      <c r="G785" s="638"/>
      <c r="H785" s="638"/>
      <c r="I785" s="638"/>
      <c r="J785" s="638"/>
      <c r="K785" s="638"/>
      <c r="L785" s="638"/>
      <c r="M785" s="638"/>
      <c r="N785" s="638"/>
      <c r="O785" s="638"/>
      <c r="P785" s="638"/>
      <c r="Q785" s="638"/>
      <c r="R785" s="638"/>
      <c r="S785" s="343"/>
      <c r="T785" s="638"/>
      <c r="U785" s="343"/>
      <c r="V785" s="728"/>
      <c r="W785" s="728"/>
      <c r="X785" s="728"/>
      <c r="Y785" s="728"/>
      <c r="Z785" s="728"/>
      <c r="AA785" s="343"/>
      <c r="AB785" s="728"/>
      <c r="AC785" s="638"/>
      <c r="AD785" s="638"/>
      <c r="AE785" s="638"/>
    </row>
    <row r="786" spans="1:31">
      <c r="A786" s="638"/>
      <c r="B786" s="638"/>
      <c r="C786" s="638"/>
      <c r="D786" s="638"/>
      <c r="E786" s="638"/>
      <c r="F786" s="638"/>
      <c r="G786" s="638"/>
      <c r="H786" s="638"/>
      <c r="I786" s="638"/>
      <c r="J786" s="638"/>
      <c r="K786" s="638"/>
      <c r="L786" s="638"/>
      <c r="M786" s="638"/>
      <c r="N786" s="638"/>
      <c r="O786" s="638"/>
      <c r="P786" s="638"/>
      <c r="Q786" s="638"/>
      <c r="R786" s="638"/>
      <c r="S786" s="343"/>
      <c r="T786" s="638"/>
      <c r="U786" s="343"/>
      <c r="V786" s="728"/>
      <c r="W786" s="728"/>
      <c r="X786" s="728"/>
      <c r="Y786" s="728"/>
      <c r="Z786" s="728"/>
      <c r="AA786" s="343"/>
      <c r="AB786" s="728"/>
      <c r="AC786" s="638"/>
      <c r="AD786" s="638"/>
      <c r="AE786" s="638"/>
    </row>
    <row r="787" spans="1:31">
      <c r="A787" s="638"/>
      <c r="B787" s="638"/>
      <c r="C787" s="638"/>
      <c r="D787" s="638"/>
      <c r="E787" s="638"/>
      <c r="F787" s="638"/>
      <c r="G787" s="638"/>
      <c r="H787" s="638"/>
      <c r="I787" s="638"/>
      <c r="J787" s="638"/>
      <c r="K787" s="638"/>
      <c r="L787" s="638"/>
      <c r="M787" s="638"/>
      <c r="N787" s="638"/>
      <c r="O787" s="638"/>
      <c r="P787" s="638"/>
      <c r="Q787" s="638"/>
      <c r="R787" s="638"/>
      <c r="S787" s="343"/>
      <c r="T787" s="638"/>
      <c r="U787" s="343"/>
      <c r="V787" s="728"/>
      <c r="W787" s="728"/>
      <c r="X787" s="728"/>
      <c r="Y787" s="728"/>
      <c r="Z787" s="728"/>
      <c r="AA787" s="343"/>
      <c r="AB787" s="728"/>
      <c r="AC787" s="638"/>
      <c r="AD787" s="638"/>
      <c r="AE787" s="638"/>
    </row>
    <row r="788" spans="1:31">
      <c r="A788" s="638"/>
      <c r="B788" s="638"/>
      <c r="C788" s="638"/>
      <c r="D788" s="638"/>
      <c r="E788" s="638"/>
      <c r="F788" s="638"/>
      <c r="G788" s="638"/>
      <c r="H788" s="638"/>
      <c r="I788" s="638"/>
      <c r="J788" s="638"/>
      <c r="K788" s="638"/>
      <c r="L788" s="638"/>
      <c r="M788" s="638"/>
      <c r="N788" s="638"/>
      <c r="O788" s="638"/>
      <c r="P788" s="638"/>
      <c r="Q788" s="638"/>
      <c r="R788" s="638"/>
      <c r="S788" s="343"/>
      <c r="T788" s="638"/>
      <c r="U788" s="343"/>
      <c r="V788" s="728"/>
      <c r="W788" s="728"/>
      <c r="X788" s="728"/>
      <c r="Y788" s="728"/>
      <c r="Z788" s="728"/>
      <c r="AA788" s="343"/>
      <c r="AB788" s="728"/>
      <c r="AC788" s="638"/>
      <c r="AD788" s="638"/>
      <c r="AE788" s="638"/>
    </row>
    <row r="789" spans="1:31">
      <c r="A789" s="638"/>
      <c r="B789" s="638"/>
      <c r="C789" s="638"/>
      <c r="D789" s="638"/>
      <c r="E789" s="638"/>
      <c r="F789" s="638"/>
      <c r="G789" s="638"/>
      <c r="H789" s="638"/>
      <c r="I789" s="638"/>
      <c r="J789" s="638"/>
      <c r="K789" s="638"/>
      <c r="L789" s="638"/>
      <c r="M789" s="638"/>
      <c r="N789" s="638"/>
      <c r="O789" s="638"/>
      <c r="P789" s="638"/>
      <c r="Q789" s="638"/>
      <c r="R789" s="638"/>
      <c r="S789" s="343"/>
      <c r="T789" s="638"/>
      <c r="U789" s="343"/>
      <c r="V789" s="728"/>
      <c r="W789" s="728"/>
      <c r="X789" s="728"/>
      <c r="Y789" s="728"/>
      <c r="Z789" s="728"/>
      <c r="AA789" s="343"/>
      <c r="AB789" s="728"/>
      <c r="AC789" s="638"/>
      <c r="AD789" s="638"/>
      <c r="AE789" s="638"/>
    </row>
    <row r="790" spans="1:31">
      <c r="A790" s="638"/>
      <c r="B790" s="638"/>
      <c r="C790" s="638"/>
      <c r="D790" s="638"/>
      <c r="E790" s="638"/>
      <c r="F790" s="638"/>
      <c r="G790" s="638"/>
      <c r="H790" s="638"/>
      <c r="I790" s="638"/>
      <c r="J790" s="638"/>
      <c r="K790" s="638"/>
      <c r="L790" s="638"/>
      <c r="M790" s="638"/>
      <c r="N790" s="638"/>
      <c r="O790" s="638"/>
      <c r="P790" s="638"/>
      <c r="Q790" s="638"/>
      <c r="R790" s="638"/>
      <c r="S790" s="343"/>
      <c r="T790" s="638"/>
      <c r="U790" s="343"/>
      <c r="V790" s="728"/>
      <c r="W790" s="728"/>
      <c r="X790" s="728"/>
      <c r="Y790" s="728"/>
      <c r="Z790" s="728"/>
      <c r="AA790" s="343"/>
      <c r="AB790" s="728"/>
      <c r="AC790" s="638"/>
      <c r="AD790" s="638"/>
      <c r="AE790" s="638"/>
    </row>
    <row r="791" spans="1:31">
      <c r="A791" s="638"/>
      <c r="B791" s="638"/>
      <c r="C791" s="638"/>
      <c r="D791" s="638"/>
      <c r="E791" s="638"/>
      <c r="F791" s="638"/>
      <c r="G791" s="638"/>
      <c r="H791" s="638"/>
      <c r="I791" s="638"/>
      <c r="J791" s="638"/>
      <c r="K791" s="638"/>
      <c r="L791" s="638"/>
      <c r="M791" s="638"/>
      <c r="N791" s="638"/>
      <c r="O791" s="638"/>
      <c r="P791" s="638"/>
      <c r="Q791" s="638"/>
      <c r="R791" s="638"/>
      <c r="S791" s="343"/>
      <c r="T791" s="638"/>
      <c r="U791" s="343"/>
      <c r="V791" s="728"/>
      <c r="W791" s="728"/>
      <c r="X791" s="728"/>
      <c r="Y791" s="728"/>
      <c r="Z791" s="728"/>
      <c r="AA791" s="343"/>
      <c r="AB791" s="728"/>
      <c r="AC791" s="638"/>
      <c r="AD791" s="638"/>
      <c r="AE791" s="638"/>
    </row>
    <row r="792" spans="1:31">
      <c r="A792" s="638"/>
      <c r="B792" s="638"/>
      <c r="C792" s="638"/>
      <c r="D792" s="638"/>
      <c r="E792" s="638"/>
      <c r="F792" s="638"/>
      <c r="G792" s="638"/>
      <c r="H792" s="638"/>
      <c r="I792" s="638"/>
      <c r="J792" s="638"/>
      <c r="K792" s="638"/>
      <c r="L792" s="638"/>
      <c r="M792" s="638"/>
      <c r="N792" s="638"/>
      <c r="O792" s="638"/>
      <c r="P792" s="638"/>
      <c r="Q792" s="638"/>
      <c r="R792" s="638"/>
      <c r="S792" s="343"/>
      <c r="T792" s="638"/>
      <c r="U792" s="343"/>
      <c r="V792" s="728"/>
      <c r="W792" s="728"/>
      <c r="X792" s="728"/>
      <c r="Y792" s="728"/>
      <c r="Z792" s="728"/>
      <c r="AA792" s="343"/>
      <c r="AB792" s="728"/>
      <c r="AC792" s="638"/>
      <c r="AD792" s="638"/>
      <c r="AE792" s="638"/>
    </row>
    <row r="793" spans="1:31">
      <c r="A793" s="638"/>
      <c r="B793" s="638"/>
      <c r="C793" s="638"/>
      <c r="D793" s="638"/>
      <c r="E793" s="638"/>
      <c r="F793" s="638"/>
      <c r="G793" s="638"/>
      <c r="H793" s="638"/>
      <c r="I793" s="638"/>
      <c r="J793" s="638"/>
      <c r="K793" s="638"/>
      <c r="L793" s="638"/>
      <c r="M793" s="638"/>
      <c r="N793" s="638"/>
      <c r="O793" s="638"/>
      <c r="P793" s="638"/>
      <c r="Q793" s="638"/>
      <c r="R793" s="638"/>
      <c r="S793" s="343"/>
      <c r="T793" s="638"/>
      <c r="U793" s="343"/>
      <c r="V793" s="728"/>
      <c r="W793" s="728"/>
      <c r="X793" s="728"/>
      <c r="Y793" s="728"/>
      <c r="Z793" s="728"/>
      <c r="AA793" s="343"/>
      <c r="AB793" s="728"/>
      <c r="AC793" s="638"/>
      <c r="AD793" s="638"/>
      <c r="AE793" s="638"/>
    </row>
    <row r="794" spans="1:31">
      <c r="A794" s="638"/>
      <c r="B794" s="638"/>
      <c r="C794" s="638"/>
      <c r="D794" s="638"/>
      <c r="E794" s="638"/>
      <c r="F794" s="638"/>
      <c r="G794" s="638"/>
      <c r="H794" s="638"/>
      <c r="I794" s="638"/>
      <c r="J794" s="638"/>
      <c r="K794" s="638"/>
      <c r="L794" s="638"/>
      <c r="M794" s="638"/>
      <c r="N794" s="638"/>
      <c r="O794" s="638"/>
      <c r="P794" s="638"/>
      <c r="Q794" s="638"/>
      <c r="R794" s="638"/>
      <c r="S794" s="343"/>
      <c r="T794" s="638"/>
      <c r="U794" s="343"/>
      <c r="V794" s="728"/>
      <c r="W794" s="728"/>
      <c r="X794" s="728"/>
      <c r="Y794" s="728"/>
      <c r="Z794" s="728"/>
      <c r="AA794" s="343"/>
      <c r="AB794" s="728"/>
      <c r="AC794" s="638"/>
      <c r="AD794" s="638"/>
      <c r="AE794" s="638"/>
    </row>
    <row r="795" spans="1:31">
      <c r="A795" s="638"/>
      <c r="B795" s="638"/>
      <c r="C795" s="638"/>
      <c r="D795" s="638"/>
      <c r="E795" s="638"/>
      <c r="F795" s="638"/>
      <c r="G795" s="638"/>
      <c r="H795" s="638"/>
      <c r="I795" s="638"/>
      <c r="J795" s="638"/>
      <c r="K795" s="638"/>
      <c r="L795" s="638"/>
      <c r="M795" s="638"/>
      <c r="N795" s="638"/>
      <c r="O795" s="638"/>
      <c r="P795" s="638"/>
      <c r="Q795" s="638"/>
      <c r="R795" s="638"/>
      <c r="S795" s="343"/>
      <c r="T795" s="638"/>
      <c r="U795" s="343"/>
      <c r="V795" s="728"/>
      <c r="W795" s="728"/>
      <c r="X795" s="728"/>
      <c r="Y795" s="728"/>
      <c r="Z795" s="728"/>
      <c r="AA795" s="343"/>
      <c r="AB795" s="728"/>
      <c r="AC795" s="638"/>
      <c r="AD795" s="638"/>
      <c r="AE795" s="638"/>
    </row>
    <row r="796" spans="1:31">
      <c r="A796" s="638"/>
      <c r="B796" s="638"/>
      <c r="C796" s="638"/>
      <c r="D796" s="638"/>
      <c r="E796" s="638"/>
      <c r="F796" s="638"/>
      <c r="G796" s="638"/>
      <c r="H796" s="638"/>
      <c r="I796" s="638"/>
      <c r="J796" s="638"/>
      <c r="K796" s="638"/>
      <c r="L796" s="638"/>
      <c r="M796" s="638"/>
      <c r="N796" s="638"/>
      <c r="O796" s="638"/>
      <c r="P796" s="638"/>
      <c r="Q796" s="638"/>
      <c r="R796" s="638"/>
      <c r="S796" s="343"/>
      <c r="T796" s="638"/>
      <c r="U796" s="343"/>
      <c r="V796" s="728"/>
      <c r="W796" s="728"/>
      <c r="X796" s="728"/>
      <c r="Y796" s="728"/>
      <c r="Z796" s="728"/>
      <c r="AA796" s="343"/>
      <c r="AB796" s="728"/>
      <c r="AC796" s="638"/>
      <c r="AD796" s="638"/>
      <c r="AE796" s="638"/>
    </row>
    <row r="797" spans="1:31">
      <c r="A797" s="638"/>
      <c r="B797" s="638"/>
      <c r="C797" s="638"/>
      <c r="D797" s="638"/>
      <c r="E797" s="638"/>
      <c r="F797" s="638"/>
      <c r="G797" s="638"/>
      <c r="H797" s="638"/>
      <c r="I797" s="638"/>
      <c r="J797" s="638"/>
      <c r="K797" s="638"/>
      <c r="L797" s="638"/>
      <c r="M797" s="638"/>
      <c r="N797" s="638"/>
      <c r="O797" s="638"/>
      <c r="P797" s="638"/>
      <c r="Q797" s="638"/>
      <c r="R797" s="638"/>
      <c r="S797" s="343"/>
      <c r="T797" s="638"/>
      <c r="U797" s="343"/>
      <c r="V797" s="728"/>
      <c r="W797" s="728"/>
      <c r="X797" s="728"/>
      <c r="Y797" s="728"/>
      <c r="Z797" s="728"/>
      <c r="AA797" s="343"/>
      <c r="AB797" s="728"/>
      <c r="AC797" s="638"/>
      <c r="AD797" s="638"/>
      <c r="AE797" s="638"/>
    </row>
    <row r="798" spans="1:31">
      <c r="A798" s="638"/>
      <c r="B798" s="638"/>
      <c r="C798" s="638"/>
      <c r="D798" s="638"/>
      <c r="E798" s="638"/>
      <c r="F798" s="638"/>
      <c r="G798" s="638"/>
      <c r="H798" s="638"/>
      <c r="I798" s="638"/>
      <c r="J798" s="638"/>
      <c r="K798" s="638"/>
      <c r="L798" s="638"/>
      <c r="M798" s="638"/>
      <c r="N798" s="638"/>
      <c r="O798" s="638"/>
      <c r="P798" s="638"/>
      <c r="Q798" s="638"/>
      <c r="R798" s="638"/>
      <c r="S798" s="343"/>
      <c r="T798" s="638"/>
      <c r="U798" s="343"/>
      <c r="V798" s="728"/>
      <c r="W798" s="728"/>
      <c r="X798" s="728"/>
      <c r="Y798" s="728"/>
      <c r="Z798" s="728"/>
      <c r="AA798" s="343"/>
      <c r="AB798" s="728"/>
      <c r="AC798" s="638"/>
      <c r="AD798" s="638"/>
      <c r="AE798" s="638"/>
    </row>
    <row r="799" spans="1:31">
      <c r="A799" s="638"/>
      <c r="B799" s="638"/>
      <c r="C799" s="638"/>
      <c r="D799" s="638"/>
      <c r="E799" s="638"/>
      <c r="F799" s="638"/>
      <c r="G799" s="638"/>
      <c r="H799" s="638"/>
      <c r="I799" s="638"/>
      <c r="J799" s="638"/>
      <c r="K799" s="638"/>
      <c r="L799" s="638"/>
      <c r="M799" s="638"/>
      <c r="N799" s="638"/>
      <c r="O799" s="638"/>
      <c r="P799" s="638"/>
      <c r="Q799" s="638"/>
      <c r="R799" s="638"/>
      <c r="S799" s="343"/>
      <c r="T799" s="638"/>
      <c r="U799" s="343"/>
      <c r="V799" s="728"/>
      <c r="W799" s="728"/>
      <c r="X799" s="728"/>
      <c r="Y799" s="728"/>
      <c r="Z799" s="728"/>
      <c r="AA799" s="343"/>
      <c r="AB799" s="728"/>
      <c r="AC799" s="638"/>
      <c r="AD799" s="638"/>
      <c r="AE799" s="638"/>
    </row>
    <row r="800" spans="1:31">
      <c r="A800" s="638"/>
      <c r="B800" s="638"/>
      <c r="C800" s="638"/>
      <c r="D800" s="638"/>
      <c r="E800" s="638"/>
      <c r="F800" s="638"/>
      <c r="G800" s="638"/>
      <c r="H800" s="638"/>
      <c r="I800" s="638"/>
      <c r="J800" s="638"/>
      <c r="K800" s="638"/>
      <c r="L800" s="638"/>
      <c r="M800" s="638"/>
      <c r="N800" s="638"/>
      <c r="O800" s="638"/>
      <c r="P800" s="638"/>
      <c r="Q800" s="638"/>
      <c r="R800" s="638"/>
      <c r="S800" s="343"/>
      <c r="T800" s="638"/>
      <c r="U800" s="343"/>
      <c r="V800" s="728"/>
      <c r="W800" s="728"/>
      <c r="X800" s="728"/>
      <c r="Y800" s="728"/>
      <c r="Z800" s="728"/>
      <c r="AA800" s="343"/>
      <c r="AB800" s="728"/>
      <c r="AC800" s="638"/>
      <c r="AD800" s="638"/>
      <c r="AE800" s="638"/>
    </row>
    <row r="801" spans="1:31">
      <c r="A801" s="638"/>
      <c r="B801" s="638"/>
      <c r="C801" s="638"/>
      <c r="D801" s="638"/>
      <c r="E801" s="638"/>
      <c r="F801" s="638"/>
      <c r="G801" s="638"/>
      <c r="H801" s="638"/>
      <c r="I801" s="638"/>
      <c r="J801" s="638"/>
      <c r="K801" s="638"/>
      <c r="L801" s="638"/>
      <c r="M801" s="638"/>
      <c r="N801" s="638"/>
      <c r="O801" s="638"/>
      <c r="P801" s="638"/>
      <c r="Q801" s="638"/>
      <c r="R801" s="638"/>
      <c r="S801" s="343"/>
      <c r="T801" s="638"/>
      <c r="U801" s="343"/>
      <c r="V801" s="728"/>
      <c r="W801" s="728"/>
      <c r="X801" s="728"/>
      <c r="Y801" s="728"/>
      <c r="Z801" s="728"/>
      <c r="AA801" s="343"/>
      <c r="AB801" s="728"/>
      <c r="AC801" s="638"/>
      <c r="AD801" s="638"/>
      <c r="AE801" s="638"/>
    </row>
    <row r="802" spans="1:31">
      <c r="A802" s="638"/>
      <c r="B802" s="638"/>
      <c r="C802" s="638"/>
      <c r="D802" s="638"/>
      <c r="E802" s="638"/>
      <c r="F802" s="638"/>
      <c r="G802" s="638"/>
      <c r="H802" s="638"/>
      <c r="I802" s="638"/>
      <c r="J802" s="638"/>
      <c r="K802" s="638"/>
      <c r="L802" s="638"/>
      <c r="M802" s="638"/>
      <c r="N802" s="638"/>
      <c r="O802" s="638"/>
      <c r="P802" s="638"/>
      <c r="Q802" s="638"/>
      <c r="R802" s="638"/>
      <c r="S802" s="343"/>
      <c r="T802" s="638"/>
      <c r="U802" s="343"/>
      <c r="V802" s="728"/>
      <c r="W802" s="728"/>
      <c r="X802" s="728"/>
      <c r="Y802" s="728"/>
      <c r="Z802" s="728"/>
      <c r="AA802" s="343"/>
      <c r="AB802" s="728"/>
      <c r="AC802" s="638"/>
      <c r="AD802" s="638"/>
      <c r="AE802" s="638"/>
    </row>
    <row r="803" spans="1:31">
      <c r="A803" s="638"/>
      <c r="B803" s="638"/>
      <c r="C803" s="638"/>
      <c r="D803" s="638"/>
      <c r="E803" s="638"/>
      <c r="F803" s="638"/>
      <c r="G803" s="638"/>
      <c r="H803" s="638"/>
      <c r="I803" s="638"/>
      <c r="J803" s="638"/>
      <c r="K803" s="638"/>
      <c r="L803" s="638"/>
      <c r="M803" s="638"/>
      <c r="N803" s="638"/>
      <c r="O803" s="638"/>
      <c r="P803" s="638"/>
      <c r="Q803" s="638"/>
      <c r="R803" s="638"/>
      <c r="S803" s="343"/>
      <c r="T803" s="638"/>
      <c r="U803" s="343"/>
      <c r="V803" s="728"/>
      <c r="W803" s="728"/>
      <c r="X803" s="728"/>
      <c r="Y803" s="728"/>
      <c r="Z803" s="728"/>
      <c r="AA803" s="343"/>
      <c r="AB803" s="728"/>
      <c r="AC803" s="638"/>
      <c r="AD803" s="638"/>
      <c r="AE803" s="638"/>
    </row>
    <row r="804" spans="1:31">
      <c r="A804" s="638"/>
      <c r="B804" s="638"/>
      <c r="C804" s="638"/>
      <c r="D804" s="638"/>
      <c r="E804" s="638"/>
      <c r="F804" s="638"/>
      <c r="G804" s="638"/>
      <c r="H804" s="638"/>
      <c r="I804" s="638"/>
      <c r="J804" s="638"/>
      <c r="K804" s="638"/>
      <c r="L804" s="638"/>
      <c r="M804" s="638"/>
      <c r="N804" s="638"/>
      <c r="O804" s="638"/>
      <c r="P804" s="638"/>
      <c r="Q804" s="638"/>
      <c r="R804" s="638"/>
      <c r="S804" s="343"/>
      <c r="T804" s="638"/>
      <c r="U804" s="343"/>
      <c r="V804" s="728"/>
      <c r="W804" s="728"/>
      <c r="X804" s="728"/>
      <c r="Y804" s="728"/>
      <c r="Z804" s="728"/>
      <c r="AA804" s="343"/>
      <c r="AB804" s="728"/>
      <c r="AC804" s="638"/>
      <c r="AD804" s="638"/>
      <c r="AE804" s="638"/>
    </row>
    <row r="805" spans="1:31">
      <c r="A805" s="638"/>
      <c r="B805" s="638"/>
      <c r="C805" s="638"/>
      <c r="D805" s="638"/>
      <c r="E805" s="638"/>
      <c r="F805" s="638"/>
      <c r="G805" s="638"/>
      <c r="H805" s="638"/>
      <c r="I805" s="638"/>
      <c r="J805" s="638"/>
      <c r="K805" s="638"/>
      <c r="L805" s="638"/>
      <c r="M805" s="638"/>
      <c r="N805" s="638"/>
      <c r="O805" s="638"/>
      <c r="P805" s="638"/>
      <c r="Q805" s="638"/>
      <c r="R805" s="638"/>
      <c r="S805" s="343"/>
      <c r="T805" s="638"/>
      <c r="U805" s="343"/>
      <c r="V805" s="728"/>
      <c r="W805" s="728"/>
      <c r="X805" s="728"/>
      <c r="Y805" s="728"/>
      <c r="Z805" s="728"/>
      <c r="AA805" s="343"/>
      <c r="AB805" s="728"/>
      <c r="AC805" s="638"/>
      <c r="AD805" s="638"/>
      <c r="AE805" s="638"/>
    </row>
    <row r="806" spans="1:31">
      <c r="A806" s="638"/>
      <c r="B806" s="638"/>
      <c r="C806" s="638"/>
      <c r="D806" s="638"/>
      <c r="E806" s="638"/>
      <c r="F806" s="638"/>
      <c r="G806" s="638"/>
      <c r="H806" s="638"/>
      <c r="I806" s="638"/>
      <c r="J806" s="638"/>
      <c r="K806" s="638"/>
      <c r="L806" s="638"/>
      <c r="M806" s="638"/>
      <c r="N806" s="638"/>
      <c r="O806" s="638"/>
      <c r="P806" s="638"/>
      <c r="Q806" s="638"/>
      <c r="R806" s="638"/>
      <c r="S806" s="343"/>
      <c r="T806" s="638"/>
      <c r="U806" s="343"/>
      <c r="V806" s="728"/>
      <c r="W806" s="728"/>
      <c r="X806" s="728"/>
      <c r="Y806" s="728"/>
      <c r="Z806" s="728"/>
      <c r="AA806" s="343"/>
      <c r="AB806" s="728"/>
      <c r="AC806" s="638"/>
      <c r="AD806" s="638"/>
      <c r="AE806" s="638"/>
    </row>
    <row r="807" spans="1:31">
      <c r="A807" s="638"/>
      <c r="B807" s="638"/>
      <c r="C807" s="638"/>
      <c r="D807" s="638"/>
      <c r="E807" s="638"/>
      <c r="F807" s="638"/>
      <c r="G807" s="638"/>
      <c r="H807" s="638"/>
      <c r="I807" s="638"/>
      <c r="J807" s="638"/>
      <c r="K807" s="638"/>
      <c r="L807" s="638"/>
      <c r="M807" s="638"/>
      <c r="N807" s="638"/>
      <c r="O807" s="638"/>
      <c r="P807" s="638"/>
      <c r="Q807" s="638"/>
      <c r="R807" s="638"/>
      <c r="S807" s="343"/>
      <c r="T807" s="638"/>
      <c r="U807" s="343"/>
      <c r="V807" s="728"/>
      <c r="W807" s="728"/>
      <c r="X807" s="728"/>
      <c r="Y807" s="728"/>
      <c r="Z807" s="728"/>
      <c r="AA807" s="343"/>
      <c r="AB807" s="728"/>
      <c r="AC807" s="638"/>
      <c r="AD807" s="638"/>
      <c r="AE807" s="638"/>
    </row>
    <row r="808" spans="1:31">
      <c r="A808" s="638"/>
      <c r="B808" s="638"/>
      <c r="C808" s="638"/>
      <c r="D808" s="638"/>
      <c r="E808" s="638"/>
      <c r="F808" s="638"/>
      <c r="G808" s="638"/>
      <c r="H808" s="638"/>
      <c r="I808" s="638"/>
      <c r="J808" s="638"/>
      <c r="K808" s="638"/>
      <c r="L808" s="638"/>
      <c r="M808" s="638"/>
      <c r="N808" s="638"/>
      <c r="O808" s="638"/>
      <c r="P808" s="638"/>
      <c r="Q808" s="638"/>
      <c r="R808" s="638"/>
      <c r="S808" s="343"/>
      <c r="T808" s="638"/>
      <c r="U808" s="343"/>
      <c r="V808" s="728"/>
      <c r="W808" s="728"/>
      <c r="X808" s="728"/>
      <c r="Y808" s="728"/>
      <c r="Z808" s="728"/>
      <c r="AA808" s="343"/>
      <c r="AB808" s="728"/>
      <c r="AC808" s="638"/>
      <c r="AD808" s="638"/>
      <c r="AE808" s="638"/>
    </row>
    <row r="809" spans="1:31">
      <c r="A809" s="638"/>
      <c r="B809" s="638"/>
      <c r="C809" s="638"/>
      <c r="D809" s="638"/>
      <c r="E809" s="638"/>
      <c r="F809" s="638"/>
      <c r="G809" s="638"/>
      <c r="H809" s="638"/>
      <c r="I809" s="638"/>
      <c r="J809" s="638"/>
      <c r="K809" s="638"/>
      <c r="L809" s="638"/>
      <c r="M809" s="638"/>
      <c r="N809" s="638"/>
      <c r="O809" s="638"/>
      <c r="P809" s="638"/>
      <c r="Q809" s="638"/>
      <c r="R809" s="638"/>
      <c r="S809" s="343"/>
      <c r="T809" s="638"/>
      <c r="U809" s="343"/>
      <c r="V809" s="728"/>
      <c r="W809" s="728"/>
      <c r="X809" s="728"/>
      <c r="Y809" s="728"/>
      <c r="Z809" s="728"/>
      <c r="AA809" s="343"/>
      <c r="AB809" s="728"/>
      <c r="AC809" s="638"/>
      <c r="AD809" s="638"/>
      <c r="AE809" s="638"/>
    </row>
    <row r="810" spans="1:31">
      <c r="A810" s="638"/>
      <c r="B810" s="638"/>
      <c r="C810" s="638"/>
      <c r="D810" s="638"/>
      <c r="E810" s="638"/>
      <c r="F810" s="638"/>
      <c r="G810" s="638"/>
      <c r="H810" s="638"/>
      <c r="I810" s="638"/>
      <c r="J810" s="638"/>
      <c r="K810" s="638"/>
      <c r="L810" s="638"/>
      <c r="M810" s="638"/>
      <c r="N810" s="638"/>
      <c r="O810" s="638"/>
      <c r="P810" s="638"/>
      <c r="Q810" s="638"/>
      <c r="R810" s="638"/>
      <c r="S810" s="343"/>
      <c r="T810" s="638"/>
      <c r="U810" s="343"/>
      <c r="V810" s="728"/>
      <c r="W810" s="728"/>
      <c r="X810" s="728"/>
      <c r="Y810" s="728"/>
      <c r="Z810" s="728"/>
      <c r="AA810" s="343"/>
      <c r="AB810" s="728"/>
      <c r="AC810" s="638"/>
      <c r="AD810" s="638"/>
      <c r="AE810" s="638"/>
    </row>
    <row r="811" spans="1:31">
      <c r="A811" s="638"/>
      <c r="B811" s="638"/>
      <c r="C811" s="638"/>
      <c r="D811" s="638"/>
      <c r="E811" s="638"/>
      <c r="F811" s="638"/>
      <c r="G811" s="638"/>
      <c r="H811" s="638"/>
      <c r="I811" s="638"/>
      <c r="J811" s="638"/>
      <c r="K811" s="638"/>
      <c r="L811" s="638"/>
      <c r="M811" s="638"/>
      <c r="N811" s="638"/>
      <c r="O811" s="638"/>
      <c r="P811" s="638"/>
      <c r="Q811" s="638"/>
      <c r="R811" s="638"/>
      <c r="S811" s="343"/>
      <c r="T811" s="638"/>
      <c r="U811" s="343"/>
      <c r="V811" s="728"/>
      <c r="W811" s="728"/>
      <c r="X811" s="728"/>
      <c r="Y811" s="728"/>
      <c r="Z811" s="728"/>
      <c r="AA811" s="343"/>
      <c r="AB811" s="728"/>
      <c r="AC811" s="638"/>
      <c r="AD811" s="638"/>
      <c r="AE811" s="638"/>
    </row>
    <row r="812" spans="1:31">
      <c r="A812" s="638"/>
      <c r="B812" s="638"/>
      <c r="C812" s="638"/>
      <c r="D812" s="638"/>
      <c r="E812" s="638"/>
      <c r="F812" s="638"/>
      <c r="G812" s="638"/>
      <c r="H812" s="638"/>
      <c r="I812" s="638"/>
      <c r="J812" s="638"/>
      <c r="K812" s="638"/>
      <c r="L812" s="638"/>
      <c r="M812" s="638"/>
      <c r="N812" s="638"/>
      <c r="O812" s="638"/>
      <c r="P812" s="638"/>
      <c r="Q812" s="638"/>
      <c r="R812" s="638"/>
      <c r="S812" s="343"/>
      <c r="T812" s="638"/>
      <c r="U812" s="343"/>
      <c r="V812" s="728"/>
      <c r="W812" s="728"/>
      <c r="X812" s="728"/>
      <c r="Y812" s="728"/>
      <c r="Z812" s="728"/>
      <c r="AA812" s="343"/>
      <c r="AB812" s="728"/>
      <c r="AC812" s="638"/>
      <c r="AD812" s="638"/>
      <c r="AE812" s="638"/>
    </row>
    <row r="813" spans="1:31">
      <c r="A813" s="638"/>
      <c r="B813" s="638"/>
      <c r="C813" s="638"/>
      <c r="D813" s="638"/>
      <c r="E813" s="638"/>
      <c r="F813" s="638"/>
      <c r="G813" s="638"/>
      <c r="H813" s="638"/>
      <c r="I813" s="638"/>
      <c r="J813" s="638"/>
      <c r="K813" s="638"/>
      <c r="L813" s="638"/>
      <c r="M813" s="638"/>
      <c r="N813" s="638"/>
      <c r="O813" s="638"/>
      <c r="P813" s="638"/>
      <c r="Q813" s="638"/>
      <c r="R813" s="638"/>
      <c r="S813" s="343"/>
      <c r="T813" s="638"/>
      <c r="U813" s="343"/>
      <c r="V813" s="728"/>
      <c r="W813" s="728"/>
      <c r="X813" s="728"/>
      <c r="Y813" s="728"/>
      <c r="Z813" s="728"/>
      <c r="AA813" s="343"/>
      <c r="AB813" s="728"/>
      <c r="AC813" s="638"/>
      <c r="AD813" s="638"/>
      <c r="AE813" s="638"/>
    </row>
    <row r="814" spans="1:31">
      <c r="A814" s="638"/>
      <c r="B814" s="638"/>
      <c r="C814" s="638"/>
      <c r="D814" s="638"/>
      <c r="E814" s="638"/>
      <c r="F814" s="638"/>
      <c r="G814" s="638"/>
      <c r="H814" s="638"/>
      <c r="I814" s="638"/>
      <c r="J814" s="638"/>
      <c r="K814" s="638"/>
      <c r="L814" s="638"/>
      <c r="M814" s="638"/>
      <c r="N814" s="638"/>
      <c r="O814" s="638"/>
      <c r="P814" s="638"/>
      <c r="Q814" s="638"/>
      <c r="R814" s="638"/>
      <c r="S814" s="343"/>
      <c r="T814" s="638"/>
      <c r="U814" s="343"/>
      <c r="V814" s="728"/>
      <c r="W814" s="728"/>
      <c r="X814" s="728"/>
      <c r="Y814" s="728"/>
      <c r="Z814" s="728"/>
      <c r="AA814" s="343"/>
      <c r="AB814" s="728"/>
      <c r="AC814" s="638"/>
      <c r="AD814" s="638"/>
      <c r="AE814" s="638"/>
    </row>
    <row r="815" spans="1:31">
      <c r="A815" s="638"/>
      <c r="B815" s="638"/>
      <c r="C815" s="638"/>
      <c r="D815" s="638"/>
      <c r="E815" s="638"/>
      <c r="F815" s="638"/>
      <c r="G815" s="638"/>
      <c r="H815" s="638"/>
      <c r="I815" s="638"/>
      <c r="J815" s="638"/>
      <c r="K815" s="638"/>
      <c r="L815" s="638"/>
      <c r="M815" s="638"/>
      <c r="N815" s="638"/>
      <c r="O815" s="638"/>
      <c r="P815" s="638"/>
      <c r="Q815" s="638"/>
      <c r="R815" s="638"/>
      <c r="S815" s="343"/>
      <c r="T815" s="638"/>
      <c r="U815" s="343"/>
      <c r="V815" s="728"/>
      <c r="W815" s="728"/>
      <c r="X815" s="728"/>
      <c r="Y815" s="728"/>
      <c r="Z815" s="728"/>
      <c r="AA815" s="343"/>
      <c r="AB815" s="728"/>
      <c r="AC815" s="638"/>
      <c r="AD815" s="638"/>
      <c r="AE815" s="638"/>
    </row>
    <row r="816" spans="1:31">
      <c r="A816" s="638"/>
      <c r="B816" s="638"/>
      <c r="C816" s="638"/>
      <c r="D816" s="638"/>
      <c r="E816" s="638"/>
      <c r="F816" s="638"/>
      <c r="G816" s="638"/>
      <c r="H816" s="638"/>
      <c r="I816" s="638"/>
      <c r="J816" s="638"/>
      <c r="K816" s="638"/>
      <c r="L816" s="638"/>
      <c r="M816" s="638"/>
      <c r="N816" s="638"/>
      <c r="O816" s="638"/>
      <c r="P816" s="638"/>
      <c r="Q816" s="638"/>
      <c r="R816" s="638"/>
      <c r="S816" s="343"/>
      <c r="T816" s="638"/>
      <c r="U816" s="343"/>
      <c r="V816" s="728"/>
      <c r="W816" s="728"/>
      <c r="X816" s="728"/>
      <c r="Y816" s="728"/>
      <c r="Z816" s="728"/>
      <c r="AA816" s="343"/>
      <c r="AB816" s="728"/>
      <c r="AC816" s="638"/>
      <c r="AD816" s="638"/>
      <c r="AE816" s="638"/>
    </row>
    <row r="817" spans="1:31">
      <c r="A817" s="638"/>
      <c r="B817" s="638"/>
      <c r="C817" s="638"/>
      <c r="D817" s="638"/>
      <c r="E817" s="638"/>
      <c r="F817" s="638"/>
      <c r="G817" s="638"/>
      <c r="H817" s="638"/>
      <c r="I817" s="638"/>
      <c r="J817" s="638"/>
      <c r="K817" s="638"/>
      <c r="L817" s="638"/>
      <c r="M817" s="638"/>
      <c r="N817" s="638"/>
      <c r="O817" s="638"/>
      <c r="P817" s="638"/>
      <c r="Q817" s="638"/>
      <c r="R817" s="638"/>
      <c r="S817" s="343"/>
      <c r="T817" s="638"/>
      <c r="U817" s="343"/>
      <c r="V817" s="728"/>
      <c r="W817" s="728"/>
      <c r="X817" s="728"/>
      <c r="Y817" s="728"/>
      <c r="Z817" s="728"/>
      <c r="AA817" s="343"/>
      <c r="AB817" s="728"/>
      <c r="AC817" s="638"/>
      <c r="AD817" s="638"/>
      <c r="AE817" s="638"/>
    </row>
    <row r="818" spans="1:31">
      <c r="A818" s="638"/>
      <c r="B818" s="638"/>
      <c r="C818" s="638"/>
      <c r="D818" s="638"/>
      <c r="E818" s="638"/>
      <c r="F818" s="638"/>
      <c r="G818" s="638"/>
      <c r="H818" s="638"/>
      <c r="I818" s="638"/>
      <c r="J818" s="638"/>
      <c r="K818" s="638"/>
      <c r="L818" s="638"/>
      <c r="M818" s="638"/>
      <c r="N818" s="638"/>
      <c r="O818" s="638"/>
      <c r="P818" s="638"/>
      <c r="Q818" s="638"/>
      <c r="R818" s="638"/>
      <c r="S818" s="343"/>
      <c r="T818" s="638"/>
      <c r="U818" s="343"/>
      <c r="V818" s="728"/>
      <c r="W818" s="728"/>
      <c r="X818" s="728"/>
      <c r="Y818" s="728"/>
      <c r="Z818" s="728"/>
      <c r="AA818" s="343"/>
      <c r="AB818" s="728"/>
      <c r="AC818" s="638"/>
      <c r="AD818" s="638"/>
      <c r="AE818" s="638"/>
    </row>
    <row r="819" spans="1:31">
      <c r="A819" s="638"/>
      <c r="B819" s="638"/>
      <c r="C819" s="638"/>
      <c r="D819" s="638"/>
      <c r="E819" s="638"/>
      <c r="F819" s="638"/>
      <c r="G819" s="638"/>
      <c r="H819" s="638"/>
      <c r="I819" s="638"/>
      <c r="J819" s="638"/>
      <c r="K819" s="638"/>
      <c r="L819" s="638"/>
      <c r="M819" s="638"/>
      <c r="N819" s="638"/>
      <c r="O819" s="638"/>
      <c r="P819" s="638"/>
      <c r="Q819" s="638"/>
      <c r="R819" s="638"/>
      <c r="S819" s="343"/>
      <c r="T819" s="638"/>
      <c r="U819" s="343"/>
      <c r="V819" s="728"/>
      <c r="W819" s="728"/>
      <c r="X819" s="728"/>
      <c r="Y819" s="728"/>
      <c r="Z819" s="728"/>
      <c r="AA819" s="343"/>
      <c r="AB819" s="728"/>
      <c r="AC819" s="638"/>
      <c r="AD819" s="638"/>
      <c r="AE819" s="638"/>
    </row>
    <row r="820" spans="1:31">
      <c r="A820" s="638"/>
      <c r="B820" s="638"/>
      <c r="C820" s="638"/>
      <c r="D820" s="638"/>
      <c r="E820" s="638"/>
      <c r="F820" s="638"/>
      <c r="G820" s="638"/>
      <c r="H820" s="638"/>
      <c r="I820" s="638"/>
      <c r="J820" s="638"/>
      <c r="K820" s="638"/>
      <c r="L820" s="638"/>
      <c r="M820" s="638"/>
      <c r="N820" s="638"/>
      <c r="O820" s="638"/>
      <c r="P820" s="638"/>
      <c r="Q820" s="638"/>
      <c r="R820" s="638"/>
      <c r="S820" s="343"/>
      <c r="T820" s="638"/>
      <c r="U820" s="343"/>
      <c r="V820" s="728"/>
      <c r="W820" s="728"/>
      <c r="X820" s="728"/>
      <c r="Y820" s="728"/>
      <c r="Z820" s="728"/>
      <c r="AA820" s="343"/>
      <c r="AB820" s="728"/>
      <c r="AC820" s="638"/>
      <c r="AD820" s="638"/>
      <c r="AE820" s="638"/>
    </row>
    <row r="821" spans="1:31">
      <c r="A821" s="638"/>
      <c r="B821" s="638"/>
      <c r="C821" s="638"/>
      <c r="D821" s="638"/>
      <c r="E821" s="638"/>
      <c r="F821" s="638"/>
      <c r="G821" s="638"/>
      <c r="H821" s="638"/>
      <c r="I821" s="638"/>
      <c r="J821" s="638"/>
      <c r="K821" s="638"/>
      <c r="L821" s="638"/>
      <c r="M821" s="638"/>
      <c r="N821" s="638"/>
      <c r="O821" s="638"/>
      <c r="P821" s="638"/>
      <c r="Q821" s="638"/>
      <c r="R821" s="638"/>
      <c r="S821" s="343"/>
      <c r="T821" s="638"/>
      <c r="U821" s="343"/>
      <c r="V821" s="728"/>
      <c r="W821" s="728"/>
      <c r="X821" s="728"/>
      <c r="Y821" s="728"/>
      <c r="Z821" s="728"/>
      <c r="AA821" s="343"/>
      <c r="AB821" s="728"/>
      <c r="AC821" s="638"/>
      <c r="AD821" s="638"/>
      <c r="AE821" s="638"/>
    </row>
    <row r="822" spans="1:31">
      <c r="A822" s="638"/>
      <c r="B822" s="638"/>
      <c r="C822" s="638"/>
      <c r="D822" s="638"/>
      <c r="E822" s="638"/>
      <c r="F822" s="638"/>
      <c r="G822" s="638"/>
      <c r="H822" s="638"/>
      <c r="I822" s="638"/>
      <c r="J822" s="638"/>
      <c r="K822" s="638"/>
      <c r="L822" s="638"/>
      <c r="M822" s="638"/>
      <c r="N822" s="638"/>
      <c r="O822" s="638"/>
      <c r="P822" s="638"/>
      <c r="Q822" s="638"/>
      <c r="R822" s="638"/>
      <c r="S822" s="343"/>
      <c r="T822" s="638"/>
      <c r="U822" s="343"/>
      <c r="V822" s="728"/>
      <c r="W822" s="728"/>
      <c r="X822" s="728"/>
      <c r="Y822" s="728"/>
      <c r="Z822" s="728"/>
      <c r="AA822" s="343"/>
      <c r="AB822" s="728"/>
      <c r="AC822" s="638"/>
      <c r="AD822" s="638"/>
      <c r="AE822" s="638"/>
    </row>
    <row r="823" spans="1:31">
      <c r="A823" s="638"/>
      <c r="B823" s="638"/>
      <c r="C823" s="638"/>
      <c r="D823" s="638"/>
      <c r="E823" s="638"/>
      <c r="F823" s="638"/>
      <c r="G823" s="638"/>
      <c r="H823" s="638"/>
      <c r="I823" s="638"/>
      <c r="J823" s="638"/>
      <c r="K823" s="638"/>
      <c r="L823" s="638"/>
      <c r="M823" s="638"/>
      <c r="N823" s="638"/>
      <c r="O823" s="638"/>
      <c r="P823" s="638"/>
      <c r="Q823" s="638"/>
      <c r="R823" s="638"/>
      <c r="S823" s="343"/>
      <c r="T823" s="638"/>
      <c r="U823" s="343"/>
      <c r="V823" s="728"/>
      <c r="W823" s="728"/>
      <c r="X823" s="728"/>
      <c r="Y823" s="728"/>
      <c r="Z823" s="728"/>
      <c r="AA823" s="343"/>
      <c r="AB823" s="728"/>
      <c r="AC823" s="638"/>
      <c r="AD823" s="638"/>
      <c r="AE823" s="638"/>
    </row>
    <row r="824" spans="1:31">
      <c r="A824" s="638"/>
      <c r="B824" s="638"/>
      <c r="C824" s="638"/>
      <c r="D824" s="638"/>
      <c r="E824" s="638"/>
      <c r="F824" s="638"/>
      <c r="G824" s="638"/>
      <c r="H824" s="638"/>
      <c r="I824" s="638"/>
      <c r="J824" s="638"/>
      <c r="K824" s="638"/>
      <c r="L824" s="638"/>
      <c r="M824" s="638"/>
      <c r="N824" s="638"/>
      <c r="O824" s="638"/>
      <c r="P824" s="638"/>
      <c r="Q824" s="638"/>
      <c r="R824" s="638"/>
      <c r="S824" s="343"/>
      <c r="T824" s="638"/>
      <c r="U824" s="343"/>
      <c r="V824" s="728"/>
      <c r="W824" s="728"/>
      <c r="X824" s="728"/>
      <c r="Y824" s="728"/>
      <c r="Z824" s="728"/>
      <c r="AA824" s="343"/>
      <c r="AB824" s="728"/>
      <c r="AC824" s="638"/>
      <c r="AD824" s="638"/>
      <c r="AE824" s="638"/>
    </row>
    <row r="825" spans="1:31">
      <c r="A825" s="638"/>
      <c r="B825" s="638"/>
      <c r="C825" s="638"/>
      <c r="D825" s="638"/>
      <c r="E825" s="638"/>
      <c r="F825" s="638"/>
      <c r="G825" s="638"/>
      <c r="H825" s="638"/>
      <c r="I825" s="638"/>
      <c r="J825" s="638"/>
      <c r="K825" s="638"/>
      <c r="L825" s="638"/>
      <c r="M825" s="638"/>
      <c r="N825" s="638"/>
      <c r="O825" s="638"/>
      <c r="P825" s="638"/>
      <c r="Q825" s="638"/>
      <c r="R825" s="638"/>
      <c r="S825" s="343"/>
      <c r="T825" s="638"/>
      <c r="U825" s="343"/>
      <c r="V825" s="728"/>
      <c r="W825" s="728"/>
      <c r="X825" s="728"/>
      <c r="Y825" s="728"/>
      <c r="Z825" s="728"/>
      <c r="AA825" s="343"/>
      <c r="AB825" s="728"/>
      <c r="AC825" s="638"/>
      <c r="AD825" s="638"/>
      <c r="AE825" s="638"/>
    </row>
    <row r="826" spans="1:31">
      <c r="A826" s="638"/>
      <c r="B826" s="638"/>
      <c r="C826" s="638"/>
      <c r="D826" s="638"/>
      <c r="E826" s="638"/>
      <c r="F826" s="638"/>
      <c r="G826" s="638"/>
      <c r="H826" s="638"/>
      <c r="I826" s="638"/>
      <c r="J826" s="638"/>
      <c r="K826" s="638"/>
      <c r="L826" s="638"/>
      <c r="M826" s="638"/>
      <c r="N826" s="638"/>
      <c r="O826" s="638"/>
      <c r="P826" s="638"/>
      <c r="Q826" s="638"/>
      <c r="R826" s="638"/>
      <c r="S826" s="343"/>
      <c r="T826" s="638"/>
      <c r="U826" s="343"/>
      <c r="V826" s="728"/>
      <c r="W826" s="728"/>
      <c r="X826" s="728"/>
      <c r="Y826" s="728"/>
      <c r="Z826" s="728"/>
      <c r="AA826" s="343"/>
      <c r="AB826" s="728"/>
      <c r="AC826" s="638"/>
      <c r="AD826" s="638"/>
      <c r="AE826" s="638"/>
    </row>
    <row r="827" spans="1:31">
      <c r="A827" s="638"/>
      <c r="B827" s="638"/>
      <c r="C827" s="638"/>
      <c r="D827" s="638"/>
      <c r="E827" s="638"/>
      <c r="F827" s="638"/>
      <c r="G827" s="638"/>
      <c r="H827" s="638"/>
      <c r="I827" s="638"/>
      <c r="J827" s="638"/>
      <c r="K827" s="638"/>
      <c r="L827" s="638"/>
      <c r="M827" s="638"/>
      <c r="N827" s="638"/>
      <c r="O827" s="638"/>
      <c r="P827" s="638"/>
      <c r="Q827" s="638"/>
      <c r="R827" s="638"/>
      <c r="S827" s="343"/>
      <c r="T827" s="638"/>
      <c r="U827" s="343"/>
      <c r="V827" s="728"/>
      <c r="W827" s="728"/>
      <c r="X827" s="728"/>
      <c r="Y827" s="728"/>
      <c r="Z827" s="728"/>
      <c r="AA827" s="343"/>
      <c r="AB827" s="728"/>
      <c r="AC827" s="638"/>
      <c r="AD827" s="638"/>
      <c r="AE827" s="638"/>
    </row>
    <row r="828" spans="1:31">
      <c r="A828" s="638"/>
      <c r="B828" s="638"/>
      <c r="C828" s="638"/>
      <c r="D828" s="638"/>
      <c r="E828" s="638"/>
      <c r="F828" s="638"/>
      <c r="G828" s="638"/>
      <c r="H828" s="638"/>
      <c r="I828" s="638"/>
      <c r="J828" s="638"/>
      <c r="K828" s="638"/>
      <c r="L828" s="638"/>
      <c r="M828" s="638"/>
      <c r="N828" s="638"/>
      <c r="O828" s="638"/>
      <c r="P828" s="638"/>
      <c r="Q828" s="638"/>
      <c r="R828" s="638"/>
      <c r="S828" s="343"/>
      <c r="T828" s="638"/>
      <c r="U828" s="343"/>
      <c r="V828" s="728"/>
      <c r="W828" s="728"/>
      <c r="X828" s="728"/>
      <c r="Y828" s="728"/>
      <c r="Z828" s="728"/>
      <c r="AA828" s="343"/>
      <c r="AB828" s="728"/>
      <c r="AC828" s="638"/>
      <c r="AD828" s="638"/>
      <c r="AE828" s="638"/>
    </row>
    <row r="829" spans="1:31">
      <c r="A829" s="638"/>
      <c r="B829" s="638"/>
      <c r="C829" s="638"/>
      <c r="D829" s="638"/>
      <c r="E829" s="638"/>
      <c r="F829" s="638"/>
      <c r="G829" s="638"/>
      <c r="H829" s="638"/>
      <c r="I829" s="638"/>
      <c r="J829" s="638"/>
      <c r="K829" s="638"/>
      <c r="L829" s="638"/>
      <c r="M829" s="638"/>
      <c r="N829" s="638"/>
      <c r="O829" s="638"/>
      <c r="P829" s="638"/>
      <c r="Q829" s="638"/>
      <c r="R829" s="638"/>
      <c r="S829" s="343"/>
      <c r="T829" s="638"/>
      <c r="U829" s="343"/>
      <c r="V829" s="728"/>
      <c r="W829" s="728"/>
      <c r="X829" s="728"/>
      <c r="Y829" s="728"/>
      <c r="Z829" s="728"/>
      <c r="AA829" s="343"/>
      <c r="AB829" s="728"/>
      <c r="AC829" s="638"/>
      <c r="AD829" s="638"/>
      <c r="AE829" s="638"/>
    </row>
    <row r="830" spans="1:31">
      <c r="A830" s="638"/>
      <c r="B830" s="638"/>
      <c r="C830" s="638"/>
      <c r="D830" s="638"/>
      <c r="E830" s="638"/>
      <c r="F830" s="638"/>
      <c r="G830" s="638"/>
      <c r="H830" s="638"/>
      <c r="I830" s="638"/>
      <c r="J830" s="638"/>
      <c r="K830" s="638"/>
      <c r="L830" s="638"/>
      <c r="M830" s="638"/>
      <c r="N830" s="638"/>
      <c r="O830" s="638"/>
      <c r="P830" s="638"/>
      <c r="Q830" s="638"/>
      <c r="R830" s="638"/>
      <c r="S830" s="343"/>
      <c r="T830" s="638"/>
      <c r="U830" s="343"/>
      <c r="V830" s="728"/>
      <c r="W830" s="728"/>
      <c r="X830" s="728"/>
      <c r="Y830" s="728"/>
      <c r="Z830" s="728"/>
      <c r="AA830" s="343"/>
      <c r="AB830" s="728"/>
      <c r="AC830" s="638"/>
      <c r="AD830" s="638"/>
      <c r="AE830" s="638"/>
    </row>
    <row r="831" spans="1:31">
      <c r="A831" s="638"/>
      <c r="B831" s="638"/>
      <c r="C831" s="638"/>
      <c r="D831" s="638"/>
      <c r="E831" s="638"/>
      <c r="F831" s="638"/>
      <c r="G831" s="638"/>
      <c r="H831" s="638"/>
      <c r="I831" s="638"/>
      <c r="J831" s="638"/>
      <c r="K831" s="638"/>
      <c r="L831" s="638"/>
      <c r="M831" s="638"/>
      <c r="N831" s="638"/>
      <c r="O831" s="638"/>
      <c r="P831" s="638"/>
      <c r="Q831" s="638"/>
      <c r="R831" s="638"/>
      <c r="S831" s="343"/>
      <c r="T831" s="638"/>
      <c r="U831" s="343"/>
      <c r="V831" s="728"/>
      <c r="W831" s="728"/>
      <c r="X831" s="728"/>
      <c r="Y831" s="728"/>
      <c r="Z831" s="728"/>
      <c r="AA831" s="343"/>
      <c r="AB831" s="728"/>
      <c r="AC831" s="638"/>
      <c r="AD831" s="638"/>
      <c r="AE831" s="638"/>
    </row>
    <row r="832" spans="1:31">
      <c r="A832" s="638"/>
      <c r="B832" s="638"/>
      <c r="C832" s="638"/>
      <c r="D832" s="638"/>
      <c r="E832" s="638"/>
      <c r="F832" s="638"/>
      <c r="G832" s="638"/>
      <c r="H832" s="638"/>
      <c r="I832" s="638"/>
      <c r="J832" s="638"/>
      <c r="K832" s="638"/>
      <c r="L832" s="638"/>
      <c r="M832" s="638"/>
      <c r="N832" s="638"/>
      <c r="O832" s="638"/>
      <c r="P832" s="638"/>
      <c r="Q832" s="638"/>
      <c r="R832" s="638"/>
      <c r="S832" s="343"/>
      <c r="T832" s="638"/>
      <c r="U832" s="343"/>
      <c r="V832" s="728"/>
      <c r="W832" s="728"/>
      <c r="X832" s="728"/>
      <c r="Y832" s="728"/>
      <c r="Z832" s="728"/>
      <c r="AA832" s="343"/>
      <c r="AB832" s="728"/>
      <c r="AC832" s="638"/>
      <c r="AD832" s="638"/>
      <c r="AE832" s="638"/>
    </row>
    <row r="833" spans="1:31">
      <c r="A833" s="638"/>
      <c r="B833" s="638"/>
      <c r="C833" s="638"/>
      <c r="D833" s="638"/>
      <c r="E833" s="638"/>
      <c r="F833" s="638"/>
      <c r="G833" s="638"/>
      <c r="H833" s="638"/>
      <c r="I833" s="638"/>
      <c r="J833" s="638"/>
      <c r="K833" s="638"/>
      <c r="L833" s="638"/>
      <c r="M833" s="638"/>
      <c r="N833" s="638"/>
      <c r="O833" s="638"/>
      <c r="P833" s="638"/>
      <c r="Q833" s="638"/>
      <c r="R833" s="638"/>
      <c r="S833" s="343"/>
      <c r="T833" s="638"/>
      <c r="U833" s="343"/>
      <c r="V833" s="728"/>
      <c r="W833" s="728"/>
      <c r="X833" s="728"/>
      <c r="Y833" s="728"/>
      <c r="Z833" s="728"/>
      <c r="AA833" s="343"/>
      <c r="AB833" s="728"/>
      <c r="AC833" s="638"/>
      <c r="AD833" s="638"/>
      <c r="AE833" s="638"/>
    </row>
    <row r="834" spans="1:31">
      <c r="A834" s="638"/>
      <c r="B834" s="638"/>
      <c r="C834" s="638"/>
      <c r="D834" s="638"/>
      <c r="E834" s="638"/>
      <c r="F834" s="638"/>
      <c r="G834" s="638"/>
      <c r="H834" s="638"/>
      <c r="I834" s="638"/>
      <c r="J834" s="638"/>
      <c r="K834" s="638"/>
      <c r="L834" s="638"/>
      <c r="M834" s="638"/>
      <c r="N834" s="638"/>
      <c r="O834" s="638"/>
      <c r="P834" s="638"/>
      <c r="Q834" s="638"/>
      <c r="R834" s="638"/>
      <c r="S834" s="343"/>
      <c r="T834" s="638"/>
      <c r="U834" s="343"/>
      <c r="V834" s="728"/>
      <c r="W834" s="728"/>
      <c r="X834" s="728"/>
      <c r="Y834" s="728"/>
      <c r="Z834" s="728"/>
      <c r="AA834" s="343"/>
      <c r="AB834" s="728"/>
      <c r="AC834" s="638"/>
      <c r="AD834" s="638"/>
      <c r="AE834" s="638"/>
    </row>
    <row r="835" spans="1:31">
      <c r="A835" s="638"/>
      <c r="B835" s="638"/>
      <c r="C835" s="638"/>
      <c r="D835" s="638"/>
      <c r="E835" s="638"/>
      <c r="F835" s="638"/>
      <c r="G835" s="638"/>
      <c r="H835" s="638"/>
      <c r="I835" s="638"/>
      <c r="J835" s="638"/>
      <c r="K835" s="638"/>
      <c r="L835" s="638"/>
      <c r="M835" s="638"/>
      <c r="N835" s="638"/>
      <c r="O835" s="638"/>
      <c r="P835" s="638"/>
      <c r="Q835" s="638"/>
      <c r="R835" s="638"/>
      <c r="S835" s="343"/>
      <c r="T835" s="638"/>
      <c r="U835" s="343"/>
      <c r="V835" s="728"/>
      <c r="W835" s="728"/>
      <c r="X835" s="728"/>
      <c r="Y835" s="728"/>
      <c r="Z835" s="728"/>
      <c r="AA835" s="343"/>
      <c r="AB835" s="728"/>
      <c r="AC835" s="638"/>
      <c r="AD835" s="638"/>
      <c r="AE835" s="638"/>
    </row>
    <row r="836" spans="1:31">
      <c r="A836" s="638"/>
      <c r="B836" s="638"/>
      <c r="C836" s="638"/>
      <c r="D836" s="638"/>
      <c r="E836" s="638"/>
      <c r="F836" s="638"/>
      <c r="G836" s="638"/>
      <c r="H836" s="638"/>
      <c r="I836" s="638"/>
      <c r="J836" s="638"/>
      <c r="K836" s="638"/>
      <c r="L836" s="638"/>
      <c r="M836" s="638"/>
      <c r="N836" s="638"/>
      <c r="O836" s="638"/>
      <c r="P836" s="638"/>
      <c r="Q836" s="638"/>
      <c r="R836" s="638"/>
      <c r="S836" s="343"/>
      <c r="T836" s="638"/>
      <c r="U836" s="343"/>
      <c r="V836" s="728"/>
      <c r="W836" s="728"/>
      <c r="X836" s="728"/>
      <c r="Y836" s="728"/>
      <c r="Z836" s="728"/>
      <c r="AA836" s="343"/>
      <c r="AB836" s="728"/>
      <c r="AC836" s="638"/>
      <c r="AD836" s="638"/>
      <c r="AE836" s="638"/>
    </row>
    <row r="837" spans="1:31">
      <c r="A837" s="638"/>
      <c r="B837" s="638"/>
      <c r="C837" s="638"/>
      <c r="D837" s="638"/>
      <c r="E837" s="638"/>
      <c r="F837" s="638"/>
      <c r="G837" s="638"/>
      <c r="H837" s="638"/>
      <c r="I837" s="638"/>
      <c r="J837" s="638"/>
      <c r="K837" s="638"/>
      <c r="L837" s="638"/>
      <c r="M837" s="638"/>
      <c r="N837" s="638"/>
      <c r="O837" s="638"/>
      <c r="P837" s="638"/>
      <c r="Q837" s="638"/>
      <c r="R837" s="638"/>
      <c r="S837" s="343"/>
      <c r="T837" s="638"/>
      <c r="U837" s="343"/>
      <c r="V837" s="728"/>
      <c r="W837" s="728"/>
      <c r="X837" s="728"/>
      <c r="Y837" s="728"/>
      <c r="Z837" s="728"/>
      <c r="AA837" s="343"/>
      <c r="AB837" s="728"/>
      <c r="AC837" s="638"/>
      <c r="AD837" s="638"/>
      <c r="AE837" s="638"/>
    </row>
    <row r="838" spans="1:31">
      <c r="A838" s="638"/>
      <c r="B838" s="638"/>
      <c r="C838" s="638"/>
      <c r="D838" s="638"/>
      <c r="E838" s="638"/>
      <c r="F838" s="638"/>
      <c r="G838" s="638"/>
      <c r="H838" s="638"/>
      <c r="I838" s="638"/>
      <c r="J838" s="638"/>
      <c r="K838" s="638"/>
      <c r="L838" s="638"/>
      <c r="M838" s="638"/>
      <c r="N838" s="638"/>
      <c r="O838" s="638"/>
      <c r="P838" s="638"/>
      <c r="Q838" s="638"/>
      <c r="R838" s="638"/>
      <c r="S838" s="343"/>
      <c r="T838" s="638"/>
      <c r="U838" s="343"/>
      <c r="V838" s="728"/>
      <c r="W838" s="728"/>
      <c r="X838" s="728"/>
      <c r="Y838" s="728"/>
      <c r="Z838" s="728"/>
      <c r="AA838" s="343"/>
      <c r="AB838" s="728"/>
      <c r="AC838" s="638"/>
      <c r="AD838" s="638"/>
      <c r="AE838" s="638"/>
    </row>
    <row r="839" spans="1:31">
      <c r="A839" s="638"/>
      <c r="B839" s="638"/>
      <c r="C839" s="638"/>
      <c r="D839" s="638"/>
      <c r="E839" s="638"/>
      <c r="F839" s="638"/>
      <c r="G839" s="638"/>
      <c r="H839" s="638"/>
      <c r="I839" s="638"/>
      <c r="J839" s="638"/>
      <c r="K839" s="638"/>
      <c r="L839" s="638"/>
      <c r="M839" s="638"/>
      <c r="N839" s="638"/>
      <c r="O839" s="638"/>
      <c r="P839" s="638"/>
      <c r="Q839" s="638"/>
      <c r="R839" s="638"/>
      <c r="S839" s="343"/>
      <c r="T839" s="638"/>
      <c r="U839" s="343"/>
      <c r="V839" s="728"/>
      <c r="W839" s="728"/>
      <c r="X839" s="728"/>
      <c r="Y839" s="728"/>
      <c r="Z839" s="728"/>
      <c r="AA839" s="343"/>
      <c r="AB839" s="728"/>
      <c r="AC839" s="638"/>
      <c r="AD839" s="638"/>
      <c r="AE839" s="638"/>
    </row>
    <row r="840" spans="1:31">
      <c r="A840" s="638"/>
      <c r="B840" s="638"/>
      <c r="C840" s="638"/>
      <c r="D840" s="638"/>
      <c r="E840" s="638"/>
      <c r="F840" s="638"/>
      <c r="G840" s="638"/>
      <c r="H840" s="638"/>
      <c r="I840" s="638"/>
      <c r="J840" s="638"/>
      <c r="K840" s="638"/>
      <c r="L840" s="638"/>
      <c r="M840" s="638"/>
      <c r="N840" s="638"/>
      <c r="O840" s="638"/>
      <c r="P840" s="638"/>
      <c r="Q840" s="638"/>
      <c r="R840" s="638"/>
      <c r="S840" s="343"/>
      <c r="T840" s="638"/>
      <c r="U840" s="343"/>
      <c r="V840" s="728"/>
      <c r="W840" s="728"/>
      <c r="X840" s="728"/>
      <c r="Y840" s="728"/>
      <c r="Z840" s="728"/>
      <c r="AA840" s="343"/>
      <c r="AB840" s="728"/>
      <c r="AC840" s="638"/>
      <c r="AD840" s="638"/>
      <c r="AE840" s="638"/>
    </row>
    <row r="841" spans="1:31">
      <c r="A841" s="638"/>
      <c r="B841" s="638"/>
      <c r="C841" s="638"/>
      <c r="D841" s="638"/>
      <c r="E841" s="638"/>
      <c r="F841" s="638"/>
      <c r="G841" s="638"/>
      <c r="H841" s="638"/>
      <c r="I841" s="638"/>
      <c r="J841" s="638"/>
      <c r="K841" s="638"/>
      <c r="L841" s="638"/>
      <c r="M841" s="638"/>
      <c r="N841" s="638"/>
      <c r="O841" s="638"/>
      <c r="P841" s="638"/>
      <c r="Q841" s="638"/>
      <c r="R841" s="638"/>
      <c r="S841" s="343"/>
      <c r="T841" s="638"/>
      <c r="U841" s="343"/>
      <c r="V841" s="728"/>
      <c r="W841" s="728"/>
      <c r="X841" s="728"/>
      <c r="Y841" s="728"/>
      <c r="Z841" s="728"/>
      <c r="AA841" s="343"/>
      <c r="AB841" s="728"/>
      <c r="AC841" s="638"/>
      <c r="AD841" s="638"/>
      <c r="AE841" s="638"/>
    </row>
    <row r="842" spans="1:31">
      <c r="A842" s="638"/>
      <c r="B842" s="638"/>
      <c r="C842" s="638"/>
      <c r="D842" s="638"/>
      <c r="E842" s="638"/>
      <c r="F842" s="638"/>
      <c r="G842" s="638"/>
      <c r="H842" s="638"/>
      <c r="I842" s="638"/>
      <c r="J842" s="638"/>
      <c r="K842" s="638"/>
      <c r="L842" s="638"/>
      <c r="M842" s="638"/>
      <c r="N842" s="638"/>
      <c r="O842" s="638"/>
      <c r="P842" s="638"/>
      <c r="Q842" s="638"/>
      <c r="R842" s="638"/>
      <c r="S842" s="343"/>
      <c r="T842" s="638"/>
      <c r="U842" s="343"/>
      <c r="V842" s="728"/>
      <c r="W842" s="728"/>
      <c r="X842" s="728"/>
      <c r="Y842" s="728"/>
      <c r="Z842" s="728"/>
      <c r="AA842" s="343"/>
      <c r="AB842" s="728"/>
      <c r="AC842" s="638"/>
      <c r="AD842" s="638"/>
      <c r="AE842" s="638"/>
    </row>
    <row r="843" spans="1:31">
      <c r="A843" s="638"/>
      <c r="B843" s="638"/>
      <c r="C843" s="638"/>
      <c r="D843" s="638"/>
      <c r="E843" s="638"/>
      <c r="F843" s="638"/>
      <c r="G843" s="638"/>
      <c r="H843" s="638"/>
      <c r="I843" s="638"/>
      <c r="J843" s="638"/>
      <c r="K843" s="638"/>
      <c r="L843" s="638"/>
      <c r="M843" s="638"/>
      <c r="N843" s="638"/>
      <c r="O843" s="638"/>
      <c r="P843" s="638"/>
      <c r="Q843" s="638"/>
      <c r="R843" s="638"/>
      <c r="S843" s="343"/>
      <c r="T843" s="638"/>
      <c r="U843" s="343"/>
      <c r="V843" s="728"/>
      <c r="W843" s="728"/>
      <c r="X843" s="728"/>
      <c r="Y843" s="728"/>
      <c r="Z843" s="728"/>
      <c r="AA843" s="343"/>
      <c r="AB843" s="728"/>
      <c r="AC843" s="638"/>
      <c r="AD843" s="638"/>
      <c r="AE843" s="638"/>
    </row>
    <row r="844" spans="1:31">
      <c r="A844" s="638"/>
      <c r="B844" s="638"/>
      <c r="C844" s="638"/>
      <c r="D844" s="638"/>
      <c r="E844" s="638"/>
      <c r="F844" s="638"/>
      <c r="G844" s="638"/>
      <c r="H844" s="638"/>
      <c r="I844" s="638"/>
      <c r="J844" s="638"/>
      <c r="K844" s="638"/>
      <c r="L844" s="638"/>
      <c r="M844" s="638"/>
      <c r="N844" s="638"/>
      <c r="O844" s="638"/>
      <c r="P844" s="638"/>
      <c r="Q844" s="638"/>
      <c r="R844" s="638"/>
      <c r="S844" s="343"/>
      <c r="T844" s="638"/>
      <c r="U844" s="343"/>
      <c r="V844" s="728"/>
      <c r="W844" s="728"/>
      <c r="X844" s="728"/>
      <c r="Y844" s="728"/>
      <c r="Z844" s="728"/>
      <c r="AA844" s="343"/>
      <c r="AB844" s="728"/>
      <c r="AC844" s="638"/>
      <c r="AD844" s="638"/>
      <c r="AE844" s="638"/>
    </row>
    <row r="845" spans="1:31">
      <c r="A845" s="638"/>
      <c r="B845" s="638"/>
      <c r="C845" s="638"/>
      <c r="D845" s="638"/>
      <c r="E845" s="638"/>
      <c r="F845" s="638"/>
      <c r="G845" s="638"/>
      <c r="H845" s="638"/>
      <c r="I845" s="638"/>
      <c r="J845" s="638"/>
      <c r="K845" s="638"/>
      <c r="L845" s="638"/>
      <c r="M845" s="638"/>
      <c r="N845" s="638"/>
      <c r="O845" s="638"/>
      <c r="P845" s="638"/>
      <c r="Q845" s="638"/>
      <c r="R845" s="638"/>
      <c r="S845" s="343"/>
      <c r="T845" s="638"/>
      <c r="U845" s="343"/>
      <c r="V845" s="728"/>
      <c r="W845" s="728"/>
      <c r="X845" s="728"/>
      <c r="Y845" s="728"/>
      <c r="Z845" s="728"/>
      <c r="AA845" s="343"/>
      <c r="AB845" s="728"/>
      <c r="AC845" s="638"/>
      <c r="AD845" s="638"/>
      <c r="AE845" s="638"/>
    </row>
    <row r="846" spans="1:31">
      <c r="A846" s="638"/>
      <c r="B846" s="638"/>
      <c r="C846" s="638"/>
      <c r="D846" s="638"/>
      <c r="E846" s="638"/>
      <c r="F846" s="638"/>
      <c r="G846" s="638"/>
      <c r="H846" s="638"/>
      <c r="I846" s="638"/>
      <c r="J846" s="638"/>
      <c r="K846" s="638"/>
      <c r="L846" s="638"/>
      <c r="M846" s="638"/>
      <c r="N846" s="638"/>
      <c r="O846" s="638"/>
      <c r="P846" s="638"/>
      <c r="Q846" s="638"/>
      <c r="R846" s="638"/>
      <c r="S846" s="343"/>
      <c r="T846" s="638"/>
      <c r="U846" s="343"/>
      <c r="V846" s="728"/>
      <c r="W846" s="728"/>
      <c r="X846" s="728"/>
      <c r="Y846" s="728"/>
      <c r="Z846" s="728"/>
      <c r="AA846" s="343"/>
      <c r="AB846" s="728"/>
      <c r="AC846" s="638"/>
      <c r="AD846" s="638"/>
      <c r="AE846" s="638"/>
    </row>
    <row r="847" spans="1:31">
      <c r="A847" s="638"/>
      <c r="B847" s="638"/>
      <c r="C847" s="638"/>
      <c r="D847" s="638"/>
      <c r="E847" s="638"/>
      <c r="F847" s="638"/>
      <c r="G847" s="638"/>
      <c r="H847" s="638"/>
      <c r="I847" s="638"/>
      <c r="J847" s="638"/>
      <c r="K847" s="638"/>
      <c r="L847" s="638"/>
      <c r="M847" s="638"/>
      <c r="N847" s="638"/>
      <c r="O847" s="638"/>
      <c r="P847" s="638"/>
      <c r="Q847" s="638"/>
      <c r="R847" s="638"/>
      <c r="S847" s="343"/>
      <c r="T847" s="638"/>
      <c r="U847" s="343"/>
      <c r="V847" s="728"/>
      <c r="W847" s="728"/>
      <c r="X847" s="728"/>
      <c r="Y847" s="728"/>
      <c r="Z847" s="728"/>
      <c r="AA847" s="343"/>
      <c r="AB847" s="728"/>
      <c r="AC847" s="638"/>
      <c r="AD847" s="638"/>
      <c r="AE847" s="638"/>
    </row>
    <row r="848" spans="1:31">
      <c r="A848" s="638"/>
      <c r="B848" s="638"/>
      <c r="C848" s="638"/>
      <c r="D848" s="638"/>
      <c r="E848" s="638"/>
      <c r="F848" s="638"/>
      <c r="G848" s="638"/>
      <c r="H848" s="638"/>
      <c r="I848" s="638"/>
      <c r="J848" s="638"/>
      <c r="K848" s="638"/>
      <c r="L848" s="638"/>
      <c r="M848" s="638"/>
      <c r="N848" s="638"/>
      <c r="O848" s="638"/>
      <c r="P848" s="638"/>
      <c r="Q848" s="638"/>
      <c r="R848" s="638"/>
      <c r="S848" s="343"/>
      <c r="T848" s="638"/>
      <c r="U848" s="343"/>
      <c r="V848" s="728"/>
      <c r="W848" s="728"/>
      <c r="X848" s="728"/>
      <c r="Y848" s="728"/>
      <c r="Z848" s="728"/>
      <c r="AA848" s="343"/>
      <c r="AB848" s="728"/>
      <c r="AC848" s="638"/>
      <c r="AD848" s="638"/>
      <c r="AE848" s="638"/>
    </row>
    <row r="849" spans="1:31">
      <c r="A849" s="638"/>
      <c r="B849" s="638"/>
      <c r="C849" s="638"/>
      <c r="D849" s="638"/>
      <c r="E849" s="638"/>
      <c r="F849" s="638"/>
      <c r="G849" s="638"/>
      <c r="H849" s="638"/>
      <c r="I849" s="638"/>
      <c r="J849" s="638"/>
      <c r="K849" s="638"/>
      <c r="L849" s="638"/>
      <c r="M849" s="638"/>
      <c r="N849" s="638"/>
      <c r="O849" s="638"/>
      <c r="P849" s="638"/>
      <c r="Q849" s="638"/>
      <c r="R849" s="638"/>
      <c r="S849" s="343"/>
      <c r="T849" s="638"/>
      <c r="U849" s="343"/>
      <c r="V849" s="728"/>
      <c r="W849" s="728"/>
      <c r="X849" s="728"/>
      <c r="Y849" s="728"/>
      <c r="Z849" s="728"/>
      <c r="AA849" s="343"/>
      <c r="AB849" s="728"/>
      <c r="AC849" s="638"/>
      <c r="AD849" s="638"/>
      <c r="AE849" s="638"/>
    </row>
    <row r="850" spans="1:31">
      <c r="A850" s="638"/>
      <c r="B850" s="638"/>
      <c r="C850" s="638"/>
      <c r="D850" s="638"/>
      <c r="E850" s="638"/>
      <c r="F850" s="638"/>
      <c r="G850" s="638"/>
      <c r="H850" s="638"/>
      <c r="I850" s="638"/>
      <c r="J850" s="638"/>
      <c r="K850" s="638"/>
      <c r="L850" s="638"/>
      <c r="M850" s="638"/>
      <c r="N850" s="638"/>
      <c r="O850" s="638"/>
      <c r="P850" s="638"/>
      <c r="Q850" s="638"/>
      <c r="R850" s="638"/>
      <c r="S850" s="343"/>
      <c r="T850" s="638"/>
      <c r="U850" s="343"/>
      <c r="V850" s="728"/>
      <c r="W850" s="728"/>
      <c r="X850" s="728"/>
      <c r="Y850" s="728"/>
      <c r="Z850" s="728"/>
      <c r="AA850" s="343"/>
      <c r="AB850" s="728"/>
      <c r="AC850" s="638"/>
      <c r="AD850" s="638"/>
      <c r="AE850" s="638"/>
    </row>
    <row r="851" spans="1:31">
      <c r="A851" s="638"/>
      <c r="B851" s="638"/>
      <c r="C851" s="638"/>
      <c r="D851" s="638"/>
      <c r="E851" s="638"/>
      <c r="F851" s="638"/>
      <c r="G851" s="638"/>
      <c r="H851" s="638"/>
      <c r="I851" s="638"/>
      <c r="J851" s="638"/>
      <c r="K851" s="638"/>
      <c r="L851" s="638"/>
      <c r="M851" s="638"/>
      <c r="N851" s="638"/>
      <c r="O851" s="638"/>
      <c r="P851" s="638"/>
      <c r="Q851" s="638"/>
      <c r="R851" s="638"/>
      <c r="S851" s="343"/>
      <c r="T851" s="638"/>
      <c r="U851" s="343"/>
      <c r="V851" s="728"/>
      <c r="W851" s="728"/>
      <c r="X851" s="728"/>
      <c r="Y851" s="728"/>
      <c r="Z851" s="728"/>
      <c r="AA851" s="343"/>
      <c r="AB851" s="728"/>
      <c r="AC851" s="638"/>
      <c r="AD851" s="638"/>
      <c r="AE851" s="638"/>
    </row>
    <row r="852" spans="1:31">
      <c r="A852" s="638"/>
      <c r="B852" s="638"/>
      <c r="C852" s="638"/>
      <c r="D852" s="638"/>
      <c r="E852" s="638"/>
      <c r="F852" s="638"/>
      <c r="G852" s="638"/>
      <c r="H852" s="638"/>
      <c r="I852" s="638"/>
      <c r="J852" s="638"/>
      <c r="K852" s="638"/>
      <c r="L852" s="638"/>
      <c r="M852" s="638"/>
      <c r="N852" s="638"/>
      <c r="O852" s="638"/>
      <c r="P852" s="638"/>
      <c r="Q852" s="638"/>
      <c r="R852" s="638"/>
      <c r="S852" s="343"/>
      <c r="T852" s="638"/>
      <c r="U852" s="343"/>
      <c r="V852" s="728"/>
      <c r="W852" s="728"/>
      <c r="X852" s="728"/>
      <c r="Y852" s="728"/>
      <c r="Z852" s="728"/>
      <c r="AA852" s="343"/>
      <c r="AB852" s="728"/>
      <c r="AC852" s="638"/>
      <c r="AD852" s="638"/>
      <c r="AE852" s="638"/>
    </row>
    <row r="853" spans="1:31">
      <c r="A853" s="638"/>
      <c r="B853" s="638"/>
      <c r="C853" s="638"/>
      <c r="D853" s="638"/>
      <c r="E853" s="638"/>
      <c r="F853" s="638"/>
      <c r="G853" s="638"/>
      <c r="H853" s="638"/>
      <c r="I853" s="638"/>
      <c r="J853" s="638"/>
      <c r="K853" s="638"/>
      <c r="L853" s="638"/>
      <c r="M853" s="638"/>
      <c r="N853" s="638"/>
      <c r="O853" s="638"/>
      <c r="P853" s="638"/>
      <c r="Q853" s="638"/>
      <c r="R853" s="638"/>
      <c r="S853" s="343"/>
      <c r="T853" s="638"/>
      <c r="U853" s="343"/>
      <c r="V853" s="728"/>
      <c r="W853" s="728"/>
      <c r="X853" s="728"/>
      <c r="Y853" s="728"/>
      <c r="Z853" s="728"/>
      <c r="AA853" s="343"/>
      <c r="AB853" s="728"/>
      <c r="AC853" s="638"/>
      <c r="AD853" s="638"/>
      <c r="AE853" s="638"/>
    </row>
    <row r="854" spans="1:31">
      <c r="A854" s="638"/>
      <c r="B854" s="638"/>
      <c r="C854" s="638"/>
      <c r="D854" s="638"/>
      <c r="E854" s="638"/>
      <c r="F854" s="638"/>
      <c r="G854" s="638"/>
      <c r="H854" s="638"/>
      <c r="I854" s="638"/>
      <c r="J854" s="638"/>
      <c r="K854" s="638"/>
      <c r="L854" s="638"/>
      <c r="M854" s="638"/>
      <c r="N854" s="638"/>
      <c r="O854" s="638"/>
      <c r="P854" s="638"/>
      <c r="Q854" s="638"/>
      <c r="R854" s="638"/>
      <c r="S854" s="343"/>
      <c r="T854" s="638"/>
      <c r="U854" s="343"/>
      <c r="V854" s="728"/>
      <c r="W854" s="728"/>
      <c r="X854" s="728"/>
      <c r="Y854" s="728"/>
      <c r="Z854" s="728"/>
      <c r="AA854" s="343"/>
      <c r="AB854" s="728"/>
      <c r="AC854" s="638"/>
      <c r="AD854" s="638"/>
      <c r="AE854" s="638"/>
    </row>
    <row r="855" spans="1:31">
      <c r="A855" s="638"/>
      <c r="B855" s="638"/>
      <c r="C855" s="638"/>
      <c r="D855" s="638"/>
      <c r="E855" s="638"/>
      <c r="F855" s="638"/>
      <c r="G855" s="638"/>
      <c r="H855" s="638"/>
      <c r="I855" s="638"/>
      <c r="J855" s="638"/>
      <c r="K855" s="638"/>
      <c r="L855" s="638"/>
      <c r="M855" s="638"/>
      <c r="N855" s="638"/>
      <c r="O855" s="638"/>
      <c r="P855" s="638"/>
      <c r="Q855" s="638"/>
      <c r="R855" s="638"/>
      <c r="S855" s="343"/>
      <c r="T855" s="638"/>
      <c r="U855" s="343"/>
      <c r="V855" s="728"/>
      <c r="W855" s="728"/>
      <c r="X855" s="728"/>
      <c r="Y855" s="728"/>
      <c r="Z855" s="728"/>
      <c r="AA855" s="343"/>
      <c r="AB855" s="728"/>
      <c r="AC855" s="638"/>
      <c r="AD855" s="638"/>
      <c r="AE855" s="638"/>
    </row>
    <row r="856" spans="1:31">
      <c r="A856" s="638"/>
      <c r="B856" s="638"/>
      <c r="C856" s="638"/>
      <c r="D856" s="638"/>
      <c r="E856" s="638"/>
      <c r="F856" s="638"/>
      <c r="G856" s="638"/>
      <c r="H856" s="638"/>
      <c r="I856" s="638"/>
      <c r="J856" s="638"/>
      <c r="K856" s="638"/>
      <c r="L856" s="638"/>
      <c r="M856" s="638"/>
      <c r="N856" s="638"/>
      <c r="O856" s="638"/>
      <c r="P856" s="638"/>
      <c r="Q856" s="638"/>
      <c r="R856" s="638"/>
      <c r="S856" s="343"/>
      <c r="T856" s="638"/>
      <c r="U856" s="343"/>
      <c r="V856" s="728"/>
      <c r="W856" s="728"/>
      <c r="X856" s="728"/>
      <c r="Y856" s="728"/>
      <c r="Z856" s="728"/>
      <c r="AA856" s="343"/>
      <c r="AB856" s="728"/>
      <c r="AC856" s="638"/>
      <c r="AD856" s="638"/>
      <c r="AE856" s="638"/>
    </row>
    <row r="857" spans="1:31">
      <c r="A857" s="638"/>
      <c r="B857" s="638"/>
      <c r="C857" s="638"/>
      <c r="D857" s="638"/>
      <c r="E857" s="638"/>
      <c r="F857" s="638"/>
      <c r="G857" s="638"/>
      <c r="H857" s="638"/>
      <c r="I857" s="638"/>
      <c r="J857" s="638"/>
      <c r="K857" s="638"/>
      <c r="L857" s="638"/>
      <c r="M857" s="638"/>
      <c r="N857" s="638"/>
      <c r="O857" s="638"/>
      <c r="P857" s="638"/>
      <c r="Q857" s="638"/>
      <c r="R857" s="638"/>
      <c r="S857" s="343"/>
      <c r="T857" s="638"/>
      <c r="U857" s="343"/>
      <c r="V857" s="728"/>
      <c r="W857" s="728"/>
      <c r="X857" s="728"/>
      <c r="Y857" s="728"/>
      <c r="Z857" s="728"/>
      <c r="AA857" s="343"/>
      <c r="AB857" s="728"/>
      <c r="AC857" s="638"/>
      <c r="AD857" s="638"/>
      <c r="AE857" s="638"/>
    </row>
    <row r="858" spans="1:31">
      <c r="A858" s="638"/>
      <c r="B858" s="638"/>
      <c r="C858" s="638"/>
      <c r="D858" s="638"/>
      <c r="E858" s="638"/>
      <c r="F858" s="638"/>
      <c r="G858" s="638"/>
      <c r="H858" s="638"/>
      <c r="I858" s="638"/>
      <c r="J858" s="638"/>
      <c r="K858" s="638"/>
      <c r="L858" s="638"/>
      <c r="M858" s="638"/>
      <c r="N858" s="638"/>
      <c r="O858" s="638"/>
      <c r="P858" s="638"/>
      <c r="Q858" s="638"/>
      <c r="R858" s="638"/>
      <c r="S858" s="343"/>
      <c r="T858" s="638"/>
      <c r="U858" s="343"/>
      <c r="V858" s="728"/>
      <c r="W858" s="728"/>
      <c r="X858" s="728"/>
      <c r="Y858" s="728"/>
      <c r="Z858" s="728"/>
      <c r="AA858" s="343"/>
      <c r="AB858" s="728"/>
      <c r="AC858" s="638"/>
      <c r="AD858" s="638"/>
      <c r="AE858" s="638"/>
    </row>
    <row r="859" spans="1:31">
      <c r="A859" s="638"/>
      <c r="B859" s="638"/>
      <c r="C859" s="638"/>
      <c r="D859" s="638"/>
      <c r="E859" s="638"/>
      <c r="F859" s="638"/>
      <c r="G859" s="638"/>
      <c r="H859" s="638"/>
      <c r="I859" s="638"/>
      <c r="J859" s="638"/>
      <c r="K859" s="638"/>
      <c r="L859" s="638"/>
      <c r="M859" s="638"/>
      <c r="N859" s="638"/>
      <c r="O859" s="638"/>
      <c r="P859" s="638"/>
      <c r="Q859" s="638"/>
      <c r="R859" s="638"/>
      <c r="S859" s="343"/>
      <c r="T859" s="638"/>
      <c r="U859" s="343"/>
      <c r="V859" s="728"/>
      <c r="W859" s="728"/>
      <c r="X859" s="728"/>
      <c r="Y859" s="728"/>
      <c r="Z859" s="728"/>
      <c r="AA859" s="343"/>
      <c r="AB859" s="728"/>
      <c r="AC859" s="638"/>
      <c r="AD859" s="638"/>
      <c r="AE859" s="638"/>
    </row>
    <row r="860" spans="1:31">
      <c r="A860" s="638"/>
      <c r="B860" s="638"/>
      <c r="C860" s="638"/>
      <c r="D860" s="638"/>
      <c r="E860" s="638"/>
      <c r="F860" s="638"/>
      <c r="G860" s="638"/>
      <c r="H860" s="638"/>
      <c r="I860" s="638"/>
      <c r="J860" s="638"/>
      <c r="K860" s="638"/>
      <c r="L860" s="638"/>
      <c r="M860" s="638"/>
      <c r="N860" s="638"/>
      <c r="O860" s="638"/>
      <c r="P860" s="638"/>
      <c r="Q860" s="638"/>
      <c r="R860" s="638"/>
      <c r="S860" s="343"/>
      <c r="T860" s="638"/>
      <c r="U860" s="343"/>
      <c r="V860" s="728"/>
      <c r="W860" s="728"/>
      <c r="X860" s="728"/>
      <c r="Y860" s="728"/>
      <c r="Z860" s="728"/>
      <c r="AA860" s="343"/>
      <c r="AB860" s="728"/>
      <c r="AC860" s="638"/>
      <c r="AD860" s="638"/>
      <c r="AE860" s="638"/>
    </row>
    <row r="861" spans="1:31">
      <c r="A861" s="638"/>
      <c r="B861" s="638"/>
      <c r="C861" s="638"/>
      <c r="D861" s="638"/>
      <c r="E861" s="638"/>
      <c r="F861" s="638"/>
      <c r="G861" s="638"/>
      <c r="H861" s="638"/>
      <c r="I861" s="638"/>
      <c r="J861" s="638"/>
      <c r="K861" s="638"/>
      <c r="L861" s="638"/>
      <c r="M861" s="638"/>
      <c r="N861" s="638"/>
      <c r="O861" s="638"/>
      <c r="P861" s="638"/>
      <c r="Q861" s="638"/>
      <c r="R861" s="638"/>
      <c r="S861" s="343"/>
      <c r="T861" s="638"/>
      <c r="U861" s="343"/>
      <c r="V861" s="728"/>
      <c r="W861" s="728"/>
      <c r="X861" s="728"/>
      <c r="Y861" s="728"/>
      <c r="Z861" s="728"/>
      <c r="AA861" s="343"/>
      <c r="AB861" s="728"/>
      <c r="AC861" s="638"/>
      <c r="AD861" s="638"/>
      <c r="AE861" s="638"/>
    </row>
    <row r="862" spans="1:31">
      <c r="A862" s="638"/>
      <c r="B862" s="638"/>
      <c r="C862" s="638"/>
      <c r="D862" s="638"/>
      <c r="E862" s="638"/>
      <c r="F862" s="638"/>
      <c r="G862" s="638"/>
      <c r="H862" s="638"/>
      <c r="I862" s="638"/>
      <c r="J862" s="638"/>
      <c r="K862" s="638"/>
      <c r="L862" s="638"/>
      <c r="M862" s="638"/>
      <c r="N862" s="638"/>
      <c r="O862" s="638"/>
      <c r="P862" s="638"/>
      <c r="Q862" s="638"/>
      <c r="R862" s="638"/>
      <c r="S862" s="343"/>
      <c r="T862" s="638"/>
      <c r="U862" s="343"/>
      <c r="V862" s="728"/>
      <c r="W862" s="728"/>
      <c r="X862" s="728"/>
      <c r="Y862" s="728"/>
      <c r="Z862" s="728"/>
      <c r="AA862" s="343"/>
      <c r="AB862" s="728"/>
      <c r="AC862" s="638"/>
      <c r="AD862" s="638"/>
      <c r="AE862" s="638"/>
    </row>
    <row r="863" spans="1:31">
      <c r="A863" s="638"/>
      <c r="B863" s="638"/>
      <c r="C863" s="638"/>
      <c r="D863" s="638"/>
      <c r="E863" s="638"/>
      <c r="F863" s="638"/>
      <c r="G863" s="638"/>
      <c r="H863" s="638"/>
      <c r="I863" s="638"/>
      <c r="J863" s="638"/>
      <c r="K863" s="638"/>
      <c r="L863" s="638"/>
      <c r="M863" s="638"/>
      <c r="N863" s="638"/>
      <c r="O863" s="638"/>
      <c r="P863" s="638"/>
      <c r="Q863" s="638"/>
      <c r="R863" s="638"/>
      <c r="S863" s="343"/>
      <c r="T863" s="638"/>
      <c r="U863" s="343"/>
      <c r="V863" s="728"/>
      <c r="W863" s="728"/>
      <c r="X863" s="728"/>
      <c r="Y863" s="728"/>
      <c r="Z863" s="728"/>
      <c r="AA863" s="343"/>
      <c r="AB863" s="728"/>
      <c r="AC863" s="638"/>
      <c r="AD863" s="638"/>
      <c r="AE863" s="638"/>
    </row>
    <row r="864" spans="1:31">
      <c r="A864" s="638"/>
      <c r="B864" s="638"/>
      <c r="C864" s="638"/>
      <c r="D864" s="638"/>
      <c r="E864" s="638"/>
      <c r="F864" s="638"/>
      <c r="G864" s="638"/>
      <c r="H864" s="638"/>
      <c r="I864" s="638"/>
      <c r="J864" s="638"/>
      <c r="K864" s="638"/>
      <c r="L864" s="638"/>
      <c r="M864" s="638"/>
      <c r="N864" s="638"/>
      <c r="O864" s="638"/>
      <c r="P864" s="638"/>
      <c r="Q864" s="638"/>
      <c r="R864" s="638"/>
      <c r="S864" s="343"/>
      <c r="T864" s="638"/>
      <c r="U864" s="343"/>
      <c r="V864" s="728"/>
      <c r="W864" s="728"/>
      <c r="X864" s="728"/>
      <c r="Y864" s="728"/>
      <c r="Z864" s="728"/>
      <c r="AA864" s="343"/>
      <c r="AB864" s="728"/>
      <c r="AC864" s="638"/>
      <c r="AD864" s="638"/>
      <c r="AE864" s="638"/>
    </row>
    <row r="865" spans="1:31">
      <c r="A865" s="638"/>
      <c r="B865" s="638"/>
      <c r="C865" s="638"/>
      <c r="D865" s="638"/>
      <c r="E865" s="638"/>
      <c r="F865" s="638"/>
      <c r="G865" s="638"/>
      <c r="H865" s="638"/>
      <c r="I865" s="638"/>
      <c r="J865" s="638"/>
      <c r="K865" s="638"/>
      <c r="L865" s="638"/>
      <c r="M865" s="638"/>
      <c r="N865" s="638"/>
      <c r="O865" s="638"/>
      <c r="P865" s="638"/>
      <c r="Q865" s="638"/>
      <c r="R865" s="638"/>
      <c r="S865" s="343"/>
      <c r="T865" s="638"/>
      <c r="U865" s="343"/>
      <c r="V865" s="728"/>
      <c r="W865" s="728"/>
      <c r="X865" s="728"/>
      <c r="Y865" s="728"/>
      <c r="Z865" s="728"/>
      <c r="AA865" s="343"/>
      <c r="AB865" s="728"/>
      <c r="AC865" s="638"/>
      <c r="AD865" s="638"/>
      <c r="AE865" s="638"/>
    </row>
    <row r="866" spans="1:31">
      <c r="A866" s="638"/>
      <c r="B866" s="638"/>
      <c r="C866" s="638"/>
      <c r="D866" s="638"/>
      <c r="E866" s="638"/>
      <c r="F866" s="638"/>
      <c r="G866" s="638"/>
      <c r="H866" s="638"/>
      <c r="I866" s="638"/>
      <c r="J866" s="638"/>
      <c r="K866" s="638"/>
      <c r="L866" s="638"/>
      <c r="M866" s="638"/>
      <c r="N866" s="638"/>
      <c r="O866" s="638"/>
      <c r="P866" s="638"/>
      <c r="Q866" s="638"/>
      <c r="R866" s="638"/>
      <c r="S866" s="343"/>
      <c r="T866" s="638"/>
      <c r="U866" s="343"/>
      <c r="V866" s="728"/>
      <c r="W866" s="728"/>
      <c r="X866" s="728"/>
      <c r="Y866" s="728"/>
      <c r="Z866" s="728"/>
      <c r="AA866" s="343"/>
      <c r="AB866" s="728"/>
      <c r="AC866" s="638"/>
      <c r="AD866" s="638"/>
      <c r="AE866" s="638"/>
    </row>
    <row r="867" spans="1:31">
      <c r="A867" s="638"/>
      <c r="B867" s="638"/>
      <c r="C867" s="638"/>
      <c r="D867" s="638"/>
      <c r="E867" s="638"/>
      <c r="F867" s="638"/>
      <c r="G867" s="638"/>
      <c r="H867" s="638"/>
      <c r="I867" s="638"/>
      <c r="J867" s="638"/>
      <c r="K867" s="638"/>
      <c r="L867" s="638"/>
      <c r="M867" s="638"/>
      <c r="N867" s="638"/>
      <c r="O867" s="638"/>
      <c r="P867" s="638"/>
      <c r="Q867" s="638"/>
      <c r="R867" s="638"/>
      <c r="S867" s="343"/>
      <c r="T867" s="638"/>
      <c r="U867" s="343"/>
      <c r="V867" s="728"/>
      <c r="W867" s="728"/>
      <c r="X867" s="728"/>
      <c r="Y867" s="728"/>
      <c r="Z867" s="728"/>
      <c r="AA867" s="343"/>
      <c r="AB867" s="728"/>
      <c r="AC867" s="638"/>
      <c r="AD867" s="638"/>
      <c r="AE867" s="638"/>
    </row>
    <row r="868" spans="1:31">
      <c r="A868" s="638"/>
      <c r="B868" s="638"/>
      <c r="C868" s="638"/>
      <c r="D868" s="638"/>
      <c r="E868" s="638"/>
      <c r="F868" s="638"/>
      <c r="G868" s="638"/>
      <c r="H868" s="638"/>
      <c r="I868" s="638"/>
      <c r="J868" s="638"/>
      <c r="K868" s="638"/>
      <c r="L868" s="638"/>
      <c r="M868" s="638"/>
      <c r="N868" s="638"/>
      <c r="O868" s="638"/>
      <c r="P868" s="638"/>
      <c r="Q868" s="638"/>
      <c r="R868" s="638"/>
      <c r="S868" s="343"/>
      <c r="T868" s="638"/>
      <c r="U868" s="343"/>
      <c r="V868" s="728"/>
      <c r="W868" s="728"/>
      <c r="X868" s="728"/>
      <c r="Y868" s="728"/>
      <c r="Z868" s="728"/>
      <c r="AA868" s="343"/>
      <c r="AB868" s="728"/>
      <c r="AC868" s="638"/>
      <c r="AD868" s="638"/>
      <c r="AE868" s="638"/>
    </row>
    <row r="869" spans="1:31">
      <c r="A869" s="638"/>
      <c r="B869" s="638"/>
      <c r="C869" s="638"/>
      <c r="D869" s="638"/>
      <c r="E869" s="638"/>
      <c r="F869" s="638"/>
      <c r="G869" s="638"/>
      <c r="H869" s="638"/>
      <c r="I869" s="638"/>
      <c r="J869" s="638"/>
      <c r="K869" s="638"/>
      <c r="L869" s="638"/>
      <c r="M869" s="638"/>
      <c r="N869" s="638"/>
      <c r="O869" s="638"/>
      <c r="P869" s="638"/>
      <c r="Q869" s="638"/>
      <c r="R869" s="638"/>
      <c r="S869" s="343"/>
      <c r="T869" s="638"/>
      <c r="U869" s="343"/>
      <c r="V869" s="728"/>
      <c r="W869" s="728"/>
      <c r="X869" s="728"/>
      <c r="Y869" s="728"/>
      <c r="Z869" s="728"/>
      <c r="AA869" s="343"/>
      <c r="AB869" s="728"/>
      <c r="AC869" s="638"/>
      <c r="AD869" s="638"/>
      <c r="AE869" s="638"/>
    </row>
    <row r="870" spans="1:31">
      <c r="A870" s="638"/>
      <c r="B870" s="638"/>
      <c r="C870" s="638"/>
      <c r="D870" s="638"/>
      <c r="E870" s="638"/>
      <c r="F870" s="638"/>
      <c r="G870" s="638"/>
      <c r="H870" s="638"/>
      <c r="I870" s="638"/>
      <c r="J870" s="638"/>
      <c r="K870" s="638"/>
      <c r="L870" s="638"/>
      <c r="M870" s="638"/>
      <c r="N870" s="638"/>
      <c r="O870" s="638"/>
      <c r="P870" s="638"/>
      <c r="Q870" s="638"/>
      <c r="R870" s="638"/>
      <c r="S870" s="343"/>
      <c r="T870" s="638"/>
      <c r="U870" s="343"/>
      <c r="V870" s="728"/>
      <c r="W870" s="728"/>
      <c r="X870" s="728"/>
      <c r="Y870" s="728"/>
      <c r="Z870" s="728"/>
      <c r="AA870" s="343"/>
      <c r="AB870" s="728"/>
      <c r="AC870" s="638"/>
      <c r="AD870" s="638"/>
      <c r="AE870" s="638"/>
    </row>
    <row r="871" spans="1:31">
      <c r="A871" s="638"/>
      <c r="B871" s="638"/>
      <c r="C871" s="638"/>
      <c r="D871" s="638"/>
      <c r="E871" s="638"/>
      <c r="F871" s="638"/>
      <c r="G871" s="638"/>
      <c r="H871" s="638"/>
      <c r="I871" s="638"/>
      <c r="J871" s="638"/>
      <c r="K871" s="638"/>
      <c r="L871" s="638"/>
      <c r="M871" s="638"/>
      <c r="N871" s="638"/>
      <c r="O871" s="638"/>
      <c r="P871" s="638"/>
      <c r="Q871" s="638"/>
      <c r="R871" s="638"/>
      <c r="S871" s="343"/>
      <c r="T871" s="638"/>
      <c r="U871" s="343"/>
      <c r="V871" s="728"/>
      <c r="W871" s="728"/>
      <c r="X871" s="728"/>
      <c r="Y871" s="728"/>
      <c r="Z871" s="728"/>
      <c r="AA871" s="343"/>
      <c r="AB871" s="728"/>
      <c r="AC871" s="638"/>
      <c r="AD871" s="638"/>
      <c r="AE871" s="638"/>
    </row>
    <row r="872" spans="1:31">
      <c r="A872" s="638"/>
      <c r="B872" s="638"/>
      <c r="C872" s="638"/>
      <c r="D872" s="638"/>
      <c r="E872" s="638"/>
      <c r="F872" s="638"/>
      <c r="G872" s="638"/>
      <c r="H872" s="638"/>
      <c r="I872" s="638"/>
      <c r="J872" s="638"/>
      <c r="K872" s="638"/>
      <c r="L872" s="638"/>
      <c r="M872" s="638"/>
      <c r="N872" s="638"/>
      <c r="O872" s="638"/>
      <c r="P872" s="638"/>
      <c r="Q872" s="638"/>
      <c r="R872" s="638"/>
      <c r="S872" s="343"/>
      <c r="T872" s="638"/>
      <c r="U872" s="343"/>
      <c r="V872" s="728"/>
      <c r="W872" s="728"/>
      <c r="X872" s="728"/>
      <c r="Y872" s="728"/>
      <c r="Z872" s="728"/>
      <c r="AA872" s="343"/>
      <c r="AB872" s="728"/>
      <c r="AC872" s="638"/>
      <c r="AD872" s="638"/>
      <c r="AE872" s="638"/>
    </row>
    <row r="873" spans="1:31">
      <c r="A873" s="638"/>
      <c r="B873" s="638"/>
      <c r="C873" s="638"/>
      <c r="D873" s="638"/>
      <c r="E873" s="638"/>
      <c r="F873" s="638"/>
      <c r="G873" s="638"/>
      <c r="H873" s="638"/>
      <c r="I873" s="638"/>
      <c r="J873" s="638"/>
      <c r="K873" s="638"/>
      <c r="L873" s="638"/>
      <c r="M873" s="638"/>
      <c r="N873" s="638"/>
      <c r="O873" s="638"/>
      <c r="P873" s="638"/>
      <c r="Q873" s="638"/>
      <c r="R873" s="638"/>
      <c r="S873" s="343"/>
      <c r="T873" s="638"/>
      <c r="U873" s="343"/>
      <c r="V873" s="728"/>
      <c r="W873" s="728"/>
      <c r="X873" s="728"/>
      <c r="Y873" s="728"/>
      <c r="Z873" s="728"/>
      <c r="AA873" s="343"/>
      <c r="AB873" s="728"/>
      <c r="AC873" s="638"/>
      <c r="AD873" s="638"/>
      <c r="AE873" s="638"/>
    </row>
    <row r="874" spans="1:31">
      <c r="A874" s="638"/>
      <c r="B874" s="638"/>
      <c r="C874" s="638"/>
      <c r="D874" s="638"/>
      <c r="E874" s="638"/>
      <c r="F874" s="638"/>
      <c r="G874" s="638"/>
      <c r="H874" s="638"/>
      <c r="I874" s="638"/>
      <c r="J874" s="638"/>
      <c r="K874" s="638"/>
      <c r="L874" s="638"/>
      <c r="M874" s="638"/>
      <c r="N874" s="638"/>
      <c r="O874" s="638"/>
      <c r="P874" s="638"/>
      <c r="Q874" s="638"/>
      <c r="R874" s="638"/>
      <c r="S874" s="343"/>
      <c r="T874" s="638"/>
      <c r="U874" s="343"/>
      <c r="V874" s="728"/>
      <c r="W874" s="728"/>
      <c r="X874" s="728"/>
      <c r="Y874" s="728"/>
      <c r="Z874" s="728"/>
      <c r="AA874" s="343"/>
      <c r="AB874" s="728"/>
      <c r="AC874" s="638"/>
      <c r="AD874" s="638"/>
      <c r="AE874" s="638"/>
    </row>
    <row r="875" spans="1:31">
      <c r="A875" s="638"/>
      <c r="B875" s="638"/>
      <c r="C875" s="638"/>
      <c r="D875" s="638"/>
      <c r="E875" s="638"/>
      <c r="F875" s="638"/>
      <c r="G875" s="638"/>
      <c r="H875" s="638"/>
      <c r="I875" s="638"/>
      <c r="J875" s="638"/>
      <c r="K875" s="638"/>
      <c r="L875" s="638"/>
      <c r="M875" s="638"/>
      <c r="N875" s="638"/>
      <c r="O875" s="638"/>
      <c r="P875" s="638"/>
      <c r="Q875" s="638"/>
      <c r="R875" s="638"/>
      <c r="S875" s="343"/>
      <c r="T875" s="638"/>
      <c r="U875" s="343"/>
      <c r="V875" s="728"/>
      <c r="W875" s="728"/>
      <c r="X875" s="728"/>
      <c r="Y875" s="728"/>
      <c r="Z875" s="728"/>
      <c r="AA875" s="343"/>
      <c r="AB875" s="728"/>
      <c r="AC875" s="638"/>
      <c r="AD875" s="638"/>
      <c r="AE875" s="638"/>
    </row>
    <row r="876" spans="1:31">
      <c r="A876" s="638"/>
      <c r="B876" s="638"/>
      <c r="C876" s="638"/>
      <c r="D876" s="638"/>
      <c r="E876" s="638"/>
      <c r="F876" s="638"/>
      <c r="G876" s="638"/>
      <c r="H876" s="638"/>
      <c r="I876" s="638"/>
      <c r="J876" s="638"/>
      <c r="K876" s="638"/>
      <c r="L876" s="638"/>
      <c r="M876" s="638"/>
      <c r="N876" s="638"/>
      <c r="O876" s="638"/>
      <c r="P876" s="638"/>
      <c r="Q876" s="638"/>
      <c r="R876" s="638"/>
      <c r="S876" s="343"/>
      <c r="T876" s="638"/>
      <c r="U876" s="343"/>
      <c r="V876" s="728"/>
      <c r="W876" s="728"/>
      <c r="X876" s="728"/>
      <c r="Y876" s="728"/>
      <c r="Z876" s="728"/>
      <c r="AA876" s="343"/>
      <c r="AB876" s="728"/>
      <c r="AC876" s="638"/>
      <c r="AD876" s="638"/>
      <c r="AE876" s="638"/>
    </row>
    <row r="877" spans="1:31">
      <c r="A877" s="638"/>
      <c r="B877" s="638"/>
      <c r="C877" s="638"/>
      <c r="D877" s="638"/>
      <c r="E877" s="638"/>
      <c r="F877" s="638"/>
      <c r="G877" s="638"/>
      <c r="H877" s="638"/>
      <c r="I877" s="638"/>
      <c r="J877" s="638"/>
      <c r="K877" s="638"/>
      <c r="L877" s="638"/>
      <c r="M877" s="638"/>
      <c r="N877" s="638"/>
      <c r="O877" s="638"/>
      <c r="P877" s="638"/>
      <c r="Q877" s="638"/>
      <c r="R877" s="638"/>
      <c r="S877" s="343"/>
      <c r="T877" s="638"/>
      <c r="U877" s="343"/>
      <c r="V877" s="728"/>
      <c r="W877" s="728"/>
      <c r="X877" s="728"/>
      <c r="Y877" s="728"/>
      <c r="Z877" s="728"/>
      <c r="AA877" s="343"/>
      <c r="AB877" s="728"/>
      <c r="AC877" s="638"/>
      <c r="AD877" s="638"/>
      <c r="AE877" s="638"/>
    </row>
    <row r="878" spans="1:31">
      <c r="A878" s="638"/>
      <c r="B878" s="638"/>
      <c r="C878" s="638"/>
      <c r="D878" s="638"/>
      <c r="E878" s="638"/>
      <c r="F878" s="638"/>
      <c r="G878" s="638"/>
      <c r="H878" s="638"/>
      <c r="I878" s="638"/>
      <c r="J878" s="638"/>
      <c r="K878" s="638"/>
      <c r="L878" s="638"/>
      <c r="M878" s="638"/>
      <c r="N878" s="638"/>
      <c r="O878" s="638"/>
      <c r="P878" s="638"/>
      <c r="Q878" s="638"/>
      <c r="R878" s="638"/>
      <c r="S878" s="343"/>
      <c r="T878" s="638"/>
      <c r="U878" s="343"/>
      <c r="V878" s="728"/>
      <c r="W878" s="728"/>
      <c r="X878" s="728"/>
      <c r="Y878" s="728"/>
      <c r="Z878" s="728"/>
      <c r="AA878" s="343"/>
      <c r="AB878" s="728"/>
      <c r="AC878" s="638"/>
      <c r="AD878" s="638"/>
      <c r="AE878" s="638"/>
    </row>
    <row r="879" spans="1:31">
      <c r="A879" s="638"/>
      <c r="B879" s="638"/>
      <c r="C879" s="638"/>
      <c r="D879" s="638"/>
      <c r="E879" s="638"/>
      <c r="F879" s="638"/>
      <c r="G879" s="638"/>
      <c r="H879" s="638"/>
      <c r="I879" s="638"/>
      <c r="J879" s="638"/>
      <c r="K879" s="638"/>
      <c r="L879" s="638"/>
      <c r="M879" s="638"/>
      <c r="N879" s="638"/>
      <c r="O879" s="638"/>
      <c r="P879" s="638"/>
      <c r="Q879" s="638"/>
      <c r="R879" s="638"/>
      <c r="S879" s="343"/>
      <c r="T879" s="638"/>
      <c r="U879" s="343"/>
      <c r="V879" s="728"/>
      <c r="W879" s="728"/>
      <c r="X879" s="728"/>
      <c r="Y879" s="728"/>
      <c r="Z879" s="728"/>
      <c r="AA879" s="343"/>
      <c r="AB879" s="728"/>
      <c r="AC879" s="638"/>
      <c r="AD879" s="638"/>
      <c r="AE879" s="638"/>
    </row>
    <row r="880" spans="1:31">
      <c r="A880" s="638"/>
      <c r="B880" s="638"/>
      <c r="C880" s="638"/>
      <c r="D880" s="638"/>
      <c r="E880" s="638"/>
      <c r="F880" s="638"/>
      <c r="G880" s="638"/>
      <c r="H880" s="638"/>
      <c r="I880" s="638"/>
      <c r="J880" s="638"/>
      <c r="K880" s="638"/>
      <c r="L880" s="638"/>
      <c r="M880" s="638"/>
      <c r="N880" s="638"/>
      <c r="O880" s="638"/>
      <c r="P880" s="638"/>
      <c r="Q880" s="638"/>
      <c r="R880" s="638"/>
      <c r="S880" s="343"/>
      <c r="T880" s="638"/>
      <c r="U880" s="343"/>
      <c r="V880" s="728"/>
      <c r="W880" s="728"/>
      <c r="X880" s="728"/>
      <c r="Y880" s="728"/>
      <c r="Z880" s="728"/>
      <c r="AA880" s="343"/>
      <c r="AB880" s="728"/>
      <c r="AC880" s="638"/>
      <c r="AD880" s="638"/>
      <c r="AE880" s="638"/>
    </row>
    <row r="881" spans="1:31">
      <c r="A881" s="638"/>
      <c r="B881" s="638"/>
      <c r="C881" s="638"/>
      <c r="D881" s="638"/>
      <c r="E881" s="638"/>
      <c r="F881" s="638"/>
      <c r="G881" s="638"/>
      <c r="H881" s="638"/>
      <c r="I881" s="638"/>
      <c r="J881" s="638"/>
      <c r="K881" s="638"/>
      <c r="L881" s="638"/>
      <c r="M881" s="638"/>
      <c r="N881" s="638"/>
      <c r="O881" s="638"/>
      <c r="P881" s="638"/>
      <c r="Q881" s="638"/>
      <c r="R881" s="638"/>
      <c r="S881" s="343"/>
      <c r="T881" s="638"/>
      <c r="U881" s="343"/>
      <c r="V881" s="728"/>
      <c r="W881" s="728"/>
      <c r="X881" s="728"/>
      <c r="Y881" s="728"/>
      <c r="Z881" s="728"/>
      <c r="AA881" s="343"/>
      <c r="AB881" s="728"/>
      <c r="AC881" s="638"/>
      <c r="AD881" s="638"/>
      <c r="AE881" s="638"/>
    </row>
    <row r="882" spans="1:31">
      <c r="A882" s="638"/>
      <c r="B882" s="638"/>
      <c r="C882" s="638"/>
      <c r="D882" s="638"/>
      <c r="E882" s="638"/>
      <c r="F882" s="638"/>
      <c r="G882" s="638"/>
      <c r="H882" s="638"/>
      <c r="I882" s="638"/>
      <c r="J882" s="638"/>
      <c r="K882" s="638"/>
      <c r="L882" s="638"/>
      <c r="M882" s="638"/>
      <c r="N882" s="638"/>
      <c r="O882" s="638"/>
      <c r="P882" s="638"/>
      <c r="Q882" s="638"/>
      <c r="R882" s="638"/>
      <c r="S882" s="343"/>
      <c r="T882" s="638"/>
      <c r="U882" s="343"/>
      <c r="V882" s="728"/>
      <c r="W882" s="728"/>
      <c r="X882" s="728"/>
      <c r="Y882" s="728"/>
      <c r="Z882" s="728"/>
      <c r="AA882" s="343"/>
      <c r="AB882" s="728"/>
      <c r="AC882" s="638"/>
      <c r="AD882" s="638"/>
      <c r="AE882" s="638"/>
    </row>
    <row r="883" spans="1:31">
      <c r="A883" s="638"/>
      <c r="B883" s="638"/>
      <c r="C883" s="638"/>
      <c r="D883" s="638"/>
      <c r="E883" s="638"/>
      <c r="F883" s="638"/>
      <c r="G883" s="638"/>
      <c r="H883" s="638"/>
      <c r="I883" s="638"/>
      <c r="J883" s="638"/>
      <c r="K883" s="638"/>
      <c r="L883" s="638"/>
      <c r="M883" s="638"/>
      <c r="N883" s="638"/>
      <c r="O883" s="638"/>
      <c r="P883" s="638"/>
      <c r="Q883" s="638"/>
      <c r="R883" s="638"/>
      <c r="S883" s="343"/>
      <c r="T883" s="638"/>
      <c r="U883" s="343"/>
      <c r="V883" s="728"/>
      <c r="W883" s="728"/>
      <c r="X883" s="728"/>
      <c r="Y883" s="728"/>
      <c r="Z883" s="728"/>
      <c r="AA883" s="343"/>
      <c r="AB883" s="728"/>
      <c r="AC883" s="638"/>
      <c r="AD883" s="638"/>
      <c r="AE883" s="638"/>
    </row>
    <row r="884" spans="1:31">
      <c r="A884" s="638"/>
      <c r="B884" s="638"/>
      <c r="C884" s="638"/>
      <c r="D884" s="638"/>
      <c r="E884" s="638"/>
      <c r="F884" s="638"/>
      <c r="G884" s="638"/>
      <c r="H884" s="638"/>
      <c r="I884" s="638"/>
      <c r="J884" s="638"/>
      <c r="K884" s="638"/>
      <c r="L884" s="638"/>
      <c r="M884" s="638"/>
      <c r="N884" s="638"/>
      <c r="O884" s="638"/>
      <c r="P884" s="638"/>
      <c r="Q884" s="638"/>
      <c r="R884" s="638"/>
      <c r="S884" s="343"/>
      <c r="T884" s="638"/>
      <c r="U884" s="343"/>
      <c r="V884" s="728"/>
      <c r="W884" s="728"/>
      <c r="X884" s="728"/>
      <c r="Y884" s="728"/>
      <c r="Z884" s="728"/>
      <c r="AA884" s="343"/>
      <c r="AB884" s="728"/>
      <c r="AC884" s="638"/>
      <c r="AD884" s="638"/>
      <c r="AE884" s="638"/>
    </row>
    <row r="885" spans="1:31">
      <c r="A885" s="638"/>
      <c r="B885" s="638"/>
      <c r="C885" s="638"/>
      <c r="D885" s="638"/>
      <c r="E885" s="638"/>
      <c r="F885" s="638"/>
      <c r="G885" s="638"/>
      <c r="H885" s="638"/>
      <c r="I885" s="638"/>
      <c r="J885" s="638"/>
      <c r="K885" s="638"/>
      <c r="L885" s="638"/>
      <c r="M885" s="638"/>
      <c r="N885" s="638"/>
      <c r="O885" s="638"/>
      <c r="P885" s="638"/>
      <c r="Q885" s="638"/>
      <c r="R885" s="638"/>
      <c r="S885" s="343"/>
      <c r="T885" s="638"/>
      <c r="U885" s="343"/>
      <c r="V885" s="728"/>
      <c r="W885" s="728"/>
      <c r="X885" s="728"/>
      <c r="Y885" s="728"/>
      <c r="Z885" s="728"/>
      <c r="AA885" s="343"/>
      <c r="AB885" s="728"/>
      <c r="AC885" s="638"/>
      <c r="AD885" s="638"/>
      <c r="AE885" s="638"/>
    </row>
    <row r="886" spans="1:31">
      <c r="A886" s="638"/>
      <c r="B886" s="638"/>
      <c r="C886" s="638"/>
      <c r="D886" s="638"/>
      <c r="E886" s="638"/>
      <c r="F886" s="638"/>
      <c r="G886" s="638"/>
      <c r="H886" s="638"/>
      <c r="I886" s="638"/>
      <c r="J886" s="638"/>
      <c r="K886" s="638"/>
      <c r="L886" s="638"/>
      <c r="M886" s="638"/>
      <c r="N886" s="638"/>
      <c r="O886" s="638"/>
      <c r="P886" s="638"/>
      <c r="Q886" s="638"/>
      <c r="R886" s="638"/>
      <c r="S886" s="343"/>
      <c r="T886" s="638"/>
      <c r="U886" s="343"/>
      <c r="V886" s="728"/>
      <c r="W886" s="728"/>
      <c r="X886" s="728"/>
      <c r="Y886" s="728"/>
      <c r="Z886" s="728"/>
      <c r="AA886" s="343"/>
      <c r="AB886" s="728"/>
      <c r="AC886" s="638"/>
      <c r="AD886" s="638"/>
      <c r="AE886" s="638"/>
    </row>
    <row r="887" spans="1:31">
      <c r="A887" s="638"/>
      <c r="B887" s="638"/>
      <c r="C887" s="638"/>
      <c r="D887" s="638"/>
      <c r="E887" s="638"/>
      <c r="F887" s="638"/>
      <c r="G887" s="638"/>
      <c r="H887" s="638"/>
      <c r="I887" s="638"/>
      <c r="J887" s="638"/>
      <c r="K887" s="638"/>
      <c r="L887" s="638"/>
      <c r="M887" s="638"/>
      <c r="N887" s="638"/>
      <c r="O887" s="638"/>
      <c r="P887" s="638"/>
      <c r="Q887" s="638"/>
      <c r="R887" s="638"/>
      <c r="S887" s="343"/>
      <c r="T887" s="638"/>
      <c r="U887" s="343"/>
      <c r="V887" s="728"/>
      <c r="W887" s="728"/>
      <c r="X887" s="728"/>
      <c r="Y887" s="728"/>
      <c r="Z887" s="728"/>
      <c r="AA887" s="343"/>
      <c r="AB887" s="728"/>
      <c r="AC887" s="638"/>
      <c r="AD887" s="638"/>
      <c r="AE887" s="638"/>
    </row>
    <row r="888" spans="1:31">
      <c r="A888" s="638"/>
      <c r="B888" s="638"/>
      <c r="C888" s="638"/>
      <c r="D888" s="638"/>
      <c r="E888" s="638"/>
      <c r="F888" s="638"/>
      <c r="G888" s="638"/>
      <c r="H888" s="638"/>
      <c r="I888" s="638"/>
      <c r="J888" s="638"/>
      <c r="K888" s="638"/>
      <c r="L888" s="638"/>
      <c r="M888" s="638"/>
      <c r="N888" s="638"/>
      <c r="O888" s="638"/>
      <c r="P888" s="638"/>
      <c r="Q888" s="638"/>
      <c r="R888" s="638"/>
      <c r="S888" s="343"/>
      <c r="T888" s="638"/>
      <c r="U888" s="343"/>
      <c r="V888" s="728"/>
      <c r="W888" s="728"/>
      <c r="X888" s="728"/>
      <c r="Y888" s="728"/>
      <c r="Z888" s="728"/>
      <c r="AA888" s="343"/>
      <c r="AB888" s="728"/>
      <c r="AC888" s="638"/>
      <c r="AD888" s="638"/>
      <c r="AE888" s="638"/>
    </row>
    <row r="889" spans="1:31">
      <c r="A889" s="638"/>
      <c r="B889" s="638"/>
      <c r="C889" s="638"/>
      <c r="D889" s="638"/>
      <c r="E889" s="638"/>
      <c r="F889" s="638"/>
      <c r="G889" s="638"/>
      <c r="H889" s="638"/>
      <c r="I889" s="638"/>
      <c r="J889" s="638"/>
      <c r="K889" s="638"/>
      <c r="L889" s="638"/>
      <c r="M889" s="638"/>
      <c r="N889" s="638"/>
      <c r="O889" s="638"/>
      <c r="P889" s="638"/>
      <c r="Q889" s="638"/>
      <c r="R889" s="638"/>
      <c r="S889" s="343"/>
      <c r="T889" s="638"/>
      <c r="U889" s="343"/>
      <c r="V889" s="728"/>
      <c r="W889" s="728"/>
      <c r="X889" s="728"/>
      <c r="Y889" s="728"/>
      <c r="Z889" s="728"/>
      <c r="AA889" s="343"/>
      <c r="AB889" s="728"/>
      <c r="AC889" s="638"/>
      <c r="AD889" s="638"/>
      <c r="AE889" s="638"/>
    </row>
    <row r="890" spans="1:31">
      <c r="A890" s="638"/>
      <c r="B890" s="638"/>
      <c r="C890" s="638"/>
      <c r="D890" s="638"/>
      <c r="E890" s="638"/>
      <c r="F890" s="638"/>
      <c r="G890" s="638"/>
      <c r="H890" s="638"/>
      <c r="I890" s="638"/>
      <c r="J890" s="638"/>
      <c r="K890" s="638"/>
      <c r="L890" s="638"/>
      <c r="M890" s="638"/>
      <c r="N890" s="638"/>
      <c r="O890" s="638"/>
      <c r="P890" s="638"/>
      <c r="Q890" s="638"/>
      <c r="R890" s="638"/>
      <c r="S890" s="343"/>
      <c r="T890" s="638"/>
      <c r="U890" s="343"/>
      <c r="V890" s="728"/>
      <c r="W890" s="728"/>
      <c r="X890" s="728"/>
      <c r="Y890" s="728"/>
      <c r="Z890" s="728"/>
      <c r="AA890" s="343"/>
      <c r="AB890" s="728"/>
      <c r="AC890" s="638"/>
      <c r="AD890" s="638"/>
      <c r="AE890" s="638"/>
    </row>
    <row r="891" spans="1:31">
      <c r="A891" s="638"/>
      <c r="B891" s="638"/>
      <c r="C891" s="638"/>
      <c r="D891" s="638"/>
      <c r="E891" s="638"/>
      <c r="F891" s="638"/>
      <c r="G891" s="638"/>
      <c r="H891" s="638"/>
      <c r="I891" s="638"/>
      <c r="J891" s="638"/>
      <c r="K891" s="638"/>
      <c r="L891" s="638"/>
      <c r="M891" s="638"/>
      <c r="N891" s="638"/>
      <c r="O891" s="638"/>
      <c r="P891" s="638"/>
      <c r="Q891" s="638"/>
      <c r="R891" s="638"/>
      <c r="S891" s="343"/>
      <c r="T891" s="638"/>
      <c r="U891" s="343"/>
      <c r="V891" s="728"/>
      <c r="W891" s="728"/>
      <c r="X891" s="728"/>
      <c r="Y891" s="728"/>
      <c r="Z891" s="728"/>
      <c r="AA891" s="343"/>
      <c r="AB891" s="728"/>
      <c r="AC891" s="638"/>
      <c r="AD891" s="638"/>
      <c r="AE891" s="638"/>
    </row>
    <row r="892" spans="1:31">
      <c r="A892" s="638"/>
      <c r="B892" s="638"/>
      <c r="C892" s="638"/>
      <c r="D892" s="638"/>
      <c r="E892" s="638"/>
      <c r="F892" s="638"/>
      <c r="G892" s="638"/>
      <c r="H892" s="638"/>
      <c r="I892" s="638"/>
      <c r="J892" s="638"/>
      <c r="K892" s="638"/>
      <c r="L892" s="638"/>
      <c r="M892" s="638"/>
      <c r="N892" s="638"/>
      <c r="O892" s="638"/>
      <c r="P892" s="638"/>
      <c r="Q892" s="638"/>
      <c r="R892" s="638"/>
      <c r="S892" s="343"/>
      <c r="T892" s="638"/>
      <c r="U892" s="343"/>
      <c r="V892" s="728"/>
      <c r="W892" s="728"/>
      <c r="X892" s="728"/>
      <c r="Y892" s="728"/>
      <c r="Z892" s="728"/>
      <c r="AA892" s="343"/>
      <c r="AB892" s="728"/>
      <c r="AC892" s="638"/>
      <c r="AD892" s="638"/>
      <c r="AE892" s="638"/>
    </row>
    <row r="893" spans="1:31">
      <c r="A893" s="638"/>
      <c r="B893" s="638"/>
      <c r="C893" s="638"/>
      <c r="D893" s="638"/>
      <c r="E893" s="638"/>
      <c r="F893" s="638"/>
      <c r="G893" s="638"/>
      <c r="H893" s="638"/>
      <c r="I893" s="638"/>
      <c r="J893" s="638"/>
      <c r="K893" s="638"/>
      <c r="L893" s="638"/>
      <c r="M893" s="638"/>
      <c r="N893" s="638"/>
      <c r="O893" s="638"/>
      <c r="P893" s="638"/>
      <c r="Q893" s="638"/>
      <c r="R893" s="638"/>
      <c r="S893" s="343"/>
      <c r="T893" s="638"/>
      <c r="U893" s="343"/>
      <c r="V893" s="728"/>
      <c r="W893" s="728"/>
      <c r="X893" s="728"/>
      <c r="Y893" s="728"/>
      <c r="Z893" s="728"/>
      <c r="AA893" s="343"/>
      <c r="AB893" s="728"/>
      <c r="AC893" s="638"/>
      <c r="AD893" s="638"/>
      <c r="AE893" s="638"/>
    </row>
    <row r="894" spans="1:31">
      <c r="A894" s="638"/>
      <c r="B894" s="638"/>
      <c r="C894" s="638"/>
      <c r="D894" s="638"/>
      <c r="E894" s="638"/>
      <c r="F894" s="638"/>
      <c r="G894" s="638"/>
      <c r="H894" s="638"/>
      <c r="I894" s="638"/>
      <c r="J894" s="638"/>
      <c r="K894" s="638"/>
      <c r="L894" s="638"/>
      <c r="M894" s="638"/>
      <c r="N894" s="638"/>
      <c r="O894" s="638"/>
      <c r="P894" s="638"/>
      <c r="Q894" s="638"/>
      <c r="R894" s="638"/>
      <c r="S894" s="343"/>
      <c r="T894" s="638"/>
      <c r="U894" s="343"/>
      <c r="V894" s="728"/>
      <c r="W894" s="728"/>
      <c r="X894" s="728"/>
      <c r="Y894" s="728"/>
      <c r="Z894" s="728"/>
      <c r="AA894" s="343"/>
      <c r="AB894" s="728"/>
      <c r="AC894" s="638"/>
      <c r="AD894" s="638"/>
      <c r="AE894" s="638"/>
    </row>
    <row r="895" spans="1:31">
      <c r="A895" s="638"/>
      <c r="B895" s="638"/>
      <c r="C895" s="638"/>
      <c r="D895" s="638"/>
      <c r="E895" s="638"/>
      <c r="F895" s="638"/>
      <c r="G895" s="638"/>
      <c r="H895" s="638"/>
      <c r="I895" s="638"/>
      <c r="J895" s="638"/>
      <c r="K895" s="638"/>
      <c r="L895" s="638"/>
      <c r="M895" s="638"/>
      <c r="N895" s="638"/>
      <c r="O895" s="638"/>
      <c r="P895" s="638"/>
      <c r="Q895" s="638"/>
      <c r="R895" s="638"/>
      <c r="S895" s="343"/>
      <c r="T895" s="638"/>
      <c r="U895" s="343"/>
      <c r="V895" s="728"/>
      <c r="W895" s="728"/>
      <c r="X895" s="728"/>
      <c r="Y895" s="728"/>
      <c r="Z895" s="728"/>
      <c r="AA895" s="343"/>
      <c r="AB895" s="728"/>
      <c r="AC895" s="638"/>
      <c r="AD895" s="638"/>
      <c r="AE895" s="638"/>
    </row>
    <row r="896" spans="1:31">
      <c r="A896" s="638"/>
      <c r="B896" s="638"/>
      <c r="C896" s="638"/>
      <c r="D896" s="638"/>
      <c r="E896" s="638"/>
      <c r="F896" s="638"/>
      <c r="G896" s="638"/>
      <c r="H896" s="638"/>
      <c r="I896" s="638"/>
      <c r="J896" s="638"/>
      <c r="K896" s="638"/>
      <c r="L896" s="638"/>
      <c r="M896" s="638"/>
      <c r="N896" s="638"/>
      <c r="O896" s="638"/>
      <c r="P896" s="638"/>
      <c r="Q896" s="638"/>
      <c r="R896" s="638"/>
      <c r="S896" s="343"/>
      <c r="T896" s="638"/>
      <c r="U896" s="343"/>
      <c r="V896" s="728"/>
      <c r="W896" s="728"/>
      <c r="X896" s="728"/>
      <c r="Y896" s="728"/>
      <c r="Z896" s="728"/>
      <c r="AA896" s="343"/>
      <c r="AB896" s="728"/>
      <c r="AC896" s="638"/>
      <c r="AD896" s="638"/>
      <c r="AE896" s="638"/>
    </row>
    <row r="897" spans="1:31">
      <c r="A897" s="638"/>
      <c r="B897" s="638"/>
      <c r="C897" s="638"/>
      <c r="D897" s="638"/>
      <c r="E897" s="638"/>
      <c r="F897" s="638"/>
      <c r="G897" s="638"/>
      <c r="H897" s="638"/>
      <c r="I897" s="638"/>
      <c r="J897" s="638"/>
      <c r="K897" s="638"/>
      <c r="L897" s="638"/>
      <c r="M897" s="638"/>
      <c r="N897" s="638"/>
      <c r="O897" s="638"/>
      <c r="P897" s="638"/>
      <c r="Q897" s="638"/>
      <c r="R897" s="638"/>
      <c r="S897" s="343"/>
      <c r="T897" s="638"/>
      <c r="U897" s="343"/>
      <c r="V897" s="728"/>
      <c r="W897" s="728"/>
      <c r="X897" s="728"/>
      <c r="Y897" s="728"/>
      <c r="Z897" s="728"/>
      <c r="AA897" s="343"/>
      <c r="AB897" s="728"/>
      <c r="AC897" s="638"/>
      <c r="AD897" s="638"/>
      <c r="AE897" s="638"/>
    </row>
    <row r="898" spans="1:31">
      <c r="A898" s="638"/>
      <c r="B898" s="638"/>
      <c r="C898" s="638"/>
      <c r="D898" s="638"/>
      <c r="E898" s="638"/>
      <c r="F898" s="638"/>
      <c r="G898" s="638"/>
      <c r="H898" s="638"/>
      <c r="I898" s="638"/>
      <c r="J898" s="638"/>
      <c r="K898" s="638"/>
      <c r="L898" s="638"/>
      <c r="M898" s="638"/>
      <c r="N898" s="638"/>
      <c r="O898" s="638"/>
      <c r="P898" s="638"/>
      <c r="Q898" s="638"/>
      <c r="R898" s="638"/>
      <c r="S898" s="343"/>
      <c r="T898" s="638"/>
      <c r="U898" s="343"/>
      <c r="V898" s="728"/>
      <c r="W898" s="728"/>
      <c r="X898" s="728"/>
      <c r="Y898" s="728"/>
      <c r="Z898" s="728"/>
      <c r="AA898" s="343"/>
      <c r="AB898" s="728"/>
      <c r="AC898" s="638"/>
      <c r="AD898" s="638"/>
      <c r="AE898" s="638"/>
    </row>
    <row r="899" spans="1:31">
      <c r="A899" s="638"/>
      <c r="B899" s="638"/>
      <c r="C899" s="638"/>
      <c r="D899" s="638"/>
      <c r="E899" s="638"/>
      <c r="F899" s="638"/>
      <c r="G899" s="638"/>
      <c r="H899" s="638"/>
      <c r="I899" s="638"/>
      <c r="J899" s="638"/>
      <c r="K899" s="638"/>
      <c r="L899" s="638"/>
      <c r="M899" s="638"/>
      <c r="N899" s="638"/>
      <c r="O899" s="638"/>
      <c r="P899" s="638"/>
      <c r="Q899" s="638"/>
      <c r="R899" s="638"/>
      <c r="S899" s="343"/>
      <c r="T899" s="638"/>
      <c r="U899" s="343"/>
      <c r="V899" s="728"/>
      <c r="W899" s="728"/>
      <c r="X899" s="728"/>
      <c r="Y899" s="728"/>
      <c r="Z899" s="728"/>
      <c r="AA899" s="343"/>
      <c r="AB899" s="728"/>
      <c r="AC899" s="638"/>
      <c r="AD899" s="638"/>
      <c r="AE899" s="638"/>
    </row>
  </sheetData>
  <mergeCells count="2">
    <mergeCell ref="B11:B12"/>
    <mergeCell ref="D11:D12"/>
  </mergeCells>
  <phoneticPr fontId="142" type="noConversion"/>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8:R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G28"/>
  <sheetViews>
    <sheetView topLeftCell="A4" workbookViewId="0">
      <selection activeCell="F11" sqref="F11"/>
    </sheetView>
  </sheetViews>
  <sheetFormatPr defaultColWidth="14" defaultRowHeight="15.6"/>
  <cols>
    <col min="1" max="1" width="2.109375" style="4" bestFit="1" customWidth="1"/>
    <col min="2" max="2" width="14" style="4"/>
    <col min="3" max="3" width="25.109375" style="4" customWidth="1"/>
    <col min="4" max="6" width="14" style="4"/>
    <col min="7" max="7" width="16.33203125" style="4" bestFit="1" customWidth="1"/>
    <col min="8" max="16384" width="14" style="4"/>
  </cols>
  <sheetData>
    <row r="1" spans="1:4">
      <c r="A1" s="64"/>
      <c r="B1" s="64"/>
      <c r="C1" s="64"/>
      <c r="D1" s="64"/>
    </row>
    <row r="5" spans="1:4">
      <c r="B5" s="856" t="s">
        <v>113</v>
      </c>
      <c r="C5" s="857"/>
      <c r="D5" s="858"/>
    </row>
    <row r="6" spans="1:4">
      <c r="B6" s="859" t="s">
        <v>112</v>
      </c>
      <c r="C6" s="860"/>
      <c r="D6" s="861"/>
    </row>
    <row r="7" spans="1:4">
      <c r="B7" s="859" t="s">
        <v>1985</v>
      </c>
      <c r="C7" s="860"/>
      <c r="D7" s="861"/>
    </row>
    <row r="8" spans="1:4">
      <c r="A8" s="5"/>
      <c r="B8" s="308"/>
      <c r="C8" s="309"/>
      <c r="D8" s="310"/>
    </row>
    <row r="9" spans="1:4">
      <c r="A9" s="65"/>
      <c r="B9" s="65"/>
      <c r="C9" s="65"/>
      <c r="D9" s="65"/>
    </row>
    <row r="11" spans="1:4">
      <c r="A11" s="4">
        <v>1</v>
      </c>
      <c r="B11" s="4" t="s">
        <v>71</v>
      </c>
      <c r="D11" s="934">
        <f>+'Exh MCP-8 - ROO Summary Sheet'!K40</f>
        <v>460585035.71025717</v>
      </c>
    </row>
    <row r="12" spans="1:4">
      <c r="A12" s="4">
        <v>2</v>
      </c>
      <c r="B12" s="4" t="s">
        <v>19</v>
      </c>
      <c r="D12" s="66">
        <f>+'Capital Structure Calculation'!J14</f>
        <v>7.5439999999999993E-2</v>
      </c>
    </row>
    <row r="13" spans="1:4">
      <c r="D13" s="24"/>
    </row>
    <row r="14" spans="1:4">
      <c r="A14" s="4">
        <v>3</v>
      </c>
      <c r="B14" s="4" t="s">
        <v>72</v>
      </c>
      <c r="D14" s="935">
        <f>+D11*D12</f>
        <v>34746535.093981795</v>
      </c>
    </row>
    <row r="15" spans="1:4">
      <c r="A15" s="4">
        <v>4</v>
      </c>
      <c r="B15" s="4" t="s">
        <v>73</v>
      </c>
      <c r="D15" s="936">
        <f>+'Exh MCP-8 - ROO Summary Sheet'!K32</f>
        <v>25685981.145577401</v>
      </c>
    </row>
    <row r="16" spans="1:4">
      <c r="D16" s="461"/>
    </row>
    <row r="17" spans="1:7">
      <c r="A17" s="4">
        <v>5</v>
      </c>
      <c r="B17" s="4" t="s">
        <v>76</v>
      </c>
      <c r="D17" s="935">
        <f>+D14-D15</f>
        <v>9060553.9484043941</v>
      </c>
    </row>
    <row r="18" spans="1:7">
      <c r="D18" s="24"/>
    </row>
    <row r="19" spans="1:7">
      <c r="A19" s="4">
        <v>6</v>
      </c>
      <c r="B19" s="4" t="s">
        <v>74</v>
      </c>
      <c r="D19" s="841">
        <f>+'Exh MCP-4 - Conversion Factor'!C25</f>
        <v>0.75481349214407267</v>
      </c>
    </row>
    <row r="20" spans="1:7">
      <c r="D20" s="24"/>
    </row>
    <row r="21" spans="1:7" ht="16.2" thickBot="1">
      <c r="A21" s="4">
        <v>7</v>
      </c>
      <c r="B21" s="4" t="s">
        <v>75</v>
      </c>
      <c r="D21" s="937">
        <f>+D17/D19</f>
        <v>12003698.983529814</v>
      </c>
    </row>
    <row r="22" spans="1:7" ht="16.2" thickTop="1">
      <c r="D22" s="461"/>
      <c r="G22" s="232"/>
    </row>
    <row r="23" spans="1:7">
      <c r="A23" s="4">
        <v>8</v>
      </c>
      <c r="B23" s="4" t="s">
        <v>109</v>
      </c>
      <c r="D23" s="461">
        <f>+'Exh MCP-8 - ROO Summary Sheet'!K16</f>
        <v>261547902.87999997</v>
      </c>
      <c r="G23" s="232"/>
    </row>
    <row r="24" spans="1:7">
      <c r="D24" s="24"/>
    </row>
    <row r="25" spans="1:7">
      <c r="A25" s="4">
        <v>9</v>
      </c>
      <c r="B25" s="4" t="s">
        <v>785</v>
      </c>
      <c r="D25" s="938">
        <f>+D21/D23</f>
        <v>4.5894839344352137E-2</v>
      </c>
    </row>
    <row r="28" spans="1:7">
      <c r="F28" s="67"/>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UG-200568
Exhibit _____ (MCP-9)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ColWidth="9.109375" defaultRowHeight="15.6"/>
  <cols>
    <col min="1" max="1" width="98.6640625" style="4" customWidth="1"/>
    <col min="2" max="2" width="29.44140625" style="4" customWidth="1"/>
    <col min="3" max="16384" width="9.109375" style="4"/>
  </cols>
  <sheetData>
    <row r="1" spans="1:7">
      <c r="A1" s="15" t="s">
        <v>1842</v>
      </c>
    </row>
    <row r="2" spans="1:7">
      <c r="A2" s="15" t="s">
        <v>789</v>
      </c>
    </row>
    <row r="3" spans="1:7">
      <c r="A3" s="15" t="s">
        <v>1841</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1283</v>
      </c>
    </row>
    <row r="22" spans="1:1">
      <c r="A22" s="18"/>
    </row>
    <row r="23" spans="1:1">
      <c r="A23" s="18"/>
    </row>
    <row r="24" spans="1:1">
      <c r="A24" s="19" t="s">
        <v>788</v>
      </c>
    </row>
    <row r="25" spans="1:1">
      <c r="A25" s="18"/>
    </row>
    <row r="26" spans="1:1">
      <c r="A26" s="18"/>
    </row>
    <row r="27" spans="1:1">
      <c r="A27" s="18"/>
    </row>
    <row r="28" spans="1:1">
      <c r="A28" s="18"/>
    </row>
    <row r="29" spans="1:1">
      <c r="A29" s="18"/>
    </row>
    <row r="30" spans="1:1">
      <c r="A30" s="313" t="s">
        <v>2452</v>
      </c>
    </row>
    <row r="31" spans="1:1">
      <c r="A31" s="31"/>
    </row>
    <row r="32" spans="1:1">
      <c r="A32" s="14"/>
    </row>
    <row r="33" spans="1:1">
      <c r="A33" s="14"/>
    </row>
    <row r="34" spans="1:1">
      <c r="A34" s="14"/>
    </row>
    <row r="35" spans="1:1">
      <c r="A35" s="14"/>
    </row>
    <row r="36" spans="1:1">
      <c r="A36" s="14"/>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C9" sqref="C9"/>
    </sheetView>
  </sheetViews>
  <sheetFormatPr defaultColWidth="9.109375" defaultRowHeight="15.6"/>
  <cols>
    <col min="1" max="1" width="34" style="4" bestFit="1" customWidth="1"/>
    <col min="2" max="2" width="9.109375" style="4"/>
    <col min="3" max="3" width="21.33203125" style="73" customWidth="1"/>
    <col min="4" max="16384" width="9.109375" style="4"/>
  </cols>
  <sheetData>
    <row r="1" spans="1:7">
      <c r="A1" s="854" t="s">
        <v>113</v>
      </c>
      <c r="B1" s="854"/>
      <c r="C1" s="854"/>
    </row>
    <row r="2" spans="1:7">
      <c r="A2" s="854" t="s">
        <v>787</v>
      </c>
      <c r="B2" s="854"/>
      <c r="C2" s="854"/>
    </row>
    <row r="3" spans="1:7">
      <c r="A3" s="865" t="s">
        <v>1862</v>
      </c>
      <c r="B3" s="865"/>
      <c r="C3" s="865"/>
    </row>
    <row r="4" spans="1:7">
      <c r="A4" s="862" t="s">
        <v>20</v>
      </c>
      <c r="B4" s="863"/>
      <c r="C4" s="864"/>
    </row>
    <row r="5" spans="1:7">
      <c r="A5" s="68"/>
      <c r="B5" s="69"/>
      <c r="C5" s="70"/>
    </row>
    <row r="6" spans="1:7">
      <c r="A6" s="68" t="s">
        <v>21</v>
      </c>
      <c r="B6" s="69"/>
      <c r="C6" s="70">
        <v>1</v>
      </c>
    </row>
    <row r="7" spans="1:7">
      <c r="A7" s="71" t="s">
        <v>22</v>
      </c>
      <c r="B7" s="69"/>
      <c r="C7" s="70"/>
    </row>
    <row r="8" spans="1:7">
      <c r="A8" s="72" t="s">
        <v>23</v>
      </c>
      <c r="B8" s="69"/>
      <c r="C8" s="314">
        <f>+'Operating Report'!G91/'Operating Report'!G28</f>
        <v>4.0198833619333558E-3</v>
      </c>
    </row>
    <row r="9" spans="1:7">
      <c r="A9" s="72" t="s">
        <v>669</v>
      </c>
      <c r="B9" s="69"/>
      <c r="C9" s="314">
        <v>3.8519999999999999E-2</v>
      </c>
    </row>
    <row r="10" spans="1:7">
      <c r="A10" s="72" t="s">
        <v>668</v>
      </c>
      <c r="B10" s="69"/>
      <c r="C10" s="314">
        <v>2E-3</v>
      </c>
      <c r="D10" s="73">
        <f>+C8+C9+C10</f>
        <v>4.4539883361933354E-2</v>
      </c>
    </row>
    <row r="11" spans="1:7">
      <c r="A11" s="71" t="s">
        <v>24</v>
      </c>
      <c r="B11" s="69"/>
      <c r="C11" s="74"/>
      <c r="G11" s="14"/>
    </row>
    <row r="12" spans="1:7" ht="16.2" thickBot="1">
      <c r="A12" s="71" t="s">
        <v>25</v>
      </c>
      <c r="B12" s="69"/>
      <c r="C12" s="75">
        <f>+C6-SUM(C8:C11)</f>
        <v>0.95546011663806663</v>
      </c>
    </row>
    <row r="13" spans="1:7">
      <c r="A13" s="76"/>
      <c r="B13" s="69"/>
      <c r="C13" s="70"/>
    </row>
    <row r="14" spans="1:7" ht="16.2" thickBot="1">
      <c r="A14" s="71" t="s">
        <v>26</v>
      </c>
      <c r="B14" s="69"/>
      <c r="C14" s="77">
        <v>0</v>
      </c>
    </row>
    <row r="15" spans="1:7">
      <c r="A15" s="76"/>
      <c r="B15" s="69"/>
      <c r="C15" s="70"/>
    </row>
    <row r="16" spans="1:7" ht="16.2" thickBot="1">
      <c r="A16" s="76" t="s">
        <v>27</v>
      </c>
      <c r="B16" s="69"/>
      <c r="C16" s="77">
        <f>+C12-C14</f>
        <v>0.95546011663806663</v>
      </c>
    </row>
    <row r="17" spans="1:3">
      <c r="A17" s="76"/>
      <c r="B17" s="69"/>
      <c r="C17" s="70"/>
    </row>
    <row r="18" spans="1:3" ht="16.2" thickBot="1">
      <c r="A18" s="361" t="s">
        <v>1108</v>
      </c>
      <c r="B18" s="362"/>
      <c r="C18" s="77">
        <f>+C16*0.21</f>
        <v>0.20064662449399398</v>
      </c>
    </row>
    <row r="19" spans="1:3">
      <c r="A19" s="361"/>
      <c r="B19" s="362"/>
      <c r="C19" s="74"/>
    </row>
    <row r="20" spans="1:3" ht="16.2" thickBot="1">
      <c r="A20" s="361" t="s">
        <v>66</v>
      </c>
      <c r="B20" s="362"/>
      <c r="C20" s="75">
        <f>+C14+C18</f>
        <v>0.20064662449399398</v>
      </c>
    </row>
    <row r="21" spans="1:3">
      <c r="A21" s="361"/>
      <c r="B21" s="362"/>
      <c r="C21" s="70"/>
    </row>
    <row r="22" spans="1:3" ht="16.2" thickBot="1">
      <c r="A22" s="361" t="s">
        <v>28</v>
      </c>
      <c r="B22" s="362"/>
      <c r="C22" s="77">
        <f>SUM(C8:C11)+C20</f>
        <v>0.24518650785592733</v>
      </c>
    </row>
    <row r="23" spans="1:3">
      <c r="A23" s="361"/>
      <c r="B23" s="362"/>
      <c r="C23" s="70"/>
    </row>
    <row r="24" spans="1:3">
      <c r="A24" s="361" t="s">
        <v>786</v>
      </c>
      <c r="B24" s="362"/>
      <c r="C24" s="70"/>
    </row>
    <row r="25" spans="1:3" ht="16.2" thickBot="1">
      <c r="A25" s="361" t="s">
        <v>29</v>
      </c>
      <c r="B25" s="362"/>
      <c r="C25" s="78">
        <f>+C6-C22</f>
        <v>0.75481349214407267</v>
      </c>
    </row>
    <row r="26" spans="1:3">
      <c r="A26" s="363"/>
      <c r="B26" s="364"/>
      <c r="C26" s="74"/>
    </row>
    <row r="27" spans="1:3">
      <c r="A27" s="365"/>
      <c r="B27" s="362"/>
      <c r="C27" s="70"/>
    </row>
    <row r="28" spans="1:3">
      <c r="A28" s="365"/>
      <c r="B28" s="362"/>
      <c r="C28" s="70"/>
    </row>
    <row r="29" spans="1:3">
      <c r="A29" s="366" t="s">
        <v>99</v>
      </c>
      <c r="B29" s="367"/>
      <c r="C29" s="80"/>
    </row>
    <row r="30" spans="1:3">
      <c r="A30" s="366" t="s">
        <v>100</v>
      </c>
      <c r="B30" s="367"/>
      <c r="C30" s="80">
        <v>0</v>
      </c>
    </row>
    <row r="31" spans="1:3">
      <c r="A31" s="366" t="s">
        <v>101</v>
      </c>
      <c r="B31" s="367"/>
      <c r="C31" s="80">
        <v>0.21</v>
      </c>
    </row>
    <row r="32" spans="1:3">
      <c r="A32" s="81"/>
      <c r="B32" s="79"/>
      <c r="C32" s="82"/>
    </row>
    <row r="33" spans="1:3">
      <c r="A33" s="83" t="s">
        <v>102</v>
      </c>
      <c r="B33" s="84"/>
      <c r="C33" s="85">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UG-20___
Exhibit _____ (MCP-4)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workbookViewId="0">
      <selection activeCell="A3" sqref="A3"/>
    </sheetView>
  </sheetViews>
  <sheetFormatPr defaultColWidth="9.109375" defaultRowHeight="15.6"/>
  <cols>
    <col min="1" max="1" width="98.6640625" style="4" customWidth="1"/>
    <col min="2" max="2" width="29.44140625" style="4" customWidth="1"/>
    <col min="3" max="16384" width="9.109375" style="4"/>
  </cols>
  <sheetData>
    <row r="1" spans="1:7">
      <c r="A1" s="15" t="s">
        <v>2477</v>
      </c>
    </row>
    <row r="2" spans="1:7">
      <c r="A2" s="15" t="s">
        <v>2480</v>
      </c>
    </row>
    <row r="3" spans="1:7">
      <c r="A3" s="15" t="s">
        <v>1841</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1283</v>
      </c>
    </row>
    <row r="22" spans="1:1">
      <c r="A22" s="18"/>
    </row>
    <row r="23" spans="1:1">
      <c r="A23" s="18"/>
    </row>
    <row r="24" spans="1:1">
      <c r="A24" s="19" t="s">
        <v>2478</v>
      </c>
    </row>
    <row r="25" spans="1:1">
      <c r="A25" s="18"/>
    </row>
    <row r="26" spans="1:1">
      <c r="A26" s="18"/>
    </row>
    <row r="27" spans="1:1">
      <c r="A27" s="18"/>
    </row>
    <row r="28" spans="1:1">
      <c r="A28" s="18"/>
    </row>
    <row r="29" spans="1:1">
      <c r="A29" s="18"/>
    </row>
    <row r="30" spans="1:1">
      <c r="A30" s="313" t="s">
        <v>2479</v>
      </c>
    </row>
    <row r="31" spans="1:1">
      <c r="A31" s="31"/>
    </row>
    <row r="32" spans="1:1">
      <c r="A32" s="14"/>
    </row>
    <row r="33" spans="1:1">
      <c r="A33" s="14"/>
    </row>
    <row r="34" spans="1:1">
      <c r="A34" s="14"/>
    </row>
    <row r="35" spans="1:1">
      <c r="A35" s="14"/>
    </row>
    <row r="36" spans="1:1">
      <c r="A36" s="14"/>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Z66"/>
  <sheetViews>
    <sheetView topLeftCell="J9" zoomScale="68" zoomScaleNormal="68" workbookViewId="0">
      <selection activeCell="T35" sqref="T35"/>
    </sheetView>
  </sheetViews>
  <sheetFormatPr defaultColWidth="9.109375" defaultRowHeight="15.6"/>
  <cols>
    <col min="1" max="1" width="3.33203125" style="4" bestFit="1" customWidth="1"/>
    <col min="2" max="2" width="2.88671875" style="4" customWidth="1"/>
    <col min="3" max="3" width="31.109375" style="4" customWidth="1"/>
    <col min="4" max="4" width="1.6640625" style="4" customWidth="1"/>
    <col min="5" max="5" width="1.44140625" style="4" customWidth="1"/>
    <col min="6" max="6" width="1.109375" style="4" customWidth="1"/>
    <col min="7" max="7" width="15.44140625" style="4" bestFit="1" customWidth="1"/>
    <col min="8" max="8" width="13.88671875" style="4" bestFit="1" customWidth="1"/>
    <col min="9" max="9" width="19.88671875" style="4" bestFit="1" customWidth="1"/>
    <col min="10" max="10" width="22.109375" style="4" bestFit="1" customWidth="1"/>
    <col min="11" max="11" width="14.109375" style="24" bestFit="1" customWidth="1"/>
    <col min="12" max="12" width="14.44140625" style="24" bestFit="1" customWidth="1"/>
    <col min="13" max="13" width="14.33203125" style="4" bestFit="1" customWidth="1"/>
    <col min="14" max="14" width="14.44140625" style="88" bestFit="1" customWidth="1"/>
    <col min="15" max="15" width="16.33203125" style="4" bestFit="1" customWidth="1"/>
    <col min="16" max="16" width="14.5546875" style="24" bestFit="1" customWidth="1"/>
    <col min="17" max="17" width="2.109375" style="4" customWidth="1"/>
    <col min="18" max="18" width="15.33203125" style="4" bestFit="1" customWidth="1"/>
    <col min="19" max="16384" width="9.109375" style="4"/>
  </cols>
  <sheetData>
    <row r="1" spans="1:19">
      <c r="A1" s="64"/>
      <c r="B1" s="64"/>
      <c r="C1" s="64"/>
      <c r="D1" s="64"/>
      <c r="E1" s="64"/>
      <c r="F1" s="64"/>
      <c r="G1" s="64"/>
      <c r="H1" s="64"/>
      <c r="I1" s="64"/>
      <c r="J1" s="64"/>
      <c r="K1" s="112"/>
      <c r="L1" s="112"/>
      <c r="M1" s="64"/>
      <c r="N1" s="87"/>
      <c r="O1" s="64"/>
      <c r="P1" s="112"/>
      <c r="Q1" s="64"/>
      <c r="R1" s="64"/>
    </row>
    <row r="2" spans="1:19">
      <c r="A2" s="4" t="s">
        <v>56</v>
      </c>
    </row>
    <row r="3" spans="1:19">
      <c r="O3" s="866"/>
      <c r="P3" s="866"/>
      <c r="Q3" s="866"/>
      <c r="R3" s="866"/>
      <c r="S3" s="866"/>
    </row>
    <row r="4" spans="1:19">
      <c r="O4" s="866"/>
      <c r="P4" s="866"/>
      <c r="Q4" s="866"/>
      <c r="R4" s="866"/>
      <c r="S4" s="866"/>
    </row>
    <row r="5" spans="1:19">
      <c r="B5" s="860" t="s">
        <v>114</v>
      </c>
      <c r="C5" s="860"/>
      <c r="D5" s="860"/>
      <c r="E5" s="860"/>
      <c r="F5" s="860"/>
      <c r="G5" s="860"/>
      <c r="H5" s="860"/>
      <c r="I5" s="860"/>
      <c r="J5" s="860"/>
      <c r="K5" s="860"/>
      <c r="L5" s="860"/>
      <c r="M5" s="860"/>
      <c r="N5" s="860"/>
      <c r="O5" s="860"/>
      <c r="P5" s="860"/>
      <c r="Q5" s="860"/>
      <c r="R5" s="860"/>
    </row>
    <row r="6" spans="1:19">
      <c r="A6" s="14"/>
      <c r="B6" s="860" t="s">
        <v>675</v>
      </c>
      <c r="C6" s="860"/>
      <c r="D6" s="860"/>
      <c r="E6" s="860"/>
      <c r="F6" s="860"/>
      <c r="G6" s="860"/>
      <c r="H6" s="860"/>
      <c r="I6" s="860"/>
      <c r="J6" s="860"/>
      <c r="K6" s="860"/>
      <c r="L6" s="860"/>
      <c r="M6" s="860"/>
      <c r="N6" s="860"/>
      <c r="O6" s="860"/>
      <c r="P6" s="860"/>
      <c r="Q6" s="860"/>
      <c r="R6" s="860"/>
    </row>
    <row r="7" spans="1:19">
      <c r="A7" s="89" t="s">
        <v>56</v>
      </c>
      <c r="B7" s="860" t="s">
        <v>1862</v>
      </c>
      <c r="C7" s="860"/>
      <c r="D7" s="860"/>
      <c r="E7" s="860"/>
      <c r="F7" s="860"/>
      <c r="G7" s="860"/>
      <c r="H7" s="860"/>
      <c r="I7" s="860"/>
      <c r="J7" s="860"/>
      <c r="K7" s="860"/>
      <c r="L7" s="860"/>
      <c r="M7" s="860"/>
      <c r="N7" s="860"/>
      <c r="O7" s="860"/>
      <c r="P7" s="860"/>
      <c r="Q7" s="860"/>
      <c r="R7" s="860"/>
    </row>
    <row r="8" spans="1:19">
      <c r="A8" s="89"/>
      <c r="B8" s="90"/>
      <c r="C8" s="90"/>
      <c r="D8" s="90"/>
      <c r="E8" s="90"/>
      <c r="F8" s="90"/>
      <c r="G8" s="90"/>
      <c r="H8" s="90"/>
      <c r="I8" s="90"/>
      <c r="J8" s="90"/>
      <c r="K8" s="90"/>
      <c r="L8" s="90"/>
      <c r="M8" s="90"/>
      <c r="N8" s="90"/>
      <c r="O8" s="643"/>
      <c r="P8" s="643"/>
      <c r="Q8" s="90"/>
      <c r="R8" s="90"/>
    </row>
    <row r="9" spans="1:19">
      <c r="A9" s="65"/>
      <c r="B9" s="65"/>
      <c r="C9" s="65"/>
      <c r="D9" s="65"/>
      <c r="E9" s="65"/>
      <c r="F9" s="64"/>
      <c r="G9" s="91"/>
      <c r="H9" s="64"/>
      <c r="I9" s="64"/>
      <c r="J9" s="64"/>
      <c r="K9" s="112"/>
      <c r="L9" s="112"/>
      <c r="M9" s="64"/>
      <c r="N9" s="87"/>
      <c r="O9" s="64"/>
      <c r="P9" s="112"/>
      <c r="Q9" s="64"/>
      <c r="R9" s="64"/>
    </row>
    <row r="10" spans="1:19">
      <c r="A10" s="92"/>
      <c r="B10" s="93"/>
      <c r="C10" s="94"/>
      <c r="D10" s="95"/>
      <c r="E10" s="96"/>
      <c r="F10" s="64"/>
      <c r="G10" s="368" t="s">
        <v>687</v>
      </c>
      <c r="H10" s="480" t="s">
        <v>61</v>
      </c>
      <c r="I10" s="97" t="s">
        <v>720</v>
      </c>
      <c r="J10" s="639" t="s">
        <v>720</v>
      </c>
      <c r="K10" s="368" t="s">
        <v>1850</v>
      </c>
      <c r="L10" s="480" t="s">
        <v>1109</v>
      </c>
      <c r="M10" s="368" t="s">
        <v>63</v>
      </c>
      <c r="N10" s="608" t="s">
        <v>681</v>
      </c>
      <c r="O10" s="97" t="s">
        <v>681</v>
      </c>
      <c r="P10" s="97" t="s">
        <v>736</v>
      </c>
      <c r="Q10" s="91"/>
      <c r="R10" s="510" t="s">
        <v>58</v>
      </c>
    </row>
    <row r="11" spans="1:19">
      <c r="A11" s="92"/>
      <c r="B11" s="98"/>
      <c r="C11" s="99"/>
      <c r="D11" s="92"/>
      <c r="E11" s="96"/>
      <c r="F11" s="64"/>
      <c r="G11" s="101" t="s">
        <v>746</v>
      </c>
      <c r="H11" s="100" t="s">
        <v>57</v>
      </c>
      <c r="I11" s="101" t="s">
        <v>717</v>
      </c>
      <c r="J11" s="640" t="s">
        <v>1853</v>
      </c>
      <c r="K11" s="101" t="s">
        <v>108</v>
      </c>
      <c r="L11" s="100" t="s">
        <v>1110</v>
      </c>
      <c r="M11" s="101" t="s">
        <v>64</v>
      </c>
      <c r="N11" s="609" t="s">
        <v>685</v>
      </c>
      <c r="O11" s="101" t="s">
        <v>721</v>
      </c>
      <c r="P11" s="101" t="s">
        <v>737</v>
      </c>
      <c r="Q11" s="91"/>
      <c r="R11" s="511" t="s">
        <v>1</v>
      </c>
    </row>
    <row r="12" spans="1:19">
      <c r="A12" s="92"/>
      <c r="B12" s="98"/>
      <c r="C12" s="96"/>
      <c r="D12" s="92"/>
      <c r="E12" s="96"/>
      <c r="F12" s="64"/>
      <c r="G12" s="101" t="s">
        <v>62</v>
      </c>
      <c r="H12" s="100" t="s">
        <v>62</v>
      </c>
      <c r="I12" s="101" t="s">
        <v>62</v>
      </c>
      <c r="J12" s="640" t="s">
        <v>1852</v>
      </c>
      <c r="K12" s="101"/>
      <c r="L12" s="100"/>
      <c r="M12" s="101" t="s">
        <v>62</v>
      </c>
      <c r="N12" s="609" t="s">
        <v>62</v>
      </c>
      <c r="O12" s="101" t="s">
        <v>65</v>
      </c>
      <c r="P12" s="101" t="s">
        <v>738</v>
      </c>
      <c r="Q12" s="91"/>
      <c r="R12" s="511"/>
    </row>
    <row r="13" spans="1:19">
      <c r="A13" s="92"/>
      <c r="B13" s="98"/>
      <c r="C13" s="96"/>
      <c r="D13" s="92"/>
      <c r="E13" s="96"/>
      <c r="F13" s="64"/>
      <c r="G13" s="102" t="s">
        <v>676</v>
      </c>
      <c r="H13" s="506" t="s">
        <v>677</v>
      </c>
      <c r="I13" s="101" t="s">
        <v>719</v>
      </c>
      <c r="J13" s="640" t="s">
        <v>745</v>
      </c>
      <c r="K13" s="101" t="s">
        <v>1393</v>
      </c>
      <c r="L13" s="100" t="s">
        <v>1394</v>
      </c>
      <c r="M13" s="101" t="s">
        <v>678</v>
      </c>
      <c r="N13" s="609" t="s">
        <v>679</v>
      </c>
      <c r="O13" s="101" t="s">
        <v>747</v>
      </c>
      <c r="P13" s="101" t="s">
        <v>680</v>
      </c>
      <c r="Q13" s="91"/>
      <c r="R13" s="511"/>
    </row>
    <row r="14" spans="1:19">
      <c r="A14" s="92"/>
      <c r="B14" s="103"/>
      <c r="C14" s="104"/>
      <c r="D14" s="105"/>
      <c r="E14" s="96"/>
      <c r="F14" s="64"/>
      <c r="G14" s="508"/>
      <c r="H14" s="507"/>
      <c r="I14" s="106"/>
      <c r="J14" s="641"/>
      <c r="K14" s="106"/>
      <c r="L14" s="504"/>
      <c r="M14" s="509"/>
      <c r="N14" s="610"/>
      <c r="O14" s="106"/>
      <c r="P14" s="106"/>
      <c r="Q14" s="107"/>
      <c r="R14" s="512"/>
    </row>
    <row r="15" spans="1:19">
      <c r="A15" s="92">
        <v>1</v>
      </c>
      <c r="B15" s="96"/>
      <c r="C15" s="32" t="s">
        <v>11</v>
      </c>
      <c r="D15" s="92"/>
      <c r="E15" s="96"/>
      <c r="F15" s="64"/>
      <c r="G15" s="103"/>
      <c r="H15" s="108"/>
      <c r="I15" s="513"/>
      <c r="J15" s="109"/>
      <c r="K15" s="513"/>
      <c r="L15" s="513"/>
      <c r="M15" s="563"/>
      <c r="N15" s="611"/>
      <c r="O15" s="612"/>
      <c r="P15" s="612"/>
      <c r="Q15" s="107"/>
      <c r="R15" s="110"/>
    </row>
    <row r="16" spans="1:19">
      <c r="A16" s="111">
        <v>2</v>
      </c>
      <c r="B16" s="65"/>
      <c r="C16" s="46" t="s">
        <v>30</v>
      </c>
      <c r="D16" s="111"/>
      <c r="E16" s="65"/>
      <c r="F16" s="112"/>
      <c r="G16" s="665">
        <f>+'Operating Report'!I15</f>
        <v>-2904184.2</v>
      </c>
      <c r="H16" s="665"/>
      <c r="I16" s="665">
        <f>+'Operating Report'!K15</f>
        <v>14922775.820000002</v>
      </c>
      <c r="J16" s="665">
        <f>+'Operating Report'!L15</f>
        <v>923294.61</v>
      </c>
      <c r="K16" s="113"/>
      <c r="L16" s="113"/>
      <c r="M16" s="113"/>
      <c r="N16" s="613"/>
      <c r="O16" s="665">
        <f>+'Operating Report'!Q17</f>
        <v>1281027.22</v>
      </c>
      <c r="P16" s="113"/>
      <c r="Q16" s="113"/>
      <c r="R16" s="114">
        <f>SUM(G16:Q16)</f>
        <v>14222913.450000001</v>
      </c>
    </row>
    <row r="17" spans="1:19">
      <c r="A17" s="111">
        <v>3</v>
      </c>
      <c r="B17" s="65"/>
      <c r="C17" s="46" t="s">
        <v>31</v>
      </c>
      <c r="D17" s="111"/>
      <c r="E17" s="65"/>
      <c r="F17" s="112"/>
      <c r="G17" s="115"/>
      <c r="H17" s="115"/>
      <c r="I17" s="115"/>
      <c r="J17" s="115"/>
      <c r="K17" s="115"/>
      <c r="L17" s="115"/>
      <c r="M17" s="115"/>
      <c r="N17" s="115"/>
      <c r="O17" s="115">
        <f>+'Pro Forma Plant Additions'!E14</f>
        <v>0</v>
      </c>
      <c r="P17" s="115"/>
      <c r="Q17" s="115"/>
      <c r="R17" s="115">
        <f>SUM(G17:Q17)</f>
        <v>0</v>
      </c>
    </row>
    <row r="18" spans="1:19">
      <c r="A18" s="111">
        <v>4</v>
      </c>
      <c r="B18" s="65"/>
      <c r="C18" s="46" t="s">
        <v>32</v>
      </c>
      <c r="D18" s="111"/>
      <c r="E18" s="65"/>
      <c r="F18" s="112"/>
      <c r="G18" s="115"/>
      <c r="H18" s="115"/>
      <c r="I18" s="115"/>
      <c r="J18" s="115"/>
      <c r="K18" s="115"/>
      <c r="L18" s="115"/>
      <c r="M18" s="115"/>
      <c r="N18" s="115"/>
      <c r="O18" s="115"/>
      <c r="P18" s="115"/>
      <c r="Q18" s="115"/>
      <c r="R18" s="115">
        <f>SUM(G18:Q18)</f>
        <v>0</v>
      </c>
    </row>
    <row r="19" spans="1:19" ht="16.2" thickBot="1">
      <c r="A19" s="111">
        <v>5</v>
      </c>
      <c r="B19" s="116"/>
      <c r="C19" s="52" t="s">
        <v>760</v>
      </c>
      <c r="D19" s="117"/>
      <c r="E19" s="116"/>
      <c r="F19" s="118"/>
      <c r="G19" s="119">
        <f t="shared" ref="G19:O19" si="0">+G16+G17+G18</f>
        <v>-2904184.2</v>
      </c>
      <c r="H19" s="119">
        <f t="shared" si="0"/>
        <v>0</v>
      </c>
      <c r="I19" s="119">
        <f>+I16+I17+I18</f>
        <v>14922775.820000002</v>
      </c>
      <c r="J19" s="119">
        <f>+J16+J17+J18</f>
        <v>923294.61</v>
      </c>
      <c r="K19" s="119">
        <f t="shared" ref="K19:L19" si="1">+K16+K17+K18</f>
        <v>0</v>
      </c>
      <c r="L19" s="119">
        <f t="shared" si="1"/>
        <v>0</v>
      </c>
      <c r="M19" s="119">
        <f t="shared" si="0"/>
        <v>0</v>
      </c>
      <c r="N19" s="119">
        <f t="shared" si="0"/>
        <v>0</v>
      </c>
      <c r="O19" s="119">
        <f t="shared" si="0"/>
        <v>1281027.22</v>
      </c>
      <c r="P19" s="119"/>
      <c r="Q19" s="119"/>
      <c r="R19" s="119">
        <f>+R18+R17+R16</f>
        <v>14222913.450000001</v>
      </c>
    </row>
    <row r="20" spans="1:19">
      <c r="A20" s="111"/>
      <c r="B20" s="116"/>
      <c r="C20" s="52"/>
      <c r="D20" s="117"/>
      <c r="E20" s="116"/>
      <c r="F20" s="118"/>
      <c r="G20" s="120"/>
      <c r="H20" s="120"/>
      <c r="I20" s="120"/>
      <c r="J20" s="120"/>
      <c r="K20" s="120"/>
      <c r="L20" s="120"/>
      <c r="M20" s="120"/>
      <c r="N20" s="120"/>
      <c r="O20" s="120"/>
      <c r="P20" s="120"/>
      <c r="Q20" s="823"/>
      <c r="R20" s="823"/>
    </row>
    <row r="21" spans="1:19">
      <c r="A21" s="111"/>
      <c r="B21" s="116"/>
      <c r="C21" s="52" t="s">
        <v>12</v>
      </c>
      <c r="D21" s="117"/>
      <c r="E21" s="116"/>
      <c r="F21" s="118"/>
      <c r="G21" s="120"/>
      <c r="H21" s="120"/>
      <c r="I21" s="120"/>
      <c r="J21" s="120"/>
      <c r="K21" s="120"/>
      <c r="L21" s="120"/>
      <c r="M21" s="120"/>
      <c r="N21" s="120"/>
      <c r="O21" s="120"/>
      <c r="P21" s="120"/>
      <c r="Q21" s="823"/>
      <c r="R21" s="823"/>
    </row>
    <row r="22" spans="1:19">
      <c r="A22" s="111">
        <v>6</v>
      </c>
      <c r="B22" s="96"/>
      <c r="C22" s="46" t="s">
        <v>758</v>
      </c>
      <c r="D22" s="92"/>
      <c r="E22" s="96"/>
      <c r="F22" s="64"/>
      <c r="G22" s="115"/>
      <c r="H22" s="115"/>
      <c r="I22" s="115"/>
      <c r="J22" s="115"/>
      <c r="K22" s="115"/>
      <c r="L22" s="115"/>
      <c r="M22" s="115"/>
      <c r="N22" s="115"/>
      <c r="O22" s="115"/>
      <c r="P22" s="115"/>
      <c r="Q22" s="123"/>
      <c r="R22" s="824">
        <f t="shared" ref="R22:R34" si="2">SUM(G22:Q22)</f>
        <v>0</v>
      </c>
    </row>
    <row r="23" spans="1:19">
      <c r="A23" s="111">
        <v>7</v>
      </c>
      <c r="B23" s="96"/>
      <c r="C23" s="46" t="s">
        <v>759</v>
      </c>
      <c r="D23" s="92"/>
      <c r="E23" s="96"/>
      <c r="F23" s="64"/>
      <c r="G23" s="115">
        <f>+'Operating Report'!I53</f>
        <v>-117677.54378400001</v>
      </c>
      <c r="H23" s="115"/>
      <c r="I23" s="115">
        <f>+'Operating Report'!K53</f>
        <v>604670.87622640014</v>
      </c>
      <c r="J23" s="115">
        <f>+'Operating Report'!L53</f>
        <v>37411.897597199997</v>
      </c>
      <c r="K23" s="115"/>
      <c r="L23" s="115"/>
      <c r="M23" s="115"/>
      <c r="N23" s="115"/>
      <c r="O23" s="115">
        <f>+'Operating Report'!Q53</f>
        <v>51907.2229544</v>
      </c>
      <c r="P23" s="115"/>
      <c r="Q23" s="123"/>
      <c r="R23" s="824">
        <f t="shared" si="2"/>
        <v>576312.45299400017</v>
      </c>
    </row>
    <row r="24" spans="1:19">
      <c r="A24" s="111">
        <v>8</v>
      </c>
      <c r="B24" s="96"/>
      <c r="C24" s="55" t="s">
        <v>34</v>
      </c>
      <c r="D24" s="92"/>
      <c r="E24" s="96"/>
      <c r="F24" s="64"/>
      <c r="G24" s="115"/>
      <c r="H24" s="115"/>
      <c r="I24" s="115"/>
      <c r="J24" s="115"/>
      <c r="K24" s="115">
        <f>+'Operating Report'!M57</f>
        <v>0</v>
      </c>
      <c r="L24" s="115"/>
      <c r="M24" s="115"/>
      <c r="N24" s="115">
        <f>+'Operating Report'!P57</f>
        <v>13282.7868</v>
      </c>
      <c r="O24" s="115"/>
      <c r="P24" s="115"/>
      <c r="Q24" s="123"/>
      <c r="R24" s="113">
        <f t="shared" si="2"/>
        <v>13282.7868</v>
      </c>
    </row>
    <row r="25" spans="1:19">
      <c r="A25" s="111">
        <v>9</v>
      </c>
      <c r="B25" s="96"/>
      <c r="C25" s="55" t="s">
        <v>13</v>
      </c>
      <c r="D25" s="92"/>
      <c r="E25" s="96"/>
      <c r="F25" s="64"/>
      <c r="G25" s="115"/>
      <c r="H25" s="115"/>
      <c r="I25" s="115"/>
      <c r="J25" s="115"/>
      <c r="K25" s="115">
        <f>+'Operating Report'!M85</f>
        <v>77164.839599999992</v>
      </c>
      <c r="L25" s="115"/>
      <c r="M25" s="115"/>
      <c r="N25" s="115">
        <f>+'Operating Report'!P85</f>
        <v>904453.37531963992</v>
      </c>
      <c r="O25" s="115"/>
      <c r="P25" s="115">
        <f>+'Operating Report'!R61</f>
        <v>925749.91111111105</v>
      </c>
      <c r="Q25" s="123"/>
      <c r="R25" s="113">
        <f t="shared" si="2"/>
        <v>1907368.126030751</v>
      </c>
    </row>
    <row r="26" spans="1:19">
      <c r="A26" s="111">
        <v>10</v>
      </c>
      <c r="B26" s="96"/>
      <c r="C26" s="55" t="s">
        <v>35</v>
      </c>
      <c r="D26" s="92"/>
      <c r="E26" s="96"/>
      <c r="F26" s="64"/>
      <c r="G26" s="825">
        <f>+'Operating Report'!I93</f>
        <v>-11674.481745569734</v>
      </c>
      <c r="H26" s="826"/>
      <c r="I26" s="113">
        <f>+'Operating Report'!K91</f>
        <v>59987.818232679398</v>
      </c>
      <c r="J26" s="113">
        <f>+'Operating Report'!L91</f>
        <v>3711.5366409017465</v>
      </c>
      <c r="K26" s="613">
        <f>+'Operating Report'!M93</f>
        <v>3359.4546</v>
      </c>
      <c r="L26" s="113"/>
      <c r="M26" s="113"/>
      <c r="N26" s="613">
        <f>+'Operating Report'!P93</f>
        <v>231211.06368114002</v>
      </c>
      <c r="O26" s="613">
        <f>+'Operating Report'!Q91</f>
        <v>5149.5800078617403</v>
      </c>
      <c r="P26" s="113"/>
      <c r="Q26" s="827"/>
      <c r="R26" s="113">
        <f t="shared" si="2"/>
        <v>291744.97141701315</v>
      </c>
    </row>
    <row r="27" spans="1:19">
      <c r="A27" s="111">
        <v>11</v>
      </c>
      <c r="B27" s="96"/>
      <c r="C27" s="55" t="s">
        <v>14</v>
      </c>
      <c r="D27" s="92"/>
      <c r="E27" s="96"/>
      <c r="F27" s="64"/>
      <c r="G27" s="828"/>
      <c r="H27" s="115"/>
      <c r="I27" s="115"/>
      <c r="J27" s="115"/>
      <c r="K27" s="115"/>
      <c r="L27" s="115"/>
      <c r="M27" s="115"/>
      <c r="N27" s="613">
        <f>+'Operating Report'!P100</f>
        <v>57097.4784</v>
      </c>
      <c r="O27" s="115"/>
      <c r="P27" s="115"/>
      <c r="Q27" s="115"/>
      <c r="R27" s="113">
        <f t="shared" si="2"/>
        <v>57097.4784</v>
      </c>
    </row>
    <row r="28" spans="1:19">
      <c r="A28" s="111">
        <v>12</v>
      </c>
      <c r="B28" s="96"/>
      <c r="C28" s="55" t="s">
        <v>15</v>
      </c>
      <c r="D28" s="92"/>
      <c r="E28" s="96"/>
      <c r="F28" s="64"/>
      <c r="G28" s="115"/>
      <c r="H28" s="115">
        <f>+'Operating Report'!J105</f>
        <v>-1977.2275</v>
      </c>
      <c r="I28" s="115"/>
      <c r="J28" s="115"/>
      <c r="K28" s="115"/>
      <c r="L28" s="115"/>
      <c r="M28" s="115"/>
      <c r="N28" s="940">
        <f>'Operating Report'!P107</f>
        <v>218.0352</v>
      </c>
      <c r="O28" s="115"/>
      <c r="P28" s="115"/>
      <c r="Q28" s="115"/>
      <c r="R28" s="113">
        <f t="shared" si="2"/>
        <v>-1759.1922999999999</v>
      </c>
    </row>
    <row r="29" spans="1:19">
      <c r="A29" s="111">
        <v>13</v>
      </c>
      <c r="B29" s="116"/>
      <c r="C29" s="55" t="s">
        <v>16</v>
      </c>
      <c r="D29" s="117"/>
      <c r="E29" s="116"/>
      <c r="F29" s="118"/>
      <c r="G29" s="115"/>
      <c r="H29" s="115">
        <f>+'Operating Report'!J117</f>
        <v>-25714.466148000007</v>
      </c>
      <c r="I29" s="115"/>
      <c r="J29" s="115"/>
      <c r="K29" s="115">
        <f>+'Operating Report'!M123</f>
        <v>39.050400000000003</v>
      </c>
      <c r="L29" s="115">
        <f>+'Operating Report'!N121</f>
        <v>-1230735.4200000002</v>
      </c>
      <c r="M29" s="115"/>
      <c r="N29" s="115">
        <f>+'Operating Report'!P123</f>
        <v>705685.45852716023</v>
      </c>
      <c r="O29" s="115"/>
      <c r="P29" s="115"/>
      <c r="Q29" s="115"/>
      <c r="R29" s="113">
        <f t="shared" si="2"/>
        <v>-550725.37722083984</v>
      </c>
    </row>
    <row r="30" spans="1:19">
      <c r="A30" s="111">
        <v>14</v>
      </c>
      <c r="B30" s="96"/>
      <c r="C30" s="55" t="s">
        <v>36</v>
      </c>
      <c r="D30" s="92"/>
      <c r="E30" s="96"/>
      <c r="F30" s="64"/>
      <c r="G30" s="827"/>
      <c r="H30" s="827"/>
      <c r="I30" s="827"/>
      <c r="J30" s="939">
        <f>+'Operating Report'!L135</f>
        <v>1910511.9494739994</v>
      </c>
      <c r="K30" s="115"/>
      <c r="L30" s="827"/>
      <c r="M30" s="827"/>
      <c r="N30" s="115"/>
      <c r="O30" s="940">
        <f>+'Operating Report'!Q128</f>
        <v>2842570.6583268726</v>
      </c>
      <c r="P30" s="115"/>
      <c r="Q30" s="114"/>
      <c r="R30" s="113">
        <f t="shared" si="2"/>
        <v>4753082.6078008721</v>
      </c>
    </row>
    <row r="31" spans="1:19">
      <c r="A31" s="111">
        <v>15</v>
      </c>
      <c r="B31" s="96"/>
      <c r="C31" s="55" t="s">
        <v>37</v>
      </c>
      <c r="D31" s="92"/>
      <c r="E31" s="96"/>
      <c r="F31" s="64"/>
      <c r="G31" s="115"/>
      <c r="H31" s="115"/>
      <c r="I31" s="115"/>
      <c r="J31" s="115"/>
      <c r="K31" s="115"/>
      <c r="L31" s="115"/>
      <c r="M31" s="115"/>
      <c r="N31" s="115"/>
      <c r="O31" s="115"/>
      <c r="P31" s="115"/>
      <c r="Q31" s="115"/>
      <c r="R31" s="113">
        <f t="shared" si="2"/>
        <v>0</v>
      </c>
    </row>
    <row r="32" spans="1:19">
      <c r="A32" s="111">
        <v>16</v>
      </c>
      <c r="B32" s="96"/>
      <c r="C32" s="55" t="s">
        <v>38</v>
      </c>
      <c r="D32" s="92"/>
      <c r="E32" s="96"/>
      <c r="F32" s="64"/>
      <c r="G32" s="115"/>
      <c r="H32" s="115"/>
      <c r="I32" s="115"/>
      <c r="J32" s="115"/>
      <c r="K32" s="115">
        <f>+'Operating Report'!M140</f>
        <v>6163.0958619000021</v>
      </c>
      <c r="L32" s="115"/>
      <c r="M32" s="115"/>
      <c r="N32" s="115">
        <f>+'Operating Report'!P140</f>
        <v>108841.00287307221</v>
      </c>
      <c r="O32" s="115">
        <f>+'Operating Report'!Q140</f>
        <v>765625.05402376899</v>
      </c>
      <c r="P32" s="115"/>
      <c r="Q32" s="115"/>
      <c r="R32" s="113">
        <f t="shared" si="2"/>
        <v>880629.15275874117</v>
      </c>
      <c r="S32" s="64"/>
    </row>
    <row r="33" spans="1:130">
      <c r="A33" s="111">
        <v>17</v>
      </c>
      <c r="B33" s="96"/>
      <c r="C33" s="55" t="s">
        <v>39</v>
      </c>
      <c r="D33" s="92"/>
      <c r="E33" s="96"/>
      <c r="F33" s="64"/>
      <c r="G33" s="115">
        <f>+'Operating Report'!I149</f>
        <v>-582714.75663879036</v>
      </c>
      <c r="H33" s="115">
        <f>+'Operating Report'!J143</f>
        <v>5815.255666080001</v>
      </c>
      <c r="I33" s="115">
        <f>+'Operating Report'!K149</f>
        <v>2994204.5963635934</v>
      </c>
      <c r="J33" s="940">
        <f>+'Operating Report'!L149</f>
        <v>-215951.56247954126</v>
      </c>
      <c r="K33" s="115">
        <f>+'Operating Report'!M149</f>
        <v>-18212.552496998997</v>
      </c>
      <c r="L33" s="115">
        <f>+'Operating Report'!N149</f>
        <v>258454.43820000003</v>
      </c>
      <c r="M33" s="940">
        <f>+'Operating Report'!O149</f>
        <v>92149.274644906196</v>
      </c>
      <c r="N33" s="115">
        <f>+'Operating Report'!P143</f>
        <v>-424365.73216821259</v>
      </c>
      <c r="O33" s="940">
        <f>+'Operating Report'!Q143</f>
        <v>-500687.31201570976</v>
      </c>
      <c r="P33" s="115">
        <f>+'Operating Report'!R143</f>
        <v>-194407.4813333333</v>
      </c>
      <c r="Q33" s="115"/>
      <c r="R33" s="945">
        <f t="shared" si="2"/>
        <v>1414284.1677419939</v>
      </c>
      <c r="S33" s="64"/>
    </row>
    <row r="34" spans="1:130">
      <c r="A34" s="111">
        <v>18</v>
      </c>
      <c r="B34" s="96"/>
      <c r="C34" s="59" t="s">
        <v>40</v>
      </c>
      <c r="D34" s="92"/>
      <c r="E34" s="96"/>
      <c r="F34" s="64"/>
      <c r="G34" s="115">
        <f>SUM(G22:G33)</f>
        <v>-712066.78216836008</v>
      </c>
      <c r="H34" s="115">
        <f>SUM(H22:H33)</f>
        <v>-21876.437981920008</v>
      </c>
      <c r="I34" s="115">
        <f t="shared" ref="I34" si="3">SUM(I22:I33)</f>
        <v>3658863.2908226727</v>
      </c>
      <c r="J34" s="940">
        <f>SUM(J22:J33)</f>
        <v>1735683.8212325601</v>
      </c>
      <c r="K34" s="115">
        <f t="shared" ref="K34" si="4">SUM(K22:K33)</f>
        <v>68513.88796490099</v>
      </c>
      <c r="L34" s="115">
        <f>SUM(L24:L33)</f>
        <v>-972280.98180000018</v>
      </c>
      <c r="M34" s="940">
        <f>SUM(M24:M33)</f>
        <v>92149.274644906196</v>
      </c>
      <c r="N34" s="115">
        <f t="shared" ref="N34:P34" si="5">SUM(N22:N33)</f>
        <v>1596423.4686327998</v>
      </c>
      <c r="O34" s="940">
        <f>SUM(O22:O33)</f>
        <v>3164565.2032971936</v>
      </c>
      <c r="P34" s="115">
        <f t="shared" si="5"/>
        <v>731342.42977777775</v>
      </c>
      <c r="Q34" s="115"/>
      <c r="R34" s="945">
        <f t="shared" si="2"/>
        <v>9341317.1744225323</v>
      </c>
      <c r="S34" s="64"/>
    </row>
    <row r="35" spans="1:130" ht="16.2" thickBot="1">
      <c r="A35" s="111">
        <v>19</v>
      </c>
      <c r="B35" s="96"/>
      <c r="C35" s="59" t="s">
        <v>17</v>
      </c>
      <c r="D35" s="92"/>
      <c r="E35" s="96"/>
      <c r="F35" s="64"/>
      <c r="G35" s="369">
        <f>+G19-G34</f>
        <v>-2192117.4178316402</v>
      </c>
      <c r="H35" s="369">
        <f>+H19-H34</f>
        <v>21876.437981920008</v>
      </c>
      <c r="I35" s="369">
        <f t="shared" ref="I35" si="6">+I19-I34</f>
        <v>11263912.52917733</v>
      </c>
      <c r="J35" s="941">
        <f>+J19-J34</f>
        <v>-812389.2112325601</v>
      </c>
      <c r="K35" s="369">
        <f t="shared" ref="K35" si="7">+K19-K34</f>
        <v>-68513.88796490099</v>
      </c>
      <c r="L35" s="369">
        <f t="shared" ref="L35" si="8">+L19-L34</f>
        <v>972280.98180000018</v>
      </c>
      <c r="M35" s="941">
        <f t="shared" ref="M35:P35" si="9">+M19-M34</f>
        <v>-92149.274644906196</v>
      </c>
      <c r="N35" s="369">
        <f>+N19-N34</f>
        <v>-1596423.4686327998</v>
      </c>
      <c r="O35" s="941">
        <f>+O19-O34</f>
        <v>-1883537.9832971937</v>
      </c>
      <c r="P35" s="369">
        <f t="shared" si="9"/>
        <v>-731342.42977777775</v>
      </c>
      <c r="Q35" s="369"/>
      <c r="R35" s="941">
        <f>+R19-R34</f>
        <v>4881596.2755774688</v>
      </c>
      <c r="S35" s="64"/>
    </row>
    <row r="36" spans="1:130" ht="16.2" thickBot="1">
      <c r="A36" s="111"/>
      <c r="B36" s="96"/>
      <c r="C36" s="59"/>
      <c r="D36" s="92"/>
      <c r="E36" s="96"/>
      <c r="F36" s="64"/>
      <c r="G36" s="121"/>
      <c r="H36" s="121"/>
      <c r="I36" s="121"/>
      <c r="J36" s="121"/>
      <c r="K36" s="121"/>
      <c r="L36" s="121"/>
      <c r="M36" s="121"/>
      <c r="N36" s="614"/>
      <c r="O36" s="121"/>
      <c r="P36" s="121"/>
      <c r="Q36" s="830"/>
      <c r="R36" s="121"/>
      <c r="S36" s="122"/>
    </row>
    <row r="37" spans="1:130" ht="16.2" thickTop="1">
      <c r="A37" s="111">
        <v>20</v>
      </c>
      <c r="B37" s="96"/>
      <c r="C37" s="59" t="s">
        <v>41</v>
      </c>
      <c r="D37" s="92"/>
      <c r="E37" s="96"/>
      <c r="F37" s="64"/>
      <c r="G37" s="123"/>
      <c r="H37" s="123"/>
      <c r="I37" s="123"/>
      <c r="J37" s="123"/>
      <c r="K37" s="370"/>
      <c r="L37" s="123"/>
      <c r="M37" s="123"/>
      <c r="N37" s="114"/>
      <c r="O37" s="123"/>
      <c r="P37" s="123"/>
      <c r="Q37" s="123"/>
      <c r="R37" s="831"/>
      <c r="S37" s="64"/>
    </row>
    <row r="38" spans="1:130">
      <c r="A38" s="111">
        <v>21</v>
      </c>
      <c r="B38" s="96"/>
      <c r="C38" s="46" t="s">
        <v>43</v>
      </c>
      <c r="D38" s="92"/>
      <c r="E38" s="96"/>
      <c r="F38" s="64"/>
      <c r="G38" s="827"/>
      <c r="H38" s="827"/>
      <c r="I38" s="827"/>
      <c r="J38" s="115">
        <f>+'Rate Base'!H13-'Rate Base'!D13</f>
        <v>31077329.243195057</v>
      </c>
      <c r="K38" s="827"/>
      <c r="L38" s="827"/>
      <c r="M38" s="827"/>
      <c r="N38" s="115"/>
      <c r="O38" s="115">
        <f>+'Pro Forma Plant Additions'!E16</f>
        <v>66105637.284975991</v>
      </c>
      <c r="P38" s="115"/>
      <c r="Q38" s="827"/>
      <c r="R38" s="113">
        <f>SUM(G38:Q38)</f>
        <v>97182966.528171048</v>
      </c>
      <c r="S38" s="64"/>
    </row>
    <row r="39" spans="1:130">
      <c r="A39" s="111">
        <v>22</v>
      </c>
      <c r="B39" s="96"/>
      <c r="C39" s="46" t="s">
        <v>44</v>
      </c>
      <c r="D39" s="92"/>
      <c r="E39" s="96"/>
      <c r="F39" s="64"/>
      <c r="G39" s="114"/>
      <c r="H39" s="114"/>
      <c r="I39" s="114"/>
      <c r="J39" s="114">
        <f>+'Rate Base'!H14-'Rate Base'!D14</f>
        <v>-7438116.7491337657</v>
      </c>
      <c r="K39" s="832"/>
      <c r="L39" s="114"/>
      <c r="M39" s="114"/>
      <c r="N39" s="114"/>
      <c r="O39" s="943">
        <f>-'Pro Forma Plant Additions'!E19</f>
        <v>-1421285.3291634363</v>
      </c>
      <c r="P39" s="114"/>
      <c r="Q39" s="115"/>
      <c r="R39" s="945">
        <f>SUM(G39:Q39)</f>
        <v>-8859402.0782972015</v>
      </c>
      <c r="S39" s="64"/>
    </row>
    <row r="40" spans="1:130">
      <c r="A40" s="111">
        <v>23</v>
      </c>
      <c r="B40" s="96"/>
      <c r="C40" s="51" t="s">
        <v>18</v>
      </c>
      <c r="D40" s="92"/>
      <c r="E40" s="96"/>
      <c r="F40" s="64"/>
      <c r="G40" s="114"/>
      <c r="H40" s="114"/>
      <c r="I40" s="114"/>
      <c r="J40" s="114">
        <f>+'Rate Base'!H16-'Rate Base'!D16</f>
        <v>44862.196250000037</v>
      </c>
      <c r="K40" s="832"/>
      <c r="L40" s="114"/>
      <c r="M40" s="114"/>
      <c r="N40" s="114"/>
      <c r="O40" s="114"/>
      <c r="P40" s="114"/>
      <c r="Q40" s="115"/>
      <c r="R40" s="113">
        <f>SUM(G40:Q40)</f>
        <v>44862.196250000037</v>
      </c>
      <c r="S40" s="64"/>
    </row>
    <row r="41" spans="1:130" ht="16.2" thickBot="1">
      <c r="A41" s="111">
        <v>24</v>
      </c>
      <c r="B41" s="96"/>
      <c r="C41" s="51" t="s">
        <v>45</v>
      </c>
      <c r="D41" s="92"/>
      <c r="E41" s="96"/>
      <c r="F41" s="64"/>
      <c r="G41" s="114"/>
      <c r="H41" s="114"/>
      <c r="I41" s="114"/>
      <c r="J41" s="114">
        <f>+'Rate Base'!H17-'Rate Base'!D17</f>
        <v>-2047961.5683333576</v>
      </c>
      <c r="K41" s="832"/>
      <c r="L41" s="114"/>
      <c r="M41" s="114"/>
      <c r="N41" s="114"/>
      <c r="O41" s="943">
        <f>-'Pro Forma Plant Additions'!E22</f>
        <v>38178.972314728693</v>
      </c>
      <c r="P41" s="114"/>
      <c r="Q41" s="124"/>
      <c r="R41" s="945">
        <f>SUM(G41:Q41)</f>
        <v>-2009782.5960186289</v>
      </c>
      <c r="S41" s="64"/>
    </row>
    <row r="42" spans="1:130">
      <c r="A42" s="111">
        <v>25</v>
      </c>
      <c r="B42" s="96"/>
      <c r="C42" s="51" t="s">
        <v>46</v>
      </c>
      <c r="D42" s="92"/>
      <c r="E42" s="96"/>
      <c r="F42" s="64"/>
      <c r="G42" s="114"/>
      <c r="H42" s="114"/>
      <c r="I42" s="114"/>
      <c r="J42" s="114">
        <f>+'Rate Base'!H18-'Rate Base'!D18</f>
        <v>0</v>
      </c>
      <c r="K42" s="832"/>
      <c r="L42" s="114"/>
      <c r="M42" s="114"/>
      <c r="N42" s="114"/>
      <c r="O42" s="114"/>
      <c r="P42" s="114"/>
      <c r="Q42" s="115"/>
      <c r="R42" s="113">
        <f>SUM(G42:Q42)</f>
        <v>0</v>
      </c>
      <c r="S42" s="64"/>
    </row>
    <row r="43" spans="1:130" ht="16.2" thickBot="1">
      <c r="A43" s="111">
        <v>26</v>
      </c>
      <c r="B43" s="96"/>
      <c r="C43" s="59" t="s">
        <v>42</v>
      </c>
      <c r="D43" s="92"/>
      <c r="E43" s="96"/>
      <c r="F43" s="64"/>
      <c r="G43" s="124">
        <f>SUM(G38:G42)</f>
        <v>0</v>
      </c>
      <c r="H43" s="124">
        <f>SUM(H38:H42)</f>
        <v>0</v>
      </c>
      <c r="I43" s="124">
        <f>SUM(I38:I42)</f>
        <v>0</v>
      </c>
      <c r="J43" s="124">
        <f>SUM(J38:J42)</f>
        <v>21636113.121977933</v>
      </c>
      <c r="K43" s="124">
        <f t="shared" ref="K43" si="10">SUM(K38:K42)</f>
        <v>0</v>
      </c>
      <c r="L43" s="124">
        <f>SUM(L38:L42)</f>
        <v>0</v>
      </c>
      <c r="M43" s="124">
        <f>SUM(M38:M42)</f>
        <v>0</v>
      </c>
      <c r="N43" s="124">
        <f>SUM(N38:N42)</f>
        <v>0</v>
      </c>
      <c r="O43" s="944">
        <f>SUM(O38:O42)</f>
        <v>64722530.928127281</v>
      </c>
      <c r="P43" s="124"/>
      <c r="Q43" s="124"/>
      <c r="R43" s="944">
        <f>SUM(R38:R42)</f>
        <v>86358644.050105229</v>
      </c>
      <c r="S43" s="64"/>
    </row>
    <row r="44" spans="1:130" ht="16.2" thickBot="1">
      <c r="A44" s="111"/>
      <c r="B44" s="116"/>
      <c r="C44" s="125"/>
      <c r="D44" s="117"/>
      <c r="E44" s="116"/>
      <c r="F44" s="118"/>
      <c r="G44" s="119"/>
      <c r="H44" s="119"/>
      <c r="I44" s="119"/>
      <c r="J44" s="119"/>
      <c r="K44" s="119"/>
      <c r="L44" s="119"/>
      <c r="M44" s="119"/>
      <c r="N44" s="615"/>
      <c r="O44" s="126"/>
      <c r="P44" s="119"/>
      <c r="Q44" s="829"/>
      <c r="R44" s="126"/>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c r="DW44" s="127"/>
      <c r="DX44" s="127"/>
      <c r="DY44" s="127"/>
      <c r="DZ44" s="127"/>
    </row>
    <row r="45" spans="1:130">
      <c r="A45" s="111">
        <v>27</v>
      </c>
      <c r="B45" s="128"/>
      <c r="C45" s="129" t="s">
        <v>59</v>
      </c>
      <c r="D45" s="130"/>
      <c r="E45" s="116"/>
      <c r="F45" s="118"/>
      <c r="G45" s="131">
        <f>((+G43*'Capital Structure Calculation'!$J$14)-'Exh MCP-10 - Summary of Adj'!G35)/'Exh MCP-4 - Conversion Factor'!$C$25</f>
        <v>2904184.2</v>
      </c>
      <c r="H45" s="131">
        <f>((+H43*'Capital Structure Calculation'!$J$14)-'Exh MCP-10 - Summary of Adj'!H35)/'Exh MCP-4 - Conversion Factor'!$C$25</f>
        <v>-28982.574118779015</v>
      </c>
      <c r="I45" s="131">
        <f>((+I43*'Capital Structure Calculation'!$J$14)-'Exh MCP-10 - Summary of Adj'!I35)/'Exh MCP-4 - Conversion Factor'!$C$25</f>
        <v>-14922775.820000004</v>
      </c>
      <c r="J45" s="942">
        <f>((+J43*'Capital Structure Calculation'!$J$14)-'Exh MCP-10 - Summary of Adj'!J35)/'Exh MCP-4 - Conversion Factor'!$C$25</f>
        <v>3238704.1442655697</v>
      </c>
      <c r="K45" s="131">
        <f>((+K43*'Capital Structure Calculation'!$J$14)-'Exh MCP-10 - Summary of Adj'!K35)/'Exh MCP-4 - Conversion Factor'!$C$25</f>
        <v>90769.294240203672</v>
      </c>
      <c r="L45" s="131">
        <f>((+L43*'Capital Structure Calculation'!$J$14)-'Exh MCP-10 - Summary of Adj'!L35)/'Exh MCP-4 - Conversion Factor'!$C$25</f>
        <v>-1288107.5814347249</v>
      </c>
      <c r="M45" s="131">
        <f>((+M43*'Capital Structure Calculation'!$J$14)-'Exh MCP-10 - Summary of Adj'!M35)/'Exh MCP-4 - Conversion Factor'!$C$25</f>
        <v>122082.17739080569</v>
      </c>
      <c r="N45" s="131">
        <f>((+N43*'Capital Structure Calculation'!$J$14)-'Exh MCP-10 - Summary of Adj'!N35)/'Exh MCP-4 - Conversion Factor'!$C$25</f>
        <v>2114990.6370885158</v>
      </c>
      <c r="O45" s="942">
        <f>((+O43*'Capital Structure Calculation'!$J$14)-'Exh MCP-10 - Summary of Adj'!O35)/'Exh MCP-4 - Conversion Factor'!$C$25</f>
        <v>8964076.2743859868</v>
      </c>
      <c r="P45" s="131">
        <f>((+P43*'Capital Structure Calculation'!$J$14)-'Exh MCP-10 - Summary of Adj'!P35)/'Exh MCP-4 - Conversion Factor'!$C$25</f>
        <v>968904.8187259814</v>
      </c>
      <c r="Q45" s="131"/>
      <c r="R45" s="942">
        <f>((+R43*'Capital Structure Calculation'!$J$14)-'Exh MCP-10 - Summary of Adj'!R35)/'Exh MCP-4 - Conversion Factor'!$C$25</f>
        <v>2163845.5705435611</v>
      </c>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row>
    <row r="46" spans="1:130">
      <c r="A46" s="64"/>
      <c r="B46" s="64"/>
      <c r="C46" s="64"/>
      <c r="D46" s="64"/>
      <c r="E46" s="64"/>
      <c r="F46" s="64"/>
      <c r="G46" s="133"/>
      <c r="H46" s="133"/>
      <c r="I46" s="133"/>
      <c r="J46" s="133"/>
      <c r="K46" s="315"/>
      <c r="L46" s="315"/>
      <c r="M46" s="133"/>
      <c r="N46" s="133"/>
      <c r="O46" s="133"/>
      <c r="P46" s="315"/>
      <c r="Q46" s="133"/>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row>
    <row r="47" spans="1:130">
      <c r="A47" s="64"/>
      <c r="B47" s="64"/>
      <c r="C47" s="64"/>
      <c r="D47" s="64"/>
      <c r="E47" s="64"/>
      <c r="F47" s="64"/>
      <c r="G47" s="134"/>
      <c r="H47" s="134"/>
      <c r="I47" s="134"/>
      <c r="J47" s="134"/>
      <c r="K47" s="164"/>
      <c r="L47" s="164"/>
      <c r="M47" s="134"/>
      <c r="N47" s="134"/>
      <c r="O47" s="134"/>
      <c r="P47" s="164"/>
      <c r="Q47" s="135"/>
      <c r="R47" s="65"/>
      <c r="S47" s="65"/>
      <c r="T47" s="65"/>
      <c r="U47" s="65"/>
      <c r="V47" s="65"/>
      <c r="W47" s="65"/>
      <c r="X47" s="65"/>
      <c r="Y47" s="65"/>
      <c r="Z47" s="65"/>
      <c r="AA47" s="65"/>
      <c r="AB47" s="65"/>
      <c r="AC47" s="65"/>
      <c r="AD47" s="65"/>
      <c r="AE47" s="65"/>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row>
    <row r="48" spans="1:130">
      <c r="A48" s="64"/>
      <c r="B48" s="64"/>
      <c r="C48" s="64"/>
      <c r="D48" s="64"/>
      <c r="E48" s="64"/>
      <c r="F48" s="64"/>
      <c r="G48" s="65"/>
      <c r="H48" s="65"/>
      <c r="I48" s="65"/>
      <c r="J48" s="65"/>
      <c r="K48" s="65"/>
      <c r="L48" s="65"/>
      <c r="M48" s="65"/>
      <c r="N48" s="136"/>
      <c r="O48" s="65"/>
      <c r="P48" s="65"/>
      <c r="Q48" s="65"/>
      <c r="R48" s="137"/>
      <c r="S48" s="65"/>
      <c r="T48" s="65"/>
      <c r="U48" s="65"/>
      <c r="V48" s="65"/>
      <c r="W48" s="65"/>
      <c r="X48" s="65"/>
      <c r="Y48" s="65"/>
      <c r="Z48" s="65"/>
      <c r="AA48" s="65"/>
      <c r="AB48" s="65"/>
      <c r="AC48" s="65"/>
      <c r="AD48" s="65"/>
      <c r="AE48" s="65"/>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row>
    <row r="49" spans="1:130">
      <c r="A49" s="64"/>
      <c r="B49" s="64"/>
      <c r="C49" s="64"/>
      <c r="D49" s="64"/>
      <c r="E49" s="64"/>
      <c r="F49" s="64"/>
      <c r="G49" s="65"/>
      <c r="H49" s="65"/>
      <c r="I49" s="65"/>
      <c r="J49" s="65"/>
      <c r="K49" s="65"/>
      <c r="L49" s="65"/>
      <c r="M49" s="65"/>
      <c r="N49" s="138"/>
      <c r="O49" s="65"/>
      <c r="P49" s="65"/>
      <c r="Q49" s="65"/>
      <c r="R49" s="139"/>
      <c r="S49" s="65"/>
      <c r="T49" s="65"/>
      <c r="U49" s="65"/>
      <c r="V49" s="65"/>
      <c r="W49" s="65"/>
      <c r="X49" s="65"/>
      <c r="Y49" s="65"/>
      <c r="Z49" s="65"/>
      <c r="AA49" s="65"/>
      <c r="AB49" s="65"/>
      <c r="AC49" s="65"/>
      <c r="AD49" s="65"/>
      <c r="AE49" s="65"/>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row>
    <row r="50" spans="1:130">
      <c r="A50" s="64"/>
      <c r="B50" s="64"/>
      <c r="C50" s="64"/>
      <c r="D50" s="64"/>
      <c r="E50" s="64"/>
      <c r="F50" s="64"/>
      <c r="G50" s="65"/>
      <c r="H50" s="140"/>
      <c r="I50" s="140"/>
      <c r="J50" s="140"/>
      <c r="K50" s="140"/>
      <c r="L50" s="140"/>
      <c r="M50" s="140"/>
      <c r="N50" s="138"/>
      <c r="O50" s="140"/>
      <c r="P50" s="140"/>
      <c r="Q50" s="65"/>
      <c r="R50" s="65"/>
      <c r="S50" s="65"/>
      <c r="T50" s="65"/>
      <c r="U50" s="65"/>
      <c r="V50" s="65"/>
      <c r="W50" s="65"/>
      <c r="X50" s="65"/>
      <c r="Y50" s="65"/>
      <c r="Z50" s="65"/>
      <c r="AA50" s="65"/>
      <c r="AB50" s="65"/>
      <c r="AC50" s="65"/>
      <c r="AD50" s="65"/>
      <c r="AE50" s="65"/>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row>
    <row r="51" spans="1:130">
      <c r="A51" s="64"/>
      <c r="B51" s="64"/>
      <c r="C51" s="64"/>
      <c r="D51" s="64"/>
      <c r="E51" s="64"/>
      <c r="F51" s="64"/>
      <c r="G51" s="65"/>
      <c r="H51" s="65"/>
      <c r="I51" s="65"/>
      <c r="J51" s="65"/>
      <c r="K51" s="65"/>
      <c r="L51" s="65"/>
      <c r="M51" s="65"/>
      <c r="N51" s="138"/>
      <c r="O51" s="65"/>
      <c r="P51" s="65"/>
      <c r="Q51" s="65"/>
      <c r="R51" s="65"/>
      <c r="S51" s="65"/>
      <c r="T51" s="65"/>
      <c r="U51" s="65"/>
      <c r="V51" s="65"/>
      <c r="W51" s="65"/>
      <c r="X51" s="65"/>
      <c r="Y51" s="65"/>
      <c r="Z51" s="65"/>
      <c r="AA51" s="65"/>
      <c r="AB51" s="65"/>
      <c r="AC51" s="65"/>
      <c r="AD51" s="65"/>
      <c r="AE51" s="65"/>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row>
    <row r="52" spans="1:130">
      <c r="A52" s="64"/>
      <c r="B52" s="64"/>
      <c r="C52" s="64"/>
      <c r="D52" s="64"/>
      <c r="E52" s="64"/>
      <c r="F52" s="64"/>
      <c r="G52" s="65"/>
      <c r="H52" s="140"/>
      <c r="I52" s="140"/>
      <c r="J52" s="140"/>
      <c r="K52" s="140"/>
      <c r="L52" s="140"/>
      <c r="M52" s="140"/>
      <c r="N52" s="138"/>
      <c r="O52" s="140"/>
      <c r="P52" s="140"/>
      <c r="Q52" s="65"/>
      <c r="R52" s="65"/>
      <c r="S52" s="65"/>
      <c r="T52" s="65"/>
      <c r="U52" s="65"/>
      <c r="V52" s="65"/>
      <c r="W52" s="65"/>
      <c r="X52" s="65"/>
      <c r="Y52" s="65"/>
      <c r="Z52" s="65"/>
      <c r="AA52" s="65"/>
      <c r="AB52" s="65"/>
      <c r="AC52" s="65"/>
      <c r="AD52" s="65"/>
      <c r="AE52" s="65"/>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row>
    <row r="53" spans="1:130">
      <c r="A53" s="64"/>
      <c r="B53" s="64"/>
      <c r="C53" s="64"/>
      <c r="D53" s="64"/>
      <c r="E53" s="64"/>
      <c r="F53" s="64"/>
      <c r="G53" s="65"/>
      <c r="H53" s="141"/>
      <c r="I53" s="141"/>
      <c r="J53" s="141"/>
      <c r="K53" s="141"/>
      <c r="L53" s="141"/>
      <c r="M53" s="141"/>
      <c r="N53" s="138"/>
      <c r="O53" s="141"/>
      <c r="P53" s="141"/>
      <c r="Q53" s="65"/>
      <c r="R53" s="65"/>
      <c r="S53" s="65"/>
      <c r="T53" s="65"/>
      <c r="U53" s="65"/>
      <c r="V53" s="65"/>
      <c r="W53" s="65"/>
      <c r="X53" s="65"/>
      <c r="Y53" s="65"/>
      <c r="Z53" s="65"/>
      <c r="AA53" s="65"/>
      <c r="AB53" s="65"/>
      <c r="AC53" s="65"/>
      <c r="AD53" s="65"/>
      <c r="AE53" s="65"/>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row>
    <row r="54" spans="1:130">
      <c r="A54" s="64"/>
      <c r="B54" s="64"/>
      <c r="C54" s="64"/>
      <c r="D54" s="64"/>
      <c r="E54" s="64"/>
      <c r="F54" s="64"/>
      <c r="G54" s="65"/>
      <c r="H54" s="141"/>
      <c r="I54" s="141"/>
      <c r="J54" s="141"/>
      <c r="K54" s="141"/>
      <c r="L54" s="141"/>
      <c r="M54" s="141"/>
      <c r="N54" s="138"/>
      <c r="O54" s="141"/>
      <c r="P54" s="141"/>
      <c r="Q54" s="65"/>
      <c r="R54" s="65"/>
      <c r="S54" s="65"/>
      <c r="T54" s="65"/>
      <c r="U54" s="65"/>
      <c r="V54" s="65"/>
      <c r="W54" s="65"/>
      <c r="X54" s="65"/>
      <c r="Y54" s="65"/>
      <c r="Z54" s="65"/>
      <c r="AA54" s="65"/>
      <c r="AB54" s="65"/>
      <c r="AC54" s="65"/>
      <c r="AD54" s="65"/>
      <c r="AE54" s="65"/>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row>
    <row r="55" spans="1:130">
      <c r="A55" s="64"/>
      <c r="B55" s="64"/>
      <c r="C55" s="64"/>
      <c r="D55" s="64"/>
      <c r="E55" s="64"/>
      <c r="F55" s="64"/>
      <c r="G55" s="65"/>
      <c r="H55" s="141"/>
      <c r="I55" s="141"/>
      <c r="J55" s="141"/>
      <c r="K55" s="141"/>
      <c r="L55" s="141"/>
      <c r="M55" s="141"/>
      <c r="N55" s="138"/>
      <c r="O55" s="141"/>
      <c r="P55" s="141"/>
      <c r="Q55" s="65"/>
      <c r="R55" s="65"/>
      <c r="S55" s="65"/>
      <c r="T55" s="65"/>
      <c r="U55" s="65"/>
      <c r="V55" s="65"/>
      <c r="W55" s="65"/>
      <c r="X55" s="65"/>
      <c r="Y55" s="65"/>
      <c r="Z55" s="65"/>
      <c r="AA55" s="65"/>
      <c r="AB55" s="65"/>
      <c r="AC55" s="65"/>
      <c r="AD55" s="65"/>
      <c r="AE55" s="65"/>
    </row>
    <row r="56" spans="1:130">
      <c r="A56" s="64"/>
      <c r="B56" s="64"/>
      <c r="C56" s="64"/>
      <c r="D56" s="64"/>
      <c r="E56" s="64"/>
      <c r="F56" s="64"/>
      <c r="G56" s="65"/>
      <c r="H56" s="141"/>
      <c r="I56" s="141"/>
      <c r="J56" s="141"/>
      <c r="K56" s="141"/>
      <c r="L56" s="141"/>
      <c r="M56" s="141"/>
      <c r="N56" s="138"/>
      <c r="O56" s="141"/>
      <c r="P56" s="141"/>
      <c r="Q56" s="65"/>
      <c r="R56" s="65"/>
      <c r="S56" s="65"/>
      <c r="T56" s="65"/>
      <c r="U56" s="65"/>
      <c r="V56" s="65"/>
      <c r="W56" s="65"/>
      <c r="X56" s="65"/>
      <c r="Y56" s="65"/>
      <c r="Z56" s="65"/>
      <c r="AA56" s="65"/>
      <c r="AB56" s="65"/>
      <c r="AC56" s="65"/>
      <c r="AD56" s="65"/>
      <c r="AE56" s="65"/>
    </row>
    <row r="57" spans="1:130">
      <c r="A57" s="64"/>
      <c r="B57" s="64"/>
      <c r="C57" s="64"/>
      <c r="D57" s="64"/>
      <c r="E57" s="64"/>
      <c r="F57" s="64"/>
      <c r="G57" s="65"/>
      <c r="H57" s="65"/>
      <c r="I57" s="65"/>
      <c r="J57" s="65"/>
      <c r="K57" s="65"/>
      <c r="L57" s="65"/>
      <c r="M57" s="65"/>
      <c r="N57" s="138"/>
      <c r="O57" s="65"/>
      <c r="P57" s="65"/>
      <c r="Q57" s="65"/>
      <c r="R57" s="65"/>
      <c r="S57" s="65"/>
      <c r="T57" s="65"/>
      <c r="U57" s="65"/>
      <c r="V57" s="65"/>
      <c r="W57" s="65"/>
      <c r="X57" s="65"/>
      <c r="Y57" s="65"/>
      <c r="Z57" s="65"/>
      <c r="AA57" s="65"/>
      <c r="AB57" s="65"/>
      <c r="AC57" s="65"/>
      <c r="AD57" s="65"/>
      <c r="AE57" s="65"/>
    </row>
    <row r="58" spans="1:130">
      <c r="A58" s="64"/>
      <c r="B58" s="64"/>
      <c r="C58" s="64"/>
      <c r="D58" s="64"/>
      <c r="E58" s="64"/>
      <c r="F58" s="64"/>
      <c r="G58" s="65"/>
      <c r="H58" s="141"/>
      <c r="I58" s="141"/>
      <c r="J58" s="141"/>
      <c r="K58" s="141"/>
      <c r="L58" s="141"/>
      <c r="M58" s="141"/>
      <c r="N58" s="138"/>
      <c r="O58" s="141"/>
      <c r="P58" s="141"/>
      <c r="Q58" s="65"/>
      <c r="R58" s="65"/>
      <c r="S58" s="65"/>
      <c r="T58" s="65"/>
      <c r="U58" s="65"/>
      <c r="V58" s="65"/>
      <c r="W58" s="65"/>
      <c r="X58" s="65"/>
      <c r="Y58" s="65"/>
      <c r="Z58" s="65"/>
      <c r="AA58" s="65"/>
      <c r="AB58" s="65"/>
      <c r="AC58" s="65"/>
      <c r="AD58" s="65"/>
      <c r="AE58" s="65"/>
    </row>
    <row r="59" spans="1:130">
      <c r="A59" s="64"/>
      <c r="B59" s="64"/>
      <c r="C59" s="64"/>
      <c r="D59" s="64"/>
      <c r="E59" s="64"/>
      <c r="F59" s="64"/>
      <c r="G59" s="65"/>
      <c r="H59" s="142"/>
      <c r="I59" s="142"/>
      <c r="J59" s="142"/>
      <c r="K59" s="142"/>
      <c r="L59" s="142"/>
      <c r="M59" s="142"/>
      <c r="N59" s="138"/>
      <c r="O59" s="142"/>
      <c r="P59" s="142"/>
      <c r="Q59" s="65"/>
      <c r="R59" s="65"/>
      <c r="S59" s="65"/>
      <c r="T59" s="65"/>
      <c r="U59" s="65"/>
      <c r="V59" s="65"/>
      <c r="W59" s="65"/>
      <c r="X59" s="65"/>
      <c r="Y59" s="65"/>
      <c r="Z59" s="65"/>
      <c r="AA59" s="65"/>
      <c r="AB59" s="65"/>
      <c r="AC59" s="65"/>
      <c r="AD59" s="65"/>
      <c r="AE59" s="65"/>
    </row>
    <row r="60" spans="1:130">
      <c r="A60" s="64"/>
      <c r="B60" s="64"/>
      <c r="C60" s="64"/>
      <c r="D60" s="64"/>
      <c r="E60" s="64"/>
      <c r="F60" s="64"/>
      <c r="G60" s="65"/>
      <c r="H60" s="142"/>
      <c r="I60" s="142"/>
      <c r="J60" s="142"/>
      <c r="K60" s="142"/>
      <c r="L60" s="142"/>
      <c r="M60" s="142"/>
      <c r="N60" s="138"/>
      <c r="O60" s="142"/>
      <c r="P60" s="142"/>
      <c r="Q60" s="65"/>
      <c r="R60" s="65"/>
      <c r="S60" s="65"/>
      <c r="T60" s="65"/>
      <c r="U60" s="65"/>
      <c r="V60" s="65"/>
      <c r="W60" s="65"/>
      <c r="X60" s="65"/>
      <c r="Y60" s="65"/>
      <c r="Z60" s="65"/>
      <c r="AA60" s="65"/>
      <c r="AB60" s="65"/>
      <c r="AC60" s="65"/>
      <c r="AD60" s="65"/>
      <c r="AE60" s="65"/>
    </row>
    <row r="61" spans="1:130">
      <c r="A61" s="64"/>
      <c r="B61" s="64"/>
      <c r="C61" s="64"/>
      <c r="D61" s="64"/>
      <c r="E61" s="64"/>
      <c r="F61" s="64"/>
      <c r="G61" s="65"/>
      <c r="H61" s="65"/>
      <c r="I61" s="65"/>
      <c r="J61" s="65"/>
      <c r="K61" s="65"/>
      <c r="L61" s="65"/>
      <c r="M61" s="65"/>
      <c r="N61" s="138"/>
      <c r="O61" s="65"/>
      <c r="P61" s="65"/>
      <c r="Q61" s="65"/>
      <c r="R61" s="65"/>
      <c r="S61" s="65"/>
      <c r="T61" s="65"/>
      <c r="U61" s="65"/>
      <c r="V61" s="65"/>
      <c r="W61" s="65"/>
      <c r="X61" s="65"/>
      <c r="Y61" s="65"/>
      <c r="Z61" s="65"/>
      <c r="AA61" s="65"/>
      <c r="AB61" s="65"/>
      <c r="AC61" s="65"/>
      <c r="AD61" s="65"/>
      <c r="AE61" s="65"/>
    </row>
    <row r="62" spans="1:130">
      <c r="A62" s="64"/>
      <c r="B62" s="64"/>
      <c r="C62" s="64"/>
      <c r="D62" s="64"/>
      <c r="E62" s="64"/>
      <c r="F62" s="64"/>
      <c r="G62" s="65"/>
      <c r="H62" s="141"/>
      <c r="I62" s="141"/>
      <c r="J62" s="141"/>
      <c r="K62" s="141"/>
      <c r="L62" s="141"/>
      <c r="M62" s="141"/>
      <c r="N62" s="143"/>
      <c r="O62" s="141"/>
      <c r="P62" s="141"/>
      <c r="Q62" s="65"/>
      <c r="R62" s="65"/>
      <c r="S62" s="65"/>
      <c r="T62" s="65"/>
      <c r="U62" s="65"/>
      <c r="V62" s="65"/>
      <c r="W62" s="65"/>
      <c r="X62" s="65"/>
      <c r="Y62" s="65"/>
      <c r="Z62" s="65"/>
      <c r="AA62" s="65"/>
      <c r="AB62" s="65"/>
      <c r="AC62" s="65"/>
      <c r="AD62" s="65"/>
      <c r="AE62" s="65"/>
    </row>
    <row r="63" spans="1:130">
      <c r="A63" s="64"/>
      <c r="B63" s="64"/>
      <c r="C63" s="64"/>
      <c r="D63" s="64"/>
      <c r="E63" s="64"/>
      <c r="F63" s="64"/>
      <c r="G63" s="65"/>
      <c r="H63" s="141"/>
      <c r="I63" s="141"/>
      <c r="J63" s="141"/>
      <c r="K63" s="141"/>
      <c r="L63" s="141"/>
      <c r="M63" s="141"/>
      <c r="N63" s="138"/>
      <c r="O63" s="141"/>
      <c r="P63" s="141"/>
      <c r="Q63" s="65"/>
      <c r="R63" s="65"/>
      <c r="S63" s="65"/>
      <c r="T63" s="65"/>
      <c r="U63" s="65"/>
      <c r="V63" s="65"/>
      <c r="W63" s="65"/>
      <c r="X63" s="65"/>
      <c r="Y63" s="65"/>
      <c r="Z63" s="65"/>
      <c r="AA63" s="65"/>
      <c r="AB63" s="65"/>
      <c r="AC63" s="65"/>
      <c r="AD63" s="65"/>
      <c r="AE63" s="65"/>
    </row>
    <row r="64" spans="1:130">
      <c r="A64" s="64"/>
      <c r="B64" s="64"/>
      <c r="C64" s="64"/>
      <c r="D64" s="64"/>
      <c r="E64" s="64"/>
      <c r="F64" s="64"/>
      <c r="G64" s="65"/>
      <c r="H64" s="65"/>
      <c r="I64" s="65"/>
      <c r="J64" s="65"/>
      <c r="K64" s="65"/>
      <c r="L64" s="65"/>
      <c r="M64" s="65"/>
      <c r="N64" s="138"/>
      <c r="O64" s="65"/>
      <c r="P64" s="65"/>
      <c r="Q64" s="65"/>
      <c r="R64" s="65"/>
      <c r="S64" s="65"/>
      <c r="T64" s="65"/>
      <c r="U64" s="65"/>
      <c r="V64" s="65"/>
      <c r="W64" s="65"/>
      <c r="X64" s="65"/>
      <c r="Y64" s="65"/>
      <c r="Z64" s="65"/>
      <c r="AA64" s="65"/>
      <c r="AB64" s="65"/>
      <c r="AC64" s="65"/>
      <c r="AD64" s="65"/>
      <c r="AE64" s="65"/>
    </row>
    <row r="65" spans="1:31">
      <c r="A65" s="64"/>
      <c r="B65" s="64"/>
      <c r="C65" s="64"/>
      <c r="D65" s="64"/>
      <c r="E65" s="64"/>
      <c r="F65" s="64"/>
      <c r="G65" s="65"/>
      <c r="H65" s="65"/>
      <c r="I65" s="65"/>
      <c r="J65" s="65"/>
      <c r="K65" s="65"/>
      <c r="L65" s="65"/>
      <c r="M65" s="65"/>
      <c r="N65" s="138"/>
      <c r="O65" s="65"/>
      <c r="P65" s="65"/>
      <c r="Q65" s="65"/>
      <c r="R65" s="65"/>
      <c r="S65" s="65"/>
      <c r="T65" s="65"/>
      <c r="U65" s="65"/>
      <c r="V65" s="65"/>
      <c r="W65" s="65"/>
      <c r="X65" s="65"/>
      <c r="Y65" s="65"/>
      <c r="Z65" s="65"/>
      <c r="AA65" s="65"/>
      <c r="AB65" s="65"/>
      <c r="AC65" s="65"/>
      <c r="AD65" s="65"/>
      <c r="AE65" s="65"/>
    </row>
    <row r="66" spans="1:31">
      <c r="A66" s="64"/>
      <c r="B66" s="64"/>
      <c r="C66" s="64"/>
      <c r="D66" s="64"/>
      <c r="E66" s="64"/>
      <c r="F66" s="64"/>
      <c r="G66" s="65"/>
      <c r="H66" s="65"/>
      <c r="I66" s="65"/>
      <c r="J66" s="65"/>
      <c r="K66" s="65"/>
      <c r="L66" s="65"/>
      <c r="M66" s="65"/>
      <c r="N66" s="138"/>
      <c r="O66" s="65"/>
      <c r="P66" s="65"/>
      <c r="Q66" s="65"/>
      <c r="R66" s="65"/>
      <c r="S66" s="65"/>
      <c r="T66" s="65"/>
      <c r="U66" s="65"/>
      <c r="V66" s="65"/>
      <c r="W66" s="65"/>
      <c r="X66" s="65"/>
      <c r="Y66" s="65"/>
      <c r="Z66" s="65"/>
      <c r="AA66" s="65"/>
      <c r="AB66" s="65"/>
      <c r="AC66" s="65"/>
      <c r="AD66" s="65"/>
      <c r="AE66" s="65"/>
    </row>
  </sheetData>
  <mergeCells count="5">
    <mergeCell ref="O3:S3"/>
    <mergeCell ref="O4:S4"/>
    <mergeCell ref="B5:R5"/>
    <mergeCell ref="B6:R6"/>
    <mergeCell ref="B7:R7"/>
  </mergeCells>
  <printOptions horizontalCentered="1"/>
  <pageMargins left="0" right="0" top="0.5" bottom="0.5" header="0.3" footer="0.3"/>
  <pageSetup paperSize="5" scale="76" orientation="landscape" r:id="rId1"/>
  <headerFooter scaleWithDoc="0" alignWithMargins="0">
    <oddHeader>&amp;RDocket No. UG-200568
Exhibit _____ (MCP-10)
Page 1 of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0"/>
  <sheetViews>
    <sheetView workbookViewId="0">
      <selection activeCell="B14" sqref="B14"/>
    </sheetView>
  </sheetViews>
  <sheetFormatPr defaultColWidth="9.109375" defaultRowHeight="15.6"/>
  <cols>
    <col min="1" max="1" width="76.44140625" style="86" bestFit="1" customWidth="1"/>
    <col min="2" max="16384" width="9.109375" style="86"/>
  </cols>
  <sheetData>
    <row r="1" spans="1:1">
      <c r="A1" s="15" t="s">
        <v>1840</v>
      </c>
    </row>
    <row r="2" spans="1:1">
      <c r="A2" s="15" t="s">
        <v>1986</v>
      </c>
    </row>
    <row r="3" spans="1:1">
      <c r="A3" s="15" t="s">
        <v>1841</v>
      </c>
    </row>
    <row r="4" spans="1:1">
      <c r="A4" s="16"/>
    </row>
    <row r="5" spans="1:1">
      <c r="A5" s="17"/>
    </row>
    <row r="6" spans="1:1">
      <c r="A6" s="17"/>
    </row>
    <row r="7" spans="1:1">
      <c r="A7" s="17"/>
    </row>
    <row r="8" spans="1:1">
      <c r="A8" s="17"/>
    </row>
    <row r="9" spans="1:1">
      <c r="A9" s="17"/>
    </row>
    <row r="10" spans="1:1">
      <c r="A10" s="17"/>
    </row>
    <row r="11" spans="1:1">
      <c r="A11" s="17"/>
    </row>
    <row r="12" spans="1:1">
      <c r="A12" s="17"/>
    </row>
    <row r="13" spans="1:1">
      <c r="A13" s="17"/>
    </row>
    <row r="14" spans="1:1">
      <c r="A14" s="17"/>
    </row>
    <row r="15" spans="1:1">
      <c r="A15" s="17"/>
    </row>
    <row r="16" spans="1:1">
      <c r="A16" s="18"/>
    </row>
    <row r="17" spans="1:1">
      <c r="A17" s="18"/>
    </row>
    <row r="18" spans="1:1">
      <c r="A18" s="17"/>
    </row>
    <row r="19" spans="1:1">
      <c r="A19" s="18" t="s">
        <v>120</v>
      </c>
    </row>
    <row r="20" spans="1:1">
      <c r="A20" s="18"/>
    </row>
    <row r="21" spans="1:1">
      <c r="A21" s="18" t="s">
        <v>1283</v>
      </c>
    </row>
    <row r="22" spans="1:1">
      <c r="A22" s="18"/>
    </row>
    <row r="23" spans="1:1">
      <c r="A23" s="18"/>
    </row>
    <row r="24" spans="1:1">
      <c r="A24" s="19" t="s">
        <v>1987</v>
      </c>
    </row>
    <row r="25" spans="1:1">
      <c r="A25" s="18"/>
    </row>
    <row r="26" spans="1:1">
      <c r="A26" s="18"/>
    </row>
    <row r="27" spans="1:1">
      <c r="A27" s="18"/>
    </row>
    <row r="28" spans="1:1">
      <c r="A28" s="18"/>
    </row>
    <row r="29" spans="1:1">
      <c r="A29" s="18"/>
    </row>
    <row r="30" spans="1:1">
      <c r="A30" s="313" t="s">
        <v>2452</v>
      </c>
    </row>
  </sheetData>
  <pageMargins left="0.7" right="0.7" top="0.75" bottom="0.75" header="0.3" footer="0.3"/>
  <pageSetup fitToHeight="0" orientation="portrait" useFirstPageNumber="1" r:id="rId1"/>
  <headerFooter differentFirst="1" scaleWithDoc="0" alignWithMargins="0">
    <oddHeader>&amp;RDocket No. UG-170929
Exhibit _____ (MPP-12)
Page &amp;P of 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2020-11-19T08:00:00+00:00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Props1.xml><?xml version="1.0" encoding="utf-8"?>
<ds:datastoreItem xmlns:ds="http://schemas.openxmlformats.org/officeDocument/2006/customXml" ds:itemID="{D47ABE27-B679-4F99-B12E-72D532E07913}"/>
</file>

<file path=customXml/itemProps2.xml><?xml version="1.0" encoding="utf-8"?>
<ds:datastoreItem xmlns:ds="http://schemas.openxmlformats.org/officeDocument/2006/customXml" ds:itemID="{CAAEF9D1-5397-4AE7-9854-B8DC50B5CC85}"/>
</file>

<file path=customXml/itemProps3.xml><?xml version="1.0" encoding="utf-8"?>
<ds:datastoreItem xmlns:ds="http://schemas.openxmlformats.org/officeDocument/2006/customXml" ds:itemID="{1F5C5847-C82A-4D8D-9DD7-95F0FF0F67BD}"/>
</file>

<file path=customXml/itemProps4.xml><?xml version="1.0" encoding="utf-8"?>
<ds:datastoreItem xmlns:ds="http://schemas.openxmlformats.org/officeDocument/2006/customXml" ds:itemID="{853D3D75-F3E1-4853-BD33-7D5F9EC39A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vt:i4>
      </vt:variant>
    </vt:vector>
  </HeadingPairs>
  <TitlesOfParts>
    <vt:vector size="52" baseType="lpstr">
      <vt:lpstr>Cover Page MCP-8</vt:lpstr>
      <vt:lpstr>Exh MCP-8 - ROO Summary Sheet</vt:lpstr>
      <vt:lpstr>Cover Page MCP-9</vt:lpstr>
      <vt:lpstr>Exh MCP-9 - Rev Req Calc</vt:lpstr>
      <vt:lpstr>Cover Page MCP-4</vt:lpstr>
      <vt:lpstr>Exh MCP-4 - Conversion Factor</vt:lpstr>
      <vt:lpstr>Cover Page MCP-10</vt:lpstr>
      <vt:lpstr>Exh MCP-10 - Summary of Adj</vt:lpstr>
      <vt:lpstr>Cover Page MCP-6</vt:lpstr>
      <vt:lpstr>MCP-6 - 2020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 Working Capital (AMA)</vt:lpstr>
      <vt:lpstr>'Annualize CRM Adjustment'!Print_Area</vt:lpstr>
      <vt:lpstr>'Capital Structure Calculation'!Print_Area</vt:lpstr>
      <vt:lpstr>'EOP Revenue Adjustment'!Print_Area</vt:lpstr>
      <vt:lpstr>'Exh MCP-10 - Summary of Adj'!Print_Area</vt:lpstr>
      <vt:lpstr>'Exh MCP-8 - ROO Summary Sheet'!Print_Area</vt:lpstr>
      <vt:lpstr>Index!Print_Area</vt:lpstr>
      <vt:lpstr>'MCP-6 - Supporting Explanations'!Print_Area</vt:lpstr>
      <vt:lpstr>'Operating Report'!Print_Area</vt:lpstr>
      <vt:lpstr>'Pro Forma Plant Additions'!Print_Area</vt:lpstr>
      <vt:lpstr>'Restate &amp; Pro Forma Wage Adjust'!Print_Area</vt:lpstr>
      <vt:lpstr>'Restate Revenues Adjustment'!Print_Area</vt:lpstr>
      <vt:lpstr>'State Allocation Formulas'!Print_Area</vt:lpstr>
      <vt:lpstr>'Workpaper - Support Documents &gt;'!Print_Area</vt:lpstr>
      <vt:lpstr>' Working Capital (AMA)'!Print_Titles</vt:lpstr>
      <vt:lpstr>'Adv for Const. &amp; Def Tax'!Print_Titles</vt:lpstr>
      <vt:lpstr>'Advertising Adj'!Print_Titles</vt:lpstr>
      <vt:lpstr>'MCP-6 - 2020 Plant Additions'!Print_Titles</vt:lpstr>
      <vt:lpstr>'MCP-6 - Supporting Explanations'!Print_Titles</vt:lpstr>
      <vt:lpstr>'Operating Report'!Print_Titles</vt:lpstr>
      <vt:lpstr>'Plant in Serv &amp; Accum Depr'!Print_Titles</vt:lpstr>
      <vt:lpstr>'Restate &amp; Pro Forma Wage Adjust'!Print_Titles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Mickelson, Christopher</cp:lastModifiedBy>
  <cp:lastPrinted>2020-07-22T15:29:11Z</cp:lastPrinted>
  <dcterms:created xsi:type="dcterms:W3CDTF">2014-12-11T21:48:04Z</dcterms:created>
  <dcterms:modified xsi:type="dcterms:W3CDTF">2020-09-17T17:27:43Z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923661e7-28df-46f7-80b4-5413277bd1e2</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0x0101006E56B4D1795A2E4DB2F0B01679ED314A00A9B141868A9DE943AC0520515758323A</vt:lpwstr>
  </property>
  <property fmtid="{D5CDD505-2E9C-101B-9397-08002B2CF9AE}" pid="6" name="_docset_NoMedatataSyncRequired">
    <vt:lpwstr>False</vt:lpwstr>
  </property>
  <property fmtid="{D5CDD505-2E9C-101B-9397-08002B2CF9AE}" pid="7" name="IsEFSEC">
    <vt:bool>false</vt:bool>
  </property>
</Properties>
</file>