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home.utc.wa.gov/sites/ue-140762/Staffs Testimony and Exhibits/"/>
    </mc:Choice>
  </mc:AlternateContent>
  <bookViews>
    <workbookView xWindow="240" yWindow="135" windowWidth="20115" windowHeight="7935"/>
  </bookViews>
  <sheets>
    <sheet name="Rates by Class" sheetId="7" r:id="rId1"/>
    <sheet name="Unbundled" sheetId="8" r:id="rId2"/>
    <sheet name="Residential Rate Comparison" sheetId="5" r:id="rId3"/>
    <sheet name="Elasticity" sheetId="6" r:id="rId4"/>
    <sheet name="Revenue Stability" sheetId="2" r:id="rId5"/>
    <sheet name="Residential Rate Worksheet" sheetId="1" r:id="rId6"/>
  </sheets>
  <externalReferences>
    <externalReference r:id="rId7"/>
    <externalReference r:id="rId8"/>
    <externalReference r:id="rId9"/>
  </externalReferences>
  <definedNames>
    <definedName name="ActualROR">'[1]G+T+D+R+M'!$H$61</definedName>
    <definedName name="_xlnm.Print_Area" localSheetId="3">Elasticity!$A$1:$M$22</definedName>
    <definedName name="_xlnm.Print_Area" localSheetId="0">'Rates by Class'!$A$1:$X$1167</definedName>
    <definedName name="_xlnm.Print_Area" localSheetId="2">'Residential Rate Comparison'!$A$1:$N$81</definedName>
    <definedName name="_xlnm.Print_Area" localSheetId="4">'Revenue Stability'!$A$1:$G$12</definedName>
  </definedNames>
  <calcPr calcId="152511" calcMode="manual" iterate="1"/>
</workbook>
</file>

<file path=xl/calcChain.xml><?xml version="1.0" encoding="utf-8"?>
<calcChain xmlns="http://schemas.openxmlformats.org/spreadsheetml/2006/main">
  <c r="M2" i="1" l="1"/>
  <c r="N980" i="7" l="1"/>
  <c r="D14" i="8"/>
  <c r="F12" i="8"/>
  <c r="G12" i="8"/>
  <c r="H12" i="8"/>
  <c r="I12" i="8"/>
  <c r="J12" i="8"/>
  <c r="E12" i="8"/>
  <c r="E27" i="8" s="1"/>
  <c r="F11" i="8"/>
  <c r="G11" i="8"/>
  <c r="H11" i="8"/>
  <c r="I11" i="8"/>
  <c r="J11" i="8"/>
  <c r="E11" i="8"/>
  <c r="E26" i="8" s="1"/>
  <c r="F10" i="8"/>
  <c r="G10" i="8"/>
  <c r="H10" i="8"/>
  <c r="I10" i="8"/>
  <c r="J10" i="8"/>
  <c r="E10" i="8"/>
  <c r="E25" i="8" s="1"/>
  <c r="F9" i="8"/>
  <c r="G9" i="8"/>
  <c r="H9" i="8"/>
  <c r="I9" i="8"/>
  <c r="J9" i="8"/>
  <c r="E9" i="8"/>
  <c r="E24" i="8" s="1"/>
  <c r="F8" i="8"/>
  <c r="G8" i="8"/>
  <c r="H8" i="8"/>
  <c r="I8" i="8"/>
  <c r="J8" i="8"/>
  <c r="E8" i="8"/>
  <c r="E23" i="8" s="1"/>
  <c r="F7" i="8"/>
  <c r="G7" i="8"/>
  <c r="H7" i="8"/>
  <c r="I7" i="8"/>
  <c r="J7" i="8"/>
  <c r="E7" i="8"/>
  <c r="E22" i="8" s="1"/>
  <c r="F6" i="8"/>
  <c r="F14" i="8" s="1"/>
  <c r="G6" i="8"/>
  <c r="G14" i="8" s="1"/>
  <c r="H6" i="8"/>
  <c r="H14" i="8" s="1"/>
  <c r="I6" i="8"/>
  <c r="I14" i="8" s="1"/>
  <c r="J6" i="8"/>
  <c r="J14" i="8" s="1"/>
  <c r="E6" i="8"/>
  <c r="E21" i="8" s="1"/>
  <c r="V92" i="7"/>
  <c r="V91" i="7"/>
  <c r="J91" i="7"/>
  <c r="V90" i="7"/>
  <c r="J90" i="7"/>
  <c r="Z990" i="7"/>
  <c r="Z832" i="7"/>
  <c r="Z1151" i="7"/>
  <c r="Z550" i="7"/>
  <c r="P4" i="1"/>
  <c r="E14" i="8" l="1"/>
  <c r="Z814" i="7" l="1"/>
  <c r="J1116" i="7"/>
  <c r="J1117" i="7"/>
  <c r="J1119" i="7"/>
  <c r="J1120" i="7"/>
  <c r="J1123" i="7"/>
  <c r="J1124" i="7"/>
  <c r="J1125" i="7"/>
  <c r="J1127" i="7"/>
  <c r="J1128" i="7"/>
  <c r="J1131" i="7"/>
  <c r="J1132" i="7"/>
  <c r="J1133" i="7"/>
  <c r="J1135" i="7"/>
  <c r="J1136" i="7"/>
  <c r="J1138" i="7"/>
  <c r="J1139" i="7"/>
  <c r="J1140" i="7"/>
  <c r="J1142" i="7"/>
  <c r="J1115" i="7"/>
  <c r="J1104" i="7"/>
  <c r="J1088" i="7"/>
  <c r="J1076" i="7"/>
  <c r="J1071" i="7"/>
  <c r="J1072" i="7"/>
  <c r="J1073" i="7"/>
  <c r="J1074" i="7"/>
  <c r="J1070" i="7"/>
  <c r="J1063" i="7"/>
  <c r="J1064" i="7"/>
  <c r="J1065" i="7"/>
  <c r="J1066" i="7"/>
  <c r="J1067" i="7"/>
  <c r="J1062" i="7"/>
  <c r="L1062" i="7" s="1"/>
  <c r="L1063" i="7"/>
  <c r="L1064" i="7"/>
  <c r="L1065" i="7"/>
  <c r="L1066" i="7"/>
  <c r="L1067" i="7"/>
  <c r="J1035" i="7"/>
  <c r="K1034" i="7"/>
  <c r="J1034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998" i="7"/>
  <c r="G12" i="2"/>
  <c r="T8" i="1"/>
  <c r="T9" i="1"/>
  <c r="J899" i="7"/>
  <c r="J862" i="7"/>
  <c r="J864" i="7"/>
  <c r="T10" i="1" l="1"/>
  <c r="J646" i="7" l="1"/>
  <c r="J637" i="7"/>
  <c r="N637" i="7" s="1"/>
  <c r="J638" i="7"/>
  <c r="N638" i="7" s="1"/>
  <c r="J639" i="7"/>
  <c r="N639" i="7" s="1"/>
  <c r="J640" i="7"/>
  <c r="N640" i="7" s="1"/>
  <c r="J641" i="7"/>
  <c r="N641" i="7" s="1"/>
  <c r="J635" i="7"/>
  <c r="N635" i="7" s="1"/>
  <c r="J630" i="7"/>
  <c r="J629" i="7"/>
  <c r="I490" i="7"/>
  <c r="I492" i="7"/>
  <c r="I493" i="7"/>
  <c r="I494" i="7"/>
  <c r="I495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488" i="7"/>
  <c r="I487" i="7"/>
  <c r="Y188" i="7"/>
  <c r="Z188" i="7"/>
  <c r="AA188" i="7"/>
  <c r="C446" i="7"/>
  <c r="N164" i="7"/>
  <c r="N165" i="7"/>
  <c r="N163" i="7"/>
  <c r="N317" i="7"/>
  <c r="N224" i="7"/>
  <c r="N253" i="7" s="1"/>
  <c r="N281" i="7" s="1"/>
  <c r="N309" i="7" s="1"/>
  <c r="N225" i="7"/>
  <c r="N254" i="7" s="1"/>
  <c r="N282" i="7" s="1"/>
  <c r="N310" i="7" s="1"/>
  <c r="N223" i="7"/>
  <c r="N252" i="7" s="1"/>
  <c r="N280" i="7" s="1"/>
  <c r="N308" i="7" s="1"/>
  <c r="N337" i="7" s="1"/>
  <c r="C88" i="7" l="1"/>
  <c r="C89" i="7"/>
  <c r="G88" i="7"/>
  <c r="I146" i="7"/>
  <c r="I147" i="7"/>
  <c r="G145" i="7"/>
  <c r="I132" i="7"/>
  <c r="I133" i="7"/>
  <c r="G131" i="7"/>
  <c r="L116" i="7"/>
  <c r="N116" i="7"/>
  <c r="P116" i="7" s="1"/>
  <c r="J120" i="7"/>
  <c r="L120" i="7" s="1"/>
  <c r="J121" i="7"/>
  <c r="L121" i="7" s="1"/>
  <c r="J122" i="7"/>
  <c r="L122" i="7" s="1"/>
  <c r="I119" i="7"/>
  <c r="I118" i="7"/>
  <c r="G117" i="7"/>
  <c r="J22" i="8"/>
  <c r="J23" i="8"/>
  <c r="J24" i="8"/>
  <c r="J25" i="8"/>
  <c r="J26" i="8"/>
  <c r="J27" i="8"/>
  <c r="J21" i="8"/>
  <c r="I22" i="8"/>
  <c r="I23" i="8"/>
  <c r="I24" i="8"/>
  <c r="I25" i="8"/>
  <c r="I26" i="8"/>
  <c r="I27" i="8"/>
  <c r="I21" i="8"/>
  <c r="H22" i="8"/>
  <c r="AB192" i="7" s="1"/>
  <c r="H23" i="8"/>
  <c r="H24" i="8"/>
  <c r="H25" i="8"/>
  <c r="H26" i="8"/>
  <c r="H27" i="8"/>
  <c r="H21" i="8"/>
  <c r="G22" i="8"/>
  <c r="AA192" i="7" s="1"/>
  <c r="G23" i="8"/>
  <c r="AA518" i="7" s="1"/>
  <c r="G24" i="8"/>
  <c r="AA817" i="7" s="1"/>
  <c r="G25" i="8"/>
  <c r="AA976" i="7" s="1"/>
  <c r="G26" i="8"/>
  <c r="AA623" i="7" s="1"/>
  <c r="G27" i="8"/>
  <c r="AA12" i="7" s="1"/>
  <c r="G21" i="8"/>
  <c r="F22" i="8"/>
  <c r="Z192" i="7" s="1"/>
  <c r="V182" i="7" s="1"/>
  <c r="F23" i="8"/>
  <c r="Z518" i="7" s="1"/>
  <c r="F24" i="8"/>
  <c r="Z817" i="7" s="1"/>
  <c r="F25" i="8"/>
  <c r="Z976" i="7" s="1"/>
  <c r="F26" i="8"/>
  <c r="Z623" i="7" s="1"/>
  <c r="F27" i="8"/>
  <c r="Z12" i="7" s="1"/>
  <c r="F21" i="8"/>
  <c r="V534" i="7" l="1"/>
  <c r="R647" i="7"/>
  <c r="R749" i="7" s="1"/>
  <c r="V667" i="7"/>
  <c r="AB623" i="7"/>
  <c r="N646" i="7" s="1"/>
  <c r="N748" i="7" s="1"/>
  <c r="R646" i="7"/>
  <c r="V846" i="7"/>
  <c r="V881" i="7" s="1"/>
  <c r="X881" i="7" s="1"/>
  <c r="AB817" i="7"/>
  <c r="R546" i="7"/>
  <c r="R616" i="7" s="1"/>
  <c r="T616" i="7" s="1"/>
  <c r="R182" i="7"/>
  <c r="X152" i="7"/>
  <c r="X138" i="7"/>
  <c r="X124" i="7"/>
  <c r="X94" i="7"/>
  <c r="X110" i="7"/>
  <c r="R1064" i="7"/>
  <c r="R998" i="7"/>
  <c r="T998" i="7" s="1"/>
  <c r="R1139" i="7"/>
  <c r="T1139" i="7" s="1"/>
  <c r="R1138" i="7"/>
  <c r="T1138" i="7" s="1"/>
  <c r="R1116" i="7"/>
  <c r="T1116" i="7" s="1"/>
  <c r="R1035" i="7"/>
  <c r="T1035" i="7" s="1"/>
  <c r="R1062" i="7"/>
  <c r="R1006" i="7"/>
  <c r="T1006" i="7" s="1"/>
  <c r="R1002" i="7"/>
  <c r="T1002" i="7" s="1"/>
  <c r="R1065" i="7"/>
  <c r="T1065" i="7" s="1"/>
  <c r="R1007" i="7"/>
  <c r="R1003" i="7"/>
  <c r="T1003" i="7" s="1"/>
  <c r="R999" i="7"/>
  <c r="T999" i="7" s="1"/>
  <c r="R1119" i="7"/>
  <c r="T1119" i="7" s="1"/>
  <c r="R1124" i="7"/>
  <c r="R1115" i="7"/>
  <c r="T1115" i="7" s="1"/>
  <c r="R1123" i="7"/>
  <c r="R1104" i="7"/>
  <c r="T1104" i="7" s="1"/>
  <c r="T1105" i="7" s="1"/>
  <c r="R1066" i="7"/>
  <c r="T1066" i="7" s="1"/>
  <c r="R1004" i="7"/>
  <c r="T1004" i="7" s="1"/>
  <c r="R1000" i="7"/>
  <c r="T1000" i="7" s="1"/>
  <c r="R1067" i="7"/>
  <c r="T1067" i="7" s="1"/>
  <c r="R1063" i="7"/>
  <c r="R1034" i="7"/>
  <c r="T1034" i="7" s="1"/>
  <c r="T1037" i="7" s="1"/>
  <c r="R1005" i="7"/>
  <c r="R1001" i="7"/>
  <c r="T1001" i="7" s="1"/>
  <c r="R987" i="7"/>
  <c r="P94" i="7"/>
  <c r="P152" i="7"/>
  <c r="P138" i="7"/>
  <c r="P124" i="7"/>
  <c r="P110" i="7"/>
  <c r="V546" i="7"/>
  <c r="R534" i="7"/>
  <c r="R604" i="7" s="1"/>
  <c r="R615" i="7" s="1"/>
  <c r="T615" i="7" s="1"/>
  <c r="R667" i="7"/>
  <c r="V647" i="7"/>
  <c r="V749" i="7" s="1"/>
  <c r="V1124" i="7"/>
  <c r="X1124" i="7" s="1"/>
  <c r="V1138" i="7"/>
  <c r="X1138" i="7" s="1"/>
  <c r="V1116" i="7"/>
  <c r="V1066" i="7"/>
  <c r="X1066" i="7" s="1"/>
  <c r="V1104" i="7"/>
  <c r="X1104" i="7" s="1"/>
  <c r="X1105" i="7" s="1"/>
  <c r="V1064" i="7"/>
  <c r="X1064" i="7" s="1"/>
  <c r="V1065" i="7"/>
  <c r="X1065" i="7" s="1"/>
  <c r="V1035" i="7"/>
  <c r="X1035" i="7" s="1"/>
  <c r="V1004" i="7"/>
  <c r="V1005" i="7"/>
  <c r="X1005" i="7" s="1"/>
  <c r="V1001" i="7"/>
  <c r="X1001" i="7" s="1"/>
  <c r="V1006" i="7"/>
  <c r="X1006" i="7" s="1"/>
  <c r="V1115" i="7"/>
  <c r="X1115" i="7" s="1"/>
  <c r="V1123" i="7"/>
  <c r="X1123" i="7" s="1"/>
  <c r="V1139" i="7"/>
  <c r="V1119" i="7"/>
  <c r="X1119" i="7" s="1"/>
  <c r="V1067" i="7"/>
  <c r="V1063" i="7"/>
  <c r="X1063" i="7" s="1"/>
  <c r="V1034" i="7"/>
  <c r="X1034" i="7" s="1"/>
  <c r="V1062" i="7"/>
  <c r="X1062" i="7" s="1"/>
  <c r="V1000" i="7"/>
  <c r="V1007" i="7"/>
  <c r="X1007" i="7" s="1"/>
  <c r="V1003" i="7"/>
  <c r="X1003" i="7" s="1"/>
  <c r="V999" i="7"/>
  <c r="X999" i="7" s="1"/>
  <c r="V1002" i="7"/>
  <c r="V998" i="7"/>
  <c r="X998" i="7" s="1"/>
  <c r="V987" i="7"/>
  <c r="T110" i="7"/>
  <c r="T94" i="7"/>
  <c r="R899" i="7"/>
  <c r="R918" i="7" s="1"/>
  <c r="T918" i="7" s="1"/>
  <c r="R846" i="7"/>
  <c r="AB12" i="7"/>
  <c r="AB976" i="7"/>
  <c r="AB518" i="7"/>
  <c r="V646" i="7"/>
  <c r="F105" i="7"/>
  <c r="L1153" i="7"/>
  <c r="P1153" i="7" s="1"/>
  <c r="F1153" i="7"/>
  <c r="C1146" i="7"/>
  <c r="L1145" i="7"/>
  <c r="F1145" i="7"/>
  <c r="L1142" i="7"/>
  <c r="I1142" i="7"/>
  <c r="F1142" i="7"/>
  <c r="L1140" i="7"/>
  <c r="I1140" i="7"/>
  <c r="F1140" i="7"/>
  <c r="X1139" i="7"/>
  <c r="L1139" i="7"/>
  <c r="I1139" i="7"/>
  <c r="F1139" i="7"/>
  <c r="L1138" i="7"/>
  <c r="I1138" i="7"/>
  <c r="F1138" i="7"/>
  <c r="L1136" i="7"/>
  <c r="I1136" i="7"/>
  <c r="F1136" i="7"/>
  <c r="L1135" i="7"/>
  <c r="I1135" i="7"/>
  <c r="F1135" i="7"/>
  <c r="L1133" i="7"/>
  <c r="I1133" i="7"/>
  <c r="F1133" i="7"/>
  <c r="L1132" i="7"/>
  <c r="I1132" i="7"/>
  <c r="F1132" i="7"/>
  <c r="L1131" i="7"/>
  <c r="I1131" i="7"/>
  <c r="F1131" i="7"/>
  <c r="L1128" i="7"/>
  <c r="I1128" i="7"/>
  <c r="F1128" i="7"/>
  <c r="L1127" i="7"/>
  <c r="I1127" i="7"/>
  <c r="F1127" i="7"/>
  <c r="L1125" i="7"/>
  <c r="I1125" i="7"/>
  <c r="F1125" i="7"/>
  <c r="T1124" i="7"/>
  <c r="L1124" i="7"/>
  <c r="I1124" i="7"/>
  <c r="F1124" i="7"/>
  <c r="T1123" i="7"/>
  <c r="L1123" i="7"/>
  <c r="I1123" i="7"/>
  <c r="F1123" i="7"/>
  <c r="L1120" i="7"/>
  <c r="I1120" i="7"/>
  <c r="F1120" i="7"/>
  <c r="L1119" i="7"/>
  <c r="I1119" i="7"/>
  <c r="F1119" i="7"/>
  <c r="L1117" i="7"/>
  <c r="I1117" i="7"/>
  <c r="F1117" i="7"/>
  <c r="X1116" i="7"/>
  <c r="L1116" i="7"/>
  <c r="I1116" i="7"/>
  <c r="F1116" i="7"/>
  <c r="L1115" i="7"/>
  <c r="I1115" i="7"/>
  <c r="F1115" i="7"/>
  <c r="L1106" i="7"/>
  <c r="F1106" i="7"/>
  <c r="C1105" i="7"/>
  <c r="C1107" i="7" s="1"/>
  <c r="L1104" i="7"/>
  <c r="I1104" i="7"/>
  <c r="F1104" i="7"/>
  <c r="C1103" i="7"/>
  <c r="P1102" i="7"/>
  <c r="L1102" i="7"/>
  <c r="I1102" i="7"/>
  <c r="F1102" i="7"/>
  <c r="P1101" i="7"/>
  <c r="L1101" i="7"/>
  <c r="I1101" i="7"/>
  <c r="F1101" i="7"/>
  <c r="L1092" i="7"/>
  <c r="F1092" i="7"/>
  <c r="C1091" i="7"/>
  <c r="C1093" i="7" s="1"/>
  <c r="J1089" i="7"/>
  <c r="I1089" i="7"/>
  <c r="F1089" i="7"/>
  <c r="L1088" i="7"/>
  <c r="I1088" i="7"/>
  <c r="F1088" i="7"/>
  <c r="L1087" i="7"/>
  <c r="L1080" i="7"/>
  <c r="F1080" i="7"/>
  <c r="C1079" i="7"/>
  <c r="C1081" i="7" s="1"/>
  <c r="AE1077" i="7"/>
  <c r="I1077" i="7"/>
  <c r="X1076" i="7"/>
  <c r="T1076" i="7"/>
  <c r="P1076" i="7"/>
  <c r="L1076" i="7"/>
  <c r="I1076" i="7"/>
  <c r="F1076" i="7"/>
  <c r="AD1074" i="7"/>
  <c r="L1074" i="7"/>
  <c r="I1074" i="7"/>
  <c r="F1074" i="7"/>
  <c r="AD1073" i="7"/>
  <c r="L1073" i="7"/>
  <c r="I1073" i="7"/>
  <c r="F1073" i="7"/>
  <c r="AD1072" i="7"/>
  <c r="L1072" i="7"/>
  <c r="I1072" i="7"/>
  <c r="F1072" i="7"/>
  <c r="AD1071" i="7"/>
  <c r="L1071" i="7"/>
  <c r="I1071" i="7"/>
  <c r="F1071" i="7"/>
  <c r="AD1070" i="7"/>
  <c r="L1070" i="7"/>
  <c r="I1070" i="7"/>
  <c r="F1070" i="7"/>
  <c r="AD1067" i="7"/>
  <c r="X1067" i="7"/>
  <c r="I1067" i="7"/>
  <c r="F1067" i="7"/>
  <c r="AD1066" i="7"/>
  <c r="I1066" i="7"/>
  <c r="F1066" i="7"/>
  <c r="AD1065" i="7"/>
  <c r="I1065" i="7"/>
  <c r="F1065" i="7"/>
  <c r="AD1064" i="7"/>
  <c r="T1064" i="7"/>
  <c r="I1064" i="7"/>
  <c r="F1064" i="7"/>
  <c r="AD1063" i="7"/>
  <c r="T1063" i="7"/>
  <c r="I1063" i="7"/>
  <c r="F1063" i="7"/>
  <c r="AD1062" i="7"/>
  <c r="T1062" i="7"/>
  <c r="I1062" i="7"/>
  <c r="F1062" i="7"/>
  <c r="X1060" i="7"/>
  <c r="P1060" i="7"/>
  <c r="F1060" i="7"/>
  <c r="I1051" i="7"/>
  <c r="L1051" i="7" s="1"/>
  <c r="C1051" i="7"/>
  <c r="C1049" i="7"/>
  <c r="C1048" i="7"/>
  <c r="C1047" i="7"/>
  <c r="I1046" i="7"/>
  <c r="F1046" i="7" s="1"/>
  <c r="L1038" i="7"/>
  <c r="F1038" i="7"/>
  <c r="C1037" i="7"/>
  <c r="L1035" i="7"/>
  <c r="I1035" i="7"/>
  <c r="F1035" i="7"/>
  <c r="L1034" i="7"/>
  <c r="I1034" i="7"/>
  <c r="I1037" i="7" s="1"/>
  <c r="I1039" i="7" s="1"/>
  <c r="Z1039" i="7" s="1"/>
  <c r="F1034" i="7"/>
  <c r="X1033" i="7"/>
  <c r="P1033" i="7"/>
  <c r="F1033" i="7"/>
  <c r="C1024" i="7"/>
  <c r="L1023" i="7"/>
  <c r="F1023" i="7"/>
  <c r="L1020" i="7"/>
  <c r="I1020" i="7"/>
  <c r="F1020" i="7"/>
  <c r="L1019" i="7"/>
  <c r="I1019" i="7"/>
  <c r="F1019" i="7"/>
  <c r="L1018" i="7"/>
  <c r="I1018" i="7"/>
  <c r="F1018" i="7"/>
  <c r="L1017" i="7"/>
  <c r="I1017" i="7"/>
  <c r="F1017" i="7"/>
  <c r="L1016" i="7"/>
  <c r="I1016" i="7"/>
  <c r="F1016" i="7"/>
  <c r="L1015" i="7"/>
  <c r="I1015" i="7"/>
  <c r="F1015" i="7"/>
  <c r="L1014" i="7"/>
  <c r="I1014" i="7"/>
  <c r="F1014" i="7"/>
  <c r="L1012" i="7"/>
  <c r="I1012" i="7"/>
  <c r="F1012" i="7"/>
  <c r="L1011" i="7"/>
  <c r="I1011" i="7"/>
  <c r="F1011" i="7"/>
  <c r="L1010" i="7"/>
  <c r="I1010" i="7"/>
  <c r="F1010" i="7"/>
  <c r="L1009" i="7"/>
  <c r="I1009" i="7"/>
  <c r="F1009" i="7"/>
  <c r="T1007" i="7"/>
  <c r="L1007" i="7"/>
  <c r="I1007" i="7"/>
  <c r="F1007" i="7"/>
  <c r="L1006" i="7"/>
  <c r="I1006" i="7"/>
  <c r="F1006" i="7"/>
  <c r="T1005" i="7"/>
  <c r="L1005" i="7"/>
  <c r="I1005" i="7"/>
  <c r="F1005" i="7"/>
  <c r="X1004" i="7"/>
  <c r="L1004" i="7"/>
  <c r="I1004" i="7"/>
  <c r="F1004" i="7"/>
  <c r="L1003" i="7"/>
  <c r="I1003" i="7"/>
  <c r="F1003" i="7"/>
  <c r="X1002" i="7"/>
  <c r="L1002" i="7"/>
  <c r="I1002" i="7"/>
  <c r="F1002" i="7"/>
  <c r="L1001" i="7"/>
  <c r="I1001" i="7"/>
  <c r="F1001" i="7"/>
  <c r="X1000" i="7"/>
  <c r="L1000" i="7"/>
  <c r="I1000" i="7"/>
  <c r="F1000" i="7"/>
  <c r="L999" i="7"/>
  <c r="I999" i="7"/>
  <c r="F999" i="7"/>
  <c r="L998" i="7"/>
  <c r="I998" i="7"/>
  <c r="F998" i="7"/>
  <c r="AA992" i="7"/>
  <c r="Z992" i="7"/>
  <c r="Y992" i="7"/>
  <c r="L989" i="7"/>
  <c r="F989" i="7"/>
  <c r="C988" i="7"/>
  <c r="C990" i="7" s="1"/>
  <c r="X987" i="7"/>
  <c r="T987" i="7"/>
  <c r="L987" i="7"/>
  <c r="I987" i="7"/>
  <c r="F987" i="7"/>
  <c r="I986" i="7"/>
  <c r="F986" i="7"/>
  <c r="I984" i="7"/>
  <c r="F984" i="7"/>
  <c r="P983" i="7"/>
  <c r="I983" i="7"/>
  <c r="F983" i="7"/>
  <c r="L982" i="7"/>
  <c r="I982" i="7"/>
  <c r="F982" i="7"/>
  <c r="C981" i="7"/>
  <c r="AA980" i="7"/>
  <c r="P980" i="7"/>
  <c r="L980" i="7"/>
  <c r="I980" i="7"/>
  <c r="F980" i="7"/>
  <c r="L979" i="7"/>
  <c r="I979" i="7"/>
  <c r="F979" i="7"/>
  <c r="F988" i="7" s="1"/>
  <c r="L972" i="7"/>
  <c r="F972" i="7"/>
  <c r="C970" i="7"/>
  <c r="C969" i="7"/>
  <c r="C967" i="7"/>
  <c r="C966" i="7"/>
  <c r="C965" i="7"/>
  <c r="C963" i="7"/>
  <c r="C962" i="7"/>
  <c r="L954" i="7"/>
  <c r="F954" i="7"/>
  <c r="C952" i="7"/>
  <c r="C951" i="7"/>
  <c r="C949" i="7"/>
  <c r="C948" i="7"/>
  <c r="C947" i="7"/>
  <c r="C945" i="7"/>
  <c r="C944" i="7"/>
  <c r="C936" i="7"/>
  <c r="V935" i="7"/>
  <c r="X935" i="7" s="1"/>
  <c r="N935" i="7"/>
  <c r="P935" i="7" s="1"/>
  <c r="J935" i="7"/>
  <c r="L935" i="7" s="1"/>
  <c r="I935" i="7"/>
  <c r="F935" i="7"/>
  <c r="N934" i="7"/>
  <c r="P934" i="7" s="1"/>
  <c r="I934" i="7"/>
  <c r="F934" i="7"/>
  <c r="I932" i="7"/>
  <c r="F932" i="7"/>
  <c r="N931" i="7"/>
  <c r="P931" i="7" s="1"/>
  <c r="I931" i="7"/>
  <c r="F931" i="7"/>
  <c r="N930" i="7"/>
  <c r="P930" i="7" s="1"/>
  <c r="I930" i="7"/>
  <c r="F930" i="7"/>
  <c r="C929" i="7"/>
  <c r="N928" i="7"/>
  <c r="P928" i="7" s="1"/>
  <c r="J928" i="7"/>
  <c r="L928" i="7" s="1"/>
  <c r="I928" i="7"/>
  <c r="F928" i="7"/>
  <c r="N927" i="7"/>
  <c r="P927" i="7" s="1"/>
  <c r="J927" i="7"/>
  <c r="L927" i="7" s="1"/>
  <c r="I927" i="7"/>
  <c r="F927" i="7"/>
  <c r="C919" i="7"/>
  <c r="V918" i="7"/>
  <c r="X918" i="7" s="1"/>
  <c r="J918" i="7"/>
  <c r="L918" i="7" s="1"/>
  <c r="I918" i="7"/>
  <c r="F918" i="7"/>
  <c r="I917" i="7"/>
  <c r="F917" i="7"/>
  <c r="I915" i="7"/>
  <c r="F915" i="7"/>
  <c r="N914" i="7"/>
  <c r="P914" i="7" s="1"/>
  <c r="I914" i="7"/>
  <c r="F914" i="7"/>
  <c r="N913" i="7"/>
  <c r="P913" i="7" s="1"/>
  <c r="I913" i="7"/>
  <c r="F913" i="7"/>
  <c r="C912" i="7"/>
  <c r="J911" i="7"/>
  <c r="L911" i="7" s="1"/>
  <c r="I911" i="7"/>
  <c r="F911" i="7"/>
  <c r="N910" i="7"/>
  <c r="P910" i="7" s="1"/>
  <c r="J910" i="7"/>
  <c r="L910" i="7" s="1"/>
  <c r="I910" i="7"/>
  <c r="F910" i="7"/>
  <c r="C899" i="7"/>
  <c r="C898" i="7"/>
  <c r="C896" i="7"/>
  <c r="C895" i="7"/>
  <c r="C894" i="7"/>
  <c r="C892" i="7"/>
  <c r="C891" i="7"/>
  <c r="C882" i="7"/>
  <c r="R881" i="7"/>
  <c r="T881" i="7" s="1"/>
  <c r="J881" i="7"/>
  <c r="L881" i="7" s="1"/>
  <c r="I881" i="7"/>
  <c r="F881" i="7"/>
  <c r="I880" i="7"/>
  <c r="F880" i="7"/>
  <c r="I878" i="7"/>
  <c r="F878" i="7"/>
  <c r="I877" i="7"/>
  <c r="F877" i="7"/>
  <c r="N876" i="7"/>
  <c r="P876" i="7" s="1"/>
  <c r="I876" i="7"/>
  <c r="F876" i="7"/>
  <c r="C875" i="7"/>
  <c r="N874" i="7"/>
  <c r="P874" i="7" s="1"/>
  <c r="J874" i="7"/>
  <c r="L874" i="7" s="1"/>
  <c r="I874" i="7"/>
  <c r="F874" i="7"/>
  <c r="N873" i="7"/>
  <c r="P873" i="7" s="1"/>
  <c r="J873" i="7"/>
  <c r="L873" i="7" s="1"/>
  <c r="I873" i="7"/>
  <c r="F873" i="7"/>
  <c r="C865" i="7"/>
  <c r="R864" i="7"/>
  <c r="N864" i="7"/>
  <c r="I864" i="7"/>
  <c r="F864" i="7"/>
  <c r="N863" i="7"/>
  <c r="I863" i="7"/>
  <c r="F863" i="7"/>
  <c r="I861" i="7"/>
  <c r="F861" i="7"/>
  <c r="I860" i="7"/>
  <c r="F860" i="7"/>
  <c r="N859" i="7"/>
  <c r="P859" i="7" s="1"/>
  <c r="I859" i="7"/>
  <c r="F859" i="7"/>
  <c r="C858" i="7"/>
  <c r="N857" i="7"/>
  <c r="J857" i="7"/>
  <c r="I857" i="7"/>
  <c r="F857" i="7"/>
  <c r="N856" i="7"/>
  <c r="J856" i="7"/>
  <c r="I856" i="7"/>
  <c r="F856" i="7"/>
  <c r="AA850" i="7"/>
  <c r="Z850" i="7"/>
  <c r="Z903" i="7" s="1"/>
  <c r="Y850" i="7"/>
  <c r="C846" i="7"/>
  <c r="C845" i="7"/>
  <c r="C843" i="7"/>
  <c r="C842" i="7"/>
  <c r="C841" i="7"/>
  <c r="C839" i="7"/>
  <c r="C838" i="7"/>
  <c r="Z829" i="7"/>
  <c r="AA829" i="7" s="1"/>
  <c r="P828" i="7"/>
  <c r="P809" i="7" s="1"/>
  <c r="E826" i="7"/>
  <c r="L795" i="7"/>
  <c r="F795" i="7"/>
  <c r="C794" i="7"/>
  <c r="C796" i="7" s="1"/>
  <c r="I793" i="7"/>
  <c r="F793" i="7"/>
  <c r="I792" i="7"/>
  <c r="F792" i="7"/>
  <c r="I791" i="7"/>
  <c r="F791" i="7"/>
  <c r="L790" i="7"/>
  <c r="I790" i="7"/>
  <c r="F790" i="7"/>
  <c r="I789" i="7"/>
  <c r="F789" i="7"/>
  <c r="I788" i="7"/>
  <c r="F788" i="7"/>
  <c r="I786" i="7"/>
  <c r="F786" i="7"/>
  <c r="I785" i="7"/>
  <c r="F785" i="7"/>
  <c r="I784" i="7"/>
  <c r="F784" i="7"/>
  <c r="C783" i="7"/>
  <c r="I782" i="7"/>
  <c r="F782" i="7"/>
  <c r="I781" i="7"/>
  <c r="F781" i="7"/>
  <c r="AA774" i="7"/>
  <c r="Z774" i="7"/>
  <c r="Y774" i="7"/>
  <c r="L772" i="7"/>
  <c r="F772" i="7"/>
  <c r="C771" i="7"/>
  <c r="C773" i="7" s="1"/>
  <c r="J770" i="7"/>
  <c r="L770" i="7" s="1"/>
  <c r="I770" i="7"/>
  <c r="F770" i="7"/>
  <c r="J769" i="7"/>
  <c r="L769" i="7" s="1"/>
  <c r="I769" i="7"/>
  <c r="F769" i="7"/>
  <c r="I768" i="7"/>
  <c r="F768" i="7"/>
  <c r="I767" i="7"/>
  <c r="F767" i="7"/>
  <c r="I765" i="7"/>
  <c r="F765" i="7"/>
  <c r="I764" i="7"/>
  <c r="F764" i="7"/>
  <c r="I762" i="7"/>
  <c r="F762" i="7"/>
  <c r="I761" i="7"/>
  <c r="F761" i="7"/>
  <c r="I760" i="7"/>
  <c r="F760" i="7"/>
  <c r="I759" i="7"/>
  <c r="F759" i="7"/>
  <c r="I758" i="7"/>
  <c r="F758" i="7"/>
  <c r="I756" i="7"/>
  <c r="F756" i="7"/>
  <c r="I755" i="7"/>
  <c r="F755" i="7"/>
  <c r="I754" i="7"/>
  <c r="F754" i="7"/>
  <c r="I753" i="7"/>
  <c r="F753" i="7"/>
  <c r="I751" i="7"/>
  <c r="F751" i="7"/>
  <c r="N749" i="7"/>
  <c r="J749" i="7"/>
  <c r="I749" i="7"/>
  <c r="F749" i="7"/>
  <c r="V748" i="7"/>
  <c r="R748" i="7"/>
  <c r="J748" i="7"/>
  <c r="I748" i="7"/>
  <c r="F748" i="7"/>
  <c r="I746" i="7"/>
  <c r="F746" i="7"/>
  <c r="I745" i="7"/>
  <c r="F745" i="7"/>
  <c r="N743" i="7"/>
  <c r="J743" i="7"/>
  <c r="I743" i="7"/>
  <c r="F743" i="7"/>
  <c r="N742" i="7"/>
  <c r="J742" i="7"/>
  <c r="I742" i="7"/>
  <c r="F742" i="7"/>
  <c r="N741" i="7"/>
  <c r="J741" i="7"/>
  <c r="I741" i="7"/>
  <c r="F741" i="7"/>
  <c r="N740" i="7"/>
  <c r="J740" i="7"/>
  <c r="I740" i="7"/>
  <c r="F740" i="7"/>
  <c r="N739" i="7"/>
  <c r="J739" i="7"/>
  <c r="I739" i="7"/>
  <c r="F739" i="7"/>
  <c r="N737" i="7"/>
  <c r="J737" i="7"/>
  <c r="I737" i="7"/>
  <c r="F737" i="7"/>
  <c r="C733" i="7"/>
  <c r="N732" i="7"/>
  <c r="J732" i="7"/>
  <c r="J755" i="7" s="1"/>
  <c r="L755" i="7" s="1"/>
  <c r="I732" i="7"/>
  <c r="F732" i="7"/>
  <c r="N731" i="7"/>
  <c r="J731" i="7"/>
  <c r="J754" i="7" s="1"/>
  <c r="L754" i="7" s="1"/>
  <c r="I731" i="7"/>
  <c r="F731" i="7"/>
  <c r="J730" i="7"/>
  <c r="J753" i="7" s="1"/>
  <c r="L753" i="7" s="1"/>
  <c r="I730" i="7"/>
  <c r="F730" i="7"/>
  <c r="J728" i="7"/>
  <c r="J751" i="7" s="1"/>
  <c r="L751" i="7" s="1"/>
  <c r="I728" i="7"/>
  <c r="F728" i="7"/>
  <c r="L721" i="7"/>
  <c r="F721" i="7"/>
  <c r="C720" i="7"/>
  <c r="C722" i="7" s="1"/>
  <c r="N719" i="7"/>
  <c r="P719" i="7" s="1"/>
  <c r="J719" i="7"/>
  <c r="L719" i="7" s="1"/>
  <c r="I719" i="7"/>
  <c r="F719" i="7"/>
  <c r="V718" i="7"/>
  <c r="X718" i="7" s="1"/>
  <c r="R718" i="7"/>
  <c r="T718" i="7" s="1"/>
  <c r="N718" i="7"/>
  <c r="P718" i="7" s="1"/>
  <c r="J718" i="7"/>
  <c r="L718" i="7" s="1"/>
  <c r="I718" i="7"/>
  <c r="F718" i="7"/>
  <c r="F667" i="7" s="1"/>
  <c r="I717" i="7"/>
  <c r="F717" i="7"/>
  <c r="F666" i="7" s="1"/>
  <c r="I716" i="7"/>
  <c r="F716" i="7"/>
  <c r="F665" i="7" s="1"/>
  <c r="I714" i="7"/>
  <c r="F714" i="7"/>
  <c r="F663" i="7" s="1"/>
  <c r="I713" i="7"/>
  <c r="F713" i="7"/>
  <c r="F662" i="7" s="1"/>
  <c r="I711" i="7"/>
  <c r="F711" i="7"/>
  <c r="F660" i="7" s="1"/>
  <c r="I710" i="7"/>
  <c r="F710" i="7"/>
  <c r="F659" i="7" s="1"/>
  <c r="I709" i="7"/>
  <c r="F709" i="7"/>
  <c r="F658" i="7" s="1"/>
  <c r="I708" i="7"/>
  <c r="F708" i="7"/>
  <c r="F657" i="7" s="1"/>
  <c r="I707" i="7"/>
  <c r="F707" i="7"/>
  <c r="F656" i="7" s="1"/>
  <c r="I705" i="7"/>
  <c r="F705" i="7"/>
  <c r="F654" i="7" s="1"/>
  <c r="I704" i="7"/>
  <c r="F704" i="7"/>
  <c r="I703" i="7"/>
  <c r="F703" i="7"/>
  <c r="F652" i="7" s="1"/>
  <c r="I702" i="7"/>
  <c r="F702" i="7"/>
  <c r="F651" i="7" s="1"/>
  <c r="I700" i="7"/>
  <c r="F700" i="7"/>
  <c r="F649" i="7" s="1"/>
  <c r="N698" i="7"/>
  <c r="J698" i="7"/>
  <c r="I698" i="7"/>
  <c r="F698" i="7"/>
  <c r="F647" i="7" s="1"/>
  <c r="V697" i="7"/>
  <c r="R697" i="7"/>
  <c r="J697" i="7"/>
  <c r="I697" i="7"/>
  <c r="F697" i="7"/>
  <c r="F646" i="7" s="1"/>
  <c r="I695" i="7"/>
  <c r="F695" i="7"/>
  <c r="F644" i="7" s="1"/>
  <c r="I694" i="7"/>
  <c r="F694" i="7"/>
  <c r="F643" i="7" s="1"/>
  <c r="N692" i="7"/>
  <c r="J692" i="7"/>
  <c r="I692" i="7"/>
  <c r="F692" i="7"/>
  <c r="F641" i="7" s="1"/>
  <c r="N691" i="7"/>
  <c r="J691" i="7"/>
  <c r="I691" i="7"/>
  <c r="F691" i="7"/>
  <c r="F640" i="7" s="1"/>
  <c r="N690" i="7"/>
  <c r="J690" i="7"/>
  <c r="I690" i="7"/>
  <c r="F690" i="7"/>
  <c r="F639" i="7" s="1"/>
  <c r="N689" i="7"/>
  <c r="J689" i="7"/>
  <c r="I689" i="7"/>
  <c r="F689" i="7"/>
  <c r="F638" i="7" s="1"/>
  <c r="N688" i="7"/>
  <c r="J688" i="7"/>
  <c r="I688" i="7"/>
  <c r="F688" i="7"/>
  <c r="F637" i="7" s="1"/>
  <c r="N686" i="7"/>
  <c r="J686" i="7"/>
  <c r="I686" i="7"/>
  <c r="F686" i="7"/>
  <c r="F635" i="7" s="1"/>
  <c r="C682" i="7"/>
  <c r="N681" i="7"/>
  <c r="J681" i="7"/>
  <c r="J704" i="7" s="1"/>
  <c r="L704" i="7" s="1"/>
  <c r="I681" i="7"/>
  <c r="I630" i="7" s="1"/>
  <c r="F681" i="7"/>
  <c r="N680" i="7"/>
  <c r="J680" i="7"/>
  <c r="J703" i="7" s="1"/>
  <c r="L703" i="7" s="1"/>
  <c r="I680" i="7"/>
  <c r="I629" i="7" s="1"/>
  <c r="F680" i="7"/>
  <c r="J679" i="7"/>
  <c r="J702" i="7" s="1"/>
  <c r="L702" i="7" s="1"/>
  <c r="I679" i="7"/>
  <c r="F679" i="7"/>
  <c r="J677" i="7"/>
  <c r="J700" i="7" s="1"/>
  <c r="L700" i="7" s="1"/>
  <c r="I677" i="7"/>
  <c r="I626" i="7" s="1"/>
  <c r="F677" i="7"/>
  <c r="I670" i="7"/>
  <c r="F670" i="7" s="1"/>
  <c r="C670" i="7"/>
  <c r="C668" i="7"/>
  <c r="C667" i="7"/>
  <c r="N666" i="7"/>
  <c r="J666" i="7"/>
  <c r="C666" i="7"/>
  <c r="V665" i="7"/>
  <c r="R665" i="7"/>
  <c r="J665" i="7"/>
  <c r="C665" i="7"/>
  <c r="C663" i="7"/>
  <c r="C662" i="7"/>
  <c r="J660" i="7"/>
  <c r="C660" i="7"/>
  <c r="J659" i="7"/>
  <c r="C659" i="7"/>
  <c r="J658" i="7"/>
  <c r="C658" i="7"/>
  <c r="J657" i="7"/>
  <c r="C657" i="7"/>
  <c r="N656" i="7"/>
  <c r="J656" i="7"/>
  <c r="C656" i="7"/>
  <c r="J654" i="7"/>
  <c r="C654" i="7"/>
  <c r="J653" i="7"/>
  <c r="F653" i="7"/>
  <c r="C653" i="7"/>
  <c r="J652" i="7"/>
  <c r="C652" i="7"/>
  <c r="J651" i="7"/>
  <c r="C651" i="7"/>
  <c r="J649" i="7"/>
  <c r="C649" i="7"/>
  <c r="C647" i="7"/>
  <c r="C646" i="7"/>
  <c r="N644" i="7"/>
  <c r="J644" i="7"/>
  <c r="J663" i="7" s="1"/>
  <c r="C644" i="7"/>
  <c r="N643" i="7"/>
  <c r="J643" i="7"/>
  <c r="J662" i="7" s="1"/>
  <c r="C643" i="7"/>
  <c r="C641" i="7"/>
  <c r="C640" i="7"/>
  <c r="C639" i="7"/>
  <c r="C638" i="7"/>
  <c r="C637" i="7"/>
  <c r="C635" i="7"/>
  <c r="C633" i="7"/>
  <c r="C632" i="7"/>
  <c r="C630" i="7"/>
  <c r="C629" i="7"/>
  <c r="C628" i="7"/>
  <c r="C626" i="7"/>
  <c r="L619" i="7"/>
  <c r="F619" i="7"/>
  <c r="C618" i="7"/>
  <c r="C620" i="7" s="1"/>
  <c r="N617" i="7"/>
  <c r="P617" i="7" s="1"/>
  <c r="J617" i="7"/>
  <c r="L617" i="7" s="1"/>
  <c r="I617" i="7"/>
  <c r="F617" i="7"/>
  <c r="V616" i="7"/>
  <c r="X616" i="7" s="1"/>
  <c r="N616" i="7"/>
  <c r="P616" i="7" s="1"/>
  <c r="J616" i="7"/>
  <c r="L616" i="7" s="1"/>
  <c r="I616" i="7"/>
  <c r="F616" i="7"/>
  <c r="I615" i="7"/>
  <c r="F615" i="7"/>
  <c r="I614" i="7"/>
  <c r="F614" i="7"/>
  <c r="I613" i="7"/>
  <c r="F613" i="7"/>
  <c r="I612" i="7"/>
  <c r="F612" i="7"/>
  <c r="I611" i="7"/>
  <c r="F611" i="7"/>
  <c r="I610" i="7"/>
  <c r="F610" i="7"/>
  <c r="I609" i="7"/>
  <c r="F609" i="7"/>
  <c r="I608" i="7"/>
  <c r="F608" i="7"/>
  <c r="I607" i="7"/>
  <c r="F607" i="7"/>
  <c r="I606" i="7"/>
  <c r="F606" i="7"/>
  <c r="V604" i="7"/>
  <c r="V615" i="7" s="1"/>
  <c r="X615" i="7" s="1"/>
  <c r="N615" i="7"/>
  <c r="P615" i="7" s="1"/>
  <c r="J604" i="7"/>
  <c r="J615" i="7" s="1"/>
  <c r="L615" i="7" s="1"/>
  <c r="I604" i="7"/>
  <c r="F604" i="7"/>
  <c r="N614" i="7"/>
  <c r="P614" i="7" s="1"/>
  <c r="I603" i="7"/>
  <c r="F603" i="7"/>
  <c r="N613" i="7"/>
  <c r="P613" i="7" s="1"/>
  <c r="I602" i="7"/>
  <c r="F602" i="7"/>
  <c r="I600" i="7"/>
  <c r="F600" i="7"/>
  <c r="I599" i="7"/>
  <c r="F599" i="7"/>
  <c r="N597" i="7"/>
  <c r="I597" i="7"/>
  <c r="F597" i="7"/>
  <c r="N596" i="7"/>
  <c r="N609" i="7" s="1"/>
  <c r="P609" i="7" s="1"/>
  <c r="I596" i="7"/>
  <c r="F596" i="7"/>
  <c r="C595" i="7"/>
  <c r="N594" i="7"/>
  <c r="J594" i="7"/>
  <c r="I594" i="7"/>
  <c r="F594" i="7"/>
  <c r="N593" i="7"/>
  <c r="J593" i="7"/>
  <c r="I593" i="7"/>
  <c r="F593" i="7"/>
  <c r="N592" i="7"/>
  <c r="J592" i="7"/>
  <c r="I592" i="7"/>
  <c r="F592" i="7"/>
  <c r="L585" i="7"/>
  <c r="F585" i="7"/>
  <c r="C584" i="7"/>
  <c r="N583" i="7"/>
  <c r="P583" i="7" s="1"/>
  <c r="J583" i="7"/>
  <c r="L583" i="7" s="1"/>
  <c r="L547" i="7" s="1"/>
  <c r="P547" i="7" s="1"/>
  <c r="I583" i="7"/>
  <c r="F583" i="7"/>
  <c r="F547" i="7" s="1"/>
  <c r="V582" i="7"/>
  <c r="X582" i="7" s="1"/>
  <c r="N582" i="7"/>
  <c r="P582" i="7" s="1"/>
  <c r="J582" i="7"/>
  <c r="L582" i="7" s="1"/>
  <c r="L546" i="7" s="1"/>
  <c r="I582" i="7"/>
  <c r="F582" i="7"/>
  <c r="F546" i="7" s="1"/>
  <c r="I581" i="7"/>
  <c r="F581" i="7"/>
  <c r="F545" i="7" s="1"/>
  <c r="I580" i="7"/>
  <c r="F580" i="7"/>
  <c r="F544" i="7" s="1"/>
  <c r="I579" i="7"/>
  <c r="F579" i="7"/>
  <c r="F543" i="7" s="1"/>
  <c r="I578" i="7"/>
  <c r="F578" i="7"/>
  <c r="F542" i="7" s="1"/>
  <c r="I577" i="7"/>
  <c r="F577" i="7"/>
  <c r="F541" i="7" s="1"/>
  <c r="I576" i="7"/>
  <c r="F576" i="7"/>
  <c r="F540" i="7" s="1"/>
  <c r="I575" i="7"/>
  <c r="F575" i="7"/>
  <c r="F539" i="7" s="1"/>
  <c r="I574" i="7"/>
  <c r="F574" i="7"/>
  <c r="F538" i="7" s="1"/>
  <c r="I573" i="7"/>
  <c r="F573" i="7"/>
  <c r="F537" i="7" s="1"/>
  <c r="I572" i="7"/>
  <c r="F572" i="7"/>
  <c r="V570" i="7"/>
  <c r="V581" i="7" s="1"/>
  <c r="X581" i="7" s="1"/>
  <c r="N581" i="7"/>
  <c r="P581" i="7" s="1"/>
  <c r="J570" i="7"/>
  <c r="J581" i="7" s="1"/>
  <c r="L581" i="7" s="1"/>
  <c r="L545" i="7" s="1"/>
  <c r="I570" i="7"/>
  <c r="F570" i="7"/>
  <c r="F534" i="7" s="1"/>
  <c r="N580" i="7"/>
  <c r="P580" i="7" s="1"/>
  <c r="I569" i="7"/>
  <c r="I533" i="7" s="1"/>
  <c r="F569" i="7"/>
  <c r="N579" i="7"/>
  <c r="P579" i="7" s="1"/>
  <c r="I568" i="7"/>
  <c r="F568" i="7"/>
  <c r="F532" i="7" s="1"/>
  <c r="I566" i="7"/>
  <c r="F566" i="7"/>
  <c r="F530" i="7" s="1"/>
  <c r="I565" i="7"/>
  <c r="I529" i="7" s="1"/>
  <c r="F565" i="7"/>
  <c r="N563" i="7"/>
  <c r="N576" i="7" s="1"/>
  <c r="P576" i="7" s="1"/>
  <c r="I563" i="7"/>
  <c r="F563" i="7"/>
  <c r="F527" i="7" s="1"/>
  <c r="N562" i="7"/>
  <c r="N575" i="7" s="1"/>
  <c r="P575" i="7" s="1"/>
  <c r="I562" i="7"/>
  <c r="I526" i="7" s="1"/>
  <c r="F562" i="7"/>
  <c r="C561" i="7"/>
  <c r="N560" i="7"/>
  <c r="J560" i="7"/>
  <c r="I560" i="7"/>
  <c r="F560" i="7"/>
  <c r="F524" i="7" s="1"/>
  <c r="N559" i="7"/>
  <c r="J559" i="7"/>
  <c r="I559" i="7"/>
  <c r="F559" i="7"/>
  <c r="F523" i="7" s="1"/>
  <c r="N558" i="7"/>
  <c r="N572" i="7" s="1"/>
  <c r="P572" i="7" s="1"/>
  <c r="J558" i="7"/>
  <c r="J572" i="7" s="1"/>
  <c r="L572" i="7" s="1"/>
  <c r="I558" i="7"/>
  <c r="F558" i="7"/>
  <c r="F522" i="7" s="1"/>
  <c r="AA552" i="7"/>
  <c r="Z552" i="7"/>
  <c r="Y552" i="7"/>
  <c r="I549" i="7"/>
  <c r="C549" i="7"/>
  <c r="C547" i="7"/>
  <c r="C546" i="7"/>
  <c r="X546" i="7" s="1"/>
  <c r="V545" i="7"/>
  <c r="J545" i="7"/>
  <c r="C545" i="7"/>
  <c r="C544" i="7"/>
  <c r="C543" i="7"/>
  <c r="C542" i="7"/>
  <c r="C541" i="7"/>
  <c r="N540" i="7"/>
  <c r="C540" i="7"/>
  <c r="N539" i="7"/>
  <c r="C539" i="7"/>
  <c r="N538" i="7"/>
  <c r="J538" i="7"/>
  <c r="C538" i="7"/>
  <c r="N537" i="7"/>
  <c r="J537" i="7"/>
  <c r="C537" i="7"/>
  <c r="N536" i="7"/>
  <c r="J536" i="7"/>
  <c r="C536" i="7"/>
  <c r="AA534" i="7"/>
  <c r="C534" i="7"/>
  <c r="X534" i="7" s="1"/>
  <c r="C533" i="7"/>
  <c r="C532" i="7"/>
  <c r="C530" i="7"/>
  <c r="C529" i="7"/>
  <c r="C527" i="7"/>
  <c r="C526" i="7"/>
  <c r="AA524" i="7"/>
  <c r="C524" i="7"/>
  <c r="AA523" i="7"/>
  <c r="C523" i="7"/>
  <c r="AA522" i="7"/>
  <c r="C522" i="7"/>
  <c r="C514" i="7"/>
  <c r="J513" i="7"/>
  <c r="L513" i="7" s="1"/>
  <c r="F513" i="7"/>
  <c r="L510" i="7"/>
  <c r="F510" i="7"/>
  <c r="L509" i="7"/>
  <c r="F509" i="7"/>
  <c r="J508" i="7"/>
  <c r="L508" i="7" s="1"/>
  <c r="F508" i="7"/>
  <c r="J507" i="7"/>
  <c r="L507" i="7" s="1"/>
  <c r="F507" i="7"/>
  <c r="J506" i="7"/>
  <c r="L506" i="7" s="1"/>
  <c r="F506" i="7"/>
  <c r="J505" i="7"/>
  <c r="L505" i="7" s="1"/>
  <c r="F505" i="7"/>
  <c r="J504" i="7"/>
  <c r="L504" i="7" s="1"/>
  <c r="F504" i="7"/>
  <c r="J503" i="7"/>
  <c r="L503" i="7" s="1"/>
  <c r="F503" i="7"/>
  <c r="J502" i="7"/>
  <c r="L502" i="7" s="1"/>
  <c r="F502" i="7"/>
  <c r="J501" i="7"/>
  <c r="L501" i="7" s="1"/>
  <c r="F501" i="7"/>
  <c r="J500" i="7"/>
  <c r="L500" i="7" s="1"/>
  <c r="F500" i="7"/>
  <c r="J499" i="7"/>
  <c r="L499" i="7" s="1"/>
  <c r="F499" i="7"/>
  <c r="C497" i="7"/>
  <c r="I497" i="7" s="1"/>
  <c r="C496" i="7"/>
  <c r="I496" i="7" s="1"/>
  <c r="L495" i="7"/>
  <c r="F495" i="7"/>
  <c r="L494" i="7"/>
  <c r="F494" i="7"/>
  <c r="L493" i="7"/>
  <c r="F493" i="7"/>
  <c r="L492" i="7"/>
  <c r="F492" i="7"/>
  <c r="L490" i="7"/>
  <c r="F490" i="7"/>
  <c r="L488" i="7"/>
  <c r="F488" i="7"/>
  <c r="L487" i="7"/>
  <c r="F487" i="7"/>
  <c r="C486" i="7"/>
  <c r="L485" i="7"/>
  <c r="I485" i="7"/>
  <c r="F485" i="7"/>
  <c r="L484" i="7"/>
  <c r="I484" i="7"/>
  <c r="F484" i="7"/>
  <c r="X516" i="7"/>
  <c r="T516" i="7"/>
  <c r="L483" i="7"/>
  <c r="I483" i="7"/>
  <c r="F483" i="7"/>
  <c r="L476" i="7"/>
  <c r="F476" i="7"/>
  <c r="C475" i="7"/>
  <c r="C477" i="7" s="1"/>
  <c r="J474" i="7"/>
  <c r="L474" i="7" s="1"/>
  <c r="I474" i="7"/>
  <c r="F474" i="7"/>
  <c r="J473" i="7"/>
  <c r="L473" i="7" s="1"/>
  <c r="I473" i="7"/>
  <c r="F473" i="7"/>
  <c r="I472" i="7"/>
  <c r="F472" i="7"/>
  <c r="I471" i="7"/>
  <c r="F471" i="7"/>
  <c r="I470" i="7"/>
  <c r="F470" i="7"/>
  <c r="I469" i="7"/>
  <c r="F469" i="7"/>
  <c r="I468" i="7"/>
  <c r="F468" i="7"/>
  <c r="I467" i="7"/>
  <c r="F467" i="7"/>
  <c r="I466" i="7"/>
  <c r="F466" i="7"/>
  <c r="I465" i="7"/>
  <c r="F465" i="7"/>
  <c r="J463" i="7"/>
  <c r="J472" i="7" s="1"/>
  <c r="L472" i="7" s="1"/>
  <c r="I463" i="7"/>
  <c r="F463" i="7"/>
  <c r="J462" i="7"/>
  <c r="J471" i="7" s="1"/>
  <c r="L471" i="7" s="1"/>
  <c r="I462" i="7"/>
  <c r="F462" i="7"/>
  <c r="J461" i="7"/>
  <c r="J470" i="7" s="1"/>
  <c r="L470" i="7" s="1"/>
  <c r="I461" i="7"/>
  <c r="F461" i="7"/>
  <c r="J460" i="7"/>
  <c r="J469" i="7" s="1"/>
  <c r="L469" i="7" s="1"/>
  <c r="I460" i="7"/>
  <c r="F460" i="7"/>
  <c r="J459" i="7"/>
  <c r="J468" i="7" s="1"/>
  <c r="L468" i="7" s="1"/>
  <c r="I459" i="7"/>
  <c r="F459" i="7"/>
  <c r="C457" i="7"/>
  <c r="N456" i="7"/>
  <c r="J456" i="7"/>
  <c r="L456" i="7" s="1"/>
  <c r="I456" i="7"/>
  <c r="F456" i="7"/>
  <c r="N455" i="7"/>
  <c r="J455" i="7"/>
  <c r="L455" i="7" s="1"/>
  <c r="I455" i="7"/>
  <c r="F455" i="7"/>
  <c r="N454" i="7"/>
  <c r="J454" i="7"/>
  <c r="L454" i="7" s="1"/>
  <c r="I454" i="7"/>
  <c r="F454" i="7"/>
  <c r="L447" i="7"/>
  <c r="F447" i="7"/>
  <c r="C448" i="7"/>
  <c r="J445" i="7"/>
  <c r="L445" i="7" s="1"/>
  <c r="I445" i="7"/>
  <c r="F445" i="7"/>
  <c r="J444" i="7"/>
  <c r="L444" i="7" s="1"/>
  <c r="I444" i="7"/>
  <c r="F444" i="7"/>
  <c r="I443" i="7"/>
  <c r="F443" i="7"/>
  <c r="I442" i="7"/>
  <c r="F442" i="7"/>
  <c r="I441" i="7"/>
  <c r="F441" i="7"/>
  <c r="I440" i="7"/>
  <c r="F440" i="7"/>
  <c r="I439" i="7"/>
  <c r="F439" i="7"/>
  <c r="I438" i="7"/>
  <c r="F438" i="7"/>
  <c r="I437" i="7"/>
  <c r="F437" i="7"/>
  <c r="I436" i="7"/>
  <c r="F436" i="7"/>
  <c r="N434" i="7"/>
  <c r="P434" i="7" s="1"/>
  <c r="J434" i="7"/>
  <c r="J443" i="7" s="1"/>
  <c r="L443" i="7" s="1"/>
  <c r="I434" i="7"/>
  <c r="I405" i="7" s="1"/>
  <c r="F434" i="7"/>
  <c r="J433" i="7"/>
  <c r="J442" i="7" s="1"/>
  <c r="L442" i="7" s="1"/>
  <c r="L413" i="7" s="1"/>
  <c r="I433" i="7"/>
  <c r="F433" i="7"/>
  <c r="F404" i="7" s="1"/>
  <c r="J432" i="7"/>
  <c r="J441" i="7" s="1"/>
  <c r="L441" i="7" s="1"/>
  <c r="I432" i="7"/>
  <c r="I403" i="7" s="1"/>
  <c r="F432" i="7"/>
  <c r="J431" i="7"/>
  <c r="J440" i="7" s="1"/>
  <c r="L440" i="7" s="1"/>
  <c r="I431" i="7"/>
  <c r="F431" i="7"/>
  <c r="F402" i="7" s="1"/>
  <c r="J430" i="7"/>
  <c r="J439" i="7" s="1"/>
  <c r="L439" i="7" s="1"/>
  <c r="I430" i="7"/>
  <c r="I401" i="7" s="1"/>
  <c r="F430" i="7"/>
  <c r="C428" i="7"/>
  <c r="C399" i="7" s="1"/>
  <c r="N427" i="7"/>
  <c r="P427" i="7" s="1"/>
  <c r="J427" i="7"/>
  <c r="L427" i="7" s="1"/>
  <c r="L398" i="7" s="1"/>
  <c r="L161" i="7" s="1"/>
  <c r="I427" i="7"/>
  <c r="F427" i="7"/>
  <c r="F398" i="7" s="1"/>
  <c r="F161" i="7" s="1"/>
  <c r="N426" i="7"/>
  <c r="P426" i="7" s="1"/>
  <c r="J426" i="7"/>
  <c r="L426" i="7" s="1"/>
  <c r="L397" i="7" s="1"/>
  <c r="L160" i="7" s="1"/>
  <c r="I426" i="7"/>
  <c r="F426" i="7"/>
  <c r="F397" i="7" s="1"/>
  <c r="F160" i="7" s="1"/>
  <c r="N425" i="7"/>
  <c r="P425" i="7" s="1"/>
  <c r="J425" i="7"/>
  <c r="L425" i="7" s="1"/>
  <c r="I425" i="7"/>
  <c r="F425" i="7"/>
  <c r="I418" i="7"/>
  <c r="C418" i="7"/>
  <c r="N416" i="7"/>
  <c r="J416" i="7"/>
  <c r="N415" i="7"/>
  <c r="J415" i="7"/>
  <c r="N405" i="7"/>
  <c r="N414" i="7" s="1"/>
  <c r="J405" i="7"/>
  <c r="J414" i="7" s="1"/>
  <c r="C405" i="7"/>
  <c r="J404" i="7"/>
  <c r="J413" i="7" s="1"/>
  <c r="C404" i="7"/>
  <c r="J403" i="7"/>
  <c r="J412" i="7" s="1"/>
  <c r="C403" i="7"/>
  <c r="J402" i="7"/>
  <c r="J411" i="7" s="1"/>
  <c r="C402" i="7"/>
  <c r="J401" i="7"/>
  <c r="J410" i="7" s="1"/>
  <c r="C401" i="7"/>
  <c r="C400" i="7"/>
  <c r="N398" i="7"/>
  <c r="N409" i="7" s="1"/>
  <c r="J398" i="7"/>
  <c r="J409" i="7" s="1"/>
  <c r="C398" i="7"/>
  <c r="C161" i="7" s="1"/>
  <c r="N397" i="7"/>
  <c r="N408" i="7" s="1"/>
  <c r="J397" i="7"/>
  <c r="J408" i="7" s="1"/>
  <c r="C397" i="7"/>
  <c r="C160" i="7" s="1"/>
  <c r="N396" i="7"/>
  <c r="N407" i="7" s="1"/>
  <c r="J396" i="7"/>
  <c r="J407" i="7" s="1"/>
  <c r="C396" i="7"/>
  <c r="L388" i="7"/>
  <c r="F388" i="7"/>
  <c r="C387" i="7"/>
  <c r="C389" i="7" s="1"/>
  <c r="J386" i="7"/>
  <c r="L386" i="7" s="1"/>
  <c r="I386" i="7"/>
  <c r="F386" i="7"/>
  <c r="J385" i="7"/>
  <c r="L385" i="7" s="1"/>
  <c r="I385" i="7"/>
  <c r="F385" i="7"/>
  <c r="I384" i="7"/>
  <c r="F384" i="7"/>
  <c r="I383" i="7"/>
  <c r="F383" i="7"/>
  <c r="I382" i="7"/>
  <c r="F382" i="7"/>
  <c r="I381" i="7"/>
  <c r="F381" i="7"/>
  <c r="I380" i="7"/>
  <c r="F380" i="7"/>
  <c r="I379" i="7"/>
  <c r="F379" i="7"/>
  <c r="I378" i="7"/>
  <c r="F378" i="7"/>
  <c r="I377" i="7"/>
  <c r="F377" i="7"/>
  <c r="J375" i="7"/>
  <c r="I375" i="7"/>
  <c r="F375" i="7"/>
  <c r="J374" i="7"/>
  <c r="I374" i="7"/>
  <c r="F374" i="7"/>
  <c r="J373" i="7"/>
  <c r="I373" i="7"/>
  <c r="F373" i="7"/>
  <c r="J372" i="7"/>
  <c r="I372" i="7"/>
  <c r="F372" i="7"/>
  <c r="J371" i="7"/>
  <c r="I371" i="7"/>
  <c r="F371" i="7"/>
  <c r="C369" i="7"/>
  <c r="N368" i="7"/>
  <c r="J368" i="7"/>
  <c r="J379" i="7" s="1"/>
  <c r="L379" i="7" s="1"/>
  <c r="I368" i="7"/>
  <c r="F368" i="7"/>
  <c r="N367" i="7"/>
  <c r="J367" i="7"/>
  <c r="J378" i="7" s="1"/>
  <c r="L378" i="7" s="1"/>
  <c r="I367" i="7"/>
  <c r="F367" i="7"/>
  <c r="N366" i="7"/>
  <c r="J366" i="7"/>
  <c r="J377" i="7" s="1"/>
  <c r="L377" i="7" s="1"/>
  <c r="I366" i="7"/>
  <c r="F366" i="7"/>
  <c r="L359" i="7"/>
  <c r="F359" i="7"/>
  <c r="J357" i="7"/>
  <c r="L357" i="7" s="1"/>
  <c r="I357" i="7"/>
  <c r="F357" i="7"/>
  <c r="J356" i="7"/>
  <c r="L356" i="7" s="1"/>
  <c r="I356" i="7"/>
  <c r="F356" i="7"/>
  <c r="I355" i="7"/>
  <c r="F355" i="7"/>
  <c r="I354" i="7"/>
  <c r="F354" i="7"/>
  <c r="I353" i="7"/>
  <c r="F353" i="7"/>
  <c r="I352" i="7"/>
  <c r="F352" i="7"/>
  <c r="I351" i="7"/>
  <c r="F351" i="7"/>
  <c r="I350" i="7"/>
  <c r="F350" i="7"/>
  <c r="I349" i="7"/>
  <c r="F349" i="7"/>
  <c r="I348" i="7"/>
  <c r="F348" i="7"/>
  <c r="J346" i="7"/>
  <c r="I346" i="7"/>
  <c r="F346" i="7"/>
  <c r="J345" i="7"/>
  <c r="C345" i="7"/>
  <c r="C316" i="7" s="1"/>
  <c r="J344" i="7"/>
  <c r="J353" i="7" s="1"/>
  <c r="L353" i="7" s="1"/>
  <c r="I344" i="7"/>
  <c r="F344" i="7"/>
  <c r="J343" i="7"/>
  <c r="J352" i="7" s="1"/>
  <c r="L352" i="7" s="1"/>
  <c r="I343" i="7"/>
  <c r="F343" i="7"/>
  <c r="J342" i="7"/>
  <c r="J351" i="7" s="1"/>
  <c r="L351" i="7" s="1"/>
  <c r="I342" i="7"/>
  <c r="F342" i="7"/>
  <c r="C340" i="7"/>
  <c r="J339" i="7"/>
  <c r="I339" i="7"/>
  <c r="F339" i="7"/>
  <c r="J338" i="7"/>
  <c r="I338" i="7"/>
  <c r="F338" i="7"/>
  <c r="J337" i="7"/>
  <c r="I337" i="7"/>
  <c r="F337" i="7"/>
  <c r="I330" i="7"/>
  <c r="C330" i="7"/>
  <c r="V328" i="7"/>
  <c r="R328" i="7"/>
  <c r="N328" i="7"/>
  <c r="J328" i="7"/>
  <c r="I328" i="7"/>
  <c r="N327" i="7"/>
  <c r="J327" i="7"/>
  <c r="I327" i="7"/>
  <c r="I326" i="7"/>
  <c r="I325" i="7"/>
  <c r="I324" i="7"/>
  <c r="I323" i="7"/>
  <c r="I322" i="7"/>
  <c r="I321" i="7"/>
  <c r="I320" i="7"/>
  <c r="I319" i="7"/>
  <c r="J317" i="7"/>
  <c r="J326" i="7" s="1"/>
  <c r="C317" i="7"/>
  <c r="I317" i="7" s="1"/>
  <c r="J316" i="7"/>
  <c r="J325" i="7" s="1"/>
  <c r="J315" i="7"/>
  <c r="J324" i="7" s="1"/>
  <c r="C315" i="7"/>
  <c r="I315" i="7" s="1"/>
  <c r="J314" i="7"/>
  <c r="J323" i="7" s="1"/>
  <c r="C314" i="7"/>
  <c r="J313" i="7"/>
  <c r="J322" i="7" s="1"/>
  <c r="C313" i="7"/>
  <c r="I313" i="7" s="1"/>
  <c r="C312" i="7"/>
  <c r="J310" i="7"/>
  <c r="J321" i="7" s="1"/>
  <c r="C310" i="7"/>
  <c r="I310" i="7" s="1"/>
  <c r="J309" i="7"/>
  <c r="J320" i="7" s="1"/>
  <c r="C309" i="7"/>
  <c r="I309" i="7" s="1"/>
  <c r="J308" i="7"/>
  <c r="J319" i="7" s="1"/>
  <c r="C308" i="7"/>
  <c r="L301" i="7"/>
  <c r="F301" i="7"/>
  <c r="C300" i="7"/>
  <c r="C302" i="7" s="1"/>
  <c r="N299" i="7"/>
  <c r="P299" i="7" s="1"/>
  <c r="J299" i="7"/>
  <c r="L299" i="7" s="1"/>
  <c r="I299" i="7"/>
  <c r="F299" i="7"/>
  <c r="J298" i="7"/>
  <c r="L298" i="7" s="1"/>
  <c r="I298" i="7"/>
  <c r="F298" i="7"/>
  <c r="I297" i="7"/>
  <c r="F297" i="7"/>
  <c r="I296" i="7"/>
  <c r="F296" i="7"/>
  <c r="I295" i="7"/>
  <c r="F295" i="7"/>
  <c r="I294" i="7"/>
  <c r="F294" i="7"/>
  <c r="I293" i="7"/>
  <c r="F293" i="7"/>
  <c r="I292" i="7"/>
  <c r="F292" i="7"/>
  <c r="I291" i="7"/>
  <c r="F291" i="7"/>
  <c r="I290" i="7"/>
  <c r="F290" i="7"/>
  <c r="J288" i="7"/>
  <c r="J297" i="7" s="1"/>
  <c r="L297" i="7" s="1"/>
  <c r="I288" i="7"/>
  <c r="F288" i="7"/>
  <c r="J287" i="7"/>
  <c r="J296" i="7" s="1"/>
  <c r="L296" i="7" s="1"/>
  <c r="I287" i="7"/>
  <c r="F287" i="7"/>
  <c r="J286" i="7"/>
  <c r="J295" i="7" s="1"/>
  <c r="L295" i="7" s="1"/>
  <c r="I286" i="7"/>
  <c r="F286" i="7"/>
  <c r="J285" i="7"/>
  <c r="J294" i="7" s="1"/>
  <c r="L294" i="7" s="1"/>
  <c r="I285" i="7"/>
  <c r="F285" i="7"/>
  <c r="J284" i="7"/>
  <c r="J293" i="7" s="1"/>
  <c r="L293" i="7" s="1"/>
  <c r="I284" i="7"/>
  <c r="F284" i="7"/>
  <c r="C283" i="7"/>
  <c r="P282" i="7"/>
  <c r="J282" i="7"/>
  <c r="L282" i="7" s="1"/>
  <c r="I282" i="7"/>
  <c r="F282" i="7"/>
  <c r="P281" i="7"/>
  <c r="J281" i="7"/>
  <c r="L281" i="7" s="1"/>
  <c r="I281" i="7"/>
  <c r="F281" i="7"/>
  <c r="P280" i="7"/>
  <c r="J280" i="7"/>
  <c r="L280" i="7" s="1"/>
  <c r="I280" i="7"/>
  <c r="F280" i="7"/>
  <c r="L273" i="7"/>
  <c r="F273" i="7"/>
  <c r="C272" i="7"/>
  <c r="C274" i="7" s="1"/>
  <c r="N271" i="7"/>
  <c r="P271" i="7" s="1"/>
  <c r="J271" i="7"/>
  <c r="L271" i="7" s="1"/>
  <c r="I271" i="7"/>
  <c r="F271" i="7"/>
  <c r="N270" i="7"/>
  <c r="J270" i="7"/>
  <c r="L270" i="7" s="1"/>
  <c r="I270" i="7"/>
  <c r="F270" i="7"/>
  <c r="I269" i="7"/>
  <c r="F269" i="7"/>
  <c r="I268" i="7"/>
  <c r="F268" i="7"/>
  <c r="I267" i="7"/>
  <c r="F267" i="7"/>
  <c r="I266" i="7"/>
  <c r="F266" i="7"/>
  <c r="I265" i="7"/>
  <c r="F265" i="7"/>
  <c r="I264" i="7"/>
  <c r="F264" i="7"/>
  <c r="I263" i="7"/>
  <c r="F263" i="7"/>
  <c r="I262" i="7"/>
  <c r="F262" i="7"/>
  <c r="N269" i="7"/>
  <c r="P269" i="7" s="1"/>
  <c r="J260" i="7"/>
  <c r="J269" i="7" s="1"/>
  <c r="L269" i="7" s="1"/>
  <c r="I260" i="7"/>
  <c r="F260" i="7"/>
  <c r="J259" i="7"/>
  <c r="J268" i="7" s="1"/>
  <c r="L268" i="7" s="1"/>
  <c r="I259" i="7"/>
  <c r="F259" i="7"/>
  <c r="J258" i="7"/>
  <c r="J267" i="7" s="1"/>
  <c r="L267" i="7" s="1"/>
  <c r="I258" i="7"/>
  <c r="F258" i="7"/>
  <c r="J257" i="7"/>
  <c r="J266" i="7" s="1"/>
  <c r="L266" i="7" s="1"/>
  <c r="I257" i="7"/>
  <c r="F257" i="7"/>
  <c r="J256" i="7"/>
  <c r="J265" i="7" s="1"/>
  <c r="L265" i="7" s="1"/>
  <c r="I256" i="7"/>
  <c r="F256" i="7"/>
  <c r="C255" i="7"/>
  <c r="P254" i="7"/>
  <c r="J254" i="7"/>
  <c r="L254" i="7" s="1"/>
  <c r="I254" i="7"/>
  <c r="F254" i="7"/>
  <c r="P253" i="7"/>
  <c r="J253" i="7"/>
  <c r="L253" i="7" s="1"/>
  <c r="I253" i="7"/>
  <c r="F253" i="7"/>
  <c r="P252" i="7"/>
  <c r="J252" i="7"/>
  <c r="L252" i="7" s="1"/>
  <c r="I252" i="7"/>
  <c r="F252" i="7"/>
  <c r="L244" i="7"/>
  <c r="F244" i="7"/>
  <c r="C243" i="7"/>
  <c r="C245" i="7" s="1"/>
  <c r="J242" i="7"/>
  <c r="L242" i="7" s="1"/>
  <c r="I242" i="7"/>
  <c r="F242" i="7"/>
  <c r="J241" i="7"/>
  <c r="L241" i="7" s="1"/>
  <c r="I241" i="7"/>
  <c r="F241" i="7"/>
  <c r="I240" i="7"/>
  <c r="F240" i="7"/>
  <c r="I239" i="7"/>
  <c r="F239" i="7"/>
  <c r="I238" i="7"/>
  <c r="F238" i="7"/>
  <c r="I237" i="7"/>
  <c r="F237" i="7"/>
  <c r="C236" i="7"/>
  <c r="I236" i="7" s="1"/>
  <c r="I235" i="7"/>
  <c r="F235" i="7"/>
  <c r="I234" i="7"/>
  <c r="F234" i="7"/>
  <c r="I233" i="7"/>
  <c r="F233" i="7"/>
  <c r="N240" i="7"/>
  <c r="P240" i="7" s="1"/>
  <c r="J231" i="7"/>
  <c r="J240" i="7" s="1"/>
  <c r="L240" i="7" s="1"/>
  <c r="I231" i="7"/>
  <c r="F231" i="7"/>
  <c r="J230" i="7"/>
  <c r="J239" i="7" s="1"/>
  <c r="L239" i="7" s="1"/>
  <c r="I230" i="7"/>
  <c r="F230" i="7"/>
  <c r="J229" i="7"/>
  <c r="J238" i="7" s="1"/>
  <c r="L238" i="7" s="1"/>
  <c r="I229" i="7"/>
  <c r="F229" i="7"/>
  <c r="J228" i="7"/>
  <c r="J237" i="7" s="1"/>
  <c r="L237" i="7" s="1"/>
  <c r="I228" i="7"/>
  <c r="F228" i="7"/>
  <c r="J227" i="7"/>
  <c r="J236" i="7" s="1"/>
  <c r="I227" i="7"/>
  <c r="F227" i="7"/>
  <c r="C226" i="7"/>
  <c r="P225" i="7"/>
  <c r="J225" i="7"/>
  <c r="L225" i="7" s="1"/>
  <c r="I225" i="7"/>
  <c r="F225" i="7"/>
  <c r="P224" i="7"/>
  <c r="J224" i="7"/>
  <c r="L224" i="7" s="1"/>
  <c r="I224" i="7"/>
  <c r="F224" i="7"/>
  <c r="P223" i="7"/>
  <c r="J223" i="7"/>
  <c r="L223" i="7" s="1"/>
  <c r="I223" i="7"/>
  <c r="F223" i="7"/>
  <c r="I216" i="7"/>
  <c r="C216" i="7"/>
  <c r="V214" i="7"/>
  <c r="R214" i="7"/>
  <c r="N214" i="7"/>
  <c r="J214" i="7"/>
  <c r="C214" i="7"/>
  <c r="C183" i="7" s="1"/>
  <c r="N213" i="7"/>
  <c r="J213" i="7"/>
  <c r="C213" i="7"/>
  <c r="C182" i="7" s="1"/>
  <c r="C212" i="7"/>
  <c r="C181" i="7" s="1"/>
  <c r="C211" i="7"/>
  <c r="C180" i="7" s="1"/>
  <c r="C210" i="7"/>
  <c r="C209" i="7"/>
  <c r="C178" i="7" s="1"/>
  <c r="C207" i="7"/>
  <c r="C176" i="7" s="1"/>
  <c r="C206" i="7"/>
  <c r="C175" i="7" s="1"/>
  <c r="C205" i="7"/>
  <c r="C174" i="7" s="1"/>
  <c r="N212" i="7"/>
  <c r="J203" i="7"/>
  <c r="J212" i="7" s="1"/>
  <c r="C203" i="7"/>
  <c r="J202" i="7"/>
  <c r="C202" i="7"/>
  <c r="J201" i="7"/>
  <c r="C201" i="7"/>
  <c r="J200" i="7"/>
  <c r="N200" i="7" s="1"/>
  <c r="N169" i="7" s="1"/>
  <c r="N178" i="7" s="1"/>
  <c r="C200" i="7"/>
  <c r="J199" i="7"/>
  <c r="C199" i="7"/>
  <c r="N207" i="7"/>
  <c r="J197" i="7"/>
  <c r="J207" i="7" s="1"/>
  <c r="C197" i="7"/>
  <c r="N206" i="7"/>
  <c r="J196" i="7"/>
  <c r="J206" i="7" s="1"/>
  <c r="C196" i="7"/>
  <c r="N205" i="7"/>
  <c r="J195" i="7"/>
  <c r="J205" i="7" s="1"/>
  <c r="C195" i="7"/>
  <c r="N181" i="7"/>
  <c r="J181" i="7"/>
  <c r="J180" i="7"/>
  <c r="J179" i="7"/>
  <c r="J178" i="7"/>
  <c r="J177" i="7"/>
  <c r="V176" i="7"/>
  <c r="R176" i="7"/>
  <c r="N176" i="7"/>
  <c r="J176" i="7"/>
  <c r="V175" i="7"/>
  <c r="R175" i="7"/>
  <c r="N175" i="7"/>
  <c r="J175" i="7"/>
  <c r="V174" i="7"/>
  <c r="R174" i="7"/>
  <c r="N174" i="7"/>
  <c r="J174" i="7"/>
  <c r="C159" i="7"/>
  <c r="L152" i="7"/>
  <c r="F152" i="7"/>
  <c r="C151" i="7"/>
  <c r="C153" i="7" s="1"/>
  <c r="I150" i="7"/>
  <c r="F150" i="7"/>
  <c r="V149" i="7"/>
  <c r="X149" i="7" s="1"/>
  <c r="J149" i="7"/>
  <c r="L149" i="7" s="1"/>
  <c r="I149" i="7"/>
  <c r="F149" i="7"/>
  <c r="V148" i="7"/>
  <c r="X148" i="7" s="1"/>
  <c r="J148" i="7"/>
  <c r="L148" i="7" s="1"/>
  <c r="I148" i="7"/>
  <c r="F148" i="7"/>
  <c r="F147" i="7"/>
  <c r="I145" i="7"/>
  <c r="F145" i="7"/>
  <c r="P144" i="7"/>
  <c r="L144" i="7"/>
  <c r="I144" i="7"/>
  <c r="F144" i="7"/>
  <c r="L138" i="7"/>
  <c r="F138" i="7"/>
  <c r="C137" i="7"/>
  <c r="C139" i="7" s="1"/>
  <c r="I136" i="7"/>
  <c r="F136" i="7"/>
  <c r="V135" i="7"/>
  <c r="X135" i="7" s="1"/>
  <c r="J135" i="7"/>
  <c r="L135" i="7" s="1"/>
  <c r="I135" i="7"/>
  <c r="I91" i="7" s="1"/>
  <c r="F135" i="7"/>
  <c r="V134" i="7"/>
  <c r="X134" i="7" s="1"/>
  <c r="J134" i="7"/>
  <c r="L134" i="7" s="1"/>
  <c r="I134" i="7"/>
  <c r="F134" i="7"/>
  <c r="F133" i="7"/>
  <c r="I131" i="7"/>
  <c r="F131" i="7"/>
  <c r="P130" i="7"/>
  <c r="L130" i="7"/>
  <c r="I130" i="7"/>
  <c r="F130" i="7"/>
  <c r="L124" i="7"/>
  <c r="F124" i="7"/>
  <c r="C123" i="7"/>
  <c r="C125" i="7" s="1"/>
  <c r="F122" i="7"/>
  <c r="F121" i="7"/>
  <c r="F120" i="7"/>
  <c r="F119" i="7"/>
  <c r="I117" i="7"/>
  <c r="F117" i="7"/>
  <c r="I116" i="7"/>
  <c r="F116" i="7"/>
  <c r="L110" i="7"/>
  <c r="F110" i="7"/>
  <c r="F108" i="7"/>
  <c r="J107" i="7"/>
  <c r="L107" i="7" s="1"/>
  <c r="F107" i="7"/>
  <c r="J106" i="7"/>
  <c r="J108" i="7" s="1"/>
  <c r="L108" i="7" s="1"/>
  <c r="F106" i="7"/>
  <c r="I104" i="7"/>
  <c r="I88" i="7" s="1"/>
  <c r="G103" i="7"/>
  <c r="P102" i="7"/>
  <c r="L102" i="7"/>
  <c r="I102" i="7"/>
  <c r="F102" i="7"/>
  <c r="AA97" i="7"/>
  <c r="Z97" i="7"/>
  <c r="Y97" i="7"/>
  <c r="I94" i="7"/>
  <c r="C94" i="7"/>
  <c r="J92" i="7"/>
  <c r="C92" i="7"/>
  <c r="C91" i="7"/>
  <c r="C90" i="7"/>
  <c r="C86" i="7"/>
  <c r="C81" i="7"/>
  <c r="L80" i="7"/>
  <c r="F80" i="7"/>
  <c r="N77" i="7"/>
  <c r="P77" i="7" s="1"/>
  <c r="J77" i="7"/>
  <c r="L77" i="7" s="1"/>
  <c r="I77" i="7"/>
  <c r="F77" i="7"/>
  <c r="J76" i="7"/>
  <c r="L76" i="7" s="1"/>
  <c r="I76" i="7"/>
  <c r="F76" i="7"/>
  <c r="J75" i="7"/>
  <c r="L75" i="7" s="1"/>
  <c r="I75" i="7"/>
  <c r="F75" i="7"/>
  <c r="J74" i="7"/>
  <c r="L74" i="7" s="1"/>
  <c r="I74" i="7"/>
  <c r="F74" i="7"/>
  <c r="J72" i="7"/>
  <c r="L72" i="7" s="1"/>
  <c r="I72" i="7"/>
  <c r="F72" i="7"/>
  <c r="J71" i="7"/>
  <c r="L71" i="7" s="1"/>
  <c r="I71" i="7"/>
  <c r="F71" i="7"/>
  <c r="J70" i="7"/>
  <c r="L70" i="7" s="1"/>
  <c r="I70" i="7"/>
  <c r="F70" i="7"/>
  <c r="C64" i="7"/>
  <c r="L63" i="7"/>
  <c r="F63" i="7"/>
  <c r="N60" i="7"/>
  <c r="P60" i="7" s="1"/>
  <c r="J60" i="7"/>
  <c r="L60" i="7" s="1"/>
  <c r="I60" i="7"/>
  <c r="F60" i="7"/>
  <c r="J59" i="7"/>
  <c r="L59" i="7" s="1"/>
  <c r="I59" i="7"/>
  <c r="F59" i="7"/>
  <c r="J58" i="7"/>
  <c r="L58" i="7" s="1"/>
  <c r="I58" i="7"/>
  <c r="F58" i="7"/>
  <c r="J57" i="7"/>
  <c r="L57" i="7" s="1"/>
  <c r="I57" i="7"/>
  <c r="F57" i="7"/>
  <c r="J55" i="7"/>
  <c r="L55" i="7" s="1"/>
  <c r="I55" i="7"/>
  <c r="F55" i="7"/>
  <c r="J54" i="7"/>
  <c r="L54" i="7" s="1"/>
  <c r="I54" i="7"/>
  <c r="F54" i="7"/>
  <c r="J53" i="7"/>
  <c r="L53" i="7" s="1"/>
  <c r="I53" i="7"/>
  <c r="F53" i="7"/>
  <c r="C47" i="7"/>
  <c r="L46" i="7"/>
  <c r="F46" i="7"/>
  <c r="C43" i="7"/>
  <c r="R42" i="7"/>
  <c r="N42" i="7"/>
  <c r="P42" i="7" s="1"/>
  <c r="J42" i="7"/>
  <c r="L42" i="7" s="1"/>
  <c r="I42" i="7"/>
  <c r="F42" i="7"/>
  <c r="J41" i="7"/>
  <c r="L41" i="7" s="1"/>
  <c r="I41" i="7"/>
  <c r="F41" i="7"/>
  <c r="J40" i="7"/>
  <c r="L40" i="7" s="1"/>
  <c r="I40" i="7"/>
  <c r="F40" i="7"/>
  <c r="J39" i="7"/>
  <c r="L39" i="7" s="1"/>
  <c r="I39" i="7"/>
  <c r="F39" i="7"/>
  <c r="J37" i="7"/>
  <c r="L37" i="7" s="1"/>
  <c r="I37" i="7"/>
  <c r="F37" i="7"/>
  <c r="J36" i="7"/>
  <c r="L36" i="7" s="1"/>
  <c r="I36" i="7"/>
  <c r="F36" i="7"/>
  <c r="J35" i="7"/>
  <c r="L35" i="7" s="1"/>
  <c r="I35" i="7"/>
  <c r="F35" i="7"/>
  <c r="AA29" i="7"/>
  <c r="Z29" i="7"/>
  <c r="Y29" i="7"/>
  <c r="I25" i="7"/>
  <c r="L25" i="7" s="1"/>
  <c r="C25" i="7"/>
  <c r="C24" i="7"/>
  <c r="C23" i="7"/>
  <c r="C22" i="7"/>
  <c r="C21" i="7"/>
  <c r="C20" i="7"/>
  <c r="C19" i="7"/>
  <c r="C17" i="7"/>
  <c r="C16" i="7"/>
  <c r="C15" i="7"/>
  <c r="R17" i="7"/>
  <c r="V18" i="7"/>
  <c r="N665" i="7" l="1"/>
  <c r="R666" i="7"/>
  <c r="X846" i="7"/>
  <c r="R698" i="7"/>
  <c r="T698" i="7" s="1"/>
  <c r="V864" i="7"/>
  <c r="X864" i="7" s="1"/>
  <c r="R935" i="7"/>
  <c r="T935" i="7" s="1"/>
  <c r="T970" i="7" s="1"/>
  <c r="N697" i="7"/>
  <c r="P697" i="7" s="1"/>
  <c r="V666" i="7"/>
  <c r="X666" i="7" s="1"/>
  <c r="R545" i="7"/>
  <c r="T545" i="7" s="1"/>
  <c r="R570" i="7"/>
  <c r="R581" i="7" s="1"/>
  <c r="T581" i="7" s="1"/>
  <c r="R582" i="7"/>
  <c r="T582" i="7" s="1"/>
  <c r="N1139" i="7"/>
  <c r="P1139" i="7" s="1"/>
  <c r="N1119" i="7"/>
  <c r="P1119" i="7" s="1"/>
  <c r="N1138" i="7"/>
  <c r="P1138" i="7" s="1"/>
  <c r="N1116" i="7"/>
  <c r="P1116" i="7" s="1"/>
  <c r="N1104" i="7"/>
  <c r="P1104" i="7" s="1"/>
  <c r="P1105" i="7" s="1"/>
  <c r="N1062" i="7"/>
  <c r="P1062" i="7" s="1"/>
  <c r="N1067" i="7"/>
  <c r="P1067" i="7" s="1"/>
  <c r="N1063" i="7"/>
  <c r="P1063" i="7" s="1"/>
  <c r="N1004" i="7"/>
  <c r="P1004" i="7" s="1"/>
  <c r="N1006" i="7"/>
  <c r="P1006" i="7" s="1"/>
  <c r="N1034" i="7"/>
  <c r="P1034" i="7" s="1"/>
  <c r="N998" i="7"/>
  <c r="P998" i="7" s="1"/>
  <c r="N1005" i="7"/>
  <c r="P1005" i="7" s="1"/>
  <c r="N1001" i="7"/>
  <c r="P1001" i="7" s="1"/>
  <c r="N1124" i="7"/>
  <c r="P1124" i="7" s="1"/>
  <c r="N1064" i="7"/>
  <c r="P1064" i="7" s="1"/>
  <c r="N1115" i="7"/>
  <c r="P1115" i="7" s="1"/>
  <c r="N1123" i="7"/>
  <c r="P1123" i="7" s="1"/>
  <c r="N1066" i="7"/>
  <c r="P1066" i="7" s="1"/>
  <c r="N1035" i="7"/>
  <c r="P1035" i="7" s="1"/>
  <c r="N1065" i="7"/>
  <c r="P1065" i="7" s="1"/>
  <c r="N1000" i="7"/>
  <c r="P1000" i="7" s="1"/>
  <c r="N1002" i="7"/>
  <c r="P1002" i="7" s="1"/>
  <c r="N1007" i="7"/>
  <c r="P1007" i="7" s="1"/>
  <c r="N1003" i="7"/>
  <c r="P1003" i="7" s="1"/>
  <c r="N999" i="7"/>
  <c r="P999" i="7" s="1"/>
  <c r="V698" i="7"/>
  <c r="X698" i="7" s="1"/>
  <c r="F1144" i="7"/>
  <c r="I1144" i="7"/>
  <c r="I1146" i="7" s="1"/>
  <c r="Z1146" i="7" s="1"/>
  <c r="T1145" i="7"/>
  <c r="X1145" i="7"/>
  <c r="P1145" i="7"/>
  <c r="T1106" i="7"/>
  <c r="X1106" i="7"/>
  <c r="P1106" i="7"/>
  <c r="T1092" i="7"/>
  <c r="X1092" i="7"/>
  <c r="P1092" i="7"/>
  <c r="I1091" i="7"/>
  <c r="I1093" i="7" s="1"/>
  <c r="L1089" i="7"/>
  <c r="V1089" i="7"/>
  <c r="X1089" i="7" s="1"/>
  <c r="X1047" i="7" s="1"/>
  <c r="N1089" i="7"/>
  <c r="P1089" i="7" s="1"/>
  <c r="P1091" i="7" s="1"/>
  <c r="R1089" i="7"/>
  <c r="T1089" i="7" s="1"/>
  <c r="T1047" i="7" s="1"/>
  <c r="C1050" i="7"/>
  <c r="X1080" i="7"/>
  <c r="P1080" i="7"/>
  <c r="T1080" i="7"/>
  <c r="I988" i="7"/>
  <c r="I990" i="7" s="1"/>
  <c r="T1023" i="7"/>
  <c r="X1023" i="7"/>
  <c r="P1023" i="7"/>
  <c r="F536" i="7"/>
  <c r="X989" i="7"/>
  <c r="P989" i="7"/>
  <c r="T989" i="7"/>
  <c r="F668" i="7"/>
  <c r="L670" i="7"/>
  <c r="P772" i="7" s="1"/>
  <c r="I628" i="7"/>
  <c r="I649" i="7"/>
  <c r="I651" i="7"/>
  <c r="I652" i="7"/>
  <c r="I653" i="7"/>
  <c r="I654" i="7"/>
  <c r="I656" i="7"/>
  <c r="I657" i="7"/>
  <c r="I658" i="7"/>
  <c r="I659" i="7"/>
  <c r="I660" i="7"/>
  <c r="I662" i="7"/>
  <c r="I663" i="7"/>
  <c r="I665" i="7"/>
  <c r="I667" i="7"/>
  <c r="I668" i="7"/>
  <c r="F626" i="7"/>
  <c r="L649" i="7"/>
  <c r="F628" i="7"/>
  <c r="F629" i="7"/>
  <c r="L652" i="7"/>
  <c r="F630" i="7"/>
  <c r="L653" i="7"/>
  <c r="C631" i="7"/>
  <c r="I635" i="7"/>
  <c r="I637" i="7"/>
  <c r="I638" i="7"/>
  <c r="I639" i="7"/>
  <c r="I640" i="7"/>
  <c r="I641" i="7"/>
  <c r="I643" i="7"/>
  <c r="I644" i="7"/>
  <c r="I646" i="7"/>
  <c r="I647" i="7"/>
  <c r="T585" i="7"/>
  <c r="X585" i="7"/>
  <c r="P585" i="7"/>
  <c r="I527" i="7"/>
  <c r="I523" i="7"/>
  <c r="I524" i="7"/>
  <c r="F526" i="7"/>
  <c r="F529" i="7"/>
  <c r="I530" i="7"/>
  <c r="I532" i="7"/>
  <c r="F533" i="7"/>
  <c r="I534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C516" i="7"/>
  <c r="I514" i="7"/>
  <c r="I516" i="7" s="1"/>
  <c r="X447" i="7"/>
  <c r="P447" i="7"/>
  <c r="T447" i="7"/>
  <c r="I407" i="7"/>
  <c r="I408" i="7"/>
  <c r="I409" i="7"/>
  <c r="I410" i="7"/>
  <c r="I411" i="7"/>
  <c r="I412" i="7"/>
  <c r="I413" i="7"/>
  <c r="I415" i="7"/>
  <c r="I416" i="7"/>
  <c r="F396" i="7"/>
  <c r="F159" i="7" s="1"/>
  <c r="F446" i="7"/>
  <c r="F448" i="7" s="1"/>
  <c r="L396" i="7"/>
  <c r="L159" i="7" s="1"/>
  <c r="I446" i="7"/>
  <c r="I448" i="7" s="1"/>
  <c r="F407" i="7"/>
  <c r="F408" i="7"/>
  <c r="F409" i="7"/>
  <c r="F410" i="7"/>
  <c r="F411" i="7"/>
  <c r="F412" i="7"/>
  <c r="F413" i="7"/>
  <c r="F414" i="7"/>
  <c r="F415" i="7"/>
  <c r="L415" i="7"/>
  <c r="F416" i="7"/>
  <c r="L416" i="7"/>
  <c r="C417" i="7"/>
  <c r="C419" i="7" s="1"/>
  <c r="I396" i="7"/>
  <c r="I159" i="7" s="1"/>
  <c r="I397" i="7"/>
  <c r="I160" i="7" s="1"/>
  <c r="P397" i="7"/>
  <c r="I398" i="7"/>
  <c r="I161" i="7" s="1"/>
  <c r="P398" i="7"/>
  <c r="F401" i="7"/>
  <c r="L410" i="7"/>
  <c r="I402" i="7"/>
  <c r="L412" i="7"/>
  <c r="I404" i="7"/>
  <c r="F405" i="7"/>
  <c r="L414" i="7"/>
  <c r="X388" i="7"/>
  <c r="P388" i="7"/>
  <c r="T388" i="7"/>
  <c r="N460" i="7"/>
  <c r="N431" i="7"/>
  <c r="P431" i="7" s="1"/>
  <c r="N402" i="7"/>
  <c r="N411" i="7" s="1"/>
  <c r="N372" i="7"/>
  <c r="P372" i="7" s="1"/>
  <c r="T359" i="7"/>
  <c r="X359" i="7"/>
  <c r="P359" i="7"/>
  <c r="X301" i="7"/>
  <c r="P301" i="7"/>
  <c r="T301" i="7"/>
  <c r="L411" i="7"/>
  <c r="I414" i="7"/>
  <c r="X182" i="7"/>
  <c r="T182" i="7"/>
  <c r="X273" i="7"/>
  <c r="P273" i="7"/>
  <c r="T273" i="7"/>
  <c r="X244" i="7"/>
  <c r="P244" i="7"/>
  <c r="T244" i="7"/>
  <c r="F212" i="7"/>
  <c r="L213" i="7"/>
  <c r="F214" i="7"/>
  <c r="T214" i="7"/>
  <c r="J209" i="7"/>
  <c r="V200" i="7"/>
  <c r="R200" i="7"/>
  <c r="J211" i="7"/>
  <c r="V202" i="7"/>
  <c r="R202" i="7"/>
  <c r="N202" i="7"/>
  <c r="N171" i="7" s="1"/>
  <c r="L651" i="7"/>
  <c r="J208" i="7"/>
  <c r="V199" i="7"/>
  <c r="R199" i="7"/>
  <c r="N199" i="7"/>
  <c r="N168" i="7" s="1"/>
  <c r="J210" i="7"/>
  <c r="V201" i="7"/>
  <c r="R201" i="7"/>
  <c r="N201" i="7"/>
  <c r="N170" i="7" s="1"/>
  <c r="I584" i="7"/>
  <c r="I586" i="7" s="1"/>
  <c r="F403" i="7"/>
  <c r="F213" i="7"/>
  <c r="F310" i="7"/>
  <c r="F319" i="7"/>
  <c r="F320" i="7"/>
  <c r="F321" i="7"/>
  <c r="F322" i="7"/>
  <c r="F323" i="7"/>
  <c r="F324" i="7"/>
  <c r="F325" i="7"/>
  <c r="F326" i="7"/>
  <c r="F327" i="7"/>
  <c r="F328" i="7"/>
  <c r="T176" i="7"/>
  <c r="C179" i="7"/>
  <c r="F209" i="7"/>
  <c r="F210" i="7"/>
  <c r="F211" i="7"/>
  <c r="L214" i="7"/>
  <c r="L327" i="7"/>
  <c r="X545" i="7"/>
  <c r="I666" i="7"/>
  <c r="C185" i="7"/>
  <c r="L197" i="7"/>
  <c r="I201" i="7"/>
  <c r="I170" i="7" s="1"/>
  <c r="I203" i="7"/>
  <c r="I172" i="7" s="1"/>
  <c r="F205" i="7"/>
  <c r="F206" i="7"/>
  <c r="F207" i="7"/>
  <c r="I196" i="7"/>
  <c r="I164" i="7" s="1"/>
  <c r="I197" i="7"/>
  <c r="I165" i="7" s="1"/>
  <c r="P197" i="7"/>
  <c r="F199" i="7"/>
  <c r="F202" i="7"/>
  <c r="F203" i="7"/>
  <c r="I206" i="7"/>
  <c r="I207" i="7"/>
  <c r="I300" i="7"/>
  <c r="I302" i="7" s="1"/>
  <c r="L368" i="7"/>
  <c r="P368" i="7"/>
  <c r="C825" i="7"/>
  <c r="C806" i="7" s="1"/>
  <c r="F17" i="7"/>
  <c r="C829" i="7"/>
  <c r="C810" i="7" s="1"/>
  <c r="X1048" i="7"/>
  <c r="F1146" i="7"/>
  <c r="I212" i="7"/>
  <c r="I214" i="7"/>
  <c r="F62" i="7"/>
  <c r="F64" i="7" s="1"/>
  <c r="I86" i="7"/>
  <c r="I151" i="7"/>
  <c r="I153" i="7" s="1"/>
  <c r="C164" i="7"/>
  <c r="C168" i="7"/>
  <c r="F309" i="7"/>
  <c r="L328" i="7"/>
  <c r="T328" i="7"/>
  <c r="I387" i="7"/>
  <c r="I389" i="7" s="1"/>
  <c r="I522" i="7"/>
  <c r="P558" i="7"/>
  <c r="I618" i="7"/>
  <c r="I620" i="7" s="1"/>
  <c r="I944" i="7"/>
  <c r="F963" i="7"/>
  <c r="L963" i="7"/>
  <c r="C937" i="7"/>
  <c r="C938" i="7" s="1"/>
  <c r="F896" i="7"/>
  <c r="C893" i="7"/>
  <c r="F990" i="7"/>
  <c r="F1022" i="7"/>
  <c r="F1024" i="7" s="1"/>
  <c r="C1052" i="7"/>
  <c r="P1046" i="7"/>
  <c r="L1144" i="7"/>
  <c r="L1146" i="7" s="1"/>
  <c r="I794" i="7"/>
  <c r="I796" i="7" s="1"/>
  <c r="F838" i="7"/>
  <c r="I1048" i="7"/>
  <c r="L1048" i="7" s="1"/>
  <c r="T174" i="7"/>
  <c r="P178" i="7"/>
  <c r="C170" i="7"/>
  <c r="C172" i="7"/>
  <c r="C215" i="7"/>
  <c r="C217" i="7" s="1"/>
  <c r="L236" i="7"/>
  <c r="L208" i="7" s="1"/>
  <c r="F272" i="7"/>
  <c r="F274" i="7" s="1"/>
  <c r="I21" i="7"/>
  <c r="F25" i="7"/>
  <c r="I90" i="7"/>
  <c r="I92" i="7"/>
  <c r="L195" i="7"/>
  <c r="F196" i="7"/>
  <c r="I199" i="7"/>
  <c r="I168" i="7" s="1"/>
  <c r="L558" i="7"/>
  <c r="T152" i="7"/>
  <c r="I205" i="7"/>
  <c r="I211" i="7"/>
  <c r="I213" i="7"/>
  <c r="P213" i="7"/>
  <c r="F200" i="7"/>
  <c r="F201" i="7"/>
  <c r="L367" i="7"/>
  <c r="P367" i="7"/>
  <c r="F846" i="7"/>
  <c r="T138" i="7"/>
  <c r="X803" i="7"/>
  <c r="C822" i="7"/>
  <c r="C803" i="7" s="1"/>
  <c r="I841" i="7"/>
  <c r="F894" i="7"/>
  <c r="F1091" i="7"/>
  <c r="F1093" i="7" s="1"/>
  <c r="F1047" i="7"/>
  <c r="F45" i="7"/>
  <c r="F47" i="7" s="1"/>
  <c r="F20" i="7"/>
  <c r="F22" i="7"/>
  <c r="F79" i="7"/>
  <c r="F81" i="7" s="1"/>
  <c r="F86" i="7"/>
  <c r="F137" i="7"/>
  <c r="F139" i="7" s="1"/>
  <c r="P174" i="7"/>
  <c r="X174" i="7"/>
  <c r="P175" i="7"/>
  <c r="X175" i="7"/>
  <c r="I195" i="7"/>
  <c r="C165" i="7"/>
  <c r="L196" i="7"/>
  <c r="F197" i="7"/>
  <c r="L227" i="7"/>
  <c r="I200" i="7"/>
  <c r="L228" i="7"/>
  <c r="L229" i="7"/>
  <c r="I202" i="7"/>
  <c r="L230" i="7"/>
  <c r="L231" i="7"/>
  <c r="I208" i="7"/>
  <c r="I209" i="7"/>
  <c r="I210" i="7"/>
  <c r="L260" i="7"/>
  <c r="F300" i="7"/>
  <c r="F302" i="7" s="1"/>
  <c r="C311" i="7"/>
  <c r="L342" i="7"/>
  <c r="L343" i="7"/>
  <c r="L344" i="7"/>
  <c r="I345" i="7"/>
  <c r="I358" i="7" s="1"/>
  <c r="F345" i="7"/>
  <c r="F358" i="7" s="1"/>
  <c r="P328" i="7"/>
  <c r="X328" i="7"/>
  <c r="C586" i="7"/>
  <c r="C548" i="7"/>
  <c r="C550" i="7" s="1"/>
  <c r="L864" i="7"/>
  <c r="L952" i="7" s="1"/>
  <c r="J789" i="7"/>
  <c r="L789" i="7" s="1"/>
  <c r="T864" i="7"/>
  <c r="T952" i="7" s="1"/>
  <c r="R789" i="7"/>
  <c r="T789" i="7" s="1"/>
  <c r="P516" i="7"/>
  <c r="F865" i="7"/>
  <c r="C840" i="7"/>
  <c r="I882" i="7"/>
  <c r="X1079" i="7"/>
  <c r="I1079" i="7"/>
  <c r="I1081" i="7" s="1"/>
  <c r="F1048" i="7"/>
  <c r="T1048" i="7"/>
  <c r="I1047" i="7"/>
  <c r="L1047" i="7" s="1"/>
  <c r="C26" i="7"/>
  <c r="I16" i="7"/>
  <c r="I19" i="7"/>
  <c r="L20" i="7"/>
  <c r="L22" i="7"/>
  <c r="N21" i="7"/>
  <c r="N76" i="7" s="1"/>
  <c r="P76" i="7" s="1"/>
  <c r="L366" i="7"/>
  <c r="P366" i="7"/>
  <c r="I79" i="7"/>
  <c r="I81" i="7" s="1"/>
  <c r="T124" i="7"/>
  <c r="F151" i="7"/>
  <c r="F153" i="7" s="1"/>
  <c r="T175" i="7"/>
  <c r="L256" i="7"/>
  <c r="L257" i="7"/>
  <c r="L258" i="7"/>
  <c r="L259" i="7"/>
  <c r="L667" i="7"/>
  <c r="T667" i="7"/>
  <c r="L668" i="7"/>
  <c r="F475" i="7"/>
  <c r="F477" i="7" s="1"/>
  <c r="L459" i="7"/>
  <c r="L460" i="7"/>
  <c r="L461" i="7"/>
  <c r="L462" i="7"/>
  <c r="L463" i="7"/>
  <c r="P405" i="7"/>
  <c r="I720" i="7"/>
  <c r="P668" i="7"/>
  <c r="I771" i="7"/>
  <c r="I773" i="7" s="1"/>
  <c r="F794" i="7"/>
  <c r="F796" i="7" s="1"/>
  <c r="N784" i="7"/>
  <c r="P784" i="7" s="1"/>
  <c r="I843" i="7"/>
  <c r="T846" i="7"/>
  <c r="T795" i="7"/>
  <c r="C964" i="7"/>
  <c r="I966" i="7"/>
  <c r="I969" i="7"/>
  <c r="I1022" i="7"/>
  <c r="I1024" i="7" s="1"/>
  <c r="Z1024" i="7" s="1"/>
  <c r="F1037" i="7"/>
  <c r="F1039" i="7" s="1"/>
  <c r="L1046" i="7"/>
  <c r="F1051" i="7"/>
  <c r="F1105" i="7"/>
  <c r="F1107" i="7" s="1"/>
  <c r="I137" i="7"/>
  <c r="I139" i="7" s="1"/>
  <c r="I105" i="7"/>
  <c r="I89" i="7" s="1"/>
  <c r="V19" i="7"/>
  <c r="V74" i="7" s="1"/>
  <c r="X74" i="7" s="1"/>
  <c r="V20" i="7"/>
  <c r="V75" i="7" s="1"/>
  <c r="X75" i="7" s="1"/>
  <c r="F16" i="7"/>
  <c r="I20" i="7"/>
  <c r="I22" i="7"/>
  <c r="X91" i="7"/>
  <c r="L106" i="7"/>
  <c r="L90" i="7" s="1"/>
  <c r="L209" i="7"/>
  <c r="L210" i="7"/>
  <c r="L211" i="7"/>
  <c r="L212" i="7"/>
  <c r="I272" i="7"/>
  <c r="I274" i="7" s="1"/>
  <c r="N263" i="7"/>
  <c r="P263" i="7" s="1"/>
  <c r="L284" i="7"/>
  <c r="L285" i="7"/>
  <c r="L286" i="7"/>
  <c r="L287" i="7"/>
  <c r="L288" i="7"/>
  <c r="V21" i="7"/>
  <c r="V76" i="7" s="1"/>
  <c r="X76" i="7" s="1"/>
  <c r="I45" i="7"/>
  <c r="I47" i="7" s="1"/>
  <c r="L17" i="7"/>
  <c r="L62" i="7"/>
  <c r="L64" i="7" s="1"/>
  <c r="N262" i="7"/>
  <c r="P262" i="7" s="1"/>
  <c r="N264" i="7"/>
  <c r="P264" i="7" s="1"/>
  <c r="P214" i="7"/>
  <c r="X214" i="7"/>
  <c r="I308" i="7"/>
  <c r="C358" i="7"/>
  <c r="C360" i="7" s="1"/>
  <c r="F313" i="7"/>
  <c r="F314" i="7"/>
  <c r="F315" i="7"/>
  <c r="L430" i="7"/>
  <c r="L431" i="7"/>
  <c r="L432" i="7"/>
  <c r="L433" i="7"/>
  <c r="L434" i="7"/>
  <c r="I475" i="7"/>
  <c r="I477" i="7" s="1"/>
  <c r="L497" i="7"/>
  <c r="F514" i="7"/>
  <c r="F516" i="7" s="1"/>
  <c r="F584" i="7"/>
  <c r="P562" i="7"/>
  <c r="P563" i="7"/>
  <c r="L570" i="7"/>
  <c r="T570" i="7"/>
  <c r="X570" i="7"/>
  <c r="F618" i="7"/>
  <c r="F620" i="7" s="1"/>
  <c r="P596" i="7"/>
  <c r="P597" i="7"/>
  <c r="L604" i="7"/>
  <c r="T604" i="7"/>
  <c r="X604" i="7"/>
  <c r="X665" i="7"/>
  <c r="L677" i="7"/>
  <c r="L679" i="7"/>
  <c r="L680" i="7"/>
  <c r="P680" i="7"/>
  <c r="L681" i="7"/>
  <c r="P681" i="7"/>
  <c r="L728" i="7"/>
  <c r="L730" i="7"/>
  <c r="L731" i="7"/>
  <c r="P731" i="7"/>
  <c r="L732" i="7"/>
  <c r="P732" i="7"/>
  <c r="L839" i="7"/>
  <c r="T534" i="7"/>
  <c r="P536" i="7"/>
  <c r="P538" i="7"/>
  <c r="P540" i="7"/>
  <c r="T546" i="7"/>
  <c r="L838" i="7"/>
  <c r="F839" i="7"/>
  <c r="L846" i="7"/>
  <c r="I865" i="7"/>
  <c r="F947" i="7"/>
  <c r="F949" i="7"/>
  <c r="F952" i="7"/>
  <c r="F882" i="7"/>
  <c r="C883" i="7"/>
  <c r="C884" i="7" s="1"/>
  <c r="I892" i="7"/>
  <c r="F895" i="7"/>
  <c r="F898" i="7"/>
  <c r="C946" i="7"/>
  <c r="I948" i="7"/>
  <c r="I951" i="7"/>
  <c r="F965" i="7"/>
  <c r="F967" i="7"/>
  <c r="F970" i="7"/>
  <c r="T1022" i="7"/>
  <c r="C1039" i="7"/>
  <c r="F1079" i="7"/>
  <c r="F1081" i="7" s="1"/>
  <c r="L1079" i="7"/>
  <c r="L1081" i="7" s="1"/>
  <c r="L1105" i="7"/>
  <c r="L1107" i="7" s="1"/>
  <c r="T1144" i="7"/>
  <c r="C900" i="7"/>
  <c r="L1022" i="7"/>
  <c r="L1024" i="7" s="1"/>
  <c r="L1037" i="7"/>
  <c r="L1039" i="7" s="1"/>
  <c r="X1037" i="7"/>
  <c r="T1079" i="7"/>
  <c r="I123" i="7"/>
  <c r="I125" i="7" s="1"/>
  <c r="F123" i="7"/>
  <c r="F125" i="7" s="1"/>
  <c r="L86" i="7"/>
  <c r="F15" i="7"/>
  <c r="L16" i="7"/>
  <c r="F19" i="7"/>
  <c r="L19" i="7"/>
  <c r="F21" i="7"/>
  <c r="L21" i="7"/>
  <c r="I62" i="7"/>
  <c r="I64" i="7" s="1"/>
  <c r="I17" i="7"/>
  <c r="L79" i="7"/>
  <c r="L81" i="7" s="1"/>
  <c r="C109" i="7"/>
  <c r="C111" i="7" s="1"/>
  <c r="C87" i="7"/>
  <c r="F103" i="7"/>
  <c r="F87" i="7" s="1"/>
  <c r="I103" i="7"/>
  <c r="I87" i="7" s="1"/>
  <c r="F89" i="7"/>
  <c r="R72" i="7"/>
  <c r="T72" i="7" s="1"/>
  <c r="R55" i="7"/>
  <c r="T55" i="7" s="1"/>
  <c r="R37" i="7"/>
  <c r="T37" i="7" s="1"/>
  <c r="T17" i="7"/>
  <c r="L15" i="7"/>
  <c r="N19" i="7"/>
  <c r="R19" i="7"/>
  <c r="N20" i="7"/>
  <c r="R20" i="7"/>
  <c r="R21" i="7"/>
  <c r="P22" i="7"/>
  <c r="Y1109" i="7"/>
  <c r="Y1148" i="7"/>
  <c r="Y1055" i="7"/>
  <c r="Y1027" i="7"/>
  <c r="Y1041" i="7" s="1"/>
  <c r="AA1109" i="7"/>
  <c r="AA1148" i="7"/>
  <c r="AA1055" i="7"/>
  <c r="AA1027" i="7"/>
  <c r="AA1041" i="7" s="1"/>
  <c r="X92" i="7"/>
  <c r="J136" i="7"/>
  <c r="L136" i="7" s="1"/>
  <c r="V150" i="7"/>
  <c r="X150" i="7" s="1"/>
  <c r="C198" i="7"/>
  <c r="C167" i="7" s="1"/>
  <c r="C163" i="7"/>
  <c r="N233" i="7"/>
  <c r="P233" i="7" s="1"/>
  <c r="V233" i="7"/>
  <c r="X233" i="7" s="1"/>
  <c r="N234" i="7"/>
  <c r="P234" i="7" s="1"/>
  <c r="V234" i="7"/>
  <c r="X234" i="7" s="1"/>
  <c r="N235" i="7"/>
  <c r="P235" i="7" s="1"/>
  <c r="V235" i="7"/>
  <c r="X235" i="7" s="1"/>
  <c r="I314" i="7"/>
  <c r="C169" i="7"/>
  <c r="I316" i="7"/>
  <c r="C171" i="7"/>
  <c r="J380" i="7"/>
  <c r="L380" i="7" s="1"/>
  <c r="L322" i="7" s="1"/>
  <c r="L371" i="7"/>
  <c r="J381" i="7"/>
  <c r="L381" i="7" s="1"/>
  <c r="L323" i="7" s="1"/>
  <c r="L372" i="7"/>
  <c r="J382" i="7"/>
  <c r="L382" i="7" s="1"/>
  <c r="L324" i="7" s="1"/>
  <c r="L373" i="7"/>
  <c r="J383" i="7"/>
  <c r="L383" i="7" s="1"/>
  <c r="L374" i="7"/>
  <c r="J384" i="7"/>
  <c r="L384" i="7" s="1"/>
  <c r="L375" i="7"/>
  <c r="P396" i="7"/>
  <c r="P524" i="7"/>
  <c r="I15" i="7"/>
  <c r="N15" i="7"/>
  <c r="R15" i="7"/>
  <c r="V15" i="7"/>
  <c r="N16" i="7"/>
  <c r="R16" i="7"/>
  <c r="V16" i="7"/>
  <c r="N17" i="7"/>
  <c r="V17" i="7"/>
  <c r="Z1148" i="7"/>
  <c r="Z1109" i="7"/>
  <c r="Z1055" i="7"/>
  <c r="Z1027" i="7"/>
  <c r="Z1041" i="7" s="1"/>
  <c r="P86" i="7"/>
  <c r="X90" i="7"/>
  <c r="L94" i="7"/>
  <c r="F94" i="7"/>
  <c r="F90" i="7"/>
  <c r="L91" i="7"/>
  <c r="F92" i="7"/>
  <c r="F91" i="7"/>
  <c r="V136" i="7"/>
  <c r="X136" i="7" s="1"/>
  <c r="J150" i="7"/>
  <c r="L150" i="7" s="1"/>
  <c r="P176" i="7"/>
  <c r="X176" i="7"/>
  <c r="P195" i="7"/>
  <c r="L216" i="7"/>
  <c r="F216" i="7"/>
  <c r="I185" i="7"/>
  <c r="F195" i="7"/>
  <c r="J233" i="7"/>
  <c r="L233" i="7" s="1"/>
  <c r="R233" i="7"/>
  <c r="T233" i="7" s="1"/>
  <c r="J234" i="7"/>
  <c r="L234" i="7" s="1"/>
  <c r="R234" i="7"/>
  <c r="T234" i="7" s="1"/>
  <c r="J235" i="7"/>
  <c r="L235" i="7" s="1"/>
  <c r="R235" i="7"/>
  <c r="T235" i="7" s="1"/>
  <c r="F236" i="7"/>
  <c r="F208" i="7" s="1"/>
  <c r="C208" i="7"/>
  <c r="C177" i="7" s="1"/>
  <c r="P196" i="7"/>
  <c r="P212" i="7"/>
  <c r="N290" i="7"/>
  <c r="N291" i="7"/>
  <c r="N292" i="7"/>
  <c r="P292" i="7" s="1"/>
  <c r="P337" i="7"/>
  <c r="J354" i="7"/>
  <c r="L354" i="7" s="1"/>
  <c r="L345" i="7"/>
  <c r="F317" i="7"/>
  <c r="J355" i="7"/>
  <c r="L355" i="7" s="1"/>
  <c r="L346" i="7"/>
  <c r="P160" i="7"/>
  <c r="P522" i="7"/>
  <c r="C525" i="7"/>
  <c r="N606" i="7"/>
  <c r="P592" i="7"/>
  <c r="N607" i="7"/>
  <c r="P607" i="7" s="1"/>
  <c r="P593" i="7"/>
  <c r="P594" i="7"/>
  <c r="P159" i="7"/>
  <c r="P161" i="7"/>
  <c r="I243" i="7"/>
  <c r="I245" i="7" s="1"/>
  <c r="J262" i="7"/>
  <c r="L262" i="7" s="1"/>
  <c r="J263" i="7"/>
  <c r="L263" i="7" s="1"/>
  <c r="J264" i="7"/>
  <c r="L264" i="7" s="1"/>
  <c r="J290" i="7"/>
  <c r="L290" i="7" s="1"/>
  <c r="J291" i="7"/>
  <c r="L291" i="7" s="1"/>
  <c r="J292" i="7"/>
  <c r="L292" i="7" s="1"/>
  <c r="L330" i="7"/>
  <c r="F330" i="7"/>
  <c r="F308" i="7"/>
  <c r="J348" i="7"/>
  <c r="L348" i="7" s="1"/>
  <c r="L319" i="7" s="1"/>
  <c r="L337" i="7"/>
  <c r="J349" i="7"/>
  <c r="L349" i="7" s="1"/>
  <c r="L320" i="7" s="1"/>
  <c r="L338" i="7"/>
  <c r="J350" i="7"/>
  <c r="L350" i="7" s="1"/>
  <c r="L321" i="7" s="1"/>
  <c r="L339" i="7"/>
  <c r="F387" i="7"/>
  <c r="F389" i="7" s="1"/>
  <c r="L418" i="7"/>
  <c r="F418" i="7"/>
  <c r="J436" i="7"/>
  <c r="L436" i="7" s="1"/>
  <c r="J437" i="7"/>
  <c r="L437" i="7" s="1"/>
  <c r="J438" i="7"/>
  <c r="L438" i="7" s="1"/>
  <c r="J465" i="7"/>
  <c r="L465" i="7" s="1"/>
  <c r="J466" i="7"/>
  <c r="L466" i="7" s="1"/>
  <c r="J467" i="7"/>
  <c r="L467" i="7" s="1"/>
  <c r="P523" i="7"/>
  <c r="N573" i="7"/>
  <c r="P573" i="7" s="1"/>
  <c r="P559" i="7"/>
  <c r="N574" i="7"/>
  <c r="P574" i="7" s="1"/>
  <c r="P560" i="7"/>
  <c r="L496" i="7"/>
  <c r="J511" i="7"/>
  <c r="L511" i="7" s="1"/>
  <c r="J512" i="7"/>
  <c r="L512" i="7" s="1"/>
  <c r="P537" i="7"/>
  <c r="P539" i="7"/>
  <c r="L549" i="7"/>
  <c r="F549" i="7"/>
  <c r="P526" i="7"/>
  <c r="P527" i="7"/>
  <c r="J573" i="7"/>
  <c r="L573" i="7" s="1"/>
  <c r="L559" i="7"/>
  <c r="J574" i="7"/>
  <c r="L574" i="7" s="1"/>
  <c r="L560" i="7"/>
  <c r="J606" i="7"/>
  <c r="L606" i="7" s="1"/>
  <c r="L536" i="7" s="1"/>
  <c r="L592" i="7"/>
  <c r="J607" i="7"/>
  <c r="L607" i="7" s="1"/>
  <c r="L593" i="7"/>
  <c r="J608" i="7"/>
  <c r="L608" i="7" s="1"/>
  <c r="L594" i="7"/>
  <c r="J705" i="7"/>
  <c r="L705" i="7" s="1"/>
  <c r="L686" i="7"/>
  <c r="J707" i="7"/>
  <c r="L707" i="7" s="1"/>
  <c r="L688" i="7"/>
  <c r="J708" i="7"/>
  <c r="L708" i="7" s="1"/>
  <c r="L689" i="7"/>
  <c r="J709" i="7"/>
  <c r="L709" i="7" s="1"/>
  <c r="L690" i="7"/>
  <c r="J710" i="7"/>
  <c r="L710" i="7" s="1"/>
  <c r="L691" i="7"/>
  <c r="J711" i="7"/>
  <c r="L711" i="7" s="1"/>
  <c r="L692" i="7"/>
  <c r="J694" i="7"/>
  <c r="J695" i="7"/>
  <c r="J716" i="7"/>
  <c r="L716" i="7" s="1"/>
  <c r="L697" i="7"/>
  <c r="R716" i="7"/>
  <c r="T716" i="7" s="1"/>
  <c r="T697" i="7"/>
  <c r="J717" i="7"/>
  <c r="L717" i="7" s="1"/>
  <c r="L698" i="7"/>
  <c r="J756" i="7"/>
  <c r="L756" i="7" s="1"/>
  <c r="L737" i="7"/>
  <c r="J758" i="7"/>
  <c r="L758" i="7" s="1"/>
  <c r="L739" i="7"/>
  <c r="J759" i="7"/>
  <c r="L759" i="7" s="1"/>
  <c r="L740" i="7"/>
  <c r="J760" i="7"/>
  <c r="L760" i="7" s="1"/>
  <c r="L741" i="7"/>
  <c r="J761" i="7"/>
  <c r="L761" i="7" s="1"/>
  <c r="L742" i="7"/>
  <c r="J762" i="7"/>
  <c r="L762" i="7" s="1"/>
  <c r="L743" i="7"/>
  <c r="J745" i="7"/>
  <c r="J746" i="7"/>
  <c r="J767" i="7"/>
  <c r="L767" i="7" s="1"/>
  <c r="L748" i="7"/>
  <c r="T748" i="7"/>
  <c r="J768" i="7"/>
  <c r="L768" i="7" s="1"/>
  <c r="L749" i="7"/>
  <c r="T749" i="7"/>
  <c r="C669" i="7"/>
  <c r="C671" i="7" s="1"/>
  <c r="F720" i="7"/>
  <c r="P686" i="7"/>
  <c r="N707" i="7"/>
  <c r="P707" i="7" s="1"/>
  <c r="P688" i="7"/>
  <c r="P689" i="7"/>
  <c r="P690" i="7"/>
  <c r="P691" i="7"/>
  <c r="P692" i="7"/>
  <c r="N694" i="7"/>
  <c r="N695" i="7"/>
  <c r="N716" i="7"/>
  <c r="P716" i="7" s="1"/>
  <c r="V716" i="7"/>
  <c r="X716" i="7" s="1"/>
  <c r="X697" i="7"/>
  <c r="P698" i="7"/>
  <c r="P737" i="7"/>
  <c r="P739" i="7"/>
  <c r="P740" i="7"/>
  <c r="P741" i="7"/>
  <c r="P742" i="7"/>
  <c r="P743" i="7"/>
  <c r="N745" i="7"/>
  <c r="N746" i="7"/>
  <c r="P748" i="7"/>
  <c r="X748" i="7"/>
  <c r="P749" i="7"/>
  <c r="X749" i="7"/>
  <c r="F842" i="7"/>
  <c r="C847" i="7"/>
  <c r="F845" i="7"/>
  <c r="C828" i="7"/>
  <c r="C809" i="7" s="1"/>
  <c r="Y903" i="7"/>
  <c r="L856" i="7"/>
  <c r="L944" i="7" s="1"/>
  <c r="J781" i="7"/>
  <c r="R781" i="7"/>
  <c r="L857" i="7"/>
  <c r="L945" i="7" s="1"/>
  <c r="Z822" i="7"/>
  <c r="AA822" i="7" s="1"/>
  <c r="J782" i="7"/>
  <c r="L782" i="7" s="1"/>
  <c r="R782" i="7"/>
  <c r="C866" i="7"/>
  <c r="L891" i="7"/>
  <c r="F891" i="7"/>
  <c r="C821" i="7"/>
  <c r="C802" i="7" s="1"/>
  <c r="P891" i="7"/>
  <c r="F944" i="7"/>
  <c r="F919" i="7"/>
  <c r="F945" i="7"/>
  <c r="I947" i="7"/>
  <c r="I919" i="7"/>
  <c r="P947" i="7"/>
  <c r="I949" i="7"/>
  <c r="I952" i="7"/>
  <c r="X952" i="7"/>
  <c r="C953" i="7"/>
  <c r="C955" i="7" s="1"/>
  <c r="C920" i="7"/>
  <c r="P962" i="7"/>
  <c r="F771" i="7"/>
  <c r="F773" i="7" s="1"/>
  <c r="X795" i="7"/>
  <c r="P795" i="7"/>
  <c r="Z821" i="7"/>
  <c r="AA821" i="7" s="1"/>
  <c r="F841" i="7"/>
  <c r="C824" i="7"/>
  <c r="C805" i="7" s="1"/>
  <c r="P841" i="7"/>
  <c r="I842" i="7"/>
  <c r="X806" i="7"/>
  <c r="F843" i="7"/>
  <c r="C826" i="7"/>
  <c r="C807" i="7" s="1"/>
  <c r="I845" i="7"/>
  <c r="P856" i="7"/>
  <c r="N781" i="7"/>
  <c r="P781" i="7" s="1"/>
  <c r="P857" i="7"/>
  <c r="P945" i="7" s="1"/>
  <c r="I891" i="7"/>
  <c r="L892" i="7"/>
  <c r="F892" i="7"/>
  <c r="T899" i="7"/>
  <c r="L899" i="7"/>
  <c r="F899" i="7"/>
  <c r="X899" i="7"/>
  <c r="X829" i="7" s="1"/>
  <c r="X810" i="7" s="1"/>
  <c r="I899" i="7"/>
  <c r="AA903" i="7"/>
  <c r="I936" i="7"/>
  <c r="I962" i="7"/>
  <c r="L962" i="7"/>
  <c r="I963" i="7"/>
  <c r="F966" i="7"/>
  <c r="F969" i="7"/>
  <c r="L970" i="7"/>
  <c r="F936" i="7"/>
  <c r="I838" i="7"/>
  <c r="P838" i="7"/>
  <c r="I839" i="7"/>
  <c r="I846" i="7"/>
  <c r="P829" i="7"/>
  <c r="P810" i="7" s="1"/>
  <c r="I894" i="7"/>
  <c r="P894" i="7"/>
  <c r="I895" i="7"/>
  <c r="P895" i="7"/>
  <c r="I896" i="7"/>
  <c r="I898" i="7"/>
  <c r="I945" i="7"/>
  <c r="F948" i="7"/>
  <c r="F951" i="7"/>
  <c r="F962" i="7"/>
  <c r="I965" i="7"/>
  <c r="P965" i="7"/>
  <c r="I967" i="7"/>
  <c r="I970" i="7"/>
  <c r="X970" i="7"/>
  <c r="C971" i="7"/>
  <c r="C973" i="7" s="1"/>
  <c r="X1022" i="7"/>
  <c r="I1105" i="7"/>
  <c r="I1107" i="7" s="1"/>
  <c r="Z1107" i="7" s="1"/>
  <c r="X1144" i="7"/>
  <c r="P1144" i="7" l="1"/>
  <c r="P1048" i="7"/>
  <c r="V789" i="7"/>
  <c r="X789" i="7" s="1"/>
  <c r="P1079" i="7"/>
  <c r="P1050" i="7" s="1"/>
  <c r="P1022" i="7"/>
  <c r="P1037" i="7"/>
  <c r="P6" i="1"/>
  <c r="Z1147" i="7"/>
  <c r="P1047" i="7"/>
  <c r="Z779" i="7"/>
  <c r="Z796" i="7"/>
  <c r="L781" i="7"/>
  <c r="X772" i="7"/>
  <c r="T721" i="7"/>
  <c r="T772" i="7"/>
  <c r="X721" i="7"/>
  <c r="X646" i="7"/>
  <c r="P721" i="7"/>
  <c r="I176" i="7"/>
  <c r="I178" i="7"/>
  <c r="I174" i="7"/>
  <c r="I183" i="7"/>
  <c r="I179" i="7"/>
  <c r="I177" i="7"/>
  <c r="I180" i="7"/>
  <c r="F825" i="7"/>
  <c r="F806" i="7" s="1"/>
  <c r="L446" i="7"/>
  <c r="I175" i="7"/>
  <c r="I182" i="7"/>
  <c r="X418" i="7"/>
  <c r="P418" i="7"/>
  <c r="T418" i="7"/>
  <c r="R210" i="7"/>
  <c r="R170" i="7"/>
  <c r="T170" i="7" s="1"/>
  <c r="R229" i="7"/>
  <c r="R208" i="7"/>
  <c r="R168" i="7"/>
  <c r="T168" i="7" s="1"/>
  <c r="R227" i="7"/>
  <c r="N433" i="7"/>
  <c r="N404" i="7"/>
  <c r="N413" i="7" s="1"/>
  <c r="N180" i="7"/>
  <c r="P180" i="7" s="1"/>
  <c r="V211" i="7"/>
  <c r="V230" i="7"/>
  <c r="V171" i="7"/>
  <c r="X171" i="7" s="1"/>
  <c r="R209" i="7"/>
  <c r="R228" i="7"/>
  <c r="R169" i="7"/>
  <c r="T169" i="7" s="1"/>
  <c r="P460" i="7"/>
  <c r="P402" i="7" s="1"/>
  <c r="N403" i="7"/>
  <c r="N412" i="7" s="1"/>
  <c r="N461" i="7"/>
  <c r="N432" i="7"/>
  <c r="N179" i="7"/>
  <c r="P179" i="7" s="1"/>
  <c r="V210" i="7"/>
  <c r="V170" i="7"/>
  <c r="V229" i="7"/>
  <c r="N401" i="7"/>
  <c r="N410" i="7" s="1"/>
  <c r="N459" i="7"/>
  <c r="N430" i="7"/>
  <c r="N177" i="7"/>
  <c r="P177" i="7" s="1"/>
  <c r="V208" i="7"/>
  <c r="V168" i="7"/>
  <c r="X168" i="7" s="1"/>
  <c r="V227" i="7"/>
  <c r="R211" i="7"/>
  <c r="R230" i="7"/>
  <c r="R171" i="7"/>
  <c r="V209" i="7"/>
  <c r="V228" i="7"/>
  <c r="V169" i="7"/>
  <c r="X169" i="7" s="1"/>
  <c r="I181" i="7"/>
  <c r="T1091" i="7"/>
  <c r="T1050" i="7" s="1"/>
  <c r="L183" i="7"/>
  <c r="P183" i="7" s="1"/>
  <c r="F164" i="7"/>
  <c r="F183" i="7"/>
  <c r="F181" i="7"/>
  <c r="I548" i="7"/>
  <c r="I550" i="7" s="1"/>
  <c r="L182" i="7"/>
  <c r="N229" i="7"/>
  <c r="N258" i="7" s="1"/>
  <c r="N286" i="7" s="1"/>
  <c r="N315" i="7" s="1"/>
  <c r="N344" i="7" s="1"/>
  <c r="N210" i="7"/>
  <c r="N227" i="7"/>
  <c r="N256" i="7" s="1"/>
  <c r="N284" i="7" s="1"/>
  <c r="N313" i="7" s="1"/>
  <c r="N208" i="7"/>
  <c r="X20" i="7"/>
  <c r="F176" i="7"/>
  <c r="F174" i="7"/>
  <c r="F180" i="7"/>
  <c r="F178" i="7"/>
  <c r="F179" i="7"/>
  <c r="F182" i="7"/>
  <c r="N230" i="7"/>
  <c r="N259" i="7" s="1"/>
  <c r="N287" i="7" s="1"/>
  <c r="N316" i="7" s="1"/>
  <c r="N211" i="7"/>
  <c r="N228" i="7"/>
  <c r="N257" i="7" s="1"/>
  <c r="N285" i="7" s="1"/>
  <c r="N314" i="7" s="1"/>
  <c r="N343" i="7" s="1"/>
  <c r="N209" i="7"/>
  <c r="F165" i="7"/>
  <c r="I163" i="7"/>
  <c r="F826" i="7"/>
  <c r="F807" i="7" s="1"/>
  <c r="F316" i="7"/>
  <c r="F171" i="7" s="1"/>
  <c r="F177" i="7"/>
  <c r="X19" i="7"/>
  <c r="F175" i="7"/>
  <c r="L315" i="7"/>
  <c r="L313" i="7"/>
  <c r="L310" i="7"/>
  <c r="L165" i="7" s="1"/>
  <c r="F172" i="7"/>
  <c r="P165" i="7"/>
  <c r="L179" i="7"/>
  <c r="L178" i="7"/>
  <c r="F168" i="7"/>
  <c r="P310" i="7"/>
  <c r="P168" i="7"/>
  <c r="AA1146" i="7"/>
  <c r="I826" i="7"/>
  <c r="I807" i="7" s="1"/>
  <c r="I824" i="7"/>
  <c r="I805" i="7" s="1"/>
  <c r="I883" i="7"/>
  <c r="F883" i="7" s="1"/>
  <c r="F884" i="7" s="1"/>
  <c r="L793" i="7"/>
  <c r="P164" i="7"/>
  <c r="L326" i="7"/>
  <c r="L181" i="7" s="1"/>
  <c r="P309" i="7"/>
  <c r="P207" i="7"/>
  <c r="F109" i="7"/>
  <c r="F93" i="7" s="1"/>
  <c r="F95" i="7" s="1"/>
  <c r="L314" i="7"/>
  <c r="I171" i="7"/>
  <c r="V57" i="7"/>
  <c r="X57" i="7" s="1"/>
  <c r="F169" i="7"/>
  <c r="I1050" i="7"/>
  <c r="I1052" i="7" s="1"/>
  <c r="Z1052" i="7" s="1"/>
  <c r="I669" i="7"/>
  <c r="I671" i="7" s="1"/>
  <c r="F1050" i="7"/>
  <c r="F1052" i="7" s="1"/>
  <c r="F829" i="7"/>
  <c r="F810" i="7" s="1"/>
  <c r="X1091" i="7"/>
  <c r="I829" i="7"/>
  <c r="I810" i="7" s="1"/>
  <c r="L822" i="7"/>
  <c r="L803" i="7" s="1"/>
  <c r="I866" i="7"/>
  <c r="F866" i="7" s="1"/>
  <c r="F867" i="7" s="1"/>
  <c r="F822" i="7"/>
  <c r="F803" i="7" s="1"/>
  <c r="C830" i="7"/>
  <c r="C811" i="7" s="1"/>
  <c r="I722" i="7"/>
  <c r="L309" i="7"/>
  <c r="L164" i="7" s="1"/>
  <c r="Z1149" i="7"/>
  <c r="L177" i="7"/>
  <c r="V59" i="7"/>
  <c r="X59" i="7" s="1"/>
  <c r="AA1149" i="7"/>
  <c r="I24" i="7"/>
  <c r="I26" i="7" s="1"/>
  <c r="P21" i="7"/>
  <c r="C823" i="7"/>
  <c r="C804" i="7" s="1"/>
  <c r="C1164" i="7" s="1"/>
  <c r="I822" i="7"/>
  <c r="I803" i="7" s="1"/>
  <c r="T829" i="7"/>
  <c r="T810" i="7" s="1"/>
  <c r="T803" i="7"/>
  <c r="P205" i="7"/>
  <c r="C329" i="7"/>
  <c r="C331" i="7" s="1"/>
  <c r="P170" i="7"/>
  <c r="F24" i="7"/>
  <c r="F26" i="7" s="1"/>
  <c r="N41" i="7"/>
  <c r="P41" i="7" s="1"/>
  <c r="F824" i="7"/>
  <c r="F805" i="7" s="1"/>
  <c r="L405" i="7"/>
  <c r="L404" i="7"/>
  <c r="L403" i="7"/>
  <c r="L402" i="7"/>
  <c r="L401" i="7"/>
  <c r="F170" i="7"/>
  <c r="L203" i="7"/>
  <c r="L201" i="7"/>
  <c r="L199" i="7"/>
  <c r="L538" i="7"/>
  <c r="L537" i="7"/>
  <c r="L202" i="7"/>
  <c r="L200" i="7"/>
  <c r="I169" i="7"/>
  <c r="L626" i="7"/>
  <c r="V41" i="7"/>
  <c r="X41" i="7" s="1"/>
  <c r="I329" i="7"/>
  <c r="I331" i="7" s="1"/>
  <c r="I360" i="7"/>
  <c r="X805" i="7"/>
  <c r="L1091" i="7"/>
  <c r="L1093" i="7" s="1"/>
  <c r="L829" i="7"/>
  <c r="L810" i="7" s="1"/>
  <c r="T805" i="7"/>
  <c r="T806" i="7"/>
  <c r="L325" i="7"/>
  <c r="L180" i="7" s="1"/>
  <c r="P206" i="7"/>
  <c r="X21" i="7"/>
  <c r="I417" i="7"/>
  <c r="I419" i="7" s="1"/>
  <c r="V40" i="7"/>
  <c r="X40" i="7" s="1"/>
  <c r="N59" i="7"/>
  <c r="P59" i="7" s="1"/>
  <c r="V39" i="7"/>
  <c r="X39" i="7" s="1"/>
  <c r="F847" i="7"/>
  <c r="P630" i="7"/>
  <c r="P629" i="7"/>
  <c r="L534" i="7"/>
  <c r="F417" i="7"/>
  <c r="F419" i="7" s="1"/>
  <c r="C93" i="7"/>
  <c r="C95" i="7" s="1"/>
  <c r="V58" i="7"/>
  <c r="X58" i="7" s="1"/>
  <c r="AA1028" i="7"/>
  <c r="AA1024" i="7"/>
  <c r="Z1026" i="7"/>
  <c r="AA1110" i="7"/>
  <c r="Z1108" i="7"/>
  <c r="Y1110" i="7"/>
  <c r="AA1107" i="7"/>
  <c r="F828" i="7"/>
  <c r="F809" i="7" s="1"/>
  <c r="P822" i="7"/>
  <c r="P803" i="7" s="1"/>
  <c r="P317" i="7"/>
  <c r="F243" i="7"/>
  <c r="F245" i="7" s="1"/>
  <c r="Z1110" i="7"/>
  <c r="L387" i="7"/>
  <c r="T666" i="7"/>
  <c r="L666" i="7"/>
  <c r="T665" i="7"/>
  <c r="L665" i="7"/>
  <c r="L660" i="7"/>
  <c r="L659" i="7"/>
  <c r="L658" i="7"/>
  <c r="L657" i="7"/>
  <c r="L656" i="7"/>
  <c r="L654" i="7"/>
  <c r="L514" i="7"/>
  <c r="L516" i="7" s="1"/>
  <c r="L475" i="7"/>
  <c r="L477" i="7" s="1"/>
  <c r="L316" i="7"/>
  <c r="I215" i="7"/>
  <c r="I217" i="7" s="1"/>
  <c r="L92" i="7"/>
  <c r="Y1149" i="7"/>
  <c r="L630" i="7"/>
  <c r="L629" i="7"/>
  <c r="L628" i="7"/>
  <c r="F586" i="7"/>
  <c r="F548" i="7"/>
  <c r="F550" i="7" s="1"/>
  <c r="I109" i="7"/>
  <c r="I111" i="7" s="1"/>
  <c r="P821" i="7"/>
  <c r="P802" i="7" s="1"/>
  <c r="F971" i="7"/>
  <c r="F973" i="7" s="1"/>
  <c r="I900" i="7"/>
  <c r="P944" i="7"/>
  <c r="I825" i="7"/>
  <c r="I806" i="7" s="1"/>
  <c r="C901" i="7"/>
  <c r="C902" i="7" s="1"/>
  <c r="C921" i="7"/>
  <c r="F821" i="7"/>
  <c r="F802" i="7" s="1"/>
  <c r="L821" i="7"/>
  <c r="L802" i="7" s="1"/>
  <c r="C867" i="7"/>
  <c r="C848" i="7"/>
  <c r="P825" i="7"/>
  <c r="P806" i="7" s="1"/>
  <c r="X771" i="7"/>
  <c r="X647" i="7"/>
  <c r="P646" i="7"/>
  <c r="X720" i="7"/>
  <c r="P641" i="7"/>
  <c r="P640" i="7"/>
  <c r="P639" i="7"/>
  <c r="P638" i="7"/>
  <c r="P637" i="7"/>
  <c r="P635" i="7"/>
  <c r="F722" i="7"/>
  <c r="F669" i="7"/>
  <c r="F671" i="7" s="1"/>
  <c r="T771" i="7"/>
  <c r="J714" i="7"/>
  <c r="L714" i="7" s="1"/>
  <c r="L695" i="7"/>
  <c r="J713" i="7"/>
  <c r="L713" i="7" s="1"/>
  <c r="L694" i="7"/>
  <c r="F360" i="7"/>
  <c r="F329" i="7"/>
  <c r="F331" i="7" s="1"/>
  <c r="L272" i="7"/>
  <c r="P308" i="7"/>
  <c r="L243" i="7"/>
  <c r="L245" i="7" s="1"/>
  <c r="V72" i="7"/>
  <c r="X72" i="7" s="1"/>
  <c r="V55" i="7"/>
  <c r="X55" i="7" s="1"/>
  <c r="V37" i="7"/>
  <c r="X37" i="7" s="1"/>
  <c r="X17" i="7"/>
  <c r="V71" i="7"/>
  <c r="X71" i="7" s="1"/>
  <c r="V54" i="7"/>
  <c r="X54" i="7" s="1"/>
  <c r="V36" i="7"/>
  <c r="X36" i="7" s="1"/>
  <c r="X16" i="7"/>
  <c r="N71" i="7"/>
  <c r="P71" i="7" s="1"/>
  <c r="N54" i="7"/>
  <c r="P54" i="7" s="1"/>
  <c r="N36" i="7"/>
  <c r="P36" i="7" s="1"/>
  <c r="P16" i="7"/>
  <c r="R70" i="7"/>
  <c r="T70" i="7" s="1"/>
  <c r="R53" i="7"/>
  <c r="T53" i="7" s="1"/>
  <c r="R35" i="7"/>
  <c r="T35" i="7" s="1"/>
  <c r="T15" i="7"/>
  <c r="R75" i="7"/>
  <c r="T75" i="7" s="1"/>
  <c r="R58" i="7"/>
  <c r="T58" i="7" s="1"/>
  <c r="T20" i="7"/>
  <c r="R40" i="7"/>
  <c r="T40" i="7" s="1"/>
  <c r="R74" i="7"/>
  <c r="T74" i="7" s="1"/>
  <c r="R57" i="7"/>
  <c r="T57" i="7" s="1"/>
  <c r="T19" i="7"/>
  <c r="R39" i="7"/>
  <c r="T39" i="7" s="1"/>
  <c r="Z1042" i="7"/>
  <c r="AA1039" i="7"/>
  <c r="AA1042" i="7"/>
  <c r="Y1042" i="7"/>
  <c r="Z1040" i="7"/>
  <c r="I847" i="7"/>
  <c r="I821" i="7"/>
  <c r="I802" i="7" s="1"/>
  <c r="Z1028" i="7"/>
  <c r="Y1028" i="7"/>
  <c r="I971" i="7"/>
  <c r="I973" i="7" s="1"/>
  <c r="I937" i="7"/>
  <c r="I938" i="7" s="1"/>
  <c r="I828" i="7"/>
  <c r="I809" i="7" s="1"/>
  <c r="P824" i="7"/>
  <c r="P805" i="7" s="1"/>
  <c r="X802" i="7"/>
  <c r="I953" i="7"/>
  <c r="I955" i="7" s="1"/>
  <c r="I920" i="7"/>
  <c r="I921" i="7" s="1"/>
  <c r="F953" i="7"/>
  <c r="F900" i="7"/>
  <c r="T802" i="7"/>
  <c r="P746" i="7"/>
  <c r="P745" i="7"/>
  <c r="P666" i="7"/>
  <c r="P665" i="7"/>
  <c r="P695" i="7"/>
  <c r="P694" i="7"/>
  <c r="P643" i="7" s="1"/>
  <c r="P656" i="7"/>
  <c r="J765" i="7"/>
  <c r="L765" i="7" s="1"/>
  <c r="L746" i="7"/>
  <c r="J764" i="7"/>
  <c r="L764" i="7" s="1"/>
  <c r="L745" i="7"/>
  <c r="T647" i="7"/>
  <c r="L647" i="7"/>
  <c r="T646" i="7"/>
  <c r="L646" i="7"/>
  <c r="T720" i="7"/>
  <c r="L641" i="7"/>
  <c r="L640" i="7"/>
  <c r="L639" i="7"/>
  <c r="L638" i="7"/>
  <c r="L637" i="7"/>
  <c r="L635" i="7"/>
  <c r="L524" i="7"/>
  <c r="L523" i="7"/>
  <c r="L522" i="7"/>
  <c r="L409" i="7"/>
  <c r="L408" i="7"/>
  <c r="L407" i="7"/>
  <c r="L358" i="7"/>
  <c r="L308" i="7"/>
  <c r="L163" i="7" s="1"/>
  <c r="L300" i="7"/>
  <c r="L302" i="7" s="1"/>
  <c r="L207" i="7"/>
  <c r="L206" i="7"/>
  <c r="L205" i="7"/>
  <c r="L317" i="7"/>
  <c r="F163" i="7"/>
  <c r="F185" i="7"/>
  <c r="L185" i="7"/>
  <c r="Z1095" i="7"/>
  <c r="Z1083" i="7"/>
  <c r="Z1084" i="7" s="1"/>
  <c r="N72" i="7"/>
  <c r="P72" i="7" s="1"/>
  <c r="N55" i="7"/>
  <c r="P55" i="7" s="1"/>
  <c r="N37" i="7"/>
  <c r="P37" i="7" s="1"/>
  <c r="P17" i="7"/>
  <c r="R71" i="7"/>
  <c r="T71" i="7" s="1"/>
  <c r="R54" i="7"/>
  <c r="T54" i="7" s="1"/>
  <c r="R36" i="7"/>
  <c r="T36" i="7" s="1"/>
  <c r="T16" i="7"/>
  <c r="V70" i="7"/>
  <c r="X70" i="7" s="1"/>
  <c r="V53" i="7"/>
  <c r="X53" i="7" s="1"/>
  <c r="V35" i="7"/>
  <c r="X35" i="7" s="1"/>
  <c r="X15" i="7"/>
  <c r="N70" i="7"/>
  <c r="P70" i="7" s="1"/>
  <c r="N53" i="7"/>
  <c r="P53" i="7" s="1"/>
  <c r="N35" i="7"/>
  <c r="P35" i="7" s="1"/>
  <c r="P15" i="7"/>
  <c r="P171" i="7"/>
  <c r="P169" i="7"/>
  <c r="C166" i="7"/>
  <c r="P163" i="7"/>
  <c r="AA1083" i="7"/>
  <c r="AA1084" i="7" s="1"/>
  <c r="AA1095" i="7"/>
  <c r="Y1083" i="7"/>
  <c r="Y1084" i="7" s="1"/>
  <c r="Y1095" i="7"/>
  <c r="R76" i="7"/>
  <c r="T76" i="7" s="1"/>
  <c r="R59" i="7"/>
  <c r="T59" i="7" s="1"/>
  <c r="T21" i="7"/>
  <c r="R41" i="7"/>
  <c r="T41" i="7" s="1"/>
  <c r="N75" i="7"/>
  <c r="P75" i="7" s="1"/>
  <c r="P20" i="7"/>
  <c r="N58" i="7"/>
  <c r="P58" i="7" s="1"/>
  <c r="N40" i="7"/>
  <c r="P40" i="7" s="1"/>
  <c r="N74" i="7"/>
  <c r="P74" i="7" s="1"/>
  <c r="P19" i="7"/>
  <c r="N57" i="7"/>
  <c r="P57" i="7" s="1"/>
  <c r="N39" i="7"/>
  <c r="P39" i="7" s="1"/>
  <c r="L45" i="7"/>
  <c r="Z778" i="7" l="1"/>
  <c r="AA779" i="7" s="1"/>
  <c r="J791" i="7" s="1"/>
  <c r="X773" i="7"/>
  <c r="T773" i="7"/>
  <c r="P771" i="7"/>
  <c r="P773" i="7" s="1"/>
  <c r="P644" i="7"/>
  <c r="X669" i="7"/>
  <c r="X671" i="7" s="1"/>
  <c r="X722" i="7"/>
  <c r="T669" i="7"/>
  <c r="T722" i="7"/>
  <c r="T671" i="7" s="1"/>
  <c r="V237" i="7"/>
  <c r="X237" i="7" s="1"/>
  <c r="X228" i="7"/>
  <c r="R433" i="7"/>
  <c r="R404" i="7"/>
  <c r="R287" i="7"/>
  <c r="R259" i="7"/>
  <c r="R180" i="7"/>
  <c r="T180" i="7" s="1"/>
  <c r="R316" i="7"/>
  <c r="V401" i="7"/>
  <c r="V284" i="7"/>
  <c r="V256" i="7"/>
  <c r="V459" i="7"/>
  <c r="V430" i="7"/>
  <c r="V313" i="7"/>
  <c r="V177" i="7"/>
  <c r="X177" i="7" s="1"/>
  <c r="P430" i="7"/>
  <c r="V403" i="7"/>
  <c r="V286" i="7"/>
  <c r="V258" i="7"/>
  <c r="V461" i="7"/>
  <c r="V432" i="7"/>
  <c r="V344" i="7"/>
  <c r="X344" i="7" s="1"/>
  <c r="V315" i="7"/>
  <c r="V179" i="7"/>
  <c r="X179" i="7" s="1"/>
  <c r="P432" i="7"/>
  <c r="R460" i="7"/>
  <c r="R431" i="7"/>
  <c r="R402" i="7"/>
  <c r="R372" i="7"/>
  <c r="R314" i="7"/>
  <c r="R285" i="7"/>
  <c r="R257" i="7"/>
  <c r="R178" i="7"/>
  <c r="T178" i="7" s="1"/>
  <c r="R343" i="7"/>
  <c r="T343" i="7" s="1"/>
  <c r="V239" i="7"/>
  <c r="X239" i="7" s="1"/>
  <c r="X230" i="7"/>
  <c r="R459" i="7"/>
  <c r="R430" i="7"/>
  <c r="R313" i="7"/>
  <c r="R177" i="7"/>
  <c r="T177" i="7" s="1"/>
  <c r="R401" i="7"/>
  <c r="R284" i="7"/>
  <c r="R256" i="7"/>
  <c r="R238" i="7"/>
  <c r="T238" i="7" s="1"/>
  <c r="T229" i="7"/>
  <c r="T171" i="7"/>
  <c r="X170" i="7"/>
  <c r="V343" i="7"/>
  <c r="X343" i="7" s="1"/>
  <c r="V460" i="7"/>
  <c r="V431" i="7"/>
  <c r="V402" i="7"/>
  <c r="V372" i="7"/>
  <c r="V314" i="7"/>
  <c r="V285" i="7"/>
  <c r="V257" i="7"/>
  <c r="V178" i="7"/>
  <c r="X178" i="7" s="1"/>
  <c r="R239" i="7"/>
  <c r="T239" i="7" s="1"/>
  <c r="T230" i="7"/>
  <c r="V236" i="7"/>
  <c r="X236" i="7" s="1"/>
  <c r="X227" i="7"/>
  <c r="P459" i="7"/>
  <c r="V238" i="7"/>
  <c r="X238" i="7" s="1"/>
  <c r="X229" i="7"/>
  <c r="P461" i="7"/>
  <c r="R237" i="7"/>
  <c r="T237" i="7" s="1"/>
  <c r="T228" i="7"/>
  <c r="V316" i="7"/>
  <c r="V433" i="7"/>
  <c r="V404" i="7"/>
  <c r="V287" i="7"/>
  <c r="V259" i="7"/>
  <c r="V180" i="7"/>
  <c r="X180" i="7" s="1"/>
  <c r="P433" i="7"/>
  <c r="R236" i="7"/>
  <c r="T236" i="7" s="1"/>
  <c r="T227" i="7"/>
  <c r="R461" i="7"/>
  <c r="R432" i="7"/>
  <c r="R344" i="7"/>
  <c r="T344" i="7" s="1"/>
  <c r="R315" i="7"/>
  <c r="R179" i="7"/>
  <c r="T179" i="7" s="1"/>
  <c r="R403" i="7"/>
  <c r="R286" i="7"/>
  <c r="R258" i="7"/>
  <c r="L175" i="7"/>
  <c r="P343" i="7"/>
  <c r="P314" i="7" s="1"/>
  <c r="P316" i="7"/>
  <c r="L174" i="7"/>
  <c r="L176" i="7"/>
  <c r="P344" i="7"/>
  <c r="N293" i="7"/>
  <c r="P293" i="7" s="1"/>
  <c r="P284" i="7"/>
  <c r="N295" i="7"/>
  <c r="P295" i="7" s="1"/>
  <c r="P286" i="7"/>
  <c r="P720" i="7"/>
  <c r="P722" i="7" s="1"/>
  <c r="N294" i="7"/>
  <c r="P294" i="7" s="1"/>
  <c r="P285" i="7"/>
  <c r="N296" i="7"/>
  <c r="P296" i="7" s="1"/>
  <c r="P287" i="7"/>
  <c r="I867" i="7"/>
  <c r="L866" i="7"/>
  <c r="N266" i="7"/>
  <c r="P266" i="7" s="1"/>
  <c r="P257" i="7"/>
  <c r="N268" i="7"/>
  <c r="P268" i="7" s="1"/>
  <c r="P259" i="7"/>
  <c r="N265" i="7"/>
  <c r="P265" i="7" s="1"/>
  <c r="P256" i="7"/>
  <c r="N267" i="7"/>
  <c r="P267" i="7" s="1"/>
  <c r="P258" i="7"/>
  <c r="N237" i="7"/>
  <c r="P237" i="7" s="1"/>
  <c r="P209" i="7" s="1"/>
  <c r="P228" i="7"/>
  <c r="P200" i="7" s="1"/>
  <c r="N239" i="7"/>
  <c r="P239" i="7" s="1"/>
  <c r="P211" i="7" s="1"/>
  <c r="P230" i="7"/>
  <c r="P202" i="7" s="1"/>
  <c r="I884" i="7"/>
  <c r="N236" i="7"/>
  <c r="P236" i="7" s="1"/>
  <c r="P227" i="7"/>
  <c r="N238" i="7"/>
  <c r="P238" i="7" s="1"/>
  <c r="P229" i="7"/>
  <c r="F111" i="7"/>
  <c r="L883" i="7"/>
  <c r="C184" i="7"/>
  <c r="C186" i="7" s="1"/>
  <c r="I848" i="7"/>
  <c r="I849" i="7" s="1"/>
  <c r="AC835" i="7" s="1"/>
  <c r="L169" i="7"/>
  <c r="C1165" i="7"/>
  <c r="C1167" i="7" s="1"/>
  <c r="Z1096" i="7"/>
  <c r="L1050" i="7"/>
  <c r="L1052" i="7" s="1"/>
  <c r="AA1052" i="7" s="1"/>
  <c r="C812" i="7"/>
  <c r="L171" i="7"/>
  <c r="L168" i="7"/>
  <c r="L170" i="7"/>
  <c r="P1146" i="7"/>
  <c r="Y1096" i="7"/>
  <c r="AA1096" i="7"/>
  <c r="L172" i="7"/>
  <c r="I184" i="7"/>
  <c r="I186" i="7" s="1"/>
  <c r="P184" i="7"/>
  <c r="P1107" i="7"/>
  <c r="X1146" i="7"/>
  <c r="T1146" i="7"/>
  <c r="L771" i="7"/>
  <c r="L773" i="7" s="1"/>
  <c r="F215" i="7"/>
  <c r="F184" i="7" s="1"/>
  <c r="F186" i="7" s="1"/>
  <c r="L389" i="7"/>
  <c r="X1107" i="7"/>
  <c r="I93" i="7"/>
  <c r="I95" i="7" s="1"/>
  <c r="P1024" i="7"/>
  <c r="P1038" i="7"/>
  <c r="P1039" i="7" s="1"/>
  <c r="T1107" i="7"/>
  <c r="P24" i="7"/>
  <c r="X24" i="7"/>
  <c r="T45" i="7"/>
  <c r="L47" i="7"/>
  <c r="L24" i="7"/>
  <c r="L26" i="7" s="1"/>
  <c r="P62" i="7"/>
  <c r="L360" i="7"/>
  <c r="L329" i="7"/>
  <c r="L331" i="7" s="1"/>
  <c r="F955" i="7"/>
  <c r="F832" i="7" s="1"/>
  <c r="F830" i="7"/>
  <c r="F812" i="7" s="1"/>
  <c r="L274" i="7"/>
  <c r="L215" i="7"/>
  <c r="L643" i="7"/>
  <c r="L720" i="7"/>
  <c r="L644" i="7"/>
  <c r="X1024" i="7"/>
  <c r="P45" i="7"/>
  <c r="P79" i="7"/>
  <c r="X45" i="7"/>
  <c r="I901" i="7"/>
  <c r="L920" i="7"/>
  <c r="F920" i="7"/>
  <c r="F921" i="7" s="1"/>
  <c r="L937" i="7"/>
  <c r="F937" i="7"/>
  <c r="F938" i="7" s="1"/>
  <c r="T1024" i="7"/>
  <c r="I830" i="7"/>
  <c r="I812" i="7" s="1"/>
  <c r="X1038" i="7"/>
  <c r="X1039" i="7" s="1"/>
  <c r="T1038" i="7"/>
  <c r="T1039" i="7" s="1"/>
  <c r="X1050" i="7"/>
  <c r="T24" i="7"/>
  <c r="L448" i="7"/>
  <c r="L417" i="7"/>
  <c r="L419" i="7" s="1"/>
  <c r="L662" i="7"/>
  <c r="L663" i="7"/>
  <c r="C849" i="7"/>
  <c r="C832" i="7" s="1"/>
  <c r="C831" i="7"/>
  <c r="C813" i="7" s="1"/>
  <c r="P671" i="7" l="1"/>
  <c r="P403" i="7"/>
  <c r="P446" i="7"/>
  <c r="R295" i="7"/>
  <c r="T295" i="7" s="1"/>
  <c r="T286" i="7"/>
  <c r="T315" i="7"/>
  <c r="T432" i="7"/>
  <c r="V296" i="7"/>
  <c r="X296" i="7" s="1"/>
  <c r="X287" i="7"/>
  <c r="P401" i="7"/>
  <c r="P475" i="7"/>
  <c r="P387" i="7"/>
  <c r="V294" i="7"/>
  <c r="X294" i="7" s="1"/>
  <c r="X285" i="7"/>
  <c r="X372" i="7"/>
  <c r="X314" i="7" s="1"/>
  <c r="X431" i="7"/>
  <c r="R293" i="7"/>
  <c r="T293" i="7" s="1"/>
  <c r="T284" i="7"/>
  <c r="T313" i="7"/>
  <c r="T459" i="7"/>
  <c r="R294" i="7"/>
  <c r="T294" i="7" s="1"/>
  <c r="T285" i="7"/>
  <c r="T372" i="7"/>
  <c r="T314" i="7" s="1"/>
  <c r="T431" i="7"/>
  <c r="X432" i="7"/>
  <c r="V267" i="7"/>
  <c r="X267" i="7" s="1"/>
  <c r="X258" i="7"/>
  <c r="X430" i="7"/>
  <c r="V265" i="7"/>
  <c r="X265" i="7" s="1"/>
  <c r="X256" i="7"/>
  <c r="R296" i="7"/>
  <c r="T296" i="7" s="1"/>
  <c r="T287" i="7"/>
  <c r="P315" i="7"/>
  <c r="R267" i="7"/>
  <c r="T267" i="7" s="1"/>
  <c r="T258" i="7"/>
  <c r="T461" i="7"/>
  <c r="V268" i="7"/>
  <c r="X268" i="7" s="1"/>
  <c r="X259" i="7"/>
  <c r="X316" i="7"/>
  <c r="X433" i="7"/>
  <c r="V266" i="7"/>
  <c r="X266" i="7" s="1"/>
  <c r="X257" i="7"/>
  <c r="X200" i="7" s="1"/>
  <c r="X460" i="7"/>
  <c r="R265" i="7"/>
  <c r="T265" i="7" s="1"/>
  <c r="T256" i="7"/>
  <c r="T430" i="7"/>
  <c r="P404" i="7"/>
  <c r="R266" i="7"/>
  <c r="T266" i="7" s="1"/>
  <c r="T257" i="7"/>
  <c r="T460" i="7"/>
  <c r="X315" i="7"/>
  <c r="X461" i="7"/>
  <c r="V295" i="7"/>
  <c r="X295" i="7" s="1"/>
  <c r="X286" i="7"/>
  <c r="X313" i="7"/>
  <c r="X459" i="7"/>
  <c r="V293" i="7"/>
  <c r="X293" i="7" s="1"/>
  <c r="X284" i="7"/>
  <c r="R268" i="7"/>
  <c r="T268" i="7" s="1"/>
  <c r="T259" i="7"/>
  <c r="T316" i="7"/>
  <c r="T433" i="7"/>
  <c r="P358" i="7"/>
  <c r="P313" i="7"/>
  <c r="P669" i="7"/>
  <c r="P300" i="7"/>
  <c r="Y1056" i="7"/>
  <c r="Z1056" i="7"/>
  <c r="P210" i="7"/>
  <c r="P208" i="7"/>
  <c r="P272" i="7"/>
  <c r="P201" i="7"/>
  <c r="P199" i="7"/>
  <c r="P243" i="7"/>
  <c r="F848" i="7"/>
  <c r="F849" i="7" s="1"/>
  <c r="AC1061" i="7"/>
  <c r="C814" i="7"/>
  <c r="C1151" i="7" s="1"/>
  <c r="C1154" i="7" s="1"/>
  <c r="C1161" i="7" s="1"/>
  <c r="I831" i="7"/>
  <c r="F831" i="7" s="1"/>
  <c r="L848" i="7"/>
  <c r="Z1054" i="7"/>
  <c r="AA1056" i="7"/>
  <c r="F217" i="7"/>
  <c r="L901" i="7"/>
  <c r="F901" i="7"/>
  <c r="F902" i="7" s="1"/>
  <c r="P830" i="7"/>
  <c r="I902" i="7"/>
  <c r="L722" i="7"/>
  <c r="L669" i="7"/>
  <c r="AA30" i="7"/>
  <c r="Y30" i="7"/>
  <c r="Z30" i="7"/>
  <c r="Z28" i="7"/>
  <c r="Y12" i="7"/>
  <c r="L184" i="7"/>
  <c r="L186" i="7" s="1"/>
  <c r="L217" i="7"/>
  <c r="I832" i="7" l="1"/>
  <c r="AC890" i="7"/>
  <c r="L671" i="7"/>
  <c r="AA775" i="7" s="1"/>
  <c r="AA189" i="7"/>
  <c r="Y189" i="7"/>
  <c r="Z189" i="7"/>
  <c r="T208" i="7"/>
  <c r="X211" i="7"/>
  <c r="X209" i="7"/>
  <c r="X401" i="7"/>
  <c r="T404" i="7"/>
  <c r="T402" i="7"/>
  <c r="T202" i="7"/>
  <c r="T209" i="7"/>
  <c r="T201" i="7"/>
  <c r="X208" i="7"/>
  <c r="P417" i="7"/>
  <c r="P329" i="7"/>
  <c r="X210" i="7"/>
  <c r="X404" i="7"/>
  <c r="T403" i="7"/>
  <c r="T211" i="7"/>
  <c r="X403" i="7"/>
  <c r="T200" i="7"/>
  <c r="T401" i="7"/>
  <c r="T199" i="7"/>
  <c r="X402" i="7"/>
  <c r="X202" i="7"/>
  <c r="T210" i="7"/>
  <c r="X199" i="7"/>
  <c r="X201" i="7"/>
  <c r="T1081" i="7"/>
  <c r="X1081" i="7"/>
  <c r="P1093" i="7"/>
  <c r="P215" i="7"/>
  <c r="X1093" i="7"/>
  <c r="I813" i="7"/>
  <c r="F813" i="7" s="1"/>
  <c r="F814" i="7" s="1"/>
  <c r="F1151" i="7" s="1"/>
  <c r="F1154" i="7" s="1"/>
  <c r="T1093" i="7"/>
  <c r="P1081" i="7"/>
  <c r="T25" i="7"/>
  <c r="T80" i="7" s="1"/>
  <c r="T81" i="7" s="1"/>
  <c r="P25" i="7"/>
  <c r="P811" i="7"/>
  <c r="L831" i="7"/>
  <c r="L813" i="7" s="1"/>
  <c r="Z187" i="7"/>
  <c r="X25" i="7"/>
  <c r="Z775" i="7" l="1"/>
  <c r="Y775" i="7"/>
  <c r="Z672" i="7"/>
  <c r="T1051" i="7"/>
  <c r="T1052" i="7" s="1"/>
  <c r="P1051" i="7"/>
  <c r="P1052" i="7" s="1"/>
  <c r="I814" i="7"/>
  <c r="I1151" i="7" s="1"/>
  <c r="I1154" i="7" s="1"/>
  <c r="I1161" i="7" s="1"/>
  <c r="X1051" i="7"/>
  <c r="X1052" i="7" s="1"/>
  <c r="T26" i="7"/>
  <c r="T63" i="7"/>
  <c r="T64" i="7" s="1"/>
  <c r="T46" i="7"/>
  <c r="T47" i="7" s="1"/>
  <c r="X667" i="7"/>
  <c r="X185" i="7"/>
  <c r="P63" i="7"/>
  <c r="P64" i="7" s="1"/>
  <c r="P80" i="7"/>
  <c r="P81" i="7" s="1"/>
  <c r="P46" i="7"/>
  <c r="P47" i="7" s="1"/>
  <c r="P26" i="7"/>
  <c r="X63" i="7"/>
  <c r="X64" i="7" s="1"/>
  <c r="X46" i="7"/>
  <c r="X47" i="7" s="1"/>
  <c r="X80" i="7"/>
  <c r="X81" i="7" s="1"/>
  <c r="X26" i="7"/>
  <c r="P185" i="7"/>
  <c r="T185" i="7"/>
  <c r="X1083" i="7"/>
  <c r="X1084" i="7" s="1"/>
  <c r="L791" i="7" l="1"/>
  <c r="T476" i="7"/>
  <c r="T330" i="7"/>
  <c r="T216" i="7"/>
  <c r="P476" i="7"/>
  <c r="P477" i="7" s="1"/>
  <c r="P389" i="7"/>
  <c r="P360" i="7"/>
  <c r="P448" i="7"/>
  <c r="P330" i="7"/>
  <c r="P331" i="7" s="1"/>
  <c r="P302" i="7"/>
  <c r="P245" i="7"/>
  <c r="P419" i="7"/>
  <c r="P274" i="7"/>
  <c r="P216" i="7"/>
  <c r="P217" i="7" s="1"/>
  <c r="P186" i="7"/>
  <c r="Z25" i="7"/>
  <c r="V327" i="7"/>
  <c r="R213" i="7"/>
  <c r="X476" i="7"/>
  <c r="X330" i="7"/>
  <c r="X216" i="7"/>
  <c r="R270" i="7" l="1"/>
  <c r="T270" i="7" s="1"/>
  <c r="R327" i="7"/>
  <c r="V270" i="7"/>
  <c r="X270" i="7" s="1"/>
  <c r="R298" i="7"/>
  <c r="T298" i="7" s="1"/>
  <c r="V298" i="7"/>
  <c r="X298" i="7" s="1"/>
  <c r="V213" i="7"/>
  <c r="X358" i="7"/>
  <c r="T327" i="7" l="1"/>
  <c r="T358" i="7"/>
  <c r="X360" i="7"/>
  <c r="X327" i="7"/>
  <c r="X213" i="7"/>
  <c r="T213" i="7"/>
  <c r="H6" i="5"/>
  <c r="T360" i="7" l="1"/>
  <c r="C4" i="1"/>
  <c r="C5" i="1" s="1"/>
  <c r="C11" i="1" l="1"/>
  <c r="C10" i="1"/>
  <c r="C15" i="1" s="1"/>
  <c r="B4" i="1"/>
  <c r="B5" i="1" l="1"/>
  <c r="B9" i="1"/>
  <c r="B14" i="1" s="1"/>
  <c r="B10" i="1"/>
  <c r="B15" i="1" s="1"/>
  <c r="B11" i="1"/>
  <c r="C20" i="6"/>
  <c r="B20" i="6"/>
  <c r="D8" i="6"/>
  <c r="D9" i="6"/>
  <c r="D10" i="6"/>
  <c r="D11" i="6"/>
  <c r="D12" i="6"/>
  <c r="D13" i="6"/>
  <c r="D14" i="6"/>
  <c r="D15" i="6"/>
  <c r="D16" i="6"/>
  <c r="D17" i="6"/>
  <c r="D18" i="6"/>
  <c r="D19" i="6"/>
  <c r="E16" i="5" l="1"/>
  <c r="G16" i="5" s="1"/>
  <c r="E17" i="5"/>
  <c r="E18" i="5"/>
  <c r="G18" i="5" s="1"/>
  <c r="E19" i="5"/>
  <c r="E20" i="5"/>
  <c r="G20" i="5" s="1"/>
  <c r="E21" i="5"/>
  <c r="E22" i="5"/>
  <c r="G22" i="5" s="1"/>
  <c r="E23" i="5"/>
  <c r="E24" i="5"/>
  <c r="G24" i="5" s="1"/>
  <c r="E25" i="5"/>
  <c r="E26" i="5"/>
  <c r="G26" i="5" s="1"/>
  <c r="E27" i="5"/>
  <c r="E15" i="5"/>
  <c r="F15" i="5" s="1"/>
  <c r="C55" i="5"/>
  <c r="C16" i="5"/>
  <c r="C17" i="5"/>
  <c r="C18" i="5"/>
  <c r="C19" i="5"/>
  <c r="C20" i="5"/>
  <c r="C21" i="5"/>
  <c r="C22" i="5"/>
  <c r="C23" i="5"/>
  <c r="C24" i="5"/>
  <c r="C25" i="5"/>
  <c r="C26" i="5"/>
  <c r="C27" i="5"/>
  <c r="C39" i="5" s="1"/>
  <c r="C15" i="5"/>
  <c r="B16" i="5"/>
  <c r="B17" i="5"/>
  <c r="B18" i="5"/>
  <c r="B19" i="5"/>
  <c r="B20" i="5"/>
  <c r="B21" i="5"/>
  <c r="B22" i="5"/>
  <c r="B23" i="5"/>
  <c r="B24" i="5"/>
  <c r="B25" i="5"/>
  <c r="B26" i="5"/>
  <c r="B27" i="5"/>
  <c r="B31" i="5" s="1"/>
  <c r="B15" i="5"/>
  <c r="P8" i="1"/>
  <c r="T11" i="1" s="1"/>
  <c r="F26" i="5" l="1"/>
  <c r="F24" i="5"/>
  <c r="F22" i="5"/>
  <c r="F20" i="5"/>
  <c r="F18" i="5"/>
  <c r="F16" i="5"/>
  <c r="C71" i="5"/>
  <c r="G15" i="5"/>
  <c r="C30" i="5"/>
  <c r="C35" i="5"/>
  <c r="C43" i="5"/>
  <c r="C51" i="5"/>
  <c r="C59" i="5"/>
  <c r="C67" i="5"/>
  <c r="C75" i="5"/>
  <c r="C79" i="5"/>
  <c r="C63" i="5"/>
  <c r="C47" i="5"/>
  <c r="C31" i="5"/>
  <c r="E72" i="5"/>
  <c r="G27" i="5"/>
  <c r="G25" i="5"/>
  <c r="G23" i="5"/>
  <c r="G21" i="5"/>
  <c r="G19" i="5"/>
  <c r="G17" i="5"/>
  <c r="E76" i="5"/>
  <c r="F25" i="5"/>
  <c r="D23" i="5"/>
  <c r="F21" i="5"/>
  <c r="D19" i="5"/>
  <c r="F17" i="5"/>
  <c r="D15" i="5"/>
  <c r="F27" i="5"/>
  <c r="F23" i="5"/>
  <c r="F19" i="5"/>
  <c r="D25" i="5"/>
  <c r="D21" i="5"/>
  <c r="D17" i="5"/>
  <c r="D31" i="5"/>
  <c r="D27" i="5"/>
  <c r="D26" i="5"/>
  <c r="D24" i="5"/>
  <c r="D22" i="5"/>
  <c r="D20" i="5"/>
  <c r="D18" i="5"/>
  <c r="D16" i="5"/>
  <c r="C81" i="5"/>
  <c r="C77" i="5"/>
  <c r="C73" i="5"/>
  <c r="C69" i="5"/>
  <c r="C65" i="5"/>
  <c r="C61" i="5"/>
  <c r="C57" i="5"/>
  <c r="C53" i="5"/>
  <c r="C49" i="5"/>
  <c r="C45" i="5"/>
  <c r="C41" i="5"/>
  <c r="C37" i="5"/>
  <c r="C33" i="5"/>
  <c r="C29" i="5"/>
  <c r="E80" i="5"/>
  <c r="B75" i="5"/>
  <c r="B59" i="5"/>
  <c r="B43" i="5"/>
  <c r="B67" i="5"/>
  <c r="B51" i="5"/>
  <c r="B35" i="5"/>
  <c r="E29" i="5"/>
  <c r="G29" i="5" s="1"/>
  <c r="E31" i="5"/>
  <c r="G31" i="5" s="1"/>
  <c r="E33" i="5"/>
  <c r="E35" i="5"/>
  <c r="G35" i="5" s="1"/>
  <c r="E37" i="5"/>
  <c r="G37" i="5" s="1"/>
  <c r="E39" i="5"/>
  <c r="G39" i="5" s="1"/>
  <c r="E41" i="5"/>
  <c r="E43" i="5"/>
  <c r="G43" i="5" s="1"/>
  <c r="E45" i="5"/>
  <c r="G45" i="5" s="1"/>
  <c r="E47" i="5"/>
  <c r="G47" i="5" s="1"/>
  <c r="E49" i="5"/>
  <c r="E51" i="5"/>
  <c r="G51" i="5" s="1"/>
  <c r="E53" i="5"/>
  <c r="G53" i="5" s="1"/>
  <c r="E55" i="5"/>
  <c r="G55" i="5" s="1"/>
  <c r="E57" i="5"/>
  <c r="E59" i="5"/>
  <c r="G59" i="5" s="1"/>
  <c r="E61" i="5"/>
  <c r="G61" i="5" s="1"/>
  <c r="E63" i="5"/>
  <c r="G63" i="5" s="1"/>
  <c r="E65" i="5"/>
  <c r="E67" i="5"/>
  <c r="G67" i="5" s="1"/>
  <c r="E69" i="5"/>
  <c r="G69" i="5" s="1"/>
  <c r="E71" i="5"/>
  <c r="G71" i="5" s="1"/>
  <c r="E73" i="5"/>
  <c r="E75" i="5"/>
  <c r="G75" i="5" s="1"/>
  <c r="E77" i="5"/>
  <c r="G77" i="5" s="1"/>
  <c r="E79" i="5"/>
  <c r="G79" i="5" s="1"/>
  <c r="E81" i="5"/>
  <c r="E30" i="5"/>
  <c r="G30" i="5" s="1"/>
  <c r="E32" i="5"/>
  <c r="E34" i="5"/>
  <c r="E36" i="5"/>
  <c r="E38" i="5"/>
  <c r="E40" i="5"/>
  <c r="E42" i="5"/>
  <c r="E44" i="5"/>
  <c r="E46" i="5"/>
  <c r="E48" i="5"/>
  <c r="E50" i="5"/>
  <c r="E52" i="5"/>
  <c r="E54" i="5"/>
  <c r="E56" i="5"/>
  <c r="E58" i="5"/>
  <c r="E60" i="5"/>
  <c r="E62" i="5"/>
  <c r="E64" i="5"/>
  <c r="E66" i="5"/>
  <c r="E68" i="5"/>
  <c r="E70" i="5"/>
  <c r="E28" i="5"/>
  <c r="E78" i="5"/>
  <c r="E74" i="5"/>
  <c r="B79" i="5"/>
  <c r="B71" i="5"/>
  <c r="B63" i="5"/>
  <c r="B55" i="5"/>
  <c r="B47" i="5"/>
  <c r="B39" i="5"/>
  <c r="C28" i="5"/>
  <c r="C80" i="5"/>
  <c r="C78" i="5"/>
  <c r="C76" i="5"/>
  <c r="C74" i="5"/>
  <c r="C72" i="5"/>
  <c r="C70" i="5"/>
  <c r="C68" i="5"/>
  <c r="C66" i="5"/>
  <c r="C64" i="5"/>
  <c r="C62" i="5"/>
  <c r="C60" i="5"/>
  <c r="C58" i="5"/>
  <c r="C56" i="5"/>
  <c r="C54" i="5"/>
  <c r="C52" i="5"/>
  <c r="C50" i="5"/>
  <c r="C48" i="5"/>
  <c r="C46" i="5"/>
  <c r="C44" i="5"/>
  <c r="C42" i="5"/>
  <c r="C40" i="5"/>
  <c r="C38" i="5"/>
  <c r="C36" i="5"/>
  <c r="C34" i="5"/>
  <c r="C32" i="5"/>
  <c r="B30" i="5"/>
  <c r="B32" i="5"/>
  <c r="B34" i="5"/>
  <c r="B36" i="5"/>
  <c r="B38" i="5"/>
  <c r="B40" i="5"/>
  <c r="B4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28" i="5"/>
  <c r="B81" i="5"/>
  <c r="B77" i="5"/>
  <c r="B73" i="5"/>
  <c r="B69" i="5"/>
  <c r="B65" i="5"/>
  <c r="B61" i="5"/>
  <c r="B57" i="5"/>
  <c r="B53" i="5"/>
  <c r="B49" i="5"/>
  <c r="B45" i="5"/>
  <c r="B41" i="5"/>
  <c r="B37" i="5"/>
  <c r="B33" i="5"/>
  <c r="B29" i="5"/>
  <c r="G74" i="5" l="1"/>
  <c r="G28" i="5"/>
  <c r="G81" i="5"/>
  <c r="G73" i="5"/>
  <c r="G65" i="5"/>
  <c r="G57" i="5"/>
  <c r="G49" i="5"/>
  <c r="G41" i="5"/>
  <c r="G33" i="5"/>
  <c r="G68" i="5"/>
  <c r="G64" i="5"/>
  <c r="G60" i="5"/>
  <c r="G56" i="5"/>
  <c r="G52" i="5"/>
  <c r="G48" i="5"/>
  <c r="G44" i="5"/>
  <c r="G40" i="5"/>
  <c r="G36" i="5"/>
  <c r="G32" i="5"/>
  <c r="G80" i="5"/>
  <c r="F31" i="5"/>
  <c r="G72" i="5"/>
  <c r="G78" i="5"/>
  <c r="G70" i="5"/>
  <c r="G66" i="5"/>
  <c r="G62" i="5"/>
  <c r="G58" i="5"/>
  <c r="G54" i="5"/>
  <c r="G50" i="5"/>
  <c r="G46" i="5"/>
  <c r="G42" i="5"/>
  <c r="G38" i="5"/>
  <c r="G34" i="5"/>
  <c r="G76" i="5"/>
  <c r="D29" i="5"/>
  <c r="F29" i="5"/>
  <c r="D37" i="5"/>
  <c r="F37" i="5"/>
  <c r="D45" i="5"/>
  <c r="F45" i="5"/>
  <c r="D53" i="5"/>
  <c r="F53" i="5"/>
  <c r="D61" i="5"/>
  <c r="F61" i="5"/>
  <c r="D69" i="5"/>
  <c r="F69" i="5"/>
  <c r="D77" i="5"/>
  <c r="F77" i="5"/>
  <c r="D28" i="5"/>
  <c r="F28" i="5"/>
  <c r="D78" i="5"/>
  <c r="F78" i="5"/>
  <c r="D74" i="5"/>
  <c r="F74" i="5"/>
  <c r="D70" i="5"/>
  <c r="F70" i="5"/>
  <c r="D66" i="5"/>
  <c r="F66" i="5"/>
  <c r="D62" i="5"/>
  <c r="F62" i="5"/>
  <c r="D58" i="5"/>
  <c r="F58" i="5"/>
  <c r="D54" i="5"/>
  <c r="F54" i="5"/>
  <c r="D50" i="5"/>
  <c r="F50" i="5"/>
  <c r="D46" i="5"/>
  <c r="F46" i="5"/>
  <c r="D42" i="5"/>
  <c r="F42" i="5"/>
  <c r="D38" i="5"/>
  <c r="F38" i="5"/>
  <c r="D34" i="5"/>
  <c r="F34" i="5"/>
  <c r="D30" i="5"/>
  <c r="F30" i="5"/>
  <c r="D39" i="5"/>
  <c r="F39" i="5"/>
  <c r="D55" i="5"/>
  <c r="F55" i="5"/>
  <c r="D71" i="5"/>
  <c r="F71" i="5"/>
  <c r="D35" i="5"/>
  <c r="F35" i="5"/>
  <c r="D67" i="5"/>
  <c r="F67" i="5"/>
  <c r="D59" i="5"/>
  <c r="F59" i="5"/>
  <c r="D33" i="5"/>
  <c r="F33" i="5"/>
  <c r="D41" i="5"/>
  <c r="F41" i="5"/>
  <c r="D49" i="5"/>
  <c r="F49" i="5"/>
  <c r="D57" i="5"/>
  <c r="F57" i="5"/>
  <c r="D65" i="5"/>
  <c r="F65" i="5"/>
  <c r="D73" i="5"/>
  <c r="F73" i="5"/>
  <c r="D81" i="5"/>
  <c r="F81" i="5"/>
  <c r="D80" i="5"/>
  <c r="F80" i="5"/>
  <c r="D76" i="5"/>
  <c r="F76" i="5"/>
  <c r="D72" i="5"/>
  <c r="F72" i="5"/>
  <c r="D68" i="5"/>
  <c r="F68" i="5"/>
  <c r="D64" i="5"/>
  <c r="F64" i="5"/>
  <c r="D60" i="5"/>
  <c r="F60" i="5"/>
  <c r="D56" i="5"/>
  <c r="F56" i="5"/>
  <c r="D52" i="5"/>
  <c r="F52" i="5"/>
  <c r="D48" i="5"/>
  <c r="F48" i="5"/>
  <c r="D44" i="5"/>
  <c r="F44" i="5"/>
  <c r="D40" i="5"/>
  <c r="F40" i="5"/>
  <c r="D36" i="5"/>
  <c r="F36" i="5"/>
  <c r="D32" i="5"/>
  <c r="F32" i="5"/>
  <c r="D47" i="5"/>
  <c r="F47" i="5"/>
  <c r="D63" i="5"/>
  <c r="F63" i="5"/>
  <c r="D79" i="5"/>
  <c r="F79" i="5"/>
  <c r="D51" i="5"/>
  <c r="F51" i="5"/>
  <c r="D43" i="5"/>
  <c r="F43" i="5"/>
  <c r="D75" i="5"/>
  <c r="F75" i="5"/>
  <c r="I13" i="1" l="1"/>
  <c r="E7" i="2" l="1"/>
  <c r="E4" i="2"/>
  <c r="C7" i="2"/>
  <c r="C4" i="2"/>
  <c r="Z95" i="7" l="1"/>
  <c r="D4" i="1"/>
  <c r="F4" i="1"/>
  <c r="F5" i="1" s="1"/>
  <c r="H4" i="1"/>
  <c r="H5" i="1" s="1"/>
  <c r="I4" i="1"/>
  <c r="I5" i="1" s="1"/>
  <c r="D9" i="1" l="1"/>
  <c r="D14" i="1" s="1"/>
  <c r="R103" i="7" s="1"/>
  <c r="R87" i="7" s="1"/>
  <c r="D5" i="1"/>
  <c r="F11" i="1"/>
  <c r="F10" i="1"/>
  <c r="F15" i="1" s="1"/>
  <c r="F9" i="1"/>
  <c r="F14" i="1" s="1"/>
  <c r="B19" i="1" s="1"/>
  <c r="V103" i="7" s="1"/>
  <c r="V87" i="7" s="1"/>
  <c r="E4" i="1"/>
  <c r="E5" i="1" s="1"/>
  <c r="D25" i="1" l="1"/>
  <c r="B24" i="1" s="1"/>
  <c r="T87" i="7"/>
  <c r="T93" i="7" s="1"/>
  <c r="X87" i="7"/>
  <c r="G11" i="1"/>
  <c r="B20" i="1"/>
  <c r="V104" i="7" s="1"/>
  <c r="V88" i="7" s="1"/>
  <c r="X88" i="7" s="1"/>
  <c r="G15" i="1"/>
  <c r="V117" i="7"/>
  <c r="X103" i="7"/>
  <c r="R117" i="7"/>
  <c r="T103" i="7"/>
  <c r="T109" i="7" s="1"/>
  <c r="T111" i="7" s="1"/>
  <c r="K4" i="1"/>
  <c r="E9" i="1"/>
  <c r="E14" i="1" s="1"/>
  <c r="G10" i="1"/>
  <c r="M10" i="1" s="1"/>
  <c r="B26" i="1" l="1"/>
  <c r="K10" i="1"/>
  <c r="T117" i="7"/>
  <c r="T123" i="7" s="1"/>
  <c r="T125" i="7" s="1"/>
  <c r="R131" i="7"/>
  <c r="X117" i="7"/>
  <c r="V131" i="7"/>
  <c r="K11" i="1"/>
  <c r="V118" i="7"/>
  <c r="X104" i="7"/>
  <c r="N103" i="7"/>
  <c r="N87" i="7" s="1"/>
  <c r="G14" i="1"/>
  <c r="C3" i="2"/>
  <c r="E3" i="2"/>
  <c r="G8" i="1"/>
  <c r="K8" i="1" s="1"/>
  <c r="B25" i="1" l="1"/>
  <c r="E5" i="2"/>
  <c r="E10" i="2" s="1"/>
  <c r="C5" i="2"/>
  <c r="C10" i="2" s="1"/>
  <c r="P87" i="7"/>
  <c r="P93" i="7" s="1"/>
  <c r="X131" i="7"/>
  <c r="V145" i="7"/>
  <c r="X145" i="7" s="1"/>
  <c r="T131" i="7"/>
  <c r="T137" i="7" s="1"/>
  <c r="R145" i="7"/>
  <c r="T145" i="7" s="1"/>
  <c r="T151" i="7" s="1"/>
  <c r="X118" i="7"/>
  <c r="V132" i="7"/>
  <c r="N117" i="7"/>
  <c r="P103" i="7"/>
  <c r="P109" i="7" s="1"/>
  <c r="P111" i="7" s="1"/>
  <c r="G9" i="1"/>
  <c r="M9" i="1" s="1"/>
  <c r="X132" i="7" l="1"/>
  <c r="V146" i="7"/>
  <c r="X146" i="7" s="1"/>
  <c r="P117" i="7"/>
  <c r="P123" i="7" s="1"/>
  <c r="P125" i="7" s="1"/>
  <c r="N131" i="7"/>
  <c r="J103" i="7"/>
  <c r="J87" i="7" s="1"/>
  <c r="K7" i="5"/>
  <c r="M7" i="5"/>
  <c r="H7" i="5"/>
  <c r="Q9" i="5" s="1"/>
  <c r="K9" i="1"/>
  <c r="K13" i="1" s="1"/>
  <c r="P131" i="7" l="1"/>
  <c r="P137" i="7" s="1"/>
  <c r="N145" i="7"/>
  <c r="P145" i="7" s="1"/>
  <c r="P151" i="7" s="1"/>
  <c r="J117" i="7"/>
  <c r="L103" i="7"/>
  <c r="P9" i="5"/>
  <c r="H19" i="5"/>
  <c r="H23" i="5"/>
  <c r="H27" i="5"/>
  <c r="H18" i="5"/>
  <c r="H22" i="5"/>
  <c r="H26" i="5"/>
  <c r="H30" i="5"/>
  <c r="H29" i="5"/>
  <c r="H21" i="5"/>
  <c r="H31" i="5"/>
  <c r="H16" i="5"/>
  <c r="H20" i="5"/>
  <c r="H24" i="5"/>
  <c r="H28" i="5"/>
  <c r="H15" i="5"/>
  <c r="H25" i="5"/>
  <c r="H17" i="5"/>
  <c r="K19" i="5"/>
  <c r="K23" i="5"/>
  <c r="K27" i="5"/>
  <c r="K31" i="5"/>
  <c r="K22" i="5"/>
  <c r="K30" i="5"/>
  <c r="L30" i="5" s="1"/>
  <c r="K15" i="5"/>
  <c r="K16" i="5"/>
  <c r="L16" i="5" s="1"/>
  <c r="K28" i="5"/>
  <c r="L28" i="5" s="1"/>
  <c r="K17" i="5"/>
  <c r="L17" i="5" s="1"/>
  <c r="K21" i="5"/>
  <c r="K25" i="5"/>
  <c r="K29" i="5"/>
  <c r="L29" i="5" s="1"/>
  <c r="K18" i="5"/>
  <c r="K26" i="5"/>
  <c r="L26" i="5" s="1"/>
  <c r="K24" i="5"/>
  <c r="L24" i="5" s="1"/>
  <c r="K20" i="5"/>
  <c r="L20" i="5" s="1"/>
  <c r="M19" i="5"/>
  <c r="N19" i="5" s="1"/>
  <c r="M27" i="5"/>
  <c r="M16" i="5"/>
  <c r="N16" i="5" s="1"/>
  <c r="M20" i="5"/>
  <c r="N20" i="5" s="1"/>
  <c r="M24" i="5"/>
  <c r="N24" i="5" s="1"/>
  <c r="M28" i="5"/>
  <c r="N28" i="5" s="1"/>
  <c r="M15" i="5"/>
  <c r="N15" i="5" s="1"/>
  <c r="M21" i="5"/>
  <c r="M29" i="5"/>
  <c r="M31" i="5"/>
  <c r="M18" i="5"/>
  <c r="M22" i="5"/>
  <c r="M26" i="5"/>
  <c r="M30" i="5"/>
  <c r="M17" i="5"/>
  <c r="N17" i="5" s="1"/>
  <c r="M25" i="5"/>
  <c r="N25" i="5" s="1"/>
  <c r="M23" i="5"/>
  <c r="P9" i="1"/>
  <c r="L117" i="7" l="1"/>
  <c r="J131" i="7"/>
  <c r="N30" i="5"/>
  <c r="N22" i="5"/>
  <c r="N21" i="5"/>
  <c r="N27" i="5"/>
  <c r="L21" i="5"/>
  <c r="L15" i="5"/>
  <c r="L22" i="5"/>
  <c r="L27" i="5"/>
  <c r="L19" i="5"/>
  <c r="N31" i="5"/>
  <c r="J25" i="5"/>
  <c r="I25" i="5"/>
  <c r="J28" i="5"/>
  <c r="I28" i="5"/>
  <c r="J20" i="5"/>
  <c r="I20" i="5"/>
  <c r="J31" i="5"/>
  <c r="I31" i="5"/>
  <c r="J29" i="5"/>
  <c r="I29" i="5"/>
  <c r="J26" i="5"/>
  <c r="I26" i="5"/>
  <c r="J18" i="5"/>
  <c r="I18" i="5"/>
  <c r="J23" i="5"/>
  <c r="I23" i="5"/>
  <c r="N23" i="5"/>
  <c r="N26" i="5"/>
  <c r="N18" i="5"/>
  <c r="N29" i="5"/>
  <c r="L18" i="5"/>
  <c r="L25" i="5"/>
  <c r="L31" i="5"/>
  <c r="L23" i="5"/>
  <c r="J17" i="5"/>
  <c r="I17" i="5"/>
  <c r="J15" i="5"/>
  <c r="I15" i="5"/>
  <c r="J24" i="5"/>
  <c r="I24" i="5"/>
  <c r="J16" i="5"/>
  <c r="I16" i="5"/>
  <c r="J21" i="5"/>
  <c r="I21" i="5"/>
  <c r="J30" i="5"/>
  <c r="I30" i="5"/>
  <c r="J22" i="5"/>
  <c r="I22" i="5"/>
  <c r="J27" i="5"/>
  <c r="I27" i="5"/>
  <c r="J19" i="5"/>
  <c r="I19" i="5"/>
  <c r="L131" i="7" l="1"/>
  <c r="J145" i="7"/>
  <c r="L145" i="7" s="1"/>
  <c r="L87" i="7" l="1"/>
  <c r="P139" i="7" l="1"/>
  <c r="T139" i="7"/>
  <c r="P153" i="7" l="1"/>
  <c r="T153" i="7"/>
  <c r="T317" i="7" l="1"/>
  <c r="X317" i="7"/>
  <c r="T387" i="7"/>
  <c r="T329" i="7" s="1"/>
  <c r="T331" i="7" s="1"/>
  <c r="X387" i="7"/>
  <c r="X329" i="7" s="1"/>
  <c r="X331" i="7" s="1"/>
  <c r="T389" i="7"/>
  <c r="X389" i="7"/>
  <c r="T475" i="7"/>
  <c r="T477" i="7" s="1"/>
  <c r="X475" i="7"/>
  <c r="X477" i="7" s="1"/>
  <c r="P95" i="7" l="1"/>
  <c r="T95" i="7"/>
  <c r="J104" i="7" l="1"/>
  <c r="J88" i="7" s="1"/>
  <c r="H8" i="5"/>
  <c r="H32" i="5" s="1"/>
  <c r="I32" i="5" s="1"/>
  <c r="K8" i="5"/>
  <c r="K33" i="5" s="1"/>
  <c r="M8" i="5"/>
  <c r="M32" i="5" s="1"/>
  <c r="N32" i="5" s="1"/>
  <c r="O8" i="5"/>
  <c r="Q10" i="5"/>
  <c r="Q11" i="5" s="1"/>
  <c r="K32" i="5"/>
  <c r="H34" i="5"/>
  <c r="I34" i="5" s="1"/>
  <c r="K34" i="5"/>
  <c r="M34" i="5"/>
  <c r="N34" i="5" s="1"/>
  <c r="M35" i="5"/>
  <c r="M36" i="5"/>
  <c r="M37" i="5"/>
  <c r="M38" i="5"/>
  <c r="K39" i="5"/>
  <c r="H40" i="5"/>
  <c r="I40" i="5" s="1"/>
  <c r="H41" i="5"/>
  <c r="I41" i="5" s="1"/>
  <c r="H42" i="5"/>
  <c r="I42" i="5" s="1"/>
  <c r="O10" i="1"/>
  <c r="P10" i="1"/>
  <c r="M11" i="1" s="1"/>
  <c r="O11" i="1" s="1"/>
  <c r="M42" i="5" l="1"/>
  <c r="N42" i="5" s="1"/>
  <c r="M41" i="5"/>
  <c r="M40" i="5"/>
  <c r="M39" i="5"/>
  <c r="H39" i="5"/>
  <c r="I39" i="5" s="1"/>
  <c r="H38" i="5"/>
  <c r="I38" i="5" s="1"/>
  <c r="H37" i="5"/>
  <c r="I37" i="5" s="1"/>
  <c r="H36" i="5"/>
  <c r="I36" i="5" s="1"/>
  <c r="H35" i="5"/>
  <c r="I35" i="5" s="1"/>
  <c r="N41" i="5"/>
  <c r="K36" i="5"/>
  <c r="K41" i="5"/>
  <c r="N40" i="5"/>
  <c r="K37" i="5"/>
  <c r="K35" i="5"/>
  <c r="L39" i="5"/>
  <c r="N38" i="5"/>
  <c r="L36" i="5"/>
  <c r="M33" i="5"/>
  <c r="H33" i="5"/>
  <c r="L33" i="5" s="1"/>
  <c r="J118" i="7"/>
  <c r="L118" i="7" s="1"/>
  <c r="L32" i="5"/>
  <c r="R42" i="5"/>
  <c r="K42" i="5"/>
  <c r="L42" i="5" s="1"/>
  <c r="K40" i="5"/>
  <c r="L40" i="5" s="1"/>
  <c r="N39" i="5"/>
  <c r="R38" i="5"/>
  <c r="K38" i="5"/>
  <c r="L38" i="5" s="1"/>
  <c r="N37" i="5"/>
  <c r="J36" i="5"/>
  <c r="J35" i="5"/>
  <c r="J32" i="5"/>
  <c r="J42" i="5"/>
  <c r="J41" i="5"/>
  <c r="L34" i="5"/>
  <c r="L41" i="5"/>
  <c r="J40" i="5"/>
  <c r="J38" i="5"/>
  <c r="L35" i="5"/>
  <c r="J34" i="5"/>
  <c r="J105" i="7"/>
  <c r="K9" i="5"/>
  <c r="H9" i="5"/>
  <c r="M9" i="5"/>
  <c r="P11" i="1"/>
  <c r="P13" i="1" s="1"/>
  <c r="N11" i="1"/>
  <c r="H43" i="5"/>
  <c r="Q42" i="5"/>
  <c r="Q38" i="5"/>
  <c r="L104" i="7"/>
  <c r="N35" i="5" l="1"/>
  <c r="J37" i="5"/>
  <c r="J39" i="5"/>
  <c r="L37" i="5"/>
  <c r="N36" i="5"/>
  <c r="J132" i="7"/>
  <c r="J146" i="7" s="1"/>
  <c r="L146" i="7" s="1"/>
  <c r="N33" i="5"/>
  <c r="I33" i="5"/>
  <c r="J33" i="5"/>
  <c r="L132" i="7"/>
  <c r="L88" i="7" s="1"/>
  <c r="C16" i="1"/>
  <c r="B16" i="1"/>
  <c r="F16" i="1"/>
  <c r="M44" i="5"/>
  <c r="M46" i="5"/>
  <c r="M48" i="5"/>
  <c r="M50" i="5"/>
  <c r="M52" i="5"/>
  <c r="M43" i="5"/>
  <c r="N43" i="5" s="1"/>
  <c r="M45" i="5"/>
  <c r="M47" i="5"/>
  <c r="M49" i="5"/>
  <c r="M51" i="5"/>
  <c r="M53" i="5"/>
  <c r="M55" i="5"/>
  <c r="M57" i="5"/>
  <c r="M59" i="5"/>
  <c r="M61" i="5"/>
  <c r="M63" i="5"/>
  <c r="M65" i="5"/>
  <c r="M66" i="5"/>
  <c r="M68" i="5"/>
  <c r="M70" i="5"/>
  <c r="M72" i="5"/>
  <c r="M74" i="5"/>
  <c r="M76" i="5"/>
  <c r="M78" i="5"/>
  <c r="M80" i="5"/>
  <c r="M54" i="5"/>
  <c r="M56" i="5"/>
  <c r="M58" i="5"/>
  <c r="M60" i="5"/>
  <c r="M62" i="5"/>
  <c r="M64" i="5"/>
  <c r="M67" i="5"/>
  <c r="M69" i="5"/>
  <c r="M71" i="5"/>
  <c r="M73" i="5"/>
  <c r="M75" i="5"/>
  <c r="M77" i="5"/>
  <c r="M79" i="5"/>
  <c r="M81" i="5"/>
  <c r="K44" i="5"/>
  <c r="K46" i="5"/>
  <c r="K48" i="5"/>
  <c r="K50" i="5"/>
  <c r="K52" i="5"/>
  <c r="K43" i="5"/>
  <c r="L43" i="5" s="1"/>
  <c r="K45" i="5"/>
  <c r="K47" i="5"/>
  <c r="K49" i="5"/>
  <c r="K51" i="5"/>
  <c r="K53" i="5"/>
  <c r="K55" i="5"/>
  <c r="K57" i="5"/>
  <c r="K59" i="5"/>
  <c r="K61" i="5"/>
  <c r="K63" i="5"/>
  <c r="K65" i="5"/>
  <c r="K66" i="5"/>
  <c r="K68" i="5"/>
  <c r="K70" i="5"/>
  <c r="K72" i="5"/>
  <c r="K74" i="5"/>
  <c r="K76" i="5"/>
  <c r="K78" i="5"/>
  <c r="K80" i="5"/>
  <c r="K54" i="5"/>
  <c r="K56" i="5"/>
  <c r="K58" i="5"/>
  <c r="K60" i="5"/>
  <c r="K62" i="5"/>
  <c r="K64" i="5"/>
  <c r="K67" i="5"/>
  <c r="K69" i="5"/>
  <c r="K71" i="5"/>
  <c r="K73" i="5"/>
  <c r="K75" i="5"/>
  <c r="K77" i="5"/>
  <c r="K79" i="5"/>
  <c r="K81" i="5"/>
  <c r="J43" i="5"/>
  <c r="I43" i="5"/>
  <c r="P15" i="1"/>
  <c r="O9" i="5"/>
  <c r="H45" i="5"/>
  <c r="H47" i="5"/>
  <c r="H49" i="5"/>
  <c r="H51" i="5"/>
  <c r="H53" i="5"/>
  <c r="H44" i="5"/>
  <c r="H46" i="5"/>
  <c r="H48" i="5"/>
  <c r="H50" i="5"/>
  <c r="H54" i="5"/>
  <c r="H56" i="5"/>
  <c r="H58" i="5"/>
  <c r="H60" i="5"/>
  <c r="H62" i="5"/>
  <c r="H64" i="5"/>
  <c r="H67" i="5"/>
  <c r="H69" i="5"/>
  <c r="H71" i="5"/>
  <c r="H73" i="5"/>
  <c r="H75" i="5"/>
  <c r="H77" i="5"/>
  <c r="H79" i="5"/>
  <c r="H81" i="5"/>
  <c r="H52" i="5"/>
  <c r="H55" i="5"/>
  <c r="H57" i="5"/>
  <c r="H59" i="5"/>
  <c r="H61" i="5"/>
  <c r="H63" i="5"/>
  <c r="H65" i="5"/>
  <c r="H66" i="5"/>
  <c r="H68" i="5"/>
  <c r="H70" i="5"/>
  <c r="H72" i="5"/>
  <c r="H74" i="5"/>
  <c r="H76" i="5"/>
  <c r="H78" i="5"/>
  <c r="H80" i="5"/>
  <c r="J119" i="7"/>
  <c r="J89" i="7"/>
  <c r="L105" i="7"/>
  <c r="I80" i="5" l="1"/>
  <c r="J80" i="5"/>
  <c r="I72" i="5"/>
  <c r="J72" i="5"/>
  <c r="I68" i="5"/>
  <c r="J68" i="5"/>
  <c r="I65" i="5"/>
  <c r="P65" i="5"/>
  <c r="J65" i="5"/>
  <c r="I61" i="5"/>
  <c r="J61" i="5"/>
  <c r="I57" i="5"/>
  <c r="J57" i="5"/>
  <c r="I52" i="5"/>
  <c r="F14" i="6" s="1"/>
  <c r="J52" i="5"/>
  <c r="J79" i="5"/>
  <c r="I79" i="5"/>
  <c r="J75" i="5"/>
  <c r="I75" i="5"/>
  <c r="J71" i="5"/>
  <c r="I71" i="5"/>
  <c r="J67" i="5"/>
  <c r="I67" i="5"/>
  <c r="J62" i="5"/>
  <c r="I62" i="5"/>
  <c r="J58" i="5"/>
  <c r="I58" i="5"/>
  <c r="J54" i="5"/>
  <c r="I54" i="5"/>
  <c r="F16" i="6" s="1"/>
  <c r="I48" i="5"/>
  <c r="F10" i="6" s="1"/>
  <c r="J48" i="5"/>
  <c r="I44" i="5"/>
  <c r="J44" i="5"/>
  <c r="J51" i="5"/>
  <c r="I51" i="5"/>
  <c r="F13" i="6" s="1"/>
  <c r="J47" i="5"/>
  <c r="I47" i="5"/>
  <c r="F9" i="6" s="1"/>
  <c r="L79" i="5"/>
  <c r="L75" i="5"/>
  <c r="L71" i="5"/>
  <c r="L67" i="5"/>
  <c r="L62" i="5"/>
  <c r="L58" i="5"/>
  <c r="L54" i="5"/>
  <c r="L78" i="5"/>
  <c r="L74" i="5"/>
  <c r="L70" i="5"/>
  <c r="L66" i="5"/>
  <c r="L63" i="5"/>
  <c r="L59" i="5"/>
  <c r="L55" i="5"/>
  <c r="L51" i="5"/>
  <c r="L47" i="5"/>
  <c r="L50" i="5"/>
  <c r="L46" i="5"/>
  <c r="N81" i="5"/>
  <c r="N77" i="5"/>
  <c r="N73" i="5"/>
  <c r="N69" i="5"/>
  <c r="N64" i="5"/>
  <c r="N60" i="5"/>
  <c r="N56" i="5"/>
  <c r="N80" i="5"/>
  <c r="N76" i="5"/>
  <c r="N72" i="5"/>
  <c r="N68" i="5"/>
  <c r="N65" i="5"/>
  <c r="N61" i="5"/>
  <c r="N57" i="5"/>
  <c r="N53" i="5"/>
  <c r="N49" i="5"/>
  <c r="N45" i="5"/>
  <c r="N52" i="5"/>
  <c r="N48" i="5"/>
  <c r="N44" i="5"/>
  <c r="G16" i="1"/>
  <c r="B21" i="1"/>
  <c r="V105" i="7" s="1"/>
  <c r="I76" i="5"/>
  <c r="J76" i="5"/>
  <c r="J133" i="7"/>
  <c r="L119" i="7"/>
  <c r="L123" i="7" s="1"/>
  <c r="L125" i="7" s="1"/>
  <c r="I78" i="5"/>
  <c r="J78" i="5"/>
  <c r="I74" i="5"/>
  <c r="J74" i="5"/>
  <c r="I70" i="5"/>
  <c r="J70" i="5"/>
  <c r="I66" i="5"/>
  <c r="J66" i="5"/>
  <c r="I63" i="5"/>
  <c r="J63" i="5"/>
  <c r="I59" i="5"/>
  <c r="J59" i="5"/>
  <c r="I55" i="5"/>
  <c r="F17" i="6" s="1"/>
  <c r="J55" i="5"/>
  <c r="J81" i="5"/>
  <c r="I81" i="5"/>
  <c r="J77" i="5"/>
  <c r="I77" i="5"/>
  <c r="J73" i="5"/>
  <c r="I73" i="5"/>
  <c r="J69" i="5"/>
  <c r="I69" i="5"/>
  <c r="J64" i="5"/>
  <c r="I64" i="5"/>
  <c r="J60" i="5"/>
  <c r="I60" i="5"/>
  <c r="J56" i="5"/>
  <c r="I56" i="5"/>
  <c r="I50" i="5"/>
  <c r="F12" i="6" s="1"/>
  <c r="J50" i="5"/>
  <c r="I46" i="5"/>
  <c r="F8" i="6" s="1"/>
  <c r="J46" i="5"/>
  <c r="J53" i="5"/>
  <c r="I53" i="5"/>
  <c r="F15" i="6" s="1"/>
  <c r="J49" i="5"/>
  <c r="I49" i="5"/>
  <c r="F11" i="6" s="1"/>
  <c r="J45" i="5"/>
  <c r="I45" i="5"/>
  <c r="G3" i="2"/>
  <c r="G7" i="2"/>
  <c r="G8" i="2"/>
  <c r="G4" i="2"/>
  <c r="L109" i="7"/>
  <c r="L81" i="5"/>
  <c r="L77" i="5"/>
  <c r="L73" i="5"/>
  <c r="L69" i="5"/>
  <c r="L64" i="5"/>
  <c r="L60" i="5"/>
  <c r="L56" i="5"/>
  <c r="L80" i="5"/>
  <c r="L76" i="5"/>
  <c r="L72" i="5"/>
  <c r="L68" i="5"/>
  <c r="L65" i="5"/>
  <c r="L61" i="5"/>
  <c r="L57" i="5"/>
  <c r="L53" i="5"/>
  <c r="L49" i="5"/>
  <c r="L45" i="5"/>
  <c r="L52" i="5"/>
  <c r="L48" i="5"/>
  <c r="L44" i="5"/>
  <c r="N79" i="5"/>
  <c r="N75" i="5"/>
  <c r="N71" i="5"/>
  <c r="N67" i="5"/>
  <c r="N62" i="5"/>
  <c r="N58" i="5"/>
  <c r="N54" i="5"/>
  <c r="N78" i="5"/>
  <c r="N74" i="5"/>
  <c r="N70" i="5"/>
  <c r="N66" i="5"/>
  <c r="N63" i="5"/>
  <c r="N59" i="5"/>
  <c r="N55" i="5"/>
  <c r="N51" i="5"/>
  <c r="N47" i="5"/>
  <c r="N50" i="5"/>
  <c r="N46" i="5"/>
  <c r="B27" i="1" l="1"/>
  <c r="B28" i="1" s="1"/>
  <c r="G5" i="2"/>
  <c r="F18" i="6"/>
  <c r="L18" i="6" s="1"/>
  <c r="M18" i="6" s="1"/>
  <c r="L11" i="6"/>
  <c r="M11" i="6" s="1"/>
  <c r="H11" i="6"/>
  <c r="L15" i="6"/>
  <c r="M15" i="6" s="1"/>
  <c r="H15" i="6"/>
  <c r="L10" i="6"/>
  <c r="M10" i="6" s="1"/>
  <c r="H10" i="6"/>
  <c r="L14" i="6"/>
  <c r="M14" i="6" s="1"/>
  <c r="H14" i="6"/>
  <c r="F19" i="6"/>
  <c r="L111" i="7"/>
  <c r="G10" i="2"/>
  <c r="L8" i="6"/>
  <c r="M8" i="6" s="1"/>
  <c r="H8" i="6"/>
  <c r="L12" i="6"/>
  <c r="M12" i="6" s="1"/>
  <c r="H12" i="6"/>
  <c r="L17" i="6"/>
  <c r="M17" i="6" s="1"/>
  <c r="H17" i="6"/>
  <c r="J147" i="7"/>
  <c r="L147" i="7" s="1"/>
  <c r="L151" i="7" s="1"/>
  <c r="L153" i="7" s="1"/>
  <c r="L133" i="7"/>
  <c r="L137" i="7" s="1"/>
  <c r="L139" i="7" s="1"/>
  <c r="V119" i="7"/>
  <c r="X119" i="7" s="1"/>
  <c r="X123" i="7" s="1"/>
  <c r="X125" i="7" s="1"/>
  <c r="V133" i="7"/>
  <c r="V89" i="7"/>
  <c r="X89" i="7" s="1"/>
  <c r="X93" i="7" s="1"/>
  <c r="X95" i="7" s="1"/>
  <c r="X105" i="7"/>
  <c r="X109" i="7" s="1"/>
  <c r="X111" i="7" s="1"/>
  <c r="L9" i="6"/>
  <c r="M9" i="6" s="1"/>
  <c r="H9" i="6"/>
  <c r="L13" i="6"/>
  <c r="M13" i="6" s="1"/>
  <c r="H13" i="6"/>
  <c r="L16" i="6"/>
  <c r="M16" i="6" s="1"/>
  <c r="H16" i="6"/>
  <c r="H18" i="6" l="1"/>
  <c r="K18" i="6" s="1"/>
  <c r="AC95" i="7"/>
  <c r="L93" i="7"/>
  <c r="L95" i="7" s="1"/>
  <c r="L19" i="6"/>
  <c r="M19" i="6" s="1"/>
  <c r="M20" i="6" s="1"/>
  <c r="H19" i="6"/>
  <c r="I15" i="6"/>
  <c r="K15" i="6"/>
  <c r="I11" i="6"/>
  <c r="K11" i="6"/>
  <c r="I16" i="6"/>
  <c r="K16" i="6"/>
  <c r="I13" i="6"/>
  <c r="K13" i="6"/>
  <c r="I9" i="6"/>
  <c r="K9" i="6"/>
  <c r="V147" i="7"/>
  <c r="X147" i="7" s="1"/>
  <c r="X151" i="7" s="1"/>
  <c r="X153" i="7" s="1"/>
  <c r="X133" i="7"/>
  <c r="X137" i="7" s="1"/>
  <c r="X139" i="7" s="1"/>
  <c r="I17" i="6"/>
  <c r="K17" i="6"/>
  <c r="I12" i="6"/>
  <c r="K12" i="6"/>
  <c r="I8" i="6"/>
  <c r="K8" i="6"/>
  <c r="I14" i="6"/>
  <c r="K14" i="6"/>
  <c r="I10" i="6"/>
  <c r="K10" i="6"/>
  <c r="L89" i="7"/>
  <c r="I18" i="6" l="1"/>
  <c r="Z94" i="7"/>
  <c r="N20" i="6"/>
  <c r="M22" i="6"/>
  <c r="I19" i="6"/>
  <c r="I20" i="6" s="1"/>
  <c r="I22" i="6" s="1"/>
  <c r="K19" i="6"/>
  <c r="Z96" i="7"/>
  <c r="Z98" i="7"/>
  <c r="Y98" i="7"/>
  <c r="AA98" i="7"/>
  <c r="L843" i="7" l="1"/>
  <c r="V843" i="7" l="1"/>
  <c r="X843" i="7" s="1"/>
  <c r="N843" i="7"/>
  <c r="V878" i="7"/>
  <c r="X878" i="7" s="1"/>
  <c r="J878" i="7"/>
  <c r="L878" i="7" s="1"/>
  <c r="V861" i="7"/>
  <c r="V786" i="7" s="1"/>
  <c r="V791" i="7" s="1"/>
  <c r="X791" i="7" s="1"/>
  <c r="J861" i="7"/>
  <c r="L861" i="7" s="1"/>
  <c r="R843" i="7"/>
  <c r="T843" i="7" s="1"/>
  <c r="J786" i="7" l="1"/>
  <c r="L786" i="7" s="1"/>
  <c r="Z826" i="7"/>
  <c r="AA826" i="7" s="1"/>
  <c r="P843" i="7"/>
  <c r="N861" i="7"/>
  <c r="N878" i="7"/>
  <c r="P878" i="7" s="1"/>
  <c r="X786" i="7"/>
  <c r="X861" i="7"/>
  <c r="R878" i="7"/>
  <c r="T878" i="7" s="1"/>
  <c r="R861" i="7"/>
  <c r="J792" i="7" l="1"/>
  <c r="L792" i="7" s="1"/>
  <c r="N786" i="7"/>
  <c r="P861" i="7"/>
  <c r="R786" i="7"/>
  <c r="T861" i="7"/>
  <c r="N791" i="7" l="1"/>
  <c r="P791" i="7" s="1"/>
  <c r="P786" i="7"/>
  <c r="R791" i="7"/>
  <c r="T791" i="7" s="1"/>
  <c r="T786" i="7"/>
  <c r="P794" i="7" l="1"/>
  <c r="P796" i="7" s="1"/>
  <c r="Y520" i="7" l="1"/>
  <c r="Y521" i="7" s="1"/>
  <c r="J532" i="7" l="1"/>
  <c r="J533" i="7"/>
  <c r="J527" i="7"/>
  <c r="J526" i="7"/>
  <c r="J530" i="7"/>
  <c r="J529" i="7"/>
  <c r="AD835" i="7"/>
  <c r="AD890" i="7"/>
  <c r="AD836" i="7" l="1"/>
  <c r="AC836" i="7"/>
  <c r="R530" i="7"/>
  <c r="J542" i="7"/>
  <c r="AA530" i="7"/>
  <c r="J540" i="7"/>
  <c r="J563" i="7"/>
  <c r="J597" i="7"/>
  <c r="AA527" i="7"/>
  <c r="AA532" i="7"/>
  <c r="R532" i="7"/>
  <c r="J602" i="7"/>
  <c r="J543" i="7"/>
  <c r="V532" i="7"/>
  <c r="J568" i="7"/>
  <c r="AD891" i="7"/>
  <c r="AC891" i="7"/>
  <c r="V529" i="7"/>
  <c r="N529" i="7"/>
  <c r="J599" i="7"/>
  <c r="J541" i="7"/>
  <c r="R529" i="7"/>
  <c r="J565" i="7"/>
  <c r="AA529" i="7"/>
  <c r="AA526" i="7"/>
  <c r="J562" i="7"/>
  <c r="J596" i="7"/>
  <c r="J539" i="7"/>
  <c r="AA533" i="7"/>
  <c r="R533" i="7"/>
  <c r="J603" i="7"/>
  <c r="V533" i="7"/>
  <c r="J544" i="7"/>
  <c r="J569" i="7"/>
  <c r="J614" i="7" l="1"/>
  <c r="L614" i="7" s="1"/>
  <c r="L603" i="7"/>
  <c r="J609" i="7"/>
  <c r="L609" i="7" s="1"/>
  <c r="L596" i="7"/>
  <c r="J577" i="7"/>
  <c r="L577" i="7" s="1"/>
  <c r="J566" i="7"/>
  <c r="L565" i="7"/>
  <c r="L529" i="7" s="1"/>
  <c r="N599" i="7"/>
  <c r="N530" i="7"/>
  <c r="N565" i="7"/>
  <c r="N541" i="7"/>
  <c r="P541" i="7" s="1"/>
  <c r="P529" i="7"/>
  <c r="L568" i="7"/>
  <c r="J579" i="7"/>
  <c r="L579" i="7" s="1"/>
  <c r="R602" i="7"/>
  <c r="T532" i="7"/>
  <c r="R568" i="7"/>
  <c r="R543" i="7"/>
  <c r="T543" i="7" s="1"/>
  <c r="L563" i="7"/>
  <c r="J576" i="7"/>
  <c r="L576" i="7" s="1"/>
  <c r="T530" i="7"/>
  <c r="R542" i="7"/>
  <c r="T542" i="7" s="1"/>
  <c r="J845" i="7"/>
  <c r="J842" i="7"/>
  <c r="J841" i="7"/>
  <c r="L569" i="7"/>
  <c r="L533" i="7" s="1"/>
  <c r="J580" i="7"/>
  <c r="L580" i="7" s="1"/>
  <c r="L544" i="7" s="1"/>
  <c r="V544" i="7"/>
  <c r="X544" i="7" s="1"/>
  <c r="X533" i="7"/>
  <c r="V569" i="7"/>
  <c r="V603" i="7"/>
  <c r="R569" i="7"/>
  <c r="T533" i="7"/>
  <c r="R603" i="7"/>
  <c r="R544" i="7"/>
  <c r="T544" i="7" s="1"/>
  <c r="L562" i="7"/>
  <c r="J575" i="7"/>
  <c r="L575" i="7" s="1"/>
  <c r="L539" i="7" s="1"/>
  <c r="R541" i="7"/>
  <c r="T541" i="7" s="1"/>
  <c r="T529" i="7"/>
  <c r="T548" i="7" s="1"/>
  <c r="R599" i="7"/>
  <c r="R565" i="7"/>
  <c r="J600" i="7"/>
  <c r="J611" i="7"/>
  <c r="L611" i="7" s="1"/>
  <c r="L599" i="7"/>
  <c r="V565" i="7"/>
  <c r="V599" i="7"/>
  <c r="X529" i="7"/>
  <c r="V530" i="7"/>
  <c r="V541" i="7"/>
  <c r="X541" i="7" s="1"/>
  <c r="J895" i="7"/>
  <c r="J894" i="7"/>
  <c r="J896" i="7"/>
  <c r="J898" i="7"/>
  <c r="V543" i="7"/>
  <c r="X543" i="7" s="1"/>
  <c r="X532" i="7"/>
  <c r="V602" i="7"/>
  <c r="V568" i="7"/>
  <c r="J613" i="7"/>
  <c r="L613" i="7" s="1"/>
  <c r="L602" i="7"/>
  <c r="J610" i="7"/>
  <c r="L610" i="7" s="1"/>
  <c r="L597" i="7"/>
  <c r="V579" i="7" l="1"/>
  <c r="X579" i="7" s="1"/>
  <c r="X568" i="7"/>
  <c r="L898" i="7"/>
  <c r="V898" i="7"/>
  <c r="J934" i="7"/>
  <c r="L934" i="7" s="1"/>
  <c r="J917" i="7"/>
  <c r="L917" i="7" s="1"/>
  <c r="R898" i="7"/>
  <c r="J930" i="7"/>
  <c r="L930" i="7" s="1"/>
  <c r="L894" i="7"/>
  <c r="J913" i="7"/>
  <c r="L913" i="7" s="1"/>
  <c r="X565" i="7"/>
  <c r="V577" i="7"/>
  <c r="X577" i="7" s="1"/>
  <c r="V566" i="7"/>
  <c r="R577" i="7"/>
  <c r="T577" i="7" s="1"/>
  <c r="T565" i="7"/>
  <c r="R566" i="7"/>
  <c r="V614" i="7"/>
  <c r="X614" i="7" s="1"/>
  <c r="X603" i="7"/>
  <c r="L841" i="7"/>
  <c r="J876" i="7"/>
  <c r="L876" i="7" s="1"/>
  <c r="J859" i="7"/>
  <c r="L845" i="7"/>
  <c r="J863" i="7"/>
  <c r="J880" i="7"/>
  <c r="L880" i="7" s="1"/>
  <c r="V845" i="7"/>
  <c r="R845" i="7"/>
  <c r="L527" i="7"/>
  <c r="T568" i="7"/>
  <c r="R579" i="7"/>
  <c r="T579" i="7" s="1"/>
  <c r="T602" i="7"/>
  <c r="R613" i="7"/>
  <c r="T613" i="7" s="1"/>
  <c r="L532" i="7"/>
  <c r="P530" i="7"/>
  <c r="N542" i="7"/>
  <c r="P542" i="7" s="1"/>
  <c r="L541" i="7"/>
  <c r="V613" i="7"/>
  <c r="X613" i="7" s="1"/>
  <c r="X602" i="7"/>
  <c r="N896" i="7"/>
  <c r="R896" i="7"/>
  <c r="J932" i="7"/>
  <c r="L932" i="7" s="1"/>
  <c r="L967" i="7" s="1"/>
  <c r="V896" i="7"/>
  <c r="L896" i="7"/>
  <c r="L826" i="7" s="1"/>
  <c r="J915" i="7"/>
  <c r="L915" i="7" s="1"/>
  <c r="L949" i="7" s="1"/>
  <c r="J931" i="7"/>
  <c r="L931" i="7" s="1"/>
  <c r="L895" i="7"/>
  <c r="J914" i="7"/>
  <c r="L914" i="7" s="1"/>
  <c r="V542" i="7"/>
  <c r="X542" i="7" s="1"/>
  <c r="X530" i="7"/>
  <c r="X548" i="7" s="1"/>
  <c r="V611" i="7"/>
  <c r="X611" i="7" s="1"/>
  <c r="V600" i="7"/>
  <c r="X600" i="7" s="1"/>
  <c r="X618" i="7" s="1"/>
  <c r="X599" i="7"/>
  <c r="L600" i="7"/>
  <c r="L618" i="7" s="1"/>
  <c r="L620" i="7" s="1"/>
  <c r="J612" i="7"/>
  <c r="L612" i="7" s="1"/>
  <c r="T599" i="7"/>
  <c r="R611" i="7"/>
  <c r="T611" i="7" s="1"/>
  <c r="R600" i="7"/>
  <c r="T600" i="7" s="1"/>
  <c r="L526" i="7"/>
  <c r="R614" i="7"/>
  <c r="T614" i="7" s="1"/>
  <c r="T603" i="7"/>
  <c r="T569" i="7"/>
  <c r="R580" i="7"/>
  <c r="T580" i="7" s="1"/>
  <c r="V580" i="7"/>
  <c r="X580" i="7" s="1"/>
  <c r="X569" i="7"/>
  <c r="L842" i="7"/>
  <c r="J877" i="7"/>
  <c r="L877" i="7" s="1"/>
  <c r="J860" i="7"/>
  <c r="L540" i="7"/>
  <c r="L543" i="7"/>
  <c r="P548" i="7"/>
  <c r="N577" i="7"/>
  <c r="P577" i="7" s="1"/>
  <c r="N566" i="7"/>
  <c r="P565" i="7"/>
  <c r="N611" i="7"/>
  <c r="P611" i="7" s="1"/>
  <c r="N600" i="7"/>
  <c r="P600" i="7" s="1"/>
  <c r="P599" i="7"/>
  <c r="J578" i="7"/>
  <c r="L578" i="7" s="1"/>
  <c r="L542" i="7" s="1"/>
  <c r="L566" i="7"/>
  <c r="L530" i="7" s="1"/>
  <c r="P566" i="7" l="1"/>
  <c r="N578" i="7"/>
  <c r="P578" i="7" s="1"/>
  <c r="L584" i="7"/>
  <c r="T618" i="7"/>
  <c r="L966" i="7"/>
  <c r="N932" i="7"/>
  <c r="P932" i="7" s="1"/>
  <c r="P896" i="7"/>
  <c r="P826" i="7" s="1"/>
  <c r="N915" i="7"/>
  <c r="P915" i="7" s="1"/>
  <c r="P949" i="7" s="1"/>
  <c r="R880" i="7"/>
  <c r="T880" i="7" s="1"/>
  <c r="T882" i="7" s="1"/>
  <c r="R863" i="7"/>
  <c r="T845" i="7"/>
  <c r="T847" i="7" s="1"/>
  <c r="L882" i="7"/>
  <c r="L884" i="7" s="1"/>
  <c r="T566" i="7"/>
  <c r="R578" i="7"/>
  <c r="T578" i="7" s="1"/>
  <c r="T584" i="7" s="1"/>
  <c r="T586" i="7" s="1"/>
  <c r="L900" i="7"/>
  <c r="L902" i="7" s="1"/>
  <c r="T898" i="7"/>
  <c r="T828" i="7" s="1"/>
  <c r="R917" i="7"/>
  <c r="T917" i="7" s="1"/>
  <c r="R934" i="7"/>
  <c r="T934" i="7" s="1"/>
  <c r="T969" i="7" s="1"/>
  <c r="L969" i="7"/>
  <c r="L828" i="7"/>
  <c r="P618" i="7"/>
  <c r="P584" i="7"/>
  <c r="P586" i="7" s="1"/>
  <c r="L860" i="7"/>
  <c r="L948" i="7" s="1"/>
  <c r="Z825" i="7"/>
  <c r="AA825" i="7" s="1"/>
  <c r="J785" i="7"/>
  <c r="L785" i="7" s="1"/>
  <c r="L825" i="7"/>
  <c r="V932" i="7"/>
  <c r="X932" i="7" s="1"/>
  <c r="V915" i="7"/>
  <c r="X915" i="7" s="1"/>
  <c r="X896" i="7"/>
  <c r="R932" i="7"/>
  <c r="T932" i="7" s="1"/>
  <c r="T896" i="7"/>
  <c r="R915" i="7"/>
  <c r="T915" i="7" s="1"/>
  <c r="X845" i="7"/>
  <c r="X847" i="7" s="1"/>
  <c r="V863" i="7"/>
  <c r="V880" i="7"/>
  <c r="X880" i="7" s="1"/>
  <c r="X882" i="7" s="1"/>
  <c r="J788" i="7"/>
  <c r="L788" i="7" s="1"/>
  <c r="L863" i="7"/>
  <c r="L859" i="7"/>
  <c r="J784" i="7"/>
  <c r="L784" i="7" s="1"/>
  <c r="Z824" i="7"/>
  <c r="AA824" i="7" s="1"/>
  <c r="L847" i="7"/>
  <c r="L824" i="7"/>
  <c r="L805" i="7" s="1"/>
  <c r="X566" i="7"/>
  <c r="V578" i="7"/>
  <c r="X578" i="7" s="1"/>
  <c r="X584" i="7"/>
  <c r="X586" i="7" s="1"/>
  <c r="L919" i="7"/>
  <c r="L947" i="7"/>
  <c r="L965" i="7"/>
  <c r="L936" i="7"/>
  <c r="L951" i="7"/>
  <c r="X898" i="7"/>
  <c r="X828" i="7" s="1"/>
  <c r="V934" i="7"/>
  <c r="X934" i="7" s="1"/>
  <c r="X969" i="7" s="1"/>
  <c r="V917" i="7"/>
  <c r="X917" i="7" s="1"/>
  <c r="L938" i="7" l="1"/>
  <c r="L971" i="7"/>
  <c r="L973" i="7" s="1"/>
  <c r="X863" i="7"/>
  <c r="X865" i="7" s="1"/>
  <c r="V788" i="7"/>
  <c r="X788" i="7" s="1"/>
  <c r="X794" i="7" s="1"/>
  <c r="X796" i="7" s="1"/>
  <c r="T949" i="7"/>
  <c r="T919" i="7"/>
  <c r="T967" i="7"/>
  <c r="T936" i="7"/>
  <c r="T971" i="7" s="1"/>
  <c r="X919" i="7"/>
  <c r="X953" i="7" s="1"/>
  <c r="X949" i="7"/>
  <c r="T863" i="7"/>
  <c r="T865" i="7" s="1"/>
  <c r="R788" i="7"/>
  <c r="T788" i="7" s="1"/>
  <c r="T794" i="7" s="1"/>
  <c r="T796" i="7" s="1"/>
  <c r="P936" i="7"/>
  <c r="P971" i="7" s="1"/>
  <c r="P967" i="7"/>
  <c r="L921" i="7"/>
  <c r="L849" i="7"/>
  <c r="L830" i="7"/>
  <c r="L794" i="7"/>
  <c r="L796" i="7" s="1"/>
  <c r="L865" i="7"/>
  <c r="L867" i="7" s="1"/>
  <c r="X830" i="7"/>
  <c r="T826" i="7"/>
  <c r="T900" i="7"/>
  <c r="X900" i="7"/>
  <c r="X826" i="7"/>
  <c r="X936" i="7"/>
  <c r="X971" i="7" s="1"/>
  <c r="X967" i="7"/>
  <c r="T951" i="7"/>
  <c r="Z904" i="7"/>
  <c r="AA904" i="7"/>
  <c r="Y904" i="7"/>
  <c r="AA902" i="7"/>
  <c r="T830" i="7"/>
  <c r="L586" i="7"/>
  <c r="L548" i="7"/>
  <c r="L550" i="7" s="1"/>
  <c r="T811" i="7" l="1"/>
  <c r="P920" i="7"/>
  <c r="P921" i="7" s="1"/>
  <c r="P972" i="7"/>
  <c r="P973" i="7" s="1"/>
  <c r="P901" i="7"/>
  <c r="P902" i="7" s="1"/>
  <c r="P954" i="7"/>
  <c r="P955" i="7" s="1"/>
  <c r="P937" i="7"/>
  <c r="P938" i="7" s="1"/>
  <c r="T901" i="7"/>
  <c r="T954" i="7"/>
  <c r="T955" i="7" s="1"/>
  <c r="T937" i="7"/>
  <c r="T938" i="7" s="1"/>
  <c r="T920" i="7"/>
  <c r="T921" i="7" s="1"/>
  <c r="T972" i="7"/>
  <c r="T973" i="7" s="1"/>
  <c r="T902" i="7"/>
  <c r="X811" i="7"/>
  <c r="L811" i="7"/>
  <c r="L953" i="7"/>
  <c r="L955" i="7" s="1"/>
  <c r="X951" i="7"/>
  <c r="Y553" i="7"/>
  <c r="Z551" i="7"/>
  <c r="AA553" i="7"/>
  <c r="X549" i="7" s="1"/>
  <c r="Z553" i="7"/>
  <c r="X901" i="7"/>
  <c r="X954" i="7"/>
  <c r="X955" i="7" s="1"/>
  <c r="X937" i="7"/>
  <c r="X938" i="7" s="1"/>
  <c r="X920" i="7"/>
  <c r="X921" i="7" s="1"/>
  <c r="X972" i="7"/>
  <c r="X973" i="7" s="1"/>
  <c r="X902" i="7"/>
  <c r="Z797" i="7"/>
  <c r="Y835" i="7"/>
  <c r="AA835" i="7" s="1"/>
  <c r="Y851" i="7"/>
  <c r="Z851" i="7"/>
  <c r="AA851" i="7"/>
  <c r="Z833" i="7"/>
  <c r="L832" i="7"/>
  <c r="T953" i="7"/>
  <c r="T866" i="7" l="1"/>
  <c r="T867" i="7" s="1"/>
  <c r="T848" i="7"/>
  <c r="T883" i="7"/>
  <c r="T884" i="7" s="1"/>
  <c r="X550" i="7"/>
  <c r="X619" i="7"/>
  <c r="X620" i="7" s="1"/>
  <c r="P549" i="7"/>
  <c r="X848" i="7"/>
  <c r="X883" i="7"/>
  <c r="X884" i="7" s="1"/>
  <c r="X866" i="7"/>
  <c r="X867" i="7" s="1"/>
  <c r="P866" i="7"/>
  <c r="P867" i="7" s="1"/>
  <c r="P848" i="7"/>
  <c r="P883" i="7"/>
  <c r="P884" i="7" s="1"/>
  <c r="T549" i="7"/>
  <c r="P619" i="7" l="1"/>
  <c r="P620" i="7" s="1"/>
  <c r="P550" i="7"/>
  <c r="T550" i="7"/>
  <c r="T619" i="7"/>
  <c r="T620" i="7" s="1"/>
  <c r="P849" i="7"/>
  <c r="P832" i="7" s="1"/>
  <c r="P831" i="7"/>
  <c r="P813" i="7" s="1"/>
  <c r="X831" i="7"/>
  <c r="X813" i="7" s="1"/>
  <c r="X849" i="7"/>
  <c r="X832" i="7" s="1"/>
  <c r="T831" i="7"/>
  <c r="T813" i="7" s="1"/>
  <c r="T849" i="7"/>
  <c r="T832" i="7" s="1"/>
  <c r="R172" i="7" l="1"/>
  <c r="T172" i="7"/>
  <c r="V172" i="7"/>
  <c r="X172" i="7"/>
  <c r="R181" i="7"/>
  <c r="T181" i="7"/>
  <c r="V181" i="7"/>
  <c r="X181" i="7"/>
  <c r="T184" i="7"/>
  <c r="X184" i="7"/>
  <c r="T186" i="7"/>
  <c r="X186" i="7"/>
  <c r="R203" i="7"/>
  <c r="T203" i="7"/>
  <c r="V203" i="7"/>
  <c r="X203" i="7"/>
  <c r="R212" i="7"/>
  <c r="T212" i="7"/>
  <c r="V212" i="7"/>
  <c r="X212" i="7"/>
  <c r="T215" i="7"/>
  <c r="X215" i="7"/>
  <c r="T217" i="7"/>
  <c r="X217" i="7"/>
  <c r="R231" i="7"/>
  <c r="T231" i="7"/>
  <c r="V231" i="7"/>
  <c r="X231" i="7"/>
  <c r="R240" i="7"/>
  <c r="T240" i="7"/>
  <c r="V240" i="7"/>
  <c r="X240" i="7"/>
  <c r="T243" i="7"/>
  <c r="X243" i="7"/>
  <c r="T245" i="7"/>
  <c r="X245" i="7"/>
  <c r="R260" i="7"/>
  <c r="T260" i="7"/>
  <c r="V260" i="7"/>
  <c r="X260" i="7"/>
  <c r="R269" i="7"/>
  <c r="T269" i="7"/>
  <c r="V269" i="7"/>
  <c r="X269" i="7"/>
  <c r="T272" i="7"/>
  <c r="X272" i="7"/>
  <c r="T274" i="7"/>
  <c r="X274" i="7"/>
  <c r="R288" i="7"/>
  <c r="T288" i="7"/>
  <c r="V288" i="7"/>
  <c r="X288" i="7"/>
  <c r="R297" i="7"/>
  <c r="T297" i="7"/>
  <c r="V297" i="7"/>
  <c r="X297" i="7"/>
  <c r="T300" i="7"/>
  <c r="X300" i="7"/>
  <c r="T302" i="7"/>
  <c r="X302" i="7"/>
  <c r="R317" i="7"/>
  <c r="V317" i="7"/>
  <c r="R405" i="7"/>
  <c r="T405" i="7"/>
  <c r="V405" i="7"/>
  <c r="X405" i="7"/>
  <c r="T417" i="7"/>
  <c r="X417" i="7"/>
  <c r="T419" i="7"/>
  <c r="X419" i="7"/>
  <c r="R434" i="7"/>
  <c r="T434" i="7"/>
  <c r="V434" i="7"/>
  <c r="X434" i="7"/>
  <c r="T446" i="7"/>
  <c r="X446" i="7"/>
  <c r="T448" i="7"/>
  <c r="X448" i="7"/>
  <c r="L806" i="7"/>
  <c r="L807" i="7"/>
  <c r="P807" i="7"/>
  <c r="T807" i="7"/>
  <c r="X807" i="7"/>
  <c r="L809" i="7"/>
  <c r="T809" i="7"/>
  <c r="X809" i="7"/>
  <c r="L812" i="7"/>
  <c r="P812" i="7"/>
  <c r="T812" i="7"/>
  <c r="X812" i="7"/>
  <c r="L814" i="7"/>
  <c r="P814" i="7"/>
  <c r="T814" i="7"/>
  <c r="X814" i="7"/>
  <c r="Z815" i="7"/>
  <c r="J983" i="7"/>
  <c r="L983" i="7"/>
  <c r="AA983" i="7"/>
  <c r="J984" i="7"/>
  <c r="L984" i="7"/>
  <c r="N984" i="7"/>
  <c r="P984" i="7"/>
  <c r="R984" i="7"/>
  <c r="T984" i="7"/>
  <c r="V984" i="7"/>
  <c r="X984" i="7"/>
  <c r="AA984" i="7"/>
  <c r="J986" i="7"/>
  <c r="L986" i="7"/>
  <c r="R986" i="7"/>
  <c r="T986" i="7"/>
  <c r="V986" i="7"/>
  <c r="X986" i="7"/>
  <c r="AA986" i="7"/>
  <c r="L988" i="7"/>
  <c r="P988" i="7"/>
  <c r="T988" i="7"/>
  <c r="X988" i="7"/>
  <c r="L990" i="7"/>
  <c r="P990" i="7"/>
  <c r="T990" i="7"/>
  <c r="X990" i="7"/>
  <c r="AB990" i="7"/>
  <c r="Z991" i="7"/>
  <c r="Y993" i="7"/>
  <c r="Z993" i="7"/>
  <c r="AA993" i="7"/>
  <c r="L1151" i="7"/>
  <c r="P1151" i="7"/>
  <c r="T1151" i="7"/>
  <c r="X1151" i="7"/>
  <c r="Z1152" i="7"/>
  <c r="L1154" i="7"/>
  <c r="P1154" i="7"/>
  <c r="T1154" i="7"/>
  <c r="X1154" i="7"/>
</calcChain>
</file>

<file path=xl/sharedStrings.xml><?xml version="1.0" encoding="utf-8"?>
<sst xmlns="http://schemas.openxmlformats.org/spreadsheetml/2006/main" count="2921" uniqueCount="371">
  <si>
    <t>Revenue Requirement</t>
  </si>
  <si>
    <t>Transmission</t>
  </si>
  <si>
    <t>Block 1</t>
  </si>
  <si>
    <t>Total</t>
  </si>
  <si>
    <t>Block 2</t>
  </si>
  <si>
    <t>Block 3</t>
  </si>
  <si>
    <t>Determinants</t>
  </si>
  <si>
    <t>Fixed Charge</t>
  </si>
  <si>
    <t>Retail</t>
  </si>
  <si>
    <t>Misc.</t>
  </si>
  <si>
    <t>Distribution - Volumetric</t>
  </si>
  <si>
    <t>Basic Charge</t>
  </si>
  <si>
    <t>1st Block</t>
  </si>
  <si>
    <t>2nd Block</t>
  </si>
  <si>
    <t>3rd Block</t>
  </si>
  <si>
    <t>Current</t>
  </si>
  <si>
    <t>Company Proposed</t>
  </si>
  <si>
    <t>Staff Proposed</t>
  </si>
  <si>
    <t>Check</t>
  </si>
  <si>
    <t>Bill Comparison</t>
  </si>
  <si>
    <t>Residential Class: Schedules 16-18</t>
  </si>
  <si>
    <t>Block 1 Rate</t>
  </si>
  <si>
    <t>Block 2 Rate</t>
  </si>
  <si>
    <t>Block 3 Rate</t>
  </si>
  <si>
    <t>All schedules</t>
  </si>
  <si>
    <t>Schedule 17 (Low-income)</t>
  </si>
  <si>
    <t>Company Proposal</t>
  </si>
  <si>
    <t>Staff Proposal</t>
  </si>
  <si>
    <t>Staff Alternate Proposal</t>
  </si>
  <si>
    <t>Billing Determinant (Months)</t>
  </si>
  <si>
    <t>Block 1 Size (kWh/month)</t>
  </si>
  <si>
    <t>Block 2 Size (kWh/month)</t>
  </si>
  <si>
    <t>Block 3 Size (kWh/month)</t>
  </si>
  <si>
    <t>0-600</t>
  </si>
  <si>
    <t>600+</t>
  </si>
  <si>
    <t>0-800</t>
  </si>
  <si>
    <t>800-1700</t>
  </si>
  <si>
    <t>1700+</t>
  </si>
  <si>
    <t>Monthly Usage (kWh)</t>
  </si>
  <si>
    <t>Bill</t>
  </si>
  <si>
    <t>Schedules 16 &amp; 18</t>
  </si>
  <si>
    <t>Vs. Current</t>
  </si>
  <si>
    <t>Vs. Staff</t>
  </si>
  <si>
    <t>Vs. Company</t>
  </si>
  <si>
    <t xml:space="preserve">Vs. Staff </t>
  </si>
  <si>
    <t>Vs. Company (16 &amp; 18)</t>
  </si>
  <si>
    <t>Current first block</t>
  </si>
  <si>
    <t>Proposed first block</t>
  </si>
  <si>
    <t>Average usage</t>
  </si>
  <si>
    <t>Proposed second block</t>
  </si>
  <si>
    <t>Expected Consumer Response to Staff's Proposed Rate Design</t>
  </si>
  <si>
    <t>Short-run Elasticity</t>
  </si>
  <si>
    <t>Long-run Elasticity</t>
  </si>
  <si>
    <t>2001-2100</t>
  </si>
  <si>
    <t>2101-2200</t>
  </si>
  <si>
    <t>2201-2300</t>
  </si>
  <si>
    <t>2301-2400</t>
  </si>
  <si>
    <t>2401-2500</t>
  </si>
  <si>
    <t>2501-2600</t>
  </si>
  <si>
    <t>2601-2700</t>
  </si>
  <si>
    <t>2701-2800</t>
  </si>
  <si>
    <t>2801-2900</t>
  </si>
  <si>
    <t>2901-3000</t>
  </si>
  <si>
    <t>3001-3500</t>
  </si>
  <si>
    <t>3500+</t>
  </si>
  <si>
    <t>Number of Bills</t>
  </si>
  <si>
    <t>Average Usage</t>
  </si>
  <si>
    <t>Proposed Increase</t>
  </si>
  <si>
    <t>Total first-year reduction, group (MWh)</t>
  </si>
  <si>
    <t>Total Usage (kWh)</t>
  </si>
  <si>
    <t>Long-run reduction in monthly usage, per customer (kWh)</t>
  </si>
  <si>
    <t>Total long-run annual reduction, group (MWh)</t>
  </si>
  <si>
    <t>(A)</t>
  </si>
  <si>
    <t>(B)</t>
  </si>
  <si>
    <t>(C)</t>
  </si>
  <si>
    <t>(D)</t>
  </si>
  <si>
    <t>(F)</t>
  </si>
  <si>
    <t>(G)</t>
  </si>
  <si>
    <t>(H)</t>
  </si>
  <si>
    <t>(I)</t>
  </si>
  <si>
    <t>(E)</t>
  </si>
  <si>
    <t>Generation - Demand</t>
  </si>
  <si>
    <t>Generation - Energy</t>
  </si>
  <si>
    <t>Short-run reduction in monthly usage, per bill (kWh)</t>
  </si>
  <si>
    <t>Reduction</t>
  </si>
  <si>
    <t>Total class usage (kWh)</t>
  </si>
  <si>
    <t>PACIFIC POWER &amp; LIGHT COMPANY</t>
  </si>
  <si>
    <t>STATE OF WASHINGTON</t>
  </si>
  <si>
    <t>12 MONTHS ENDED DECEMBER 2013</t>
  </si>
  <si>
    <t>Prior</t>
  </si>
  <si>
    <t>Present</t>
  </si>
  <si>
    <t>Units</t>
  </si>
  <si>
    <t xml:space="preserve">Prior </t>
  </si>
  <si>
    <t>Dollars</t>
  </si>
  <si>
    <t>Proposed</t>
  </si>
  <si>
    <t xml:space="preserve">Distribution </t>
  </si>
  <si>
    <t>Distribution</t>
  </si>
  <si>
    <t>Generation</t>
  </si>
  <si>
    <t>Actual</t>
  </si>
  <si>
    <t>Price</t>
  </si>
  <si>
    <t>G</t>
  </si>
  <si>
    <t>T</t>
  </si>
  <si>
    <t>D</t>
  </si>
  <si>
    <t>Misc</t>
  </si>
  <si>
    <t>SCHEDULE 15</t>
  </si>
  <si>
    <t>Outdoor Area Lighting Service-Grand Combined</t>
  </si>
  <si>
    <t>Mercury Vapor Lamp Charges</t>
  </si>
  <si>
    <t xml:space="preserve">     7,000 Lumens</t>
  </si>
  <si>
    <t xml:space="preserve"> 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</si>
  <si>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</si>
  <si>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</si>
  <si>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</si>
  <si>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</si>
  <si>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</si>
  <si>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</si>
  <si>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</si>
  <si>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¢</t>
  </si>
  <si>
    <t>Total Bills</t>
  </si>
  <si>
    <t>Subtotal</t>
  </si>
  <si>
    <t xml:space="preserve">  Unbilled</t>
  </si>
  <si>
    <t>Target Dollars</t>
  </si>
  <si>
    <t>*Included in Generation Price</t>
  </si>
  <si>
    <t>Difference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</si>
  <si>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</si>
  <si>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</si>
  <si>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</si>
  <si>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</si>
  <si>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SCHEDULE 16/18</t>
  </si>
  <si>
    <t>Residential Service-Combined</t>
  </si>
  <si>
    <t xml:space="preserve">  Basic Charge</t>
  </si>
  <si>
    <t xml:space="preserve">  All addt'l kWh</t>
  </si>
  <si>
    <t xml:space="preserve">  kW demand </t>
  </si>
  <si>
    <t>Minimum kW Charge</t>
  </si>
  <si>
    <t xml:space="preserve">  kW demand in minimum</t>
  </si>
  <si>
    <t xml:space="preserve">  Subtotal</t>
  </si>
  <si>
    <t xml:space="preserve">  Total</t>
  </si>
  <si>
    <t>SCHEDULE 16</t>
  </si>
  <si>
    <t>Residential Service</t>
  </si>
  <si>
    <t>Includes Schedule 16 Net Metering</t>
  </si>
  <si>
    <t xml:space="preserve">  1st 800 kWh</t>
  </si>
  <si>
    <t xml:space="preserve">  Next 900 kWh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</si>
  <si>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</si>
  <si>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</si>
  <si>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</si>
  <si>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</si>
  <si>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</si>
  <si>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</si>
  <si>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</si>
  <si>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</si>
  <si>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</si>
  <si>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</si>
  <si>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</si>
  <si>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</si>
  <si>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</si>
  <si>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</si>
  <si>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</si>
  <si>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</si>
  <si>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</si>
  <si>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</si>
  <si>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</si>
  <si>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</si>
  <si>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</si>
  <si>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</si>
  <si>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</si>
  <si>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</si>
  <si>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</si>
  <si>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</si>
  <si>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</si>
  <si>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</si>
  <si>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</si>
  <si>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</si>
  <si>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</si>
  <si>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</si>
  <si>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</si>
  <si>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</si>
  <si>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>Partial Requirements Service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</si>
  <si>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</si>
  <si>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</si>
  <si>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</si>
  <si>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</si>
  <si>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</si>
  <si>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</si>
  <si>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</si>
  <si>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</si>
  <si>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</si>
  <si>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</si>
  <si>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</si>
  <si>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</si>
  <si>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</si>
  <si>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</si>
  <si>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</si>
  <si>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</si>
  <si>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</si>
  <si>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</si>
  <si>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</si>
  <si>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Large General Service &lt; 1,000 kW-Grand Combined</t>
  </si>
  <si>
    <t>Increase</t>
  </si>
  <si>
    <t xml:space="preserve"> Minimum kW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</si>
  <si>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</si>
  <si>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</si>
  <si>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</si>
  <si>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</si>
  <si>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</si>
  <si>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</si>
  <si>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</si>
  <si>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</si>
  <si>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</si>
  <si>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</si>
  <si>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</si>
  <si>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</si>
  <si>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</si>
  <si>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</si>
  <si>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</si>
  <si>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</si>
  <si>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</si>
  <si>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</si>
  <si>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</si>
  <si>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</si>
  <si>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</si>
  <si>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</si>
  <si>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</si>
  <si>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Single Phase Min</t>
  </si>
  <si>
    <t>Three Phase &lt;51kW Min</t>
  </si>
  <si>
    <t>Agricultural Pumping Service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</si>
  <si>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</si>
  <si>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</si>
  <si>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</si>
  <si>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</si>
  <si>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</si>
  <si>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</si>
  <si>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</si>
  <si>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</si>
  <si>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</si>
  <si>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</si>
  <si>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</si>
  <si>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</si>
  <si>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</si>
  <si>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Targets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</si>
  <si>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</si>
  <si>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</si>
  <si>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</si>
  <si>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</si>
  <si>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</si>
  <si>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</si>
  <si>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</si>
  <si>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</si>
  <si>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</si>
  <si>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</si>
  <si>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</si>
  <si>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</si>
  <si>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</si>
  <si>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</si>
  <si>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</si>
  <si>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</si>
  <si>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</si>
  <si>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</si>
  <si>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</si>
  <si>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</si>
  <si>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</si>
  <si>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</si>
  <si>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</si>
  <si>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</si>
  <si>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</si>
  <si>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</si>
  <si>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</si>
  <si>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</si>
  <si>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</si>
  <si>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</si>
  <si>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</si>
  <si>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</si>
  <si>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</si>
  <si>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</si>
  <si>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</si>
  <si>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</si>
  <si>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</si>
  <si>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</si>
  <si>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</si>
  <si>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</si>
  <si>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</si>
  <si>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</si>
  <si>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</si>
  <si>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</si>
  <si>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</si>
  <si>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</si>
  <si>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</si>
  <si>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</si>
  <si>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</si>
  <si>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</si>
  <si>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</si>
  <si>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</si>
  <si>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</si>
  <si>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</si>
  <si>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</si>
  <si>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</si>
  <si>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</si>
  <si>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</si>
  <si>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</si>
  <si>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</si>
  <si>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SCHEDULE 53M</t>
  </si>
  <si>
    <t>Customer-Owned Street Lighting Service</t>
  </si>
  <si>
    <t>Option A (Co. O&amp;M) kWh</t>
  </si>
  <si>
    <t>Option B (Cust. O&amp;M) kWh</t>
  </si>
  <si>
    <t>SCHEDULE 54</t>
  </si>
  <si>
    <t>Recreational Field Lighting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</si>
  <si>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</si>
  <si>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</si>
  <si>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</si>
  <si>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</si>
  <si>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</si>
  <si>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</si>
  <si>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</si>
  <si>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</si>
  <si>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</si>
  <si>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</si>
  <si>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</si>
  <si>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</si>
  <si>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</si>
  <si>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</si>
  <si>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</si>
  <si>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</si>
  <si>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Tables 2 &amp; 3</t>
  </si>
  <si>
    <t>Table1</t>
  </si>
  <si>
    <t>Error Check</t>
  </si>
  <si>
    <t>Bills</t>
  </si>
  <si>
    <t>Customers</t>
  </si>
  <si>
    <t>Table 2</t>
  </si>
  <si>
    <t>Generation combined</t>
  </si>
  <si>
    <t xml:space="preserve">Transmission </t>
  </si>
  <si>
    <t xml:space="preserve">Retail </t>
  </si>
  <si>
    <t>Line</t>
  </si>
  <si>
    <t>Schedule</t>
  </si>
  <si>
    <t>Description</t>
  </si>
  <si>
    <t>Annual</t>
  </si>
  <si>
    <t>Cost of</t>
  </si>
  <si>
    <t>No.</t>
  </si>
  <si>
    <t>Revenue</t>
  </si>
  <si>
    <t>Service</t>
  </si>
  <si>
    <t>16</t>
  </si>
  <si>
    <t>Residential</t>
  </si>
  <si>
    <t>24</t>
  </si>
  <si>
    <t xml:space="preserve">Small General Service </t>
  </si>
  <si>
    <t>36</t>
  </si>
  <si>
    <t>Large General Service &lt;1,000 kW</t>
  </si>
  <si>
    <t>48T</t>
  </si>
  <si>
    <t>Large General Service &gt;1,000 kW</t>
  </si>
  <si>
    <t>Dedicated Facilities</t>
  </si>
  <si>
    <t>40</t>
  </si>
  <si>
    <t>15,52,54,57</t>
  </si>
  <si>
    <t>Street Lighting</t>
  </si>
  <si>
    <t>Total Washington Jurisdiction</t>
  </si>
  <si>
    <t>w/unbilled, demand</t>
  </si>
  <si>
    <t>Parity ratio-adjusted Revenue Requirement</t>
  </si>
  <si>
    <t>Parity ratio</t>
  </si>
  <si>
    <t>Unbundled rates summary</t>
  </si>
  <si>
    <t>Vs. Pac Proposal</t>
  </si>
  <si>
    <t>Block differential</t>
  </si>
  <si>
    <t>Savings, 600-800 kWh</t>
  </si>
  <si>
    <t>Savings, 600-1700 kWh</t>
  </si>
  <si>
    <t>% Reduction in third block</t>
  </si>
  <si>
    <t>Total recovery</t>
  </si>
  <si>
    <t>Revenue Stability</t>
  </si>
  <si>
    <t>Staff Proposed Rate Structure - All Schedules</t>
  </si>
  <si>
    <r>
      <t xml:space="preserve">  </t>
    </r>
    <r>
      <rPr>
        <i/>
        <sz val="11"/>
        <color theme="1"/>
        <rFont val="Calibri"/>
        <family val="2"/>
        <scheme val="minor"/>
      </rPr>
      <t>Subtotal</t>
    </r>
  </si>
  <si>
    <t>Total Rate</t>
  </si>
  <si>
    <t>Fixed Cost Recovery</t>
  </si>
  <si>
    <t>Full COS Rates</t>
  </si>
  <si>
    <t>Parity-Adjusted Rates</t>
  </si>
  <si>
    <t>Distribution - Basic</t>
  </si>
  <si>
    <t>Total Fixed Costs</t>
  </si>
  <si>
    <t>Parity-Adjusted rate</t>
  </si>
  <si>
    <t>Residential Rate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</si>
</sst>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%"/>
    <numFmt numFmtId="167" formatCode="&quot;$&quot;#,##0.00000"/>
    <numFmt numFmtId="168" formatCode="0.000"/>
    <numFmt numFmtId="169" formatCode="#,##0_)"/>
    <numFmt numFmtId="170" formatCode="0.0000"/>
    <numFmt numFmtId="171" formatCode="0.00000"/>
    <numFmt numFmtId="172" formatCode="_(&quot;$&quot;* #,##0_);_(&quot;$&quot;* \(#,##0\);_(&quot;$&quot;* &quot;-&quot;??_);_(@_)"/>
    <numFmt numFmtId="173" formatCode="&quot;$&quot;#,##0"/>
    <numFmt numFmtId="174" formatCode="0.000000"/>
    <numFmt numFmtId="175" formatCode="0.000_)"/>
    <numFmt numFmtId="176" formatCode="_(* #,##0.00000_);_(* \(#,##0.00000\);_(* &quot;-&quot;??_);_(@_)"/>
    <numFmt numFmtId="177" formatCode="0.000000%"/>
    <numFmt numFmtId="178" formatCode="&quot;$&quot;#,##0.000000_);\(&quot;$&quot;#,##0.000000\)"/>
    <numFmt numFmtId="179" formatCode="0.000000_)"/>
    <numFmt numFmtId="180" formatCode="0.0000%"/>
    <numFmt numFmtId="181" formatCode="#,##0.000_);\(#,##0.000\)"/>
    <numFmt numFmtId="182" formatCode="0.00_)"/>
    <numFmt numFmtId="183" formatCode="_(* #,##0.000_);_(* \(#,##0.000\);_(* &quot;-&quot;??_);_(@_)"/>
    <numFmt numFmtId="184" formatCode="0.000%"/>
    <numFmt numFmtId="185" formatCode="0.0000000%"/>
    <numFmt numFmtId="186" formatCode="#,##0.0_);\(#,##0.0\)"/>
    <numFmt numFmtId="187" formatCode="&quot;$&quot;#,##0.00000_);\(&quot;$&quot;#,##0.00000\)"/>
    <numFmt numFmtId="188" formatCode="0.000000000_)"/>
    <numFmt numFmtId="189" formatCode="#,##0.00000"/>
    <numFmt numFmtId="190" formatCode="_(* #,##0.00000000_);_(* \(#,##0.00000000\);_(* &quot;-&quot;??_);_(@_)"/>
    <numFmt numFmtId="191" formatCode="0.00000000_)"/>
    <numFmt numFmtId="192" formatCode="&quot;$&quot;#,##0.000_);\(&quot;$&quot;#,##0.000\)"/>
    <numFmt numFmtId="193" formatCode="#,##0.000"/>
    <numFmt numFmtId="194" formatCode="0.0000_)"/>
    <numFmt numFmtId="195" formatCode="_(&quot;$&quot;* #,##0.000000_);_(&quot;$&quot;* \(#,##0.000000\);_(&quot;$&quot;* &quot;-&quot;??_);_(@_)"/>
    <numFmt numFmtId="196" formatCode="_(&quot;$&quot;* #,##0.00000_);_(&quot;$&quot;* \(#,##0.00000\);_(&quot;$&quot;* &quot;-&quot;??_);_(@_)"/>
    <numFmt numFmtId="197" formatCode="#,##0.00000_);\(#,##0.00000\)"/>
    <numFmt numFmtId="198" formatCode="0.00000000000000"/>
    <numFmt numFmtId="199" formatCode="&quot;$&quot;#,##0.0000_);\(&quot;$&quot;#,##0.0000\)"/>
    <numFmt numFmtId="200" formatCode="0.0000000000000"/>
    <numFmt numFmtId="201" formatCode="_(* #,##0.0000_);_(* \(#,##0.00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ss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name val="Times New Roman"/>
      <family val="1"/>
    </font>
    <font>
      <sz val="12"/>
      <color indexed="56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5" fillId="0" borderId="0"/>
  </cellStyleXfs>
  <cellXfs count="616">
    <xf numFmtId="0" fontId="0" fillId="0" borderId="0" xfId="0"/>
    <xf numFmtId="37" fontId="0" fillId="0" borderId="0" xfId="0" applyNumberFormat="1"/>
    <xf numFmtId="0" fontId="0" fillId="0" borderId="0" xfId="0" applyAlignment="1">
      <alignment wrapText="1"/>
    </xf>
    <xf numFmtId="164" fontId="3" fillId="0" borderId="0" xfId="1" applyNumberFormat="1" applyFont="1" applyFill="1"/>
    <xf numFmtId="10" fontId="0" fillId="0" borderId="0" xfId="4" applyNumberFormat="1" applyFont="1"/>
    <xf numFmtId="10" fontId="0" fillId="0" borderId="0" xfId="0" applyNumberFormat="1"/>
    <xf numFmtId="0" fontId="0" fillId="0" borderId="8" xfId="0" applyBorder="1" applyAlignment="1">
      <alignment horizontal="center"/>
    </xf>
    <xf numFmtId="8" fontId="0" fillId="0" borderId="8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0" fillId="0" borderId="8" xfId="0" applyBorder="1"/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7" fillId="5" borderId="15" xfId="0" applyFont="1" applyFill="1" applyBorder="1"/>
    <xf numFmtId="0" fontId="6" fillId="5" borderId="2" xfId="0" applyFont="1" applyFill="1" applyBorder="1" applyAlignment="1">
      <alignment horizontal="center"/>
    </xf>
    <xf numFmtId="165" fontId="0" fillId="0" borderId="8" xfId="0" applyNumberFormat="1" applyBorder="1"/>
    <xf numFmtId="165" fontId="0" fillId="2" borderId="8" xfId="0" applyNumberFormat="1" applyFill="1" applyBorder="1"/>
    <xf numFmtId="165" fontId="0" fillId="4" borderId="8" xfId="0" applyNumberFormat="1" applyFill="1" applyBorder="1"/>
    <xf numFmtId="165" fontId="0" fillId="8" borderId="8" xfId="0" applyNumberFormat="1" applyFill="1" applyBorder="1"/>
    <xf numFmtId="165" fontId="0" fillId="11" borderId="8" xfId="0" applyNumberFormat="1" applyFill="1" applyBorder="1"/>
    <xf numFmtId="165" fontId="0" fillId="0" borderId="14" xfId="0" applyNumberFormat="1" applyBorder="1"/>
    <xf numFmtId="0" fontId="6" fillId="3" borderId="9" xfId="0" applyFont="1" applyFill="1" applyBorder="1" applyAlignment="1">
      <alignment horizontal="center"/>
    </xf>
    <xf numFmtId="165" fontId="0" fillId="0" borderId="12" xfId="0" applyNumberFormat="1" applyBorder="1"/>
    <xf numFmtId="166" fontId="0" fillId="0" borderId="13" xfId="4" applyNumberFormat="1" applyFont="1" applyBorder="1"/>
    <xf numFmtId="165" fontId="0" fillId="2" borderId="12" xfId="0" applyNumberFormat="1" applyFill="1" applyBorder="1"/>
    <xf numFmtId="166" fontId="0" fillId="2" borderId="13" xfId="4" applyNumberFormat="1" applyFont="1" applyFill="1" applyBorder="1"/>
    <xf numFmtId="165" fontId="0" fillId="4" borderId="12" xfId="0" applyNumberFormat="1" applyFill="1" applyBorder="1"/>
    <xf numFmtId="166" fontId="0" fillId="4" borderId="13" xfId="4" applyNumberFormat="1" applyFont="1" applyFill="1" applyBorder="1"/>
    <xf numFmtId="165" fontId="0" fillId="8" borderId="12" xfId="0" applyNumberFormat="1" applyFill="1" applyBorder="1"/>
    <xf numFmtId="166" fontId="0" fillId="8" borderId="13" xfId="4" applyNumberFormat="1" applyFont="1" applyFill="1" applyBorder="1"/>
    <xf numFmtId="165" fontId="0" fillId="11" borderId="12" xfId="0" applyNumberFormat="1" applyFill="1" applyBorder="1"/>
    <xf numFmtId="166" fontId="0" fillId="11" borderId="13" xfId="4" applyNumberFormat="1" applyFont="1" applyFill="1" applyBorder="1"/>
    <xf numFmtId="165" fontId="0" fillId="0" borderId="3" xfId="0" applyNumberFormat="1" applyBorder="1"/>
    <xf numFmtId="166" fontId="0" fillId="0" borderId="4" xfId="4" applyNumberFormat="1" applyFont="1" applyBorder="1"/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 wrapText="1"/>
    </xf>
    <xf numFmtId="9" fontId="0" fillId="0" borderId="0" xfId="4" applyFont="1" applyBorder="1"/>
    <xf numFmtId="9" fontId="0" fillId="2" borderId="0" xfId="4" applyFont="1" applyFill="1" applyBorder="1"/>
    <xf numFmtId="9" fontId="0" fillId="4" borderId="0" xfId="4" applyFont="1" applyFill="1" applyBorder="1"/>
    <xf numFmtId="9" fontId="0" fillId="8" borderId="0" xfId="4" applyFont="1" applyFill="1" applyBorder="1"/>
    <xf numFmtId="9" fontId="0" fillId="11" borderId="0" xfId="4" applyFont="1" applyFill="1" applyBorder="1"/>
    <xf numFmtId="9" fontId="0" fillId="0" borderId="1" xfId="4" applyFont="1" applyBorder="1"/>
    <xf numFmtId="0" fontId="6" fillId="7" borderId="9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166" fontId="0" fillId="0" borderId="0" xfId="4" applyNumberFormat="1" applyFont="1" applyBorder="1"/>
    <xf numFmtId="166" fontId="0" fillId="2" borderId="0" xfId="4" applyNumberFormat="1" applyFont="1" applyFill="1" applyBorder="1"/>
    <xf numFmtId="166" fontId="0" fillId="4" borderId="0" xfId="4" applyNumberFormat="1" applyFont="1" applyFill="1" applyBorder="1"/>
    <xf numFmtId="166" fontId="0" fillId="8" borderId="0" xfId="4" applyNumberFormat="1" applyFont="1" applyFill="1" applyBorder="1"/>
    <xf numFmtId="166" fontId="0" fillId="11" borderId="0" xfId="4" applyNumberFormat="1" applyFont="1" applyFill="1" applyBorder="1"/>
    <xf numFmtId="166" fontId="0" fillId="0" borderId="1" xfId="4" applyNumberFormat="1" applyFont="1" applyBorder="1"/>
    <xf numFmtId="0" fontId="6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165" fontId="0" fillId="0" borderId="0" xfId="0" applyNumberFormat="1" applyBorder="1"/>
    <xf numFmtId="165" fontId="0" fillId="2" borderId="0" xfId="0" applyNumberFormat="1" applyFill="1" applyBorder="1"/>
    <xf numFmtId="165" fontId="0" fillId="4" borderId="0" xfId="0" applyNumberFormat="1" applyFill="1" applyBorder="1"/>
    <xf numFmtId="165" fontId="0" fillId="8" borderId="0" xfId="0" applyNumberFormat="1" applyFill="1" applyBorder="1"/>
    <xf numFmtId="165" fontId="0" fillId="11" borderId="0" xfId="0" applyNumberFormat="1" applyFill="1" applyBorder="1"/>
    <xf numFmtId="165" fontId="0" fillId="0" borderId="1" xfId="0" applyNumberFormat="1" applyBorder="1"/>
    <xf numFmtId="0" fontId="0" fillId="0" borderId="2" xfId="0" applyBorder="1"/>
    <xf numFmtId="0" fontId="0" fillId="2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8" fontId="0" fillId="0" borderId="0" xfId="0" applyNumberFormat="1"/>
    <xf numFmtId="166" fontId="0" fillId="0" borderId="0" xfId="4" applyNumberFormat="1" applyFont="1"/>
    <xf numFmtId="165" fontId="0" fillId="0" borderId="0" xfId="0" applyNumberFormat="1"/>
    <xf numFmtId="37" fontId="3" fillId="0" borderId="0" xfId="2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167" fontId="0" fillId="0" borderId="0" xfId="0" applyNumberFormat="1"/>
    <xf numFmtId="171" fontId="0" fillId="0" borderId="0" xfId="0" applyNumberFormat="1"/>
    <xf numFmtId="173" fontId="0" fillId="0" borderId="0" xfId="3" applyNumberFormat="1" applyFont="1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/>
    <xf numFmtId="0" fontId="10" fillId="0" borderId="0" xfId="0" quotePrefix="1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9" fillId="0" borderId="0" xfId="0" applyFont="1" applyFill="1" applyProtection="1"/>
    <xf numFmtId="37" fontId="10" fillId="0" borderId="0" xfId="0" applyNumberFormat="1" applyFont="1" applyFill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37" fontId="10" fillId="0" borderId="16" xfId="0" applyNumberFormat="1" applyFont="1" applyFill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center"/>
    </xf>
    <xf numFmtId="0" fontId="10" fillId="0" borderId="16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3" fontId="0" fillId="0" borderId="0" xfId="0" applyNumberFormat="1" applyFill="1" applyBorder="1" applyAlignment="1">
      <alignment horizontal="right"/>
    </xf>
    <xf numFmtId="0" fontId="12" fillId="0" borderId="0" xfId="0" applyFont="1" applyFill="1"/>
    <xf numFmtId="5" fontId="0" fillId="0" borderId="0" xfId="0" applyNumberFormat="1" applyFill="1" applyProtection="1"/>
    <xf numFmtId="10" fontId="0" fillId="0" borderId="0" xfId="4" applyNumberFormat="1" applyFont="1" applyFill="1" applyBorder="1"/>
    <xf numFmtId="10" fontId="0" fillId="0" borderId="0" xfId="0" applyNumberFormat="1" applyFill="1" applyBorder="1"/>
    <xf numFmtId="37" fontId="0" fillId="0" borderId="0" xfId="0" applyNumberFormat="1" applyFill="1"/>
    <xf numFmtId="7" fontId="13" fillId="0" borderId="0" xfId="7" applyNumberFormat="1" applyFont="1" applyFill="1"/>
    <xf numFmtId="5" fontId="14" fillId="0" borderId="0" xfId="0" applyNumberFormat="1" applyFont="1" applyFill="1" applyProtection="1"/>
    <xf numFmtId="7" fontId="15" fillId="0" borderId="0" xfId="7" applyNumberFormat="1" applyFont="1" applyFill="1"/>
    <xf numFmtId="0" fontId="15" fillId="0" borderId="0" xfId="0" applyFont="1" applyFill="1"/>
    <xf numFmtId="5" fontId="15" fillId="0" borderId="0" xfId="0" applyNumberFormat="1" applyFont="1" applyFill="1" applyProtection="1"/>
    <xf numFmtId="166" fontId="15" fillId="0" borderId="0" xfId="4" applyNumberFormat="1" applyFont="1" applyFill="1"/>
    <xf numFmtId="164" fontId="16" fillId="0" borderId="0" xfId="6" applyNumberFormat="1" applyFont="1" applyFill="1"/>
    <xf numFmtId="43" fontId="0" fillId="0" borderId="0" xfId="0" applyNumberFormat="1" applyFill="1"/>
    <xf numFmtId="7" fontId="13" fillId="0" borderId="0" xfId="0" applyNumberFormat="1" applyFont="1" applyFill="1"/>
    <xf numFmtId="5" fontId="0" fillId="0" borderId="0" xfId="0" applyNumberFormat="1" applyFill="1"/>
    <xf numFmtId="0" fontId="13" fillId="0" borderId="0" xfId="7" applyNumberFormat="1" applyFont="1" applyFill="1"/>
    <xf numFmtId="0" fontId="15" fillId="0" borderId="0" xfId="7" applyNumberFormat="1" applyFont="1" applyFill="1"/>
    <xf numFmtId="0" fontId="13" fillId="0" borderId="0" xfId="0" applyFont="1" applyFill="1"/>
    <xf numFmtId="7" fontId="13" fillId="0" borderId="0" xfId="7" applyNumberFormat="1" applyFont="1" applyFill="1" applyBorder="1"/>
    <xf numFmtId="7" fontId="15" fillId="0" borderId="0" xfId="7" applyNumberFormat="1" applyFont="1" applyFill="1" applyBorder="1"/>
    <xf numFmtId="0" fontId="15" fillId="0" borderId="0" xfId="0" applyFont="1" applyFill="1" applyBorder="1"/>
    <xf numFmtId="0" fontId="16" fillId="0" borderId="0" xfId="0" applyFont="1" applyFill="1"/>
    <xf numFmtId="0" fontId="16" fillId="0" borderId="0" xfId="9" applyFont="1" applyFill="1"/>
    <xf numFmtId="0" fontId="16" fillId="0" borderId="0" xfId="9" applyFill="1"/>
    <xf numFmtId="37" fontId="16" fillId="0" borderId="0" xfId="9" applyNumberFormat="1" applyFill="1"/>
    <xf numFmtId="0" fontId="16" fillId="0" borderId="0" xfId="9" applyFill="1" applyBorder="1"/>
    <xf numFmtId="5" fontId="14" fillId="0" borderId="0" xfId="9" applyNumberFormat="1" applyFont="1" applyFill="1" applyProtection="1"/>
    <xf numFmtId="0" fontId="15" fillId="0" borderId="0" xfId="9" applyFont="1" applyFill="1" applyBorder="1"/>
    <xf numFmtId="5" fontId="15" fillId="0" borderId="0" xfId="9" applyNumberFormat="1" applyFont="1" applyFill="1" applyProtection="1"/>
    <xf numFmtId="175" fontId="15" fillId="0" borderId="0" xfId="9" applyNumberFormat="1" applyFont="1" applyFill="1" applyProtection="1">
      <protection locked="0"/>
    </xf>
    <xf numFmtId="0" fontId="15" fillId="0" borderId="0" xfId="9" applyFont="1" applyFill="1" applyProtection="1"/>
    <xf numFmtId="5" fontId="16" fillId="0" borderId="0" xfId="9" applyNumberFormat="1" applyFill="1"/>
    <xf numFmtId="43" fontId="16" fillId="0" borderId="0" xfId="9" applyNumberFormat="1" applyFill="1"/>
    <xf numFmtId="37" fontId="15" fillId="0" borderId="0" xfId="0" applyNumberFormat="1" applyFont="1" applyFill="1" applyBorder="1"/>
    <xf numFmtId="176" fontId="16" fillId="0" borderId="0" xfId="6" applyNumberFormat="1" applyFont="1" applyFill="1"/>
    <xf numFmtId="5" fontId="0" fillId="0" borderId="0" xfId="0" applyNumberFormat="1" applyFill="1" applyBorder="1" applyProtection="1"/>
    <xf numFmtId="5" fontId="14" fillId="0" borderId="16" xfId="0" applyNumberFormat="1" applyFont="1" applyFill="1" applyBorder="1" applyProtection="1"/>
    <xf numFmtId="5" fontId="14" fillId="0" borderId="0" xfId="0" applyNumberFormat="1" applyFont="1" applyFill="1" applyBorder="1" applyProtection="1"/>
    <xf numFmtId="0" fontId="0" fillId="0" borderId="0" xfId="0" applyFill="1" applyProtection="1"/>
    <xf numFmtId="3" fontId="16" fillId="0" borderId="0" xfId="0" applyNumberFormat="1" applyFont="1" applyFill="1" applyAlignment="1">
      <alignment horizontal="center"/>
    </xf>
    <xf numFmtId="37" fontId="0" fillId="0" borderId="17" xfId="0" applyNumberFormat="1" applyFont="1" applyFill="1" applyBorder="1" applyProtection="1"/>
    <xf numFmtId="5" fontId="14" fillId="0" borderId="17" xfId="0" applyNumberFormat="1" applyFont="1" applyFill="1" applyBorder="1" applyProtection="1"/>
    <xf numFmtId="5" fontId="14" fillId="0" borderId="18" xfId="0" applyNumberFormat="1" applyFont="1" applyFill="1" applyBorder="1" applyProtection="1"/>
    <xf numFmtId="0" fontId="0" fillId="0" borderId="9" xfId="0" applyFill="1" applyBorder="1"/>
    <xf numFmtId="5" fontId="0" fillId="0" borderId="10" xfId="0" applyNumberFormat="1" applyFill="1" applyBorder="1"/>
    <xf numFmtId="166" fontId="0" fillId="0" borderId="11" xfId="4" applyNumberFormat="1" applyFont="1" applyFill="1" applyBorder="1"/>
    <xf numFmtId="166" fontId="16" fillId="0" borderId="0" xfId="4" applyNumberFormat="1" applyFont="1" applyFill="1"/>
    <xf numFmtId="0" fontId="0" fillId="0" borderId="0" xfId="0" quotePrefix="1" applyFont="1" applyFill="1"/>
    <xf numFmtId="37" fontId="0" fillId="0" borderId="0" xfId="0" applyNumberFormat="1" applyFont="1" applyFill="1" applyBorder="1" applyProtection="1"/>
    <xf numFmtId="0" fontId="0" fillId="0" borderId="12" xfId="0" applyFill="1" applyBorder="1"/>
    <xf numFmtId="5" fontId="0" fillId="0" borderId="0" xfId="0" applyNumberFormat="1" applyFill="1" applyBorder="1"/>
    <xf numFmtId="166" fontId="0" fillId="0" borderId="13" xfId="4" applyNumberFormat="1" applyFont="1" applyFill="1" applyBorder="1"/>
    <xf numFmtId="37" fontId="15" fillId="0" borderId="0" xfId="0" applyNumberFormat="1" applyFont="1" applyFill="1" applyProtection="1"/>
    <xf numFmtId="0" fontId="15" fillId="0" borderId="0" xfId="0" applyFont="1" applyFill="1" applyProtection="1"/>
    <xf numFmtId="0" fontId="0" fillId="0" borderId="3" xfId="0" applyFill="1" applyBorder="1"/>
    <xf numFmtId="5" fontId="0" fillId="0" borderId="1" xfId="0" applyNumberFormat="1" applyFill="1" applyBorder="1"/>
    <xf numFmtId="0" fontId="0" fillId="0" borderId="4" xfId="0" applyFill="1" applyBorder="1"/>
    <xf numFmtId="166" fontId="16" fillId="0" borderId="0" xfId="4" applyNumberFormat="1" applyFont="1" applyFill="1" applyBorder="1"/>
    <xf numFmtId="177" fontId="16" fillId="0" borderId="0" xfId="4" applyNumberFormat="1" applyFont="1" applyFill="1"/>
    <xf numFmtId="0" fontId="17" fillId="0" borderId="0" xfId="10" applyFont="1" applyFill="1" applyBorder="1"/>
    <xf numFmtId="178" fontId="17" fillId="0" borderId="0" xfId="10" applyNumberFormat="1" applyFont="1" applyFill="1" applyBorder="1"/>
    <xf numFmtId="0" fontId="17" fillId="0" borderId="0" xfId="10" applyFont="1" applyFill="1" applyBorder="1" applyAlignment="1">
      <alignment horizontal="right"/>
    </xf>
    <xf numFmtId="164" fontId="17" fillId="0" borderId="0" xfId="6" applyNumberFormat="1" applyFont="1" applyFill="1" applyBorder="1"/>
    <xf numFmtId="0" fontId="17" fillId="0" borderId="0" xfId="10" applyFont="1" applyFill="1" applyBorder="1" applyAlignment="1">
      <alignment horizontal="left"/>
    </xf>
    <xf numFmtId="37" fontId="15" fillId="0" borderId="0" xfId="0" applyNumberFormat="1" applyFont="1" applyFill="1"/>
    <xf numFmtId="7" fontId="17" fillId="0" borderId="0" xfId="10" applyNumberFormat="1" applyFont="1" applyFill="1" applyBorder="1" applyAlignment="1">
      <alignment horizontal="right"/>
    </xf>
    <xf numFmtId="176" fontId="17" fillId="0" borderId="0" xfId="6" applyNumberFormat="1" applyFont="1" applyFill="1" applyBorder="1"/>
    <xf numFmtId="164" fontId="18" fillId="0" borderId="0" xfId="6" applyNumberFormat="1" applyFont="1" applyFill="1" applyBorder="1"/>
    <xf numFmtId="7" fontId="17" fillId="0" borderId="0" xfId="10" applyNumberFormat="1" applyFont="1" applyFill="1" applyBorder="1"/>
    <xf numFmtId="5" fontId="15" fillId="0" borderId="0" xfId="0" applyNumberFormat="1" applyFont="1" applyFill="1" applyBorder="1" applyProtection="1"/>
    <xf numFmtId="37" fontId="15" fillId="0" borderId="0" xfId="9" applyNumberFormat="1" applyFont="1" applyFill="1"/>
    <xf numFmtId="0" fontId="17" fillId="0" borderId="0" xfId="10" applyFont="1" applyFill="1" applyBorder="1" applyAlignment="1">
      <alignment horizontal="center"/>
    </xf>
    <xf numFmtId="10" fontId="19" fillId="0" borderId="0" xfId="10" applyNumberFormat="1" applyFont="1" applyFill="1" applyBorder="1"/>
    <xf numFmtId="37" fontId="15" fillId="0" borderId="17" xfId="0" applyNumberFormat="1" applyFont="1" applyFill="1" applyBorder="1" applyProtection="1"/>
    <xf numFmtId="5" fontId="15" fillId="0" borderId="17" xfId="0" applyNumberFormat="1" applyFont="1" applyFill="1" applyBorder="1" applyProtection="1"/>
    <xf numFmtId="5" fontId="15" fillId="0" borderId="18" xfId="0" applyNumberFormat="1" applyFont="1" applyFill="1" applyBorder="1" applyProtection="1"/>
    <xf numFmtId="5" fontId="17" fillId="0" borderId="0" xfId="10" applyNumberFormat="1" applyFont="1" applyFill="1" applyBorder="1"/>
    <xf numFmtId="10" fontId="17" fillId="0" borderId="0" xfId="4" applyNumberFormat="1" applyFont="1" applyFill="1" applyBorder="1"/>
    <xf numFmtId="0" fontId="12" fillId="0" borderId="0" xfId="0" applyFont="1" applyFill="1" applyProtection="1"/>
    <xf numFmtId="0" fontId="14" fillId="0" borderId="0" xfId="0" applyFont="1" applyFill="1" applyProtection="1"/>
    <xf numFmtId="174" fontId="15" fillId="0" borderId="0" xfId="0" applyNumberFormat="1" applyFont="1" applyFill="1" applyProtection="1"/>
    <xf numFmtId="171" fontId="15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0" fontId="14" fillId="0" borderId="0" xfId="0" applyFont="1" applyFill="1" applyProtection="1">
      <protection locked="0"/>
    </xf>
    <xf numFmtId="170" fontId="15" fillId="0" borderId="0" xfId="0" applyNumberFormat="1" applyFont="1" applyFill="1" applyProtection="1"/>
    <xf numFmtId="3" fontId="16" fillId="0" borderId="0" xfId="0" applyNumberFormat="1" applyFont="1" applyFill="1" applyBorder="1" applyAlignment="1">
      <alignment horizontal="center"/>
    </xf>
    <xf numFmtId="7" fontId="15" fillId="0" borderId="0" xfId="0" applyNumberFormat="1" applyFont="1" applyFill="1" applyProtection="1">
      <protection locked="0"/>
    </xf>
    <xf numFmtId="9" fontId="0" fillId="0" borderId="0" xfId="4" applyFont="1" applyFill="1"/>
    <xf numFmtId="175" fontId="15" fillId="0" borderId="0" xfId="0" applyNumberFormat="1" applyFont="1" applyFill="1" applyProtection="1">
      <protection locked="0"/>
    </xf>
    <xf numFmtId="3" fontId="16" fillId="0" borderId="0" xfId="0" applyNumberFormat="1" applyFont="1" applyFill="1"/>
    <xf numFmtId="10" fontId="16" fillId="0" borderId="0" xfId="4" applyNumberFormat="1" applyFont="1" applyFill="1"/>
    <xf numFmtId="168" fontId="0" fillId="0" borderId="0" xfId="0" applyNumberFormat="1" applyFill="1"/>
    <xf numFmtId="172" fontId="16" fillId="0" borderId="0" xfId="7" applyNumberFormat="1" applyFont="1" applyFill="1"/>
    <xf numFmtId="0" fontId="14" fillId="0" borderId="0" xfId="0" applyFont="1" applyFill="1"/>
    <xf numFmtId="164" fontId="14" fillId="0" borderId="0" xfId="0" applyNumberFormat="1" applyFont="1" applyFill="1" applyProtection="1"/>
    <xf numFmtId="5" fontId="15" fillId="0" borderId="0" xfId="0" applyNumberFormat="1" applyFont="1" applyFill="1" applyProtection="1">
      <protection locked="0"/>
    </xf>
    <xf numFmtId="164" fontId="14" fillId="0" borderId="0" xfId="6" applyNumberFormat="1" applyFont="1" applyFill="1" applyProtection="1"/>
    <xf numFmtId="37" fontId="15" fillId="0" borderId="1" xfId="0" applyNumberFormat="1" applyFont="1" applyFill="1" applyBorder="1" applyProtection="1"/>
    <xf numFmtId="5" fontId="15" fillId="0" borderId="16" xfId="0" applyNumberFormat="1" applyFont="1" applyFill="1" applyBorder="1" applyProtection="1"/>
    <xf numFmtId="37" fontId="0" fillId="0" borderId="18" xfId="0" applyNumberFormat="1" applyFont="1" applyFill="1" applyBorder="1" applyProtection="1"/>
    <xf numFmtId="37" fontId="0" fillId="0" borderId="10" xfId="0" applyNumberFormat="1" applyFill="1" applyBorder="1"/>
    <xf numFmtId="5" fontId="17" fillId="0" borderId="1" xfId="10" applyNumberFormat="1" applyFont="1" applyFill="1" applyBorder="1"/>
    <xf numFmtId="10" fontId="0" fillId="0" borderId="9" xfId="0" applyNumberFormat="1" applyFill="1" applyBorder="1"/>
    <xf numFmtId="166" fontId="0" fillId="0" borderId="10" xfId="4" applyNumberFormat="1" applyFont="1" applyFill="1" applyBorder="1"/>
    <xf numFmtId="179" fontId="14" fillId="0" borderId="0" xfId="0" applyNumberFormat="1" applyFont="1" applyFill="1" applyProtection="1"/>
    <xf numFmtId="37" fontId="14" fillId="0" borderId="0" xfId="0" applyNumberFormat="1" applyFont="1" applyFill="1" applyProtection="1"/>
    <xf numFmtId="175" fontId="14" fillId="0" borderId="0" xfId="0" applyNumberFormat="1" applyFont="1" applyFill="1" applyProtection="1"/>
    <xf numFmtId="180" fontId="16" fillId="0" borderId="0" xfId="4" applyNumberFormat="1" applyFont="1" applyFill="1" applyBorder="1"/>
    <xf numFmtId="181" fontId="14" fillId="0" borderId="0" xfId="0" applyNumberFormat="1" applyFont="1" applyFill="1" applyProtection="1"/>
    <xf numFmtId="0" fontId="16" fillId="0" borderId="0" xfId="0" applyFont="1" applyFill="1" applyBorder="1"/>
    <xf numFmtId="7" fontId="13" fillId="0" borderId="0" xfId="0" applyNumberFormat="1" applyFont="1" applyFill="1" applyProtection="1">
      <protection locked="0"/>
    </xf>
    <xf numFmtId="175" fontId="13" fillId="0" borderId="0" xfId="0" applyNumberFormat="1" applyFont="1" applyFill="1" applyProtection="1">
      <protection locked="0"/>
    </xf>
    <xf numFmtId="7" fontId="14" fillId="0" borderId="0" xfId="0" applyNumberFormat="1" applyFont="1" applyFill="1" applyProtection="1">
      <protection locked="0"/>
    </xf>
    <xf numFmtId="5" fontId="14" fillId="0" borderId="0" xfId="0" applyNumberFormat="1" applyFont="1" applyFill="1" applyProtection="1">
      <protection locked="0"/>
    </xf>
    <xf numFmtId="37" fontId="14" fillId="0" borderId="16" xfId="0" applyNumberFormat="1" applyFont="1" applyFill="1" applyBorder="1" applyProtection="1"/>
    <xf numFmtId="172" fontId="14" fillId="0" borderId="0" xfId="7" applyNumberFormat="1" applyFont="1" applyFill="1" applyProtection="1"/>
    <xf numFmtId="0" fontId="0" fillId="0" borderId="0" xfId="0" applyFill="1" applyAlignment="1">
      <alignment horizontal="right"/>
    </xf>
    <xf numFmtId="9" fontId="16" fillId="0" borderId="0" xfId="4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5" fontId="0" fillId="0" borderId="0" xfId="0" applyNumberFormat="1" applyFont="1" applyFill="1" applyProtection="1"/>
    <xf numFmtId="5" fontId="0" fillId="0" borderId="0" xfId="0" applyNumberFormat="1" applyFont="1" applyFill="1" applyBorder="1" applyProtection="1"/>
    <xf numFmtId="5" fontId="13" fillId="0" borderId="0" xfId="0" applyNumberFormat="1" applyFont="1" applyFill="1" applyProtection="1">
      <protection locked="0"/>
    </xf>
    <xf numFmtId="0" fontId="15" fillId="0" borderId="0" xfId="0" applyFont="1" applyFill="1" applyProtection="1">
      <protection locked="0"/>
    </xf>
    <xf numFmtId="9" fontId="0" fillId="0" borderId="0" xfId="0" applyNumberFormat="1" applyFill="1"/>
    <xf numFmtId="164" fontId="0" fillId="0" borderId="0" xfId="0" applyNumberFormat="1" applyFill="1"/>
    <xf numFmtId="0" fontId="0" fillId="0" borderId="0" xfId="0" applyFont="1" applyFill="1" applyProtection="1"/>
    <xf numFmtId="43" fontId="16" fillId="0" borderId="0" xfId="6" applyFont="1" applyFill="1"/>
    <xf numFmtId="7" fontId="0" fillId="0" borderId="0" xfId="0" applyNumberFormat="1" applyFill="1"/>
    <xf numFmtId="182" fontId="13" fillId="0" borderId="0" xfId="0" applyNumberFormat="1" applyFont="1" applyFill="1" applyProtection="1">
      <protection locked="0"/>
    </xf>
    <xf numFmtId="182" fontId="15" fillId="0" borderId="0" xfId="0" applyNumberFormat="1" applyFont="1" applyFill="1" applyProtection="1">
      <protection locked="0"/>
    </xf>
    <xf numFmtId="5" fontId="15" fillId="0" borderId="0" xfId="9" applyNumberFormat="1" applyFont="1" applyFill="1" applyBorder="1" applyProtection="1"/>
    <xf numFmtId="37" fontId="16" fillId="0" borderId="0" xfId="9" applyNumberFormat="1" applyFont="1" applyFill="1" applyProtection="1"/>
    <xf numFmtId="0" fontId="11" fillId="0" borderId="0" xfId="0" applyFont="1" applyFill="1" applyProtection="1"/>
    <xf numFmtId="166" fontId="13" fillId="0" borderId="0" xfId="0" applyNumberFormat="1" applyFont="1" applyFill="1" applyProtection="1"/>
    <xf numFmtId="166" fontId="15" fillId="0" borderId="0" xfId="0" applyNumberFormat="1" applyFont="1" applyFill="1" applyProtection="1"/>
    <xf numFmtId="183" fontId="16" fillId="0" borderId="0" xfId="6" applyNumberFormat="1" applyFont="1" applyFill="1"/>
    <xf numFmtId="7" fontId="0" fillId="0" borderId="0" xfId="0" applyNumberFormat="1" applyFont="1" applyFill="1" applyProtection="1"/>
    <xf numFmtId="7" fontId="15" fillId="0" borderId="0" xfId="0" applyNumberFormat="1" applyFont="1" applyFill="1" applyProtection="1"/>
    <xf numFmtId="181" fontId="0" fillId="0" borderId="0" xfId="0" applyNumberFormat="1" applyFont="1" applyFill="1" applyProtection="1"/>
    <xf numFmtId="181" fontId="15" fillId="0" borderId="0" xfId="0" applyNumberFormat="1" applyFont="1" applyFill="1" applyProtection="1"/>
    <xf numFmtId="39" fontId="0" fillId="0" borderId="0" xfId="0" applyNumberFormat="1" applyFont="1" applyFill="1" applyProtection="1"/>
    <xf numFmtId="39" fontId="15" fillId="0" borderId="0" xfId="0" applyNumberFormat="1" applyFont="1" applyFill="1" applyProtection="1"/>
    <xf numFmtId="7" fontId="13" fillId="0" borderId="0" xfId="0" applyNumberFormat="1" applyFont="1" applyFill="1" applyProtection="1"/>
    <xf numFmtId="39" fontId="13" fillId="0" borderId="0" xfId="0" applyNumberFormat="1" applyFont="1" applyFill="1" applyProtection="1">
      <protection locked="0"/>
    </xf>
    <xf numFmtId="39" fontId="15" fillId="0" borderId="0" xfId="0" applyNumberFormat="1" applyFont="1" applyFill="1" applyProtection="1">
      <protection locked="0"/>
    </xf>
    <xf numFmtId="184" fontId="16" fillId="0" borderId="0" xfId="4" applyNumberFormat="1" applyFont="1" applyFill="1"/>
    <xf numFmtId="37" fontId="0" fillId="0" borderId="1" xfId="0" applyNumberFormat="1" applyFont="1" applyFill="1" applyBorder="1" applyProtection="1"/>
    <xf numFmtId="5" fontId="0" fillId="0" borderId="16" xfId="0" applyNumberFormat="1" applyFont="1" applyFill="1" applyBorder="1" applyProtection="1"/>
    <xf numFmtId="164" fontId="0" fillId="0" borderId="18" xfId="0" applyNumberFormat="1" applyFont="1" applyFill="1" applyBorder="1" applyProtection="1"/>
    <xf numFmtId="10" fontId="12" fillId="0" borderId="18" xfId="0" applyNumberFormat="1" applyFont="1" applyFill="1" applyBorder="1" applyProtection="1"/>
    <xf numFmtId="5" fontId="0" fillId="0" borderId="18" xfId="0" applyNumberFormat="1" applyFont="1" applyFill="1" applyBorder="1" applyProtection="1"/>
    <xf numFmtId="164" fontId="15" fillId="0" borderId="18" xfId="0" applyNumberFormat="1" applyFont="1" applyFill="1" applyBorder="1" applyProtection="1"/>
    <xf numFmtId="0" fontId="15" fillId="0" borderId="18" xfId="0" applyFont="1" applyFill="1" applyBorder="1" applyProtection="1"/>
    <xf numFmtId="164" fontId="15" fillId="0" borderId="18" xfId="6" applyNumberFormat="1" applyFont="1" applyFill="1" applyBorder="1" applyProtection="1"/>
    <xf numFmtId="166" fontId="16" fillId="0" borderId="11" xfId="4" applyNumberFormat="1" applyFont="1" applyFill="1" applyBorder="1"/>
    <xf numFmtId="10" fontId="16" fillId="0" borderId="0" xfId="4" applyNumberFormat="1" applyFont="1" applyFill="1" applyBorder="1"/>
    <xf numFmtId="164" fontId="0" fillId="0" borderId="0" xfId="0" applyNumberFormat="1" applyFont="1" applyFill="1" applyBorder="1" applyProtection="1"/>
    <xf numFmtId="10" fontId="12" fillId="0" borderId="0" xfId="0" applyNumberFormat="1" applyFont="1" applyFill="1" applyBorder="1" applyProtection="1"/>
    <xf numFmtId="0" fontId="14" fillId="0" borderId="0" xfId="0" applyFont="1" applyFill="1" applyBorder="1" applyProtection="1"/>
    <xf numFmtId="164" fontId="16" fillId="0" borderId="0" xfId="6" applyNumberFormat="1" applyFont="1" applyFill="1" applyBorder="1" applyProtection="1"/>
    <xf numFmtId="166" fontId="16" fillId="0" borderId="4" xfId="4" applyNumberFormat="1" applyFont="1" applyFill="1" applyBorder="1"/>
    <xf numFmtId="10" fontId="0" fillId="0" borderId="10" xfId="0" applyNumberFormat="1" applyFill="1" applyBorder="1"/>
    <xf numFmtId="177" fontId="16" fillId="0" borderId="0" xfId="4" applyNumberFormat="1" applyFont="1" applyFill="1" applyBorder="1"/>
    <xf numFmtId="185" fontId="16" fillId="0" borderId="0" xfId="4" applyNumberFormat="1" applyFont="1" applyFill="1"/>
    <xf numFmtId="0" fontId="13" fillId="0" borderId="0" xfId="0" applyFont="1" applyFill="1" applyProtection="1">
      <protection locked="0"/>
    </xf>
    <xf numFmtId="3" fontId="16" fillId="0" borderId="0" xfId="0" applyNumberFormat="1" applyFont="1" applyFill="1" applyBorder="1"/>
    <xf numFmtId="10" fontId="14" fillId="0" borderId="0" xfId="4" applyNumberFormat="1" applyFont="1" applyFill="1" applyProtection="1"/>
    <xf numFmtId="166" fontId="0" fillId="0" borderId="18" xfId="0" applyNumberFormat="1" applyFont="1" applyFill="1" applyBorder="1" applyProtection="1"/>
    <xf numFmtId="0" fontId="14" fillId="0" borderId="18" xfId="0" applyFont="1" applyFill="1" applyBorder="1" applyProtection="1"/>
    <xf numFmtId="7" fontId="14" fillId="0" borderId="0" xfId="0" applyNumberFormat="1" applyFont="1" applyFill="1" applyProtection="1"/>
    <xf numFmtId="0" fontId="20" fillId="0" borderId="0" xfId="0" applyFont="1" applyFill="1" applyProtection="1"/>
    <xf numFmtId="164" fontId="16" fillId="0" borderId="0" xfId="6" applyNumberFormat="1" applyFont="1" applyFill="1" applyBorder="1"/>
    <xf numFmtId="37" fontId="0" fillId="0" borderId="16" xfId="0" applyNumberFormat="1" applyFont="1" applyFill="1" applyBorder="1" applyProtection="1"/>
    <xf numFmtId="166" fontId="0" fillId="0" borderId="0" xfId="0" applyNumberFormat="1" applyFont="1" applyFill="1" applyBorder="1" applyProtection="1"/>
    <xf numFmtId="7" fontId="16" fillId="0" borderId="0" xfId="0" applyNumberFormat="1" applyFont="1" applyFill="1" applyProtection="1"/>
    <xf numFmtId="37" fontId="13" fillId="0" borderId="0" xfId="0" applyNumberFormat="1" applyFont="1" applyFill="1" applyProtection="1"/>
    <xf numFmtId="7" fontId="12" fillId="0" borderId="0" xfId="0" applyNumberFormat="1" applyFont="1" applyFill="1" applyProtection="1"/>
    <xf numFmtId="186" fontId="15" fillId="0" borderId="0" xfId="0" applyNumberFormat="1" applyFont="1" applyFill="1" applyProtection="1"/>
    <xf numFmtId="43" fontId="13" fillId="0" borderId="0" xfId="0" applyNumberFormat="1" applyFont="1" applyFill="1" applyProtection="1"/>
    <xf numFmtId="43" fontId="15" fillId="0" borderId="0" xfId="6" applyFont="1" applyFill="1" applyProtection="1">
      <protection locked="0"/>
    </xf>
    <xf numFmtId="0" fontId="21" fillId="0" borderId="0" xfId="0" applyFont="1" applyFill="1" applyProtection="1"/>
    <xf numFmtId="5" fontId="13" fillId="0" borderId="0" xfId="0" applyNumberFormat="1" applyFont="1" applyFill="1" applyProtection="1"/>
    <xf numFmtId="175" fontId="0" fillId="0" borderId="0" xfId="0" applyNumberFormat="1" applyFont="1" applyFill="1" applyProtection="1"/>
    <xf numFmtId="175" fontId="15" fillId="0" borderId="0" xfId="0" applyNumberFormat="1" applyFont="1" applyFill="1" applyProtection="1"/>
    <xf numFmtId="182" fontId="15" fillId="0" borderId="0" xfId="0" applyNumberFormat="1" applyFont="1" applyFill="1" applyProtection="1"/>
    <xf numFmtId="187" fontId="16" fillId="0" borderId="0" xfId="0" applyNumberFormat="1" applyFont="1" applyFill="1" applyProtection="1"/>
    <xf numFmtId="43" fontId="15" fillId="0" borderId="0" xfId="0" applyNumberFormat="1" applyFont="1" applyFill="1" applyProtection="1"/>
    <xf numFmtId="37" fontId="14" fillId="0" borderId="18" xfId="0" applyNumberFormat="1" applyFont="1" applyFill="1" applyBorder="1" applyProtection="1"/>
    <xf numFmtId="188" fontId="0" fillId="0" borderId="0" xfId="0" applyNumberFormat="1" applyFont="1" applyFill="1" applyProtection="1"/>
    <xf numFmtId="0" fontId="16" fillId="0" borderId="0" xfId="0" applyFont="1" applyFill="1" applyBorder="1" applyAlignment="1">
      <alignment horizontal="center"/>
    </xf>
    <xf numFmtId="183" fontId="15" fillId="0" borderId="0" xfId="6" applyNumberFormat="1" applyFont="1" applyFill="1" applyProtection="1">
      <protection locked="0"/>
    </xf>
    <xf numFmtId="189" fontId="0" fillId="0" borderId="0" xfId="0" applyNumberFormat="1" applyFill="1"/>
    <xf numFmtId="189" fontId="16" fillId="0" borderId="0" xfId="0" applyNumberFormat="1" applyFont="1" applyFill="1"/>
    <xf numFmtId="172" fontId="14" fillId="0" borderId="0" xfId="0" applyNumberFormat="1" applyFont="1" applyFill="1" applyProtection="1"/>
    <xf numFmtId="190" fontId="16" fillId="0" borderId="0" xfId="6" applyNumberFormat="1" applyFont="1" applyFill="1"/>
    <xf numFmtId="10" fontId="19" fillId="0" borderId="0" xfId="10" applyNumberFormat="1" applyFont="1" applyFill="1"/>
    <xf numFmtId="7" fontId="17" fillId="0" borderId="0" xfId="10" applyNumberFormat="1" applyFont="1" applyFill="1"/>
    <xf numFmtId="37" fontId="14" fillId="0" borderId="0" xfId="0" applyNumberFormat="1" applyFont="1" applyFill="1" applyBorder="1" applyProtection="1"/>
    <xf numFmtId="5" fontId="16" fillId="0" borderId="0" xfId="0" applyNumberFormat="1" applyFont="1" applyFill="1" applyBorder="1" applyProtection="1"/>
    <xf numFmtId="177" fontId="16" fillId="0" borderId="4" xfId="4" applyNumberFormat="1" applyFont="1" applyFill="1" applyBorder="1"/>
    <xf numFmtId="7" fontId="16" fillId="0" borderId="0" xfId="0" applyNumberFormat="1" applyFont="1" applyFill="1" applyProtection="1">
      <protection locked="0"/>
    </xf>
    <xf numFmtId="183" fontId="13" fillId="0" borderId="0" xfId="0" applyNumberFormat="1" applyFont="1" applyFill="1" applyProtection="1">
      <protection locked="0"/>
    </xf>
    <xf numFmtId="183" fontId="13" fillId="0" borderId="0" xfId="6" applyNumberFormat="1" applyFont="1" applyFill="1" applyProtection="1">
      <protection locked="0"/>
    </xf>
    <xf numFmtId="43" fontId="13" fillId="0" borderId="0" xfId="0" applyNumberFormat="1" applyFont="1" applyFill="1" applyProtection="1">
      <protection locked="0"/>
    </xf>
    <xf numFmtId="43" fontId="13" fillId="0" borderId="0" xfId="6" applyNumberFormat="1" applyFont="1" applyFill="1" applyProtection="1">
      <protection locked="0"/>
    </xf>
    <xf numFmtId="5" fontId="12" fillId="0" borderId="0" xfId="0" applyNumberFormat="1" applyFont="1" applyFill="1" applyProtection="1"/>
    <xf numFmtId="5" fontId="12" fillId="0" borderId="0" xfId="0" applyNumberFormat="1" applyFont="1" applyFill="1" applyProtection="1">
      <protection locked="0"/>
    </xf>
    <xf numFmtId="0" fontId="12" fillId="0" borderId="0" xfId="0" applyFont="1" applyFill="1" applyProtection="1">
      <protection locked="0"/>
    </xf>
    <xf numFmtId="175" fontId="14" fillId="0" borderId="0" xfId="0" applyNumberFormat="1" applyFont="1" applyFill="1" applyProtection="1">
      <protection locked="0"/>
    </xf>
    <xf numFmtId="182" fontId="14" fillId="0" borderId="0" xfId="0" applyNumberFormat="1" applyFont="1" applyFill="1" applyProtection="1">
      <protection locked="0"/>
    </xf>
    <xf numFmtId="191" fontId="14" fillId="0" borderId="0" xfId="0" applyNumberFormat="1" applyFont="1" applyFill="1" applyProtection="1"/>
    <xf numFmtId="5" fontId="14" fillId="0" borderId="0" xfId="0" applyNumberFormat="1" applyFont="1" applyFill="1"/>
    <xf numFmtId="192" fontId="15" fillId="0" borderId="0" xfId="0" applyNumberFormat="1" applyFont="1" applyFill="1" applyProtection="1"/>
    <xf numFmtId="10" fontId="0" fillId="0" borderId="0" xfId="4" applyNumberFormat="1" applyFont="1" applyFill="1"/>
    <xf numFmtId="4" fontId="0" fillId="0" borderId="0" xfId="0" applyNumberFormat="1" applyFill="1"/>
    <xf numFmtId="183" fontId="15" fillId="0" borderId="0" xfId="6" applyNumberFormat="1" applyFont="1" applyFill="1" applyProtection="1"/>
    <xf numFmtId="193" fontId="0" fillId="0" borderId="0" xfId="0" applyNumberFormat="1" applyFill="1"/>
    <xf numFmtId="43" fontId="15" fillId="0" borderId="0" xfId="6" applyFont="1" applyFill="1" applyProtection="1"/>
    <xf numFmtId="168" fontId="15" fillId="0" borderId="0" xfId="0" applyNumberFormat="1" applyFont="1" applyFill="1" applyProtection="1"/>
    <xf numFmtId="43" fontId="15" fillId="0" borderId="0" xfId="6" applyNumberFormat="1" applyFont="1" applyFill="1" applyProtection="1"/>
    <xf numFmtId="5" fontId="16" fillId="0" borderId="1" xfId="9" applyNumberFormat="1" applyFont="1" applyFill="1" applyBorder="1" applyProtection="1"/>
    <xf numFmtId="5" fontId="16" fillId="0" borderId="0" xfId="9" applyNumberFormat="1" applyFont="1" applyFill="1" applyBorder="1" applyProtection="1"/>
    <xf numFmtId="166" fontId="0" fillId="0" borderId="0" xfId="0" applyNumberFormat="1" applyFill="1" applyBorder="1" applyProtection="1"/>
    <xf numFmtId="180" fontId="16" fillId="0" borderId="4" xfId="4" applyNumberFormat="1" applyFont="1" applyFill="1" applyBorder="1"/>
    <xf numFmtId="192" fontId="14" fillId="0" borderId="0" xfId="0" applyNumberFormat="1" applyFont="1" applyFill="1" applyProtection="1"/>
    <xf numFmtId="37" fontId="16" fillId="0" borderId="0" xfId="0" applyNumberFormat="1" applyFont="1" applyFill="1" applyProtection="1"/>
    <xf numFmtId="168" fontId="13" fillId="0" borderId="0" xfId="0" applyNumberFormat="1" applyFont="1" applyFill="1" applyProtection="1"/>
    <xf numFmtId="37" fontId="0" fillId="0" borderId="0" xfId="0" applyNumberFormat="1" applyFill="1" applyProtection="1"/>
    <xf numFmtId="168" fontId="14" fillId="0" borderId="0" xfId="0" applyNumberFormat="1" applyFont="1" applyFill="1" applyProtection="1"/>
    <xf numFmtId="10" fontId="17" fillId="0" borderId="0" xfId="10" applyNumberFormat="1" applyFont="1" applyFill="1" applyBorder="1"/>
    <xf numFmtId="0" fontId="16" fillId="0" borderId="0" xfId="0" applyFont="1" applyFill="1" applyProtection="1"/>
    <xf numFmtId="187" fontId="14" fillId="0" borderId="0" xfId="0" applyNumberFormat="1" applyFont="1" applyFill="1" applyProtection="1"/>
    <xf numFmtId="168" fontId="0" fillId="0" borderId="0" xfId="0" applyNumberFormat="1" applyFont="1" applyFill="1"/>
    <xf numFmtId="5" fontId="14" fillId="0" borderId="1" xfId="0" applyNumberFormat="1" applyFont="1" applyFill="1" applyBorder="1" applyProtection="1"/>
    <xf numFmtId="37" fontId="14" fillId="0" borderId="17" xfId="0" applyNumberFormat="1" applyFont="1" applyFill="1" applyBorder="1" applyProtection="1"/>
    <xf numFmtId="175" fontId="13" fillId="0" borderId="0" xfId="6" applyNumberFormat="1" applyFont="1" applyFill="1" applyProtection="1"/>
    <xf numFmtId="175" fontId="13" fillId="0" borderId="0" xfId="0" applyNumberFormat="1" applyFont="1" applyFill="1" applyProtection="1"/>
    <xf numFmtId="37" fontId="0" fillId="0" borderId="19" xfId="0" applyNumberFormat="1" applyFont="1" applyFill="1" applyBorder="1" applyProtection="1"/>
    <xf numFmtId="5" fontId="14" fillId="0" borderId="19" xfId="0" applyNumberFormat="1" applyFont="1" applyFill="1" applyBorder="1" applyProtection="1"/>
    <xf numFmtId="0" fontId="0" fillId="0" borderId="0" xfId="0" applyFill="1" applyAlignment="1">
      <alignment horizontal="center"/>
    </xf>
    <xf numFmtId="0" fontId="13" fillId="0" borderId="0" xfId="0" applyFont="1" applyFill="1" applyProtection="1"/>
    <xf numFmtId="9" fontId="16" fillId="0" borderId="0" xfId="4" applyFont="1" applyFill="1"/>
    <xf numFmtId="172" fontId="0" fillId="0" borderId="0" xfId="0" applyNumberFormat="1" applyFill="1" applyBorder="1"/>
    <xf numFmtId="5" fontId="16" fillId="0" borderId="0" xfId="0" applyNumberFormat="1" applyFont="1" applyFill="1" applyProtection="1"/>
    <xf numFmtId="37" fontId="14" fillId="0" borderId="1" xfId="0" applyNumberFormat="1" applyFont="1" applyFill="1" applyBorder="1" applyProtection="1"/>
    <xf numFmtId="37" fontId="14" fillId="0" borderId="20" xfId="0" applyNumberFormat="1" applyFont="1" applyFill="1" applyBorder="1" applyProtection="1"/>
    <xf numFmtId="5" fontId="14" fillId="0" borderId="20" xfId="0" applyNumberFormat="1" applyFont="1" applyFill="1" applyBorder="1" applyProtection="1"/>
    <xf numFmtId="10" fontId="0" fillId="0" borderId="3" xfId="4" applyNumberFormat="1" applyFont="1" applyFill="1" applyBorder="1"/>
    <xf numFmtId="3" fontId="0" fillId="0" borderId="4" xfId="0" applyNumberFormat="1" applyFill="1" applyBorder="1"/>
    <xf numFmtId="166" fontId="0" fillId="0" borderId="0" xfId="4" applyNumberFormat="1" applyFont="1" applyFill="1" applyBorder="1"/>
    <xf numFmtId="166" fontId="0" fillId="0" borderId="0" xfId="0" applyNumberFormat="1" applyFill="1" applyBorder="1"/>
    <xf numFmtId="5" fontId="15" fillId="0" borderId="1" xfId="0" applyNumberFormat="1" applyFont="1" applyFill="1" applyBorder="1" applyProtection="1"/>
    <xf numFmtId="10" fontId="14" fillId="0" borderId="0" xfId="0" applyNumberFormat="1" applyFont="1" applyFill="1" applyProtection="1"/>
    <xf numFmtId="166" fontId="15" fillId="0" borderId="18" xfId="0" applyNumberFormat="1" applyFont="1" applyFill="1" applyBorder="1" applyProtection="1"/>
    <xf numFmtId="10" fontId="15" fillId="0" borderId="18" xfId="0" applyNumberFormat="1" applyFont="1" applyFill="1" applyBorder="1" applyProtection="1"/>
    <xf numFmtId="166" fontId="0" fillId="0" borderId="0" xfId="4" applyNumberFormat="1" applyFont="1" applyFill="1"/>
    <xf numFmtId="37" fontId="0" fillId="0" borderId="20" xfId="0" applyNumberFormat="1" applyFont="1" applyFill="1" applyBorder="1" applyProtection="1"/>
    <xf numFmtId="0" fontId="16" fillId="0" borderId="0" xfId="4" applyNumberFormat="1" applyFont="1" applyFill="1"/>
    <xf numFmtId="166" fontId="0" fillId="0" borderId="0" xfId="0" applyNumberFormat="1" applyFill="1"/>
    <xf numFmtId="44" fontId="17" fillId="0" borderId="0" xfId="10" applyNumberFormat="1" applyFont="1" applyFill="1" applyBorder="1"/>
    <xf numFmtId="0" fontId="0" fillId="0" borderId="0" xfId="0" applyFont="1" applyFill="1"/>
    <xf numFmtId="5" fontId="16" fillId="0" borderId="0" xfId="7" applyNumberFormat="1" applyFont="1" applyFill="1" applyBorder="1"/>
    <xf numFmtId="0" fontId="17" fillId="0" borderId="9" xfId="10" applyFont="1" applyFill="1" applyBorder="1"/>
    <xf numFmtId="5" fontId="17" fillId="0" borderId="10" xfId="10" applyNumberFormat="1" applyFont="1" applyFill="1" applyBorder="1" applyAlignment="1">
      <alignment horizontal="right"/>
    </xf>
    <xf numFmtId="37" fontId="15" fillId="0" borderId="0" xfId="0" applyNumberFormat="1" applyFont="1" applyFill="1" applyBorder="1" applyProtection="1"/>
    <xf numFmtId="0" fontId="17" fillId="0" borderId="12" xfId="10" applyFont="1" applyFill="1" applyBorder="1"/>
    <xf numFmtId="5" fontId="17" fillId="0" borderId="0" xfId="10" applyNumberFormat="1" applyFont="1" applyFill="1" applyBorder="1" applyAlignment="1">
      <alignment horizontal="right"/>
    </xf>
    <xf numFmtId="166" fontId="16" fillId="0" borderId="13" xfId="4" applyNumberFormat="1" applyFont="1" applyFill="1" applyBorder="1"/>
    <xf numFmtId="0" fontId="17" fillId="0" borderId="3" xfId="10" applyFont="1" applyFill="1" applyBorder="1"/>
    <xf numFmtId="166" fontId="0" fillId="0" borderId="4" xfId="4" applyNumberFormat="1" applyFont="1" applyFill="1" applyBorder="1"/>
    <xf numFmtId="0" fontId="17" fillId="0" borderId="0" xfId="10" applyFont="1" applyFill="1"/>
    <xf numFmtId="5" fontId="15" fillId="0" borderId="0" xfId="0" applyNumberFormat="1" applyFont="1" applyFill="1" applyAlignment="1" applyProtection="1">
      <alignment horizontal="right"/>
    </xf>
    <xf numFmtId="194" fontId="15" fillId="0" borderId="0" xfId="0" applyNumberFormat="1" applyFont="1" applyFill="1" applyProtection="1"/>
    <xf numFmtId="175" fontId="14" fillId="0" borderId="17" xfId="0" applyNumberFormat="1" applyFont="1" applyFill="1" applyBorder="1" applyProtection="1"/>
    <xf numFmtId="0" fontId="14" fillId="0" borderId="17" xfId="0" applyFont="1" applyFill="1" applyBorder="1" applyProtection="1"/>
    <xf numFmtId="175" fontId="14" fillId="0" borderId="18" xfId="0" applyNumberFormat="1" applyFont="1" applyFill="1" applyBorder="1" applyProtection="1"/>
    <xf numFmtId="5" fontId="14" fillId="0" borderId="0" xfId="0" applyNumberFormat="1" applyFont="1" applyFill="1" applyAlignment="1" applyProtection="1">
      <alignment horizontal="right"/>
    </xf>
    <xf numFmtId="168" fontId="16" fillId="0" borderId="0" xfId="0" applyNumberFormat="1" applyFont="1" applyFill="1" applyProtection="1"/>
    <xf numFmtId="194" fontId="14" fillId="0" borderId="0" xfId="0" applyNumberFormat="1" applyFont="1" applyFill="1" applyProtection="1"/>
    <xf numFmtId="0" fontId="14" fillId="0" borderId="0" xfId="0" quotePrefix="1" applyFont="1" applyFill="1" applyProtection="1"/>
    <xf numFmtId="175" fontId="14" fillId="0" borderId="0" xfId="0" applyNumberFormat="1" applyFont="1" applyFill="1" applyBorder="1" applyProtection="1"/>
    <xf numFmtId="189" fontId="0" fillId="0" borderId="0" xfId="0" applyNumberFormat="1" applyFill="1" applyBorder="1"/>
    <xf numFmtId="175" fontId="15" fillId="0" borderId="17" xfId="0" applyNumberFormat="1" applyFont="1" applyFill="1" applyBorder="1" applyProtection="1"/>
    <xf numFmtId="0" fontId="15" fillId="0" borderId="17" xfId="0" applyFont="1" applyFill="1" applyBorder="1" applyProtection="1"/>
    <xf numFmtId="175" fontId="15" fillId="0" borderId="18" xfId="0" applyNumberFormat="1" applyFont="1" applyFill="1" applyBorder="1" applyProtection="1"/>
    <xf numFmtId="9" fontId="16" fillId="0" borderId="0" xfId="4" applyFont="1" applyFill="1" applyBorder="1"/>
    <xf numFmtId="37" fontId="15" fillId="0" borderId="16" xfId="0" applyNumberFormat="1" applyFont="1" applyFill="1" applyBorder="1" applyProtection="1"/>
    <xf numFmtId="0" fontId="15" fillId="0" borderId="16" xfId="0" applyFont="1" applyFill="1" applyBorder="1" applyProtection="1"/>
    <xf numFmtId="5" fontId="15" fillId="0" borderId="16" xfId="0" applyNumberFormat="1" applyFont="1" applyFill="1" applyBorder="1" applyAlignment="1" applyProtection="1">
      <alignment horizontal="right"/>
    </xf>
    <xf numFmtId="0" fontId="15" fillId="0" borderId="0" xfId="0" applyFont="1" applyFill="1" applyBorder="1" applyProtection="1"/>
    <xf numFmtId="5" fontId="15" fillId="0" borderId="0" xfId="0" applyNumberFormat="1" applyFont="1" applyFill="1" applyBorder="1" applyAlignment="1" applyProtection="1">
      <alignment horizontal="right"/>
    </xf>
    <xf numFmtId="37" fontId="15" fillId="0" borderId="18" xfId="0" applyNumberFormat="1" applyFont="1" applyFill="1" applyBorder="1" applyProtection="1"/>
    <xf numFmtId="0" fontId="11" fillId="0" borderId="0" xfId="0" applyFont="1" applyFill="1"/>
    <xf numFmtId="43" fontId="17" fillId="0" borderId="0" xfId="6" applyNumberFormat="1" applyFont="1" applyFill="1" applyBorder="1"/>
    <xf numFmtId="0" fontId="22" fillId="0" borderId="0" xfId="0" applyFont="1" applyFill="1" applyBorder="1"/>
    <xf numFmtId="7" fontId="0" fillId="0" borderId="0" xfId="0" applyNumberFormat="1" applyFill="1" applyBorder="1"/>
    <xf numFmtId="43" fontId="0" fillId="0" borderId="0" xfId="0" applyNumberFormat="1" applyFill="1" applyBorder="1"/>
    <xf numFmtId="7" fontId="13" fillId="0" borderId="0" xfId="0" applyNumberFormat="1" applyFont="1" applyFill="1" applyBorder="1"/>
    <xf numFmtId="0" fontId="21" fillId="0" borderId="0" xfId="0" applyFont="1" applyFill="1"/>
    <xf numFmtId="5" fontId="13" fillId="0" borderId="0" xfId="0" applyNumberFormat="1" applyFont="1" applyFill="1" applyBorder="1"/>
    <xf numFmtId="44" fontId="16" fillId="0" borderId="0" xfId="7" applyFont="1" applyFill="1" applyBorder="1"/>
    <xf numFmtId="195" fontId="16" fillId="0" borderId="0" xfId="7" applyNumberFormat="1" applyFont="1" applyFill="1" applyBorder="1"/>
    <xf numFmtId="37" fontId="14" fillId="0" borderId="21" xfId="0" applyNumberFormat="1" applyFont="1" applyFill="1" applyBorder="1" applyProtection="1"/>
    <xf numFmtId="7" fontId="20" fillId="0" borderId="0" xfId="0" applyNumberFormat="1" applyFont="1" applyFill="1" applyProtection="1"/>
    <xf numFmtId="5" fontId="13" fillId="0" borderId="20" xfId="0" applyNumberFormat="1" applyFont="1" applyFill="1" applyBorder="1" applyProtection="1"/>
    <xf numFmtId="5" fontId="14" fillId="0" borderId="22" xfId="0" applyNumberFormat="1" applyFont="1" applyFill="1" applyBorder="1" applyProtection="1"/>
    <xf numFmtId="0" fontId="16" fillId="0" borderId="9" xfId="0" applyFont="1" applyFill="1" applyBorder="1"/>
    <xf numFmtId="5" fontId="16" fillId="0" borderId="11" xfId="0" applyNumberFormat="1" applyFont="1" applyFill="1" applyBorder="1"/>
    <xf numFmtId="37" fontId="14" fillId="0" borderId="23" xfId="0" applyNumberFormat="1" applyFont="1" applyFill="1" applyBorder="1" applyProtection="1"/>
    <xf numFmtId="5" fontId="0" fillId="0" borderId="4" xfId="0" applyNumberFormat="1" applyFill="1" applyBorder="1"/>
    <xf numFmtId="180" fontId="16" fillId="0" borderId="0" xfId="4" applyNumberFormat="1" applyFont="1" applyFill="1"/>
    <xf numFmtId="7" fontId="13" fillId="0" borderId="10" xfId="0" applyNumberFormat="1" applyFont="1" applyFill="1" applyBorder="1" applyProtection="1"/>
    <xf numFmtId="5" fontId="14" fillId="0" borderId="10" xfId="0" applyNumberFormat="1" applyFont="1" applyFill="1" applyBorder="1" applyProtection="1"/>
    <xf numFmtId="0" fontId="14" fillId="0" borderId="10" xfId="0" applyFont="1" applyFill="1" applyBorder="1" applyProtection="1"/>
    <xf numFmtId="7" fontId="16" fillId="0" borderId="10" xfId="0" applyNumberFormat="1" applyFont="1" applyFill="1" applyBorder="1" applyProtection="1"/>
    <xf numFmtId="5" fontId="14" fillId="0" borderId="6" xfId="0" applyNumberFormat="1" applyFont="1" applyFill="1" applyBorder="1" applyProtection="1"/>
    <xf numFmtId="0" fontId="11" fillId="0" borderId="0" xfId="0" applyFont="1" applyFill="1" applyBorder="1" applyProtection="1"/>
    <xf numFmtId="179" fontId="11" fillId="0" borderId="0" xfId="0" applyNumberFormat="1" applyFont="1" applyFill="1" applyProtection="1"/>
    <xf numFmtId="37" fontId="11" fillId="0" borderId="20" xfId="0" applyNumberFormat="1" applyFont="1" applyFill="1" applyBorder="1" applyProtection="1"/>
    <xf numFmtId="164" fontId="23" fillId="0" borderId="20" xfId="6" applyNumberFormat="1" applyFont="1" applyFill="1" applyBorder="1" applyProtection="1"/>
    <xf numFmtId="5" fontId="11" fillId="0" borderId="20" xfId="0" applyNumberFormat="1" applyFont="1" applyFill="1" applyBorder="1" applyProtection="1"/>
    <xf numFmtId="172" fontId="11" fillId="0" borderId="20" xfId="7" applyNumberFormat="1" applyFont="1" applyFill="1" applyBorder="1" applyProtection="1"/>
    <xf numFmtId="7" fontId="23" fillId="0" borderId="20" xfId="6" applyNumberFormat="1" applyFont="1" applyFill="1" applyBorder="1" applyProtection="1"/>
    <xf numFmtId="7" fontId="23" fillId="0" borderId="20" xfId="0" applyNumberFormat="1" applyFont="1" applyFill="1" applyBorder="1" applyProtection="1"/>
    <xf numFmtId="172" fontId="13" fillId="0" borderId="0" xfId="0" applyNumberFormat="1" applyFont="1" applyFill="1" applyProtection="1"/>
    <xf numFmtId="37" fontId="0" fillId="0" borderId="0" xfId="0" applyNumberFormat="1" applyFill="1" applyBorder="1"/>
    <xf numFmtId="196" fontId="16" fillId="0" borderId="0" xfId="7" applyNumberFormat="1" applyFont="1" applyFill="1"/>
    <xf numFmtId="0" fontId="24" fillId="0" borderId="0" xfId="0" applyFont="1" applyFill="1" applyProtection="1"/>
    <xf numFmtId="5" fontId="16" fillId="0" borderId="0" xfId="0" applyNumberFormat="1" applyFont="1" applyFill="1"/>
    <xf numFmtId="37" fontId="16" fillId="0" borderId="0" xfId="0" applyNumberFormat="1" applyFont="1" applyFill="1"/>
    <xf numFmtId="197" fontId="14" fillId="0" borderId="0" xfId="0" applyNumberFormat="1" applyFont="1" applyFill="1" applyProtection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43" fontId="0" fillId="0" borderId="2" xfId="1" applyFont="1" applyBorder="1"/>
    <xf numFmtId="43" fontId="0" fillId="0" borderId="8" xfId="1" applyFont="1" applyBorder="1"/>
    <xf numFmtId="43" fontId="0" fillId="0" borderId="14" xfId="1" applyFont="1" applyBorder="1"/>
    <xf numFmtId="10" fontId="0" fillId="0" borderId="2" xfId="4" applyNumberFormat="1" applyFont="1" applyBorder="1"/>
    <xf numFmtId="5" fontId="19" fillId="0" borderId="0" xfId="10" applyNumberFormat="1" applyFont="1" applyFill="1" applyBorder="1"/>
    <xf numFmtId="175" fontId="16" fillId="0" borderId="0" xfId="0" applyNumberFormat="1" applyFont="1" applyFill="1" applyProtection="1">
      <protection locked="0"/>
    </xf>
    <xf numFmtId="5" fontId="16" fillId="0" borderId="0" xfId="0" applyNumberFormat="1" applyFont="1" applyFill="1" applyProtection="1">
      <protection locked="0"/>
    </xf>
    <xf numFmtId="37" fontId="16" fillId="0" borderId="16" xfId="0" applyNumberFormat="1" applyFont="1" applyFill="1" applyBorder="1" applyProtection="1"/>
    <xf numFmtId="0" fontId="25" fillId="0" borderId="0" xfId="0" applyFont="1" applyFill="1" applyProtection="1"/>
    <xf numFmtId="5" fontId="16" fillId="0" borderId="16" xfId="0" applyNumberFormat="1" applyFont="1" applyFill="1" applyBorder="1" applyProtection="1"/>
    <xf numFmtId="37" fontId="25" fillId="0" borderId="18" xfId="0" applyNumberFormat="1" applyFont="1" applyFill="1" applyBorder="1" applyProtection="1"/>
    <xf numFmtId="5" fontId="16" fillId="0" borderId="18" xfId="0" applyNumberFormat="1" applyFont="1" applyFill="1" applyBorder="1" applyProtection="1"/>
    <xf numFmtId="10" fontId="13" fillId="0" borderId="0" xfId="4" applyNumberFormat="1" applyFont="1" applyFill="1" applyProtection="1">
      <protection locked="0"/>
    </xf>
    <xf numFmtId="7" fontId="15" fillId="0" borderId="0" xfId="9" applyNumberFormat="1" applyFont="1" applyFill="1" applyBorder="1" applyProtection="1"/>
    <xf numFmtId="165" fontId="0" fillId="0" borderId="0" xfId="0" applyNumberFormat="1" applyFill="1" applyBorder="1"/>
    <xf numFmtId="173" fontId="0" fillId="0" borderId="0" xfId="0" applyNumberFormat="1" applyFill="1" applyBorder="1"/>
    <xf numFmtId="168" fontId="0" fillId="0" borderId="0" xfId="0" applyNumberFormat="1" applyFill="1" applyBorder="1"/>
    <xf numFmtId="198" fontId="0" fillId="0" borderId="0" xfId="0" applyNumberFormat="1" applyFill="1" applyBorder="1"/>
    <xf numFmtId="180" fontId="16" fillId="0" borderId="0" xfId="4" applyNumberFormat="1" applyFont="1" applyFill="1" applyProtection="1"/>
    <xf numFmtId="9" fontId="14" fillId="0" borderId="0" xfId="4" applyFont="1" applyFill="1" applyProtection="1"/>
    <xf numFmtId="166" fontId="13" fillId="0" borderId="0" xfId="4" applyNumberFormat="1" applyFont="1" applyFill="1" applyProtection="1"/>
    <xf numFmtId="10" fontId="13" fillId="0" borderId="0" xfId="4" applyNumberFormat="1" applyFont="1" applyFill="1" applyProtection="1"/>
    <xf numFmtId="199" fontId="15" fillId="0" borderId="0" xfId="0" applyNumberFormat="1" applyFont="1" applyFill="1" applyProtection="1"/>
    <xf numFmtId="199" fontId="13" fillId="0" borderId="0" xfId="0" applyNumberFormat="1" applyFont="1" applyFill="1" applyProtection="1"/>
    <xf numFmtId="165" fontId="15" fillId="0" borderId="0" xfId="0" applyNumberFormat="1" applyFont="1" applyFill="1" applyProtection="1"/>
    <xf numFmtId="200" fontId="0" fillId="0" borderId="0" xfId="0" applyNumberFormat="1" applyFill="1" applyBorder="1"/>
    <xf numFmtId="199" fontId="14" fillId="0" borderId="0" xfId="0" applyNumberFormat="1" applyFont="1" applyFill="1" applyProtection="1"/>
    <xf numFmtId="184" fontId="14" fillId="0" borderId="0" xfId="4" applyNumberFormat="1" applyFont="1" applyFill="1" applyProtection="1"/>
    <xf numFmtId="10" fontId="16" fillId="0" borderId="0" xfId="4" applyNumberFormat="1" applyFont="1" applyFill="1" applyBorder="1" applyAlignment="1">
      <alignment horizontal="center"/>
    </xf>
    <xf numFmtId="173" fontId="0" fillId="0" borderId="0" xfId="0" applyNumberFormat="1"/>
    <xf numFmtId="10" fontId="0" fillId="0" borderId="11" xfId="4" applyNumberFormat="1" applyFont="1" applyFill="1" applyBorder="1"/>
    <xf numFmtId="165" fontId="15" fillId="0" borderId="0" xfId="3" applyNumberFormat="1" applyFont="1" applyFill="1" applyProtection="1"/>
    <xf numFmtId="171" fontId="0" fillId="0" borderId="0" xfId="0" applyNumberFormat="1" applyFill="1"/>
    <xf numFmtId="165" fontId="16" fillId="0" borderId="0" xfId="4" applyNumberFormat="1" applyFont="1" applyFill="1"/>
    <xf numFmtId="165" fontId="6" fillId="0" borderId="0" xfId="0" applyNumberFormat="1" applyFont="1"/>
    <xf numFmtId="0" fontId="0" fillId="0" borderId="28" xfId="0" applyBorder="1"/>
    <xf numFmtId="0" fontId="6" fillId="0" borderId="28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/>
    <xf numFmtId="43" fontId="0" fillId="0" borderId="30" xfId="0" applyNumberFormat="1" applyBorder="1"/>
    <xf numFmtId="43" fontId="0" fillId="0" borderId="31" xfId="0" applyNumberFormat="1" applyBorder="1"/>
    <xf numFmtId="0" fontId="0" fillId="0" borderId="12" xfId="0" applyBorder="1"/>
    <xf numFmtId="0" fontId="0" fillId="0" borderId="0" xfId="0" applyBorder="1"/>
    <xf numFmtId="43" fontId="0" fillId="0" borderId="13" xfId="0" applyNumberFormat="1" applyBorder="1"/>
    <xf numFmtId="0" fontId="0" fillId="0" borderId="25" xfId="0" applyBorder="1"/>
    <xf numFmtId="43" fontId="0" fillId="0" borderId="26" xfId="0" applyNumberFormat="1" applyBorder="1"/>
    <xf numFmtId="0" fontId="0" fillId="0" borderId="32" xfId="0" applyBorder="1"/>
    <xf numFmtId="43" fontId="0" fillId="0" borderId="33" xfId="1" applyFont="1" applyBorder="1"/>
    <xf numFmtId="168" fontId="0" fillId="0" borderId="33" xfId="0" applyNumberFormat="1" applyBorder="1"/>
    <xf numFmtId="0" fontId="0" fillId="0" borderId="33" xfId="0" applyBorder="1"/>
    <xf numFmtId="43" fontId="0" fillId="0" borderId="34" xfId="0" applyNumberFormat="1" applyBorder="1"/>
    <xf numFmtId="0" fontId="0" fillId="0" borderId="31" xfId="0" applyBorder="1"/>
    <xf numFmtId="0" fontId="0" fillId="0" borderId="34" xfId="0" applyBorder="1"/>
    <xf numFmtId="10" fontId="0" fillId="0" borderId="8" xfId="4" applyNumberFormat="1" applyFont="1" applyBorder="1"/>
    <xf numFmtId="10" fontId="0" fillId="0" borderId="35" xfId="4" applyNumberFormat="1" applyFont="1" applyBorder="1"/>
    <xf numFmtId="0" fontId="6" fillId="0" borderId="0" xfId="0" applyFont="1"/>
    <xf numFmtId="0" fontId="0" fillId="0" borderId="13" xfId="0" applyBorder="1"/>
    <xf numFmtId="0" fontId="0" fillId="0" borderId="26" xfId="0" applyBorder="1"/>
    <xf numFmtId="0" fontId="0" fillId="0" borderId="35" xfId="0" applyBorder="1"/>
    <xf numFmtId="173" fontId="0" fillId="0" borderId="0" xfId="1" applyNumberFormat="1" applyFont="1"/>
    <xf numFmtId="173" fontId="0" fillId="0" borderId="0" xfId="0" applyNumberFormat="1" applyAlignment="1"/>
    <xf numFmtId="173" fontId="0" fillId="0" borderId="0" xfId="0" applyNumberFormat="1" applyAlignment="1">
      <alignment wrapText="1"/>
    </xf>
    <xf numFmtId="1" fontId="0" fillId="0" borderId="35" xfId="0" applyNumberFormat="1" applyBorder="1"/>
    <xf numFmtId="1" fontId="0" fillId="0" borderId="8" xfId="0" applyNumberFormat="1" applyBorder="1"/>
    <xf numFmtId="1" fontId="0" fillId="0" borderId="27" xfId="0" applyNumberFormat="1" applyBorder="1"/>
    <xf numFmtId="1" fontId="0" fillId="0" borderId="28" xfId="0" applyNumberFormat="1" applyBorder="1"/>
    <xf numFmtId="164" fontId="0" fillId="0" borderId="29" xfId="1" applyNumberFormat="1" applyFont="1" applyBorder="1"/>
    <xf numFmtId="164" fontId="0" fillId="0" borderId="12" xfId="1" applyNumberFormat="1" applyFont="1" applyBorder="1"/>
    <xf numFmtId="164" fontId="0" fillId="0" borderId="24" xfId="1" applyNumberFormat="1" applyFont="1" applyBorder="1"/>
    <xf numFmtId="164" fontId="0" fillId="0" borderId="35" xfId="0" applyNumberFormat="1" applyBorder="1"/>
    <xf numFmtId="164" fontId="0" fillId="0" borderId="8" xfId="0" applyNumberFormat="1" applyBorder="1"/>
    <xf numFmtId="164" fontId="0" fillId="0" borderId="27" xfId="0" applyNumberFormat="1" applyBorder="1"/>
    <xf numFmtId="166" fontId="0" fillId="0" borderId="35" xfId="4" applyNumberFormat="1" applyFont="1" applyBorder="1"/>
    <xf numFmtId="166" fontId="0" fillId="0" borderId="8" xfId="4" applyNumberFormat="1" applyFont="1" applyBorder="1"/>
    <xf numFmtId="166" fontId="0" fillId="0" borderId="27" xfId="4" applyNumberFormat="1" applyFont="1" applyBorder="1"/>
    <xf numFmtId="43" fontId="0" fillId="0" borderId="35" xfId="0" applyNumberFormat="1" applyBorder="1"/>
    <xf numFmtId="43" fontId="0" fillId="0" borderId="8" xfId="0" applyNumberFormat="1" applyBorder="1"/>
    <xf numFmtId="43" fontId="0" fillId="0" borderId="27" xfId="0" applyNumberFormat="1" applyBorder="1"/>
    <xf numFmtId="2" fontId="0" fillId="0" borderId="35" xfId="0" applyNumberFormat="1" applyBorder="1"/>
    <xf numFmtId="2" fontId="0" fillId="0" borderId="8" xfId="0" applyNumberFormat="1" applyBorder="1"/>
    <xf numFmtId="2" fontId="0" fillId="0" borderId="27" xfId="0" applyNumberFormat="1" applyBorder="1"/>
    <xf numFmtId="2" fontId="0" fillId="0" borderId="28" xfId="0" applyNumberFormat="1" applyBorder="1"/>
    <xf numFmtId="43" fontId="0" fillId="0" borderId="35" xfId="0" applyNumberForma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43" fontId="0" fillId="0" borderId="27" xfId="0" applyNumberFormat="1" applyBorder="1" applyAlignment="1">
      <alignment horizontal="center"/>
    </xf>
    <xf numFmtId="168" fontId="0" fillId="0" borderId="32" xfId="0" applyNumberFormat="1" applyBorder="1"/>
    <xf numFmtId="168" fontId="0" fillId="0" borderId="34" xfId="0" applyNumberFormat="1" applyBorder="1"/>
    <xf numFmtId="0" fontId="6" fillId="0" borderId="2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8" xfId="0" applyFont="1" applyBorder="1"/>
    <xf numFmtId="0" fontId="0" fillId="0" borderId="0" xfId="0" applyBorder="1" applyAlignment="1">
      <alignment horizontal="center" vertical="center" wrapText="1"/>
    </xf>
    <xf numFmtId="10" fontId="0" fillId="0" borderId="27" xfId="4" applyNumberFormat="1" applyFont="1" applyBorder="1"/>
    <xf numFmtId="9" fontId="0" fillId="0" borderId="28" xfId="0" applyNumberFormat="1" applyBorder="1"/>
    <xf numFmtId="44" fontId="0" fillId="0" borderId="28" xfId="3" applyFont="1" applyBorder="1"/>
    <xf numFmtId="44" fontId="0" fillId="0" borderId="28" xfId="0" applyNumberFormat="1" applyBorder="1"/>
    <xf numFmtId="0" fontId="6" fillId="0" borderId="0" xfId="0" applyFont="1" applyAlignment="1">
      <alignment horizontal="center"/>
    </xf>
    <xf numFmtId="41" fontId="0" fillId="0" borderId="10" xfId="0" applyNumberFormat="1" applyFill="1" applyBorder="1"/>
    <xf numFmtId="194" fontId="15" fillId="0" borderId="0" xfId="0" applyNumberFormat="1" applyFont="1" applyFill="1" applyProtection="1">
      <protection locked="0"/>
    </xf>
    <xf numFmtId="173" fontId="0" fillId="0" borderId="2" xfId="1" applyNumberFormat="1" applyFont="1" applyBorder="1"/>
    <xf numFmtId="173" fontId="0" fillId="0" borderId="8" xfId="1" applyNumberFormat="1" applyFont="1" applyBorder="1"/>
    <xf numFmtId="173" fontId="0" fillId="0" borderId="14" xfId="1" applyNumberFormat="1" applyFont="1" applyBorder="1"/>
    <xf numFmtId="173" fontId="0" fillId="0" borderId="28" xfId="1" applyNumberFormat="1" applyFont="1" applyBorder="1"/>
    <xf numFmtId="10" fontId="0" fillId="0" borderId="28" xfId="4" applyNumberFormat="1" applyFont="1" applyBorder="1"/>
    <xf numFmtId="184" fontId="0" fillId="0" borderId="18" xfId="0" applyNumberFormat="1" applyFont="1" applyFill="1" applyBorder="1" applyProtection="1"/>
    <xf numFmtId="43" fontId="15" fillId="0" borderId="0" xfId="1" applyNumberFormat="1" applyFont="1" applyFill="1" applyProtection="1"/>
    <xf numFmtId="10" fontId="7" fillId="0" borderId="8" xfId="4" applyNumberFormat="1" applyFont="1" applyBorder="1"/>
    <xf numFmtId="0" fontId="7" fillId="0" borderId="0" xfId="0" applyFont="1" applyBorder="1"/>
    <xf numFmtId="37" fontId="0" fillId="0" borderId="35" xfId="0" applyNumberFormat="1" applyBorder="1"/>
    <xf numFmtId="170" fontId="0" fillId="0" borderId="8" xfId="0" applyNumberFormat="1" applyBorder="1"/>
    <xf numFmtId="37" fontId="0" fillId="0" borderId="30" xfId="0" applyNumberFormat="1" applyBorder="1"/>
    <xf numFmtId="37" fontId="0" fillId="0" borderId="31" xfId="0" applyNumberFormat="1" applyBorder="1"/>
    <xf numFmtId="37" fontId="3" fillId="0" borderId="35" xfId="2" applyNumberFormat="1" applyFont="1" applyFill="1" applyBorder="1" applyProtection="1">
      <protection locked="0"/>
    </xf>
    <xf numFmtId="37" fontId="0" fillId="0" borderId="28" xfId="0" applyNumberFormat="1" applyBorder="1"/>
    <xf numFmtId="37" fontId="0" fillId="0" borderId="33" xfId="0" applyNumberFormat="1" applyBorder="1"/>
    <xf numFmtId="37" fontId="0" fillId="0" borderId="34" xfId="0" applyNumberFormat="1" applyBorder="1"/>
    <xf numFmtId="0" fontId="6" fillId="0" borderId="28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35" xfId="0" applyFont="1" applyBorder="1"/>
    <xf numFmtId="0" fontId="6" fillId="0" borderId="31" xfId="0" applyFont="1" applyBorder="1"/>
    <xf numFmtId="0" fontId="0" fillId="0" borderId="0" xfId="0" applyAlignment="1">
      <alignment horizontal="center" wrapText="1"/>
    </xf>
    <xf numFmtId="0" fontId="6" fillId="0" borderId="12" xfId="0" applyFont="1" applyBorder="1"/>
    <xf numFmtId="171" fontId="0" fillId="0" borderId="0" xfId="0" applyNumberFormat="1" applyBorder="1"/>
    <xf numFmtId="171" fontId="0" fillId="0" borderId="8" xfId="0" applyNumberFormat="1" applyBorder="1"/>
    <xf numFmtId="171" fontId="0" fillId="0" borderId="28" xfId="0" applyNumberFormat="1" applyBorder="1"/>
    <xf numFmtId="171" fontId="0" fillId="0" borderId="33" xfId="0" applyNumberFormat="1" applyBorder="1"/>
    <xf numFmtId="164" fontId="0" fillId="0" borderId="0" xfId="1" applyNumberFormat="1" applyFont="1"/>
    <xf numFmtId="0" fontId="6" fillId="0" borderId="34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201" fontId="0" fillId="0" borderId="0" xfId="0" applyNumberFormat="1"/>
    <xf numFmtId="37" fontId="0" fillId="0" borderId="32" xfId="0" applyNumberFormat="1" applyBorder="1"/>
    <xf numFmtId="10" fontId="0" fillId="0" borderId="33" xfId="4" applyNumberFormat="1" applyFont="1" applyBorder="1"/>
    <xf numFmtId="10" fontId="0" fillId="0" borderId="34" xfId="4" applyNumberFormat="1" applyFont="1" applyBorder="1"/>
    <xf numFmtId="169" fontId="0" fillId="0" borderId="34" xfId="0" applyNumberFormat="1" applyBorder="1"/>
    <xf numFmtId="183" fontId="15" fillId="0" borderId="0" xfId="1" applyNumberFormat="1" applyFont="1" applyFill="1" applyProtection="1"/>
    <xf numFmtId="183" fontId="15" fillId="0" borderId="0" xfId="1" applyNumberFormat="1" applyFont="1" applyFill="1" applyProtection="1">
      <protection locked="0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10" fillId="0" borderId="0" xfId="0" quotePrefix="1" applyFont="1" applyFill="1" applyAlignment="1" applyProtection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10" borderId="6" xfId="0" applyFont="1" applyFill="1" applyBorder="1" applyAlignment="1">
      <alignment horizontal="center" wrapText="1"/>
    </xf>
    <xf numFmtId="0" fontId="7" fillId="10" borderId="7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6" fontId="0" fillId="0" borderId="12" xfId="0" applyNumberFormat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165" fontId="0" fillId="0" borderId="13" xfId="3" applyNumberFormat="1" applyFon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5" fontId="0" fillId="0" borderId="12" xfId="3" applyNumberFormat="1" applyFont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0" fillId="0" borderId="28" xfId="0" applyBorder="1" applyAlignment="1">
      <alignment horizontal="center"/>
    </xf>
  </cellXfs>
  <cellStyles count="11">
    <cellStyle name="Comma" xfId="1" builtinId="3"/>
    <cellStyle name="Comma 2 2" xfId="6"/>
    <cellStyle name="Currency" xfId="3" builtinId="4"/>
    <cellStyle name="Currency 2 2" xfId="7"/>
    <cellStyle name="Normal" xfId="0" builtinId="0"/>
    <cellStyle name="Normal 3 2 2" xfId="5"/>
    <cellStyle name="Normal 7" xfId="9"/>
    <cellStyle name="Normal_East for 38.6M" xfId="10"/>
    <cellStyle name="Normal_Ut98 COS Study 5 Function" xfId="2"/>
    <cellStyle name="Percent" xfId="4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E-140762%20Staff%20Cost%20of%20Service%20Stud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te%20Breakdow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No.%20___(JBT-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PacifiCorp</v>
          </cell>
        </row>
      </sheetData>
      <sheetData sheetId="1">
        <row r="54">
          <cell r="G54">
            <v>152195869.84559971</v>
          </cell>
          <cell r="H54">
            <v>89571821.792690724</v>
          </cell>
          <cell r="I54">
            <v>23289824.359387986</v>
          </cell>
          <cell r="J54">
            <v>30852900.072166763</v>
          </cell>
          <cell r="K54">
            <v>5561170.7472939258</v>
          </cell>
          <cell r="L54">
            <v>2920152.8740602974</v>
          </cell>
          <cell r="R54">
            <v>145160675.93982399</v>
          </cell>
          <cell r="S54">
            <v>0.95377539539730727</v>
          </cell>
        </row>
        <row r="55">
          <cell r="G55">
            <v>44449262.077554025</v>
          </cell>
          <cell r="H55">
            <v>28165759.724258013</v>
          </cell>
          <cell r="I55">
            <v>7272915.8465127293</v>
          </cell>
          <cell r="J55">
            <v>7307881.1982149305</v>
          </cell>
          <cell r="K55">
            <v>744354.94558047398</v>
          </cell>
          <cell r="L55">
            <v>958350.36298787862</v>
          </cell>
        </row>
        <row r="56">
          <cell r="G56">
            <v>65401767.680436283</v>
          </cell>
          <cell r="H56">
            <v>44979068.403674513</v>
          </cell>
          <cell r="I56">
            <v>11631035.363020137</v>
          </cell>
          <cell r="J56">
            <v>7332357.0049216682</v>
          </cell>
          <cell r="K56">
            <v>3301.6052568683663</v>
          </cell>
          <cell r="L56">
            <v>1456005.3035630949</v>
          </cell>
          <cell r="R56">
            <v>67946758.05894962</v>
          </cell>
        </row>
        <row r="57">
          <cell r="G57">
            <v>26242702.866843082</v>
          </cell>
          <cell r="H57">
            <v>18416859.977128603</v>
          </cell>
          <cell r="I57">
            <v>4745307.1456465162</v>
          </cell>
          <cell r="J57">
            <v>2377118.8624019339</v>
          </cell>
          <cell r="K57">
            <v>119438.4140818899</v>
          </cell>
          <cell r="L57">
            <v>583978.4675841399</v>
          </cell>
          <cell r="R57">
            <v>26664105.677814711</v>
          </cell>
        </row>
        <row r="58">
          <cell r="G58">
            <v>26715277.375690531</v>
          </cell>
          <cell r="H58">
            <v>20319954.817526326</v>
          </cell>
          <cell r="I58">
            <v>5221504.0889181998</v>
          </cell>
          <cell r="J58">
            <v>453564.30432057136</v>
          </cell>
          <cell r="K58">
            <v>107589.46515038359</v>
          </cell>
          <cell r="L58">
            <v>612664.6997750497</v>
          </cell>
          <cell r="R58">
            <v>25843759.863241833</v>
          </cell>
        </row>
        <row r="59">
          <cell r="G59">
            <v>11858814.747220214</v>
          </cell>
          <cell r="H59">
            <v>7411325.6288400507</v>
          </cell>
          <cell r="I59">
            <v>1903203.6543014634</v>
          </cell>
          <cell r="J59">
            <v>2165003.9599801661</v>
          </cell>
          <cell r="K59">
            <v>126785.75980230751</v>
          </cell>
          <cell r="L59">
            <v>252495.74429622586</v>
          </cell>
        </row>
        <row r="60">
          <cell r="G60">
            <v>1539046.9072882952</v>
          </cell>
          <cell r="H60">
            <v>508340.34034079028</v>
          </cell>
          <cell r="I60">
            <v>127907.50312447752</v>
          </cell>
          <cell r="J60">
            <v>787652.93097054167</v>
          </cell>
          <cell r="K60">
            <v>93104.98250534368</v>
          </cell>
          <cell r="L60">
            <v>22041.150347142342</v>
          </cell>
        </row>
        <row r="64">
          <cell r="G64">
            <v>328402741.50063217</v>
          </cell>
        </row>
      </sheetData>
      <sheetData sheetId="2"/>
      <sheetData sheetId="3">
        <row r="33">
          <cell r="D33">
            <v>40043134.709343404</v>
          </cell>
        </row>
        <row r="39">
          <cell r="D39">
            <v>49528687.083347321</v>
          </cell>
        </row>
        <row r="121">
          <cell r="D121">
            <v>1610541.9639587111</v>
          </cell>
        </row>
        <row r="122">
          <cell r="D122">
            <v>3667608.5476714401</v>
          </cell>
        </row>
        <row r="127">
          <cell r="D127">
            <v>5767816.9603528967</v>
          </cell>
        </row>
      </sheetData>
      <sheetData sheetId="4">
        <row r="80">
          <cell r="F80">
            <v>140088118.80000001</v>
          </cell>
        </row>
      </sheetData>
      <sheetData sheetId="5"/>
      <sheetData sheetId="6">
        <row r="68">
          <cell r="F68">
            <v>89571821.792690724</v>
          </cell>
        </row>
      </sheetData>
      <sheetData sheetId="7">
        <row r="68">
          <cell r="F68">
            <v>23289824.359387986</v>
          </cell>
        </row>
      </sheetData>
      <sheetData sheetId="8">
        <row r="68">
          <cell r="F68">
            <v>30852900.072166763</v>
          </cell>
        </row>
      </sheetData>
      <sheetData sheetId="9">
        <row r="68">
          <cell r="F68">
            <v>5561170.7472939258</v>
          </cell>
        </row>
      </sheetData>
      <sheetData sheetId="10">
        <row r="68">
          <cell r="F68">
            <v>2920152.8740602974</v>
          </cell>
        </row>
      </sheetData>
      <sheetData sheetId="11">
        <row r="61">
          <cell r="H61">
            <v>6.6286906707554757E-2</v>
          </cell>
        </row>
      </sheetData>
      <sheetData sheetId="12">
        <row r="101">
          <cell r="I101">
            <v>87660046.043991163</v>
          </cell>
        </row>
      </sheetData>
      <sheetData sheetId="13">
        <row r="101">
          <cell r="I101">
            <v>22690587.544355106</v>
          </cell>
        </row>
      </sheetData>
      <sheetData sheetId="14">
        <row r="101">
          <cell r="I101">
            <v>29744486.781469136</v>
          </cell>
        </row>
      </sheetData>
      <sheetData sheetId="15">
        <row r="101">
          <cell r="I101">
            <v>5575964.628129283</v>
          </cell>
        </row>
      </sheetData>
      <sheetData sheetId="16">
        <row r="101">
          <cell r="I101">
            <v>2911483.1151755024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RS-6) p1-10"/>
      <sheetName val="Exhibit No.__(JRS-6) p11"/>
    </sheetNames>
    <sheetDataSet>
      <sheetData sheetId="0"/>
      <sheetData sheetId="1">
        <row r="33">
          <cell r="H33">
            <v>0.59575693710697164</v>
          </cell>
          <cell r="I33">
            <v>0.15070248606912753</v>
          </cell>
          <cell r="J33">
            <v>0.20262939266868155</v>
          </cell>
          <cell r="K33">
            <v>3.5347643533532279E-2</v>
          </cell>
          <cell r="L33">
            <v>1.55635406216871E-2</v>
          </cell>
        </row>
        <row r="34">
          <cell r="H34">
            <v>0.63942788895113334</v>
          </cell>
          <cell r="I34">
            <v>0.16152604353627717</v>
          </cell>
          <cell r="J34">
            <v>0.16500540996287616</v>
          </cell>
          <cell r="K34">
            <v>1.6303201472482449E-2</v>
          </cell>
          <cell r="L34">
            <v>1.7737456077230793E-2</v>
          </cell>
        </row>
        <row r="35">
          <cell r="H35">
            <v>0.69339282769722377</v>
          </cell>
          <cell r="I35">
            <v>0.17579686007713183</v>
          </cell>
          <cell r="J35">
            <v>0.11269950080698876</v>
          </cell>
          <cell r="K35">
            <v>-2.8344044361473688E-6</v>
          </cell>
          <cell r="L35">
            <v>1.8113645823091842E-2</v>
          </cell>
        </row>
        <row r="36">
          <cell r="H36">
            <v>0.7094288306668588</v>
          </cell>
          <cell r="I36">
            <v>0.17982738944693696</v>
          </cell>
          <cell r="J36">
            <v>9.154650629490145E-2</v>
          </cell>
          <cell r="K36">
            <v>1.0553466299842158E-3</v>
          </cell>
          <cell r="L36">
            <v>1.8141926961318507E-2</v>
          </cell>
        </row>
        <row r="38">
          <cell r="H38">
            <v>0.7690079056266601</v>
          </cell>
          <cell r="I38">
            <v>0.19479635018145056</v>
          </cell>
          <cell r="J38">
            <v>1.7164881970751319E-2</v>
          </cell>
          <cell r="K38">
            <v>5.2761748947815416E-4</v>
          </cell>
          <cell r="L38">
            <v>1.8503244731659738E-2</v>
          </cell>
        </row>
        <row r="39">
          <cell r="H39">
            <v>0.62926173424406595</v>
          </cell>
          <cell r="I39">
            <v>0.15844018583719588</v>
          </cell>
          <cell r="J39">
            <v>0.18426026517065475</v>
          </cell>
          <cell r="K39">
            <v>1.0496026624156008E-2</v>
          </cell>
          <cell r="L39">
            <v>1.7541788123927322E-2</v>
          </cell>
        </row>
        <row r="40">
          <cell r="H40">
            <v>0.32930668283702352</v>
          </cell>
          <cell r="I40">
            <v>8.2825357684735992E-2</v>
          </cell>
          <cell r="J40">
            <v>0.51501436531383993</v>
          </cell>
          <cell r="K40">
            <v>6.02249346531444E-2</v>
          </cell>
          <cell r="L40">
            <v>1.2628659511256074E-2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tual &amp; Proposed"/>
      <sheetName val="Company Actual &amp; Proposed"/>
    </sheetNames>
    <sheetDataSet>
      <sheetData sheetId="0">
        <row r="40">
          <cell r="Q40">
            <v>1.701210835229508E-2</v>
          </cell>
        </row>
        <row r="41">
          <cell r="Q41">
            <v>2.4139839901131159E-2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67"/>
  <sheetViews>
    <sheetView tabSelected="1" zoomScale="70" zoomScaleNormal="70" zoomScaleSheetLayoutView="50" workbookViewId="0">
      <pane xSplit="24" ySplit="10" topLeftCell="Y651" activePane="bottomRight" state="frozen"/>
      <selection pane="topRight" activeCell="Y1" sqref="Y1"/>
      <selection pane="bottomLeft" activeCell="A11" sqref="A11"/>
      <selection pane="bottomRight" activeCell="AC660" sqref="AC660"/>
    </sheetView>
  </sheetViews>
  <sheetFormatPr defaultColWidth="11.7109375" defaultRowHeight="15"/>
  <cols>
    <col min="1" max="1" width="24.7109375" style="84" customWidth="1"/>
    <col min="2" max="2" width="6.7109375" style="84" customWidth="1"/>
    <col min="3" max="3" width="17" style="84" customWidth="1"/>
    <col min="4" max="4" width="17" style="84" hidden="1" customWidth="1"/>
    <col min="5" max="5" width="2.42578125" style="84" hidden="1" customWidth="1"/>
    <col min="6" max="6" width="19.28515625" style="84" hidden="1" customWidth="1"/>
    <col min="7" max="7" width="12.28515625" style="84" customWidth="1"/>
    <col min="8" max="8" width="2.85546875" style="84" customWidth="1"/>
    <col min="9" max="9" width="16.42578125" style="84" bestFit="1" customWidth="1"/>
    <col min="10" max="10" width="12.85546875" style="84" customWidth="1"/>
    <col min="11" max="11" width="2.42578125" style="84" bestFit="1" customWidth="1"/>
    <col min="12" max="12" width="16.42578125" style="84" bestFit="1" customWidth="1"/>
    <col min="13" max="13" width="1.85546875" style="84" customWidth="1"/>
    <col min="14" max="14" width="16.42578125" style="84" bestFit="1" customWidth="1"/>
    <col min="15" max="15" width="3.7109375" style="84" customWidth="1"/>
    <col min="16" max="16" width="17.28515625" style="84" customWidth="1"/>
    <col min="17" max="17" width="3.28515625" style="84" customWidth="1"/>
    <col min="18" max="18" width="13.7109375" style="84" customWidth="1"/>
    <col min="19" max="19" width="3.5703125" style="84" customWidth="1"/>
    <col min="20" max="20" width="15.42578125" style="84" customWidth="1"/>
    <col min="21" max="21" width="3.28515625" style="84" customWidth="1"/>
    <col min="22" max="22" width="11.85546875" style="84" customWidth="1"/>
    <col min="23" max="23" width="3.5703125" style="84" customWidth="1"/>
    <col min="24" max="24" width="16.140625" style="84" bestFit="1" customWidth="1"/>
    <col min="25" max="25" width="15.5703125" style="84" customWidth="1"/>
    <col min="26" max="26" width="18.7109375" style="88" customWidth="1"/>
    <col min="27" max="27" width="12.85546875" style="88" customWidth="1"/>
    <col min="28" max="28" width="9.28515625" style="88" bestFit="1" customWidth="1"/>
    <col min="29" max="29" width="16.85546875" style="84" customWidth="1"/>
    <col min="30" max="30" width="11.5703125" style="84" customWidth="1"/>
    <col min="31" max="31" width="14.85546875" style="84" customWidth="1"/>
    <col min="32" max="32" width="16.140625" style="84" bestFit="1" customWidth="1"/>
    <col min="33" max="33" width="16.85546875" style="84" customWidth="1"/>
    <col min="34" max="34" width="15.140625" style="84" bestFit="1" customWidth="1"/>
    <col min="35" max="35" width="14.85546875" style="84" bestFit="1" customWidth="1"/>
    <col min="36" max="36" width="14" style="84" bestFit="1" customWidth="1"/>
    <col min="37" max="37" width="6.28515625" style="84" bestFit="1" customWidth="1"/>
    <col min="38" max="38" width="20.5703125" style="84" customWidth="1"/>
    <col min="39" max="39" width="11.7109375" style="84" customWidth="1"/>
    <col min="40" max="40" width="13.85546875" style="84" customWidth="1"/>
    <col min="41" max="16384" width="11.7109375" style="84"/>
  </cols>
  <sheetData>
    <row r="1" spans="1:47" ht="18">
      <c r="A1" s="577" t="s">
        <v>86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82"/>
      <c r="Z1" s="83"/>
      <c r="AA1" s="83"/>
      <c r="AB1" s="83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</row>
    <row r="2" spans="1:47" ht="18">
      <c r="A2" s="577" t="s">
        <v>87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82"/>
      <c r="Z2" s="83"/>
      <c r="AA2" s="83"/>
      <c r="AB2" s="83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</row>
    <row r="3" spans="1:47">
      <c r="A3" s="578" t="s">
        <v>88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82"/>
      <c r="Z3" s="83"/>
      <c r="AA3" s="83"/>
      <c r="AB3" s="83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</row>
    <row r="4" spans="1:47">
      <c r="A4" s="579" t="s">
        <v>361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82"/>
      <c r="Z4" s="83"/>
      <c r="AA4" s="83"/>
      <c r="AB4" s="83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</row>
    <row r="5" spans="1:47">
      <c r="A5" s="85"/>
      <c r="B5" s="86"/>
      <c r="C5" s="86"/>
      <c r="D5" s="87"/>
      <c r="E5" s="87"/>
      <c r="F5" s="86"/>
      <c r="G5" s="87"/>
      <c r="H5" s="87"/>
      <c r="I5" s="86"/>
      <c r="J5" s="87"/>
      <c r="K5" s="86"/>
      <c r="L5" s="86"/>
      <c r="M5" s="86"/>
      <c r="N5" s="87"/>
      <c r="O5" s="86"/>
      <c r="P5" s="86"/>
      <c r="Q5" s="86"/>
      <c r="R5" s="87"/>
      <c r="S5" s="86"/>
      <c r="T5" s="86"/>
      <c r="U5" s="86"/>
      <c r="V5" s="87"/>
      <c r="W5" s="86"/>
      <c r="X5" s="86"/>
      <c r="Y5" s="82"/>
      <c r="Z5" s="83"/>
      <c r="AA5" s="83"/>
      <c r="AB5" s="83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</row>
    <row r="6" spans="1:47">
      <c r="A6" s="85"/>
      <c r="B6" s="86"/>
      <c r="C6" s="86"/>
      <c r="D6" s="87"/>
      <c r="E6" s="87"/>
      <c r="F6" s="86"/>
      <c r="G6" s="87"/>
      <c r="H6" s="87"/>
      <c r="I6" s="86"/>
      <c r="J6" s="87"/>
      <c r="K6" s="86"/>
      <c r="L6" s="86"/>
      <c r="M6" s="86"/>
      <c r="N6" s="87"/>
      <c r="O6" s="86"/>
      <c r="P6" s="86"/>
      <c r="Q6" s="86"/>
      <c r="R6" s="87"/>
      <c r="S6" s="86"/>
      <c r="T6" s="86"/>
      <c r="U6" s="86"/>
      <c r="V6" s="87"/>
      <c r="W6" s="86"/>
      <c r="X6" s="86"/>
      <c r="Y6" s="82"/>
      <c r="Z6" s="83"/>
      <c r="AA6" s="83"/>
      <c r="AB6" s="83"/>
      <c r="AC6" s="83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</row>
    <row r="7" spans="1:47">
      <c r="A7" s="86"/>
      <c r="B7" s="86"/>
      <c r="C7" s="86"/>
      <c r="D7" s="87"/>
      <c r="E7" s="87"/>
      <c r="F7" s="86"/>
      <c r="G7" s="87"/>
      <c r="H7" s="87"/>
      <c r="I7" s="86"/>
      <c r="J7" s="87"/>
      <c r="K7" s="86"/>
      <c r="L7" s="86"/>
      <c r="M7" s="86"/>
      <c r="N7" s="87"/>
      <c r="O7" s="86"/>
      <c r="P7" s="86"/>
      <c r="Q7" s="86"/>
      <c r="R7" s="87"/>
      <c r="S7" s="86"/>
      <c r="T7" s="86"/>
      <c r="U7" s="86"/>
      <c r="V7" s="87"/>
      <c r="W7" s="86"/>
      <c r="X7" s="86"/>
      <c r="Y7" s="82"/>
      <c r="Z7" s="83"/>
      <c r="AA7" s="83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</row>
    <row r="8" spans="1:47" ht="15.75">
      <c r="A8" s="89"/>
      <c r="B8" s="89"/>
      <c r="C8" s="90"/>
      <c r="D8" s="91"/>
      <c r="E8" s="91"/>
      <c r="F8" s="92" t="s">
        <v>89</v>
      </c>
      <c r="G8" s="91"/>
      <c r="H8" s="91"/>
      <c r="I8" s="93" t="s">
        <v>90</v>
      </c>
      <c r="J8" s="91"/>
      <c r="K8" s="92"/>
      <c r="L8" s="92"/>
      <c r="M8" s="92"/>
      <c r="N8" s="91"/>
      <c r="O8" s="92"/>
      <c r="P8" s="92"/>
      <c r="Q8" s="92"/>
      <c r="R8" s="91"/>
      <c r="S8" s="92"/>
      <c r="T8" s="92"/>
      <c r="U8" s="92"/>
      <c r="V8" s="91"/>
      <c r="W8" s="92"/>
      <c r="X8" s="92"/>
      <c r="Y8" s="82"/>
      <c r="Z8" s="83"/>
      <c r="AA8" s="83"/>
      <c r="AB8" s="83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</row>
    <row r="9" spans="1:47" ht="15.75">
      <c r="A9" s="89"/>
      <c r="B9" s="89"/>
      <c r="C9" s="90" t="s">
        <v>91</v>
      </c>
      <c r="D9" s="92" t="s">
        <v>92</v>
      </c>
      <c r="E9" s="91"/>
      <c r="F9" s="94" t="s">
        <v>93</v>
      </c>
      <c r="G9" s="92" t="s">
        <v>90</v>
      </c>
      <c r="H9" s="92"/>
      <c r="I9" s="93" t="s">
        <v>93</v>
      </c>
      <c r="J9" s="92" t="s">
        <v>94</v>
      </c>
      <c r="K9" s="90"/>
      <c r="L9" s="92" t="s">
        <v>94</v>
      </c>
      <c r="M9" s="92"/>
      <c r="N9" s="92" t="s">
        <v>95</v>
      </c>
      <c r="O9" s="90"/>
      <c r="P9" s="92" t="s">
        <v>96</v>
      </c>
      <c r="Q9" s="92"/>
      <c r="R9" s="92" t="s">
        <v>1</v>
      </c>
      <c r="S9" s="90"/>
      <c r="T9" s="92" t="s">
        <v>1</v>
      </c>
      <c r="U9" s="92"/>
      <c r="V9" s="92" t="s">
        <v>97</v>
      </c>
      <c r="W9" s="90"/>
      <c r="X9" s="92" t="s">
        <v>97</v>
      </c>
      <c r="Y9" s="82"/>
      <c r="Z9" s="83"/>
      <c r="AA9" s="83"/>
      <c r="AB9" s="83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</row>
    <row r="10" spans="1:47">
      <c r="A10" s="89"/>
      <c r="B10" s="89"/>
      <c r="C10" s="95" t="s">
        <v>98</v>
      </c>
      <c r="D10" s="96" t="s">
        <v>99</v>
      </c>
      <c r="E10" s="97"/>
      <c r="F10" s="96" t="s">
        <v>98</v>
      </c>
      <c r="G10" s="96" t="s">
        <v>99</v>
      </c>
      <c r="H10" s="94"/>
      <c r="I10" s="92" t="s">
        <v>98</v>
      </c>
      <c r="J10" s="96" t="s">
        <v>99</v>
      </c>
      <c r="K10" s="96"/>
      <c r="L10" s="96" t="s">
        <v>93</v>
      </c>
      <c r="M10" s="96"/>
      <c r="N10" s="96" t="s">
        <v>99</v>
      </c>
      <c r="O10" s="96"/>
      <c r="P10" s="96" t="s">
        <v>93</v>
      </c>
      <c r="Q10" s="96"/>
      <c r="R10" s="96" t="s">
        <v>99</v>
      </c>
      <c r="S10" s="96"/>
      <c r="T10" s="96" t="s">
        <v>93</v>
      </c>
      <c r="U10" s="96"/>
      <c r="V10" s="96" t="s">
        <v>99</v>
      </c>
      <c r="W10" s="96"/>
      <c r="X10" s="96" t="s">
        <v>93</v>
      </c>
      <c r="Y10" s="98" t="s">
        <v>3</v>
      </c>
      <c r="Z10" s="99" t="s">
        <v>100</v>
      </c>
      <c r="AA10" s="99" t="s">
        <v>101</v>
      </c>
      <c r="AB10" s="99" t="s">
        <v>102</v>
      </c>
      <c r="AC10" s="99" t="s">
        <v>8</v>
      </c>
      <c r="AD10" s="99" t="s">
        <v>103</v>
      </c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</row>
    <row r="11" spans="1:47" ht="15.75">
      <c r="A11" s="100" t="s">
        <v>104</v>
      </c>
      <c r="F11" s="101"/>
      <c r="I11" s="101"/>
      <c r="Y11" s="82">
        <v>1556426.2786275502</v>
      </c>
      <c r="Z11" s="83"/>
      <c r="AA11" s="83"/>
      <c r="AB11" s="83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</row>
    <row r="12" spans="1:47">
      <c r="A12" s="84" t="s">
        <v>105</v>
      </c>
      <c r="F12" s="101"/>
      <c r="I12" s="101"/>
      <c r="Y12" s="102">
        <f>L26/Y11</f>
        <v>0.30109644224273296</v>
      </c>
      <c r="Z12" s="102">
        <f>Unbundled!F27</f>
        <v>0.33029554715551479</v>
      </c>
      <c r="AA12" s="102">
        <f>Unbundled!G27</f>
        <v>8.3108255192717015E-2</v>
      </c>
      <c r="AB12" s="102">
        <f>(Unbundled!H27+Unbundled!I27+Unbundled!J27)</f>
        <v>0.5865961976517684</v>
      </c>
      <c r="AC12" s="102"/>
      <c r="AD12" s="102"/>
      <c r="AE12" s="103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</row>
    <row r="13" spans="1:47">
      <c r="F13" s="101"/>
      <c r="I13" s="101"/>
      <c r="Y13" s="82"/>
      <c r="Z13" s="83"/>
      <c r="AA13" s="83"/>
      <c r="AB13" s="83"/>
      <c r="AC13" s="82"/>
      <c r="AD13" s="82"/>
      <c r="AE13" s="83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</row>
    <row r="14" spans="1:47">
      <c r="A14" s="84" t="s">
        <v>106</v>
      </c>
      <c r="F14" s="101"/>
      <c r="I14" s="101"/>
      <c r="Y14" s="82"/>
      <c r="Z14" s="83"/>
      <c r="AA14" s="83"/>
      <c r="AB14" s="83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</row>
    <row r="15" spans="1:47" ht="15.75">
      <c r="A15" s="84" t="s">
        <v>107</v>
      </c>
      <c r="C15" s="104">
        <f>C35+C53+C70</f>
        <v>27329.113579563436</v>
      </c>
      <c r="D15" s="105">
        <v>10.63</v>
      </c>
      <c r="F15" s="106">
        <f>F35+F53+F70</f>
        <v>290509</v>
      </c>
      <c r="G15" s="107">
        <v>10.63</v>
      </c>
      <c r="H15" s="108"/>
      <c r="I15" s="109">
        <f>I35+I53+I70</f>
        <v>290508.47735075932</v>
      </c>
      <c r="J15" s="107">
        <v>10.63</v>
      </c>
      <c r="K15" s="108"/>
      <c r="L15" s="109">
        <f>L35+L53+L70</f>
        <v>290508.47735075932</v>
      </c>
      <c r="M15" s="109"/>
      <c r="N15" s="107">
        <f>J15*($AB$12+$AD$12+$AC$12)</f>
        <v>6.235517581038299</v>
      </c>
      <c r="O15" s="110"/>
      <c r="P15" s="109">
        <f>N15*C15</f>
        <v>170411.16819956031</v>
      </c>
      <c r="Q15" s="109"/>
      <c r="R15" s="107">
        <f>J15*$AA$12</f>
        <v>0.88344075269858191</v>
      </c>
      <c r="S15" s="110"/>
      <c r="T15" s="109">
        <f>R15*C15</f>
        <v>24143.652671314558</v>
      </c>
      <c r="U15" s="109"/>
      <c r="V15" s="107">
        <f>J15*$Z$12</f>
        <v>3.5110416662631225</v>
      </c>
      <c r="W15" s="108"/>
      <c r="X15" s="109">
        <f>V15*C15</f>
        <v>95953.656479884536</v>
      </c>
      <c r="Z15" s="111" t="s">
        <v>108</v>
      </c>
      <c r="AA15" s="112"/>
      <c r="AB15" s="112"/>
      <c r="AC15" s="112"/>
      <c r="AD15" s="112"/>
      <c r="AE15" s="113"/>
      <c r="AF15" s="113"/>
      <c r="AG15" s="113"/>
      <c r="AH15" s="113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U15" s="114"/>
    </row>
    <row r="16" spans="1:47" ht="15.75">
      <c r="A16" s="84" t="s">
        <v>109</v>
      </c>
      <c r="C16" s="104">
        <f>C36+C54+C71</f>
        <v>4371.0778217830093</v>
      </c>
      <c r="D16" s="105">
        <v>20.23</v>
      </c>
      <c r="F16" s="106">
        <f>F36+F54+F71</f>
        <v>88427</v>
      </c>
      <c r="G16" s="107">
        <v>20.23</v>
      </c>
      <c r="H16" s="108"/>
      <c r="I16" s="109">
        <f>I36+I54+I71</f>
        <v>88426.904334670282</v>
      </c>
      <c r="J16" s="107">
        <v>20.23</v>
      </c>
      <c r="K16" s="108"/>
      <c r="L16" s="109">
        <f>L36+L54+L71</f>
        <v>88426.904334670282</v>
      </c>
      <c r="M16" s="109"/>
      <c r="N16" s="107">
        <f t="shared" ref="N16:N21" si="0">J16*($AB$12+$AD$12+$AC$12)</f>
        <v>11.866841078495275</v>
      </c>
      <c r="O16" s="110"/>
      <c r="P16" s="109">
        <f t="shared" ref="P16:P22" si="1">N16*C16</f>
        <v>51870.885852834261</v>
      </c>
      <c r="Q16" s="109"/>
      <c r="R16" s="107">
        <f t="shared" ref="R16:R21" si="2">J16*$AA$12</f>
        <v>1.6812800025486652</v>
      </c>
      <c r="S16" s="110"/>
      <c r="T16" s="109">
        <f t="shared" ref="T16:T21" si="3">R16*C16</f>
        <v>7349.0057313477519</v>
      </c>
      <c r="U16" s="109"/>
      <c r="V16" s="107">
        <f t="shared" ref="V16:V21" si="4">J16*$Z$12</f>
        <v>6.6818789189560643</v>
      </c>
      <c r="W16" s="108"/>
      <c r="X16" s="109">
        <f t="shared" ref="X16:X21" si="5">V16*C16</f>
        <v>29207.012750488284</v>
      </c>
      <c r="Z16" s="111"/>
      <c r="AA16" s="112"/>
      <c r="AB16" s="112"/>
      <c r="AC16" s="112"/>
      <c r="AD16" s="112"/>
      <c r="AE16" s="113"/>
      <c r="AF16" s="113"/>
      <c r="AG16" s="113"/>
      <c r="AH16" s="113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U16" s="114"/>
    </row>
    <row r="17" spans="1:47" ht="15.75">
      <c r="A17" s="84" t="s">
        <v>110</v>
      </c>
      <c r="C17" s="104">
        <f>C37+C55+C72</f>
        <v>540.36618394469588</v>
      </c>
      <c r="D17" s="105">
        <v>41.86</v>
      </c>
      <c r="F17" s="106">
        <f>F37+F55+F72</f>
        <v>22619</v>
      </c>
      <c r="G17" s="107">
        <v>41.86</v>
      </c>
      <c r="H17" s="108"/>
      <c r="I17" s="109">
        <f>I37+I55+I72</f>
        <v>22619.728459924969</v>
      </c>
      <c r="J17" s="107">
        <v>41.86</v>
      </c>
      <c r="K17" s="108"/>
      <c r="L17" s="109">
        <f>L37+L55+L72</f>
        <v>22619.728459924969</v>
      </c>
      <c r="M17" s="109"/>
      <c r="N17" s="107">
        <f t="shared" si="0"/>
        <v>24.554916833703025</v>
      </c>
      <c r="O17" s="110"/>
      <c r="P17" s="109">
        <f t="shared" si="1"/>
        <v>13268.646706507478</v>
      </c>
      <c r="Q17" s="109"/>
      <c r="R17" s="107">
        <f t="shared" si="2"/>
        <v>3.4789115623671343</v>
      </c>
      <c r="S17" s="110"/>
      <c r="T17" s="109">
        <f t="shared" si="3"/>
        <v>1879.8861652374082</v>
      </c>
      <c r="U17" s="109"/>
      <c r="V17" s="107">
        <f t="shared" si="4"/>
        <v>13.826171603929849</v>
      </c>
      <c r="W17" s="108"/>
      <c r="X17" s="109">
        <f t="shared" si="5"/>
        <v>7471.1955881800877</v>
      </c>
      <c r="Z17" s="111"/>
      <c r="AA17" s="112"/>
      <c r="AB17" s="112"/>
      <c r="AC17" s="112"/>
      <c r="AD17" s="112"/>
      <c r="AE17" s="113"/>
      <c r="AF17" s="113"/>
      <c r="AG17" s="113"/>
      <c r="AH17" s="113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U17" s="114"/>
    </row>
    <row r="18" spans="1:47" ht="15.75">
      <c r="A18" s="84" t="s">
        <v>111</v>
      </c>
      <c r="C18" s="104"/>
      <c r="D18" s="115"/>
      <c r="F18" s="106"/>
      <c r="G18" s="116"/>
      <c r="H18" s="108"/>
      <c r="I18" s="109"/>
      <c r="J18" s="116"/>
      <c r="K18" s="108"/>
      <c r="L18" s="109"/>
      <c r="M18" s="109"/>
      <c r="N18" s="107"/>
      <c r="O18" s="110"/>
      <c r="P18" s="109"/>
      <c r="Q18" s="109"/>
      <c r="R18" s="107"/>
      <c r="S18" s="110"/>
      <c r="T18" s="109"/>
      <c r="U18" s="109"/>
      <c r="V18" s="107">
        <f t="shared" si="4"/>
        <v>0</v>
      </c>
      <c r="W18" s="108"/>
      <c r="X18" s="109"/>
      <c r="Z18" s="84"/>
      <c r="AA18" s="112"/>
      <c r="AB18" s="112"/>
      <c r="AC18" s="112"/>
      <c r="AD18" s="112"/>
      <c r="AE18" s="117"/>
      <c r="AF18" s="117"/>
      <c r="AG18" s="117"/>
      <c r="AH18" s="117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U18" s="114"/>
    </row>
    <row r="19" spans="1:47" ht="15.75">
      <c r="A19" s="84" t="s">
        <v>112</v>
      </c>
      <c r="C19" s="104">
        <f>C39+C57+C74</f>
        <v>1979.2693236079485</v>
      </c>
      <c r="D19" s="105">
        <v>12.09</v>
      </c>
      <c r="F19" s="106">
        <f>F39+F57+F74</f>
        <v>23929</v>
      </c>
      <c r="G19" s="107">
        <v>12.09</v>
      </c>
      <c r="H19" s="108"/>
      <c r="I19" s="109">
        <f>I39+I57+I74</f>
        <v>23929.366122420095</v>
      </c>
      <c r="J19" s="107">
        <v>12.09</v>
      </c>
      <c r="K19" s="108"/>
      <c r="L19" s="109">
        <f>L39+L57+L74</f>
        <v>23929.366122420095</v>
      </c>
      <c r="M19" s="109"/>
      <c r="N19" s="107">
        <f t="shared" si="0"/>
        <v>7.0919480296098802</v>
      </c>
      <c r="O19" s="110"/>
      <c r="P19" s="109">
        <f t="shared" si="1"/>
        <v>14036.875179628671</v>
      </c>
      <c r="Q19" s="109"/>
      <c r="R19" s="107">
        <f t="shared" si="2"/>
        <v>1.0047788052799487</v>
      </c>
      <c r="S19" s="110"/>
      <c r="T19" s="109">
        <f t="shared" si="3"/>
        <v>1988.7278663020466</v>
      </c>
      <c r="U19" s="109"/>
      <c r="V19" s="107">
        <f t="shared" si="4"/>
        <v>3.9932731651101738</v>
      </c>
      <c r="W19" s="108"/>
      <c r="X19" s="109">
        <f t="shared" si="5"/>
        <v>7903.7630764893856</v>
      </c>
      <c r="Z19" s="111"/>
      <c r="AA19" s="112"/>
      <c r="AB19" s="112"/>
      <c r="AC19" s="112"/>
      <c r="AD19" s="112"/>
      <c r="AE19" s="113"/>
      <c r="AF19" s="113"/>
      <c r="AG19" s="113"/>
      <c r="AH19" s="113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U19" s="114"/>
    </row>
    <row r="20" spans="1:47" ht="15.75">
      <c r="A20" s="84" t="s">
        <v>113</v>
      </c>
      <c r="C20" s="104">
        <f>C40+C58+C75</f>
        <v>1668.307786429365</v>
      </c>
      <c r="D20" s="105">
        <v>17.760000000000002</v>
      </c>
      <c r="F20" s="106">
        <f>F40+F58+F75</f>
        <v>29630</v>
      </c>
      <c r="G20" s="107">
        <v>17.760000000000002</v>
      </c>
      <c r="H20" s="108"/>
      <c r="I20" s="109">
        <f>I40+I58+I75</f>
        <v>29629.146286985524</v>
      </c>
      <c r="J20" s="107">
        <v>17.760000000000002</v>
      </c>
      <c r="K20" s="108"/>
      <c r="L20" s="109">
        <f>L40+L58+L75</f>
        <v>29629.146286985524</v>
      </c>
      <c r="M20" s="109"/>
      <c r="N20" s="107">
        <f t="shared" si="0"/>
        <v>10.417948470295407</v>
      </c>
      <c r="O20" s="110"/>
      <c r="P20" s="109">
        <f t="shared" si="1"/>
        <v>17380.344551613722</v>
      </c>
      <c r="Q20" s="109"/>
      <c r="R20" s="107">
        <f t="shared" si="2"/>
        <v>1.4760026122226544</v>
      </c>
      <c r="S20" s="110"/>
      <c r="T20" s="109">
        <f t="shared" si="3"/>
        <v>2462.4266507611369</v>
      </c>
      <c r="U20" s="109"/>
      <c r="V20" s="107">
        <f t="shared" si="4"/>
        <v>5.866048917481943</v>
      </c>
      <c r="W20" s="108"/>
      <c r="X20" s="109">
        <f t="shared" si="5"/>
        <v>9786.3750846106741</v>
      </c>
      <c r="Z20" s="111"/>
      <c r="AA20" s="112"/>
      <c r="AB20" s="112"/>
      <c r="AC20" s="112"/>
      <c r="AD20" s="112"/>
      <c r="AE20" s="113"/>
      <c r="AF20" s="113"/>
      <c r="AG20" s="113"/>
      <c r="AH20" s="113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U20" s="114"/>
    </row>
    <row r="21" spans="1:47" ht="15.75">
      <c r="A21" s="84" t="s">
        <v>114</v>
      </c>
      <c r="C21" s="104">
        <f>C41+C59+C76</f>
        <v>502.23760141089298</v>
      </c>
      <c r="D21" s="105">
        <v>28.64</v>
      </c>
      <c r="F21" s="106">
        <f>F41+F59+F76</f>
        <v>14384</v>
      </c>
      <c r="G21" s="107">
        <v>28.64</v>
      </c>
      <c r="H21" s="108"/>
      <c r="I21" s="109">
        <f>I41+I59+I76</f>
        <v>14384.084904407975</v>
      </c>
      <c r="J21" s="107">
        <v>28.64</v>
      </c>
      <c r="K21" s="108"/>
      <c r="L21" s="109">
        <f>L41+L59+L76</f>
        <v>14384.084904407975</v>
      </c>
      <c r="M21" s="109"/>
      <c r="N21" s="107">
        <f t="shared" si="0"/>
        <v>16.800115100746648</v>
      </c>
      <c r="O21" s="110"/>
      <c r="P21" s="109">
        <f t="shared" si="1"/>
        <v>8437.6495116259193</v>
      </c>
      <c r="Q21" s="109"/>
      <c r="R21" s="107">
        <f t="shared" si="2"/>
        <v>2.3802204287194155</v>
      </c>
      <c r="S21" s="110"/>
      <c r="T21" s="109">
        <f t="shared" si="3"/>
        <v>1195.4361989492465</v>
      </c>
      <c r="U21" s="109"/>
      <c r="V21" s="107">
        <f t="shared" si="4"/>
        <v>9.4596644705339443</v>
      </c>
      <c r="W21" s="108"/>
      <c r="X21" s="109">
        <f t="shared" si="5"/>
        <v>4750.999193832813</v>
      </c>
      <c r="Z21" s="111"/>
      <c r="AA21" s="112"/>
      <c r="AB21" s="112"/>
      <c r="AC21" s="112"/>
      <c r="AD21" s="112"/>
      <c r="AE21" s="113"/>
      <c r="AF21" s="113"/>
      <c r="AG21" s="113"/>
      <c r="AH21" s="113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U21" s="114"/>
    </row>
    <row r="22" spans="1:47" ht="15.75">
      <c r="A22" s="84" t="s">
        <v>115</v>
      </c>
      <c r="C22" s="104">
        <f>C42+C60+C77</f>
        <v>609.73372177151964</v>
      </c>
      <c r="D22" s="118">
        <v>1</v>
      </c>
      <c r="E22" s="82"/>
      <c r="F22" s="106">
        <f>F42+F60+F77</f>
        <v>610</v>
      </c>
      <c r="G22" s="119">
        <v>1</v>
      </c>
      <c r="H22" s="120"/>
      <c r="I22" s="109">
        <f>I42+I60+I77</f>
        <v>609.73372177151964</v>
      </c>
      <c r="J22" s="119">
        <v>1</v>
      </c>
      <c r="K22" s="120"/>
      <c r="L22" s="109">
        <f>L42+L60+L77</f>
        <v>609.73372177151964</v>
      </c>
      <c r="M22" s="109"/>
      <c r="N22" s="107">
        <v>1</v>
      </c>
      <c r="O22" s="110"/>
      <c r="P22" s="109">
        <f t="shared" si="1"/>
        <v>609.73372177151964</v>
      </c>
      <c r="Q22" s="109"/>
      <c r="R22" s="107" t="s">
        <v>108</v>
      </c>
      <c r="S22" s="110"/>
      <c r="T22" s="109"/>
      <c r="U22" s="109"/>
      <c r="V22" s="107" t="s">
        <v>108</v>
      </c>
      <c r="W22" s="108"/>
      <c r="X22" s="109"/>
      <c r="Z22" s="111"/>
      <c r="AA22" s="121" t="s">
        <v>108</v>
      </c>
      <c r="AB22" s="84"/>
      <c r="AC22" s="112"/>
      <c r="AD22" s="11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U22" s="114"/>
    </row>
    <row r="23" spans="1:47" ht="15.75">
      <c r="A23" s="84" t="s">
        <v>117</v>
      </c>
      <c r="C23" s="104">
        <f>C44+C61+C78</f>
        <v>30383</v>
      </c>
      <c r="D23" s="105"/>
      <c r="F23" s="106"/>
      <c r="G23" s="107"/>
      <c r="H23" s="108"/>
      <c r="I23" s="109"/>
      <c r="J23" s="107"/>
      <c r="K23" s="108"/>
      <c r="L23" s="109"/>
      <c r="M23" s="109"/>
      <c r="N23" s="107"/>
      <c r="O23" s="108"/>
      <c r="P23" s="109"/>
      <c r="Q23" s="109"/>
      <c r="R23" s="107"/>
      <c r="S23" s="108"/>
      <c r="T23" s="109"/>
      <c r="U23" s="109"/>
      <c r="V23" s="107"/>
      <c r="W23" s="108"/>
      <c r="X23" s="109"/>
      <c r="Z23" s="114"/>
      <c r="AA23" s="84"/>
      <c r="AB23" s="84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U23" s="114"/>
    </row>
    <row r="24" spans="1:47" ht="15.75">
      <c r="A24" s="84" t="s">
        <v>118</v>
      </c>
      <c r="C24" s="104">
        <f>C45+C62+C79</f>
        <v>3367563</v>
      </c>
      <c r="D24" s="118"/>
      <c r="E24" s="82"/>
      <c r="F24" s="106">
        <f>F45+F62+F79</f>
        <v>470108</v>
      </c>
      <c r="G24" s="119"/>
      <c r="H24" s="120"/>
      <c r="I24" s="109">
        <f>I45+I62+I79</f>
        <v>470107.44118093967</v>
      </c>
      <c r="J24" s="119"/>
      <c r="K24" s="120"/>
      <c r="L24" s="133">
        <f>L45+L62+L79</f>
        <v>470107.44118093967</v>
      </c>
      <c r="M24" s="133"/>
      <c r="N24" s="119"/>
      <c r="O24" s="120"/>
      <c r="P24" s="133">
        <f>SUM(P15:P22)</f>
        <v>276015.3037235419</v>
      </c>
      <c r="Q24" s="133"/>
      <c r="R24" s="119"/>
      <c r="S24" s="120"/>
      <c r="T24" s="133">
        <f>SUM(T15:T22)</f>
        <v>39019.135283912154</v>
      </c>
      <c r="U24" s="133"/>
      <c r="V24" s="119"/>
      <c r="W24" s="120"/>
      <c r="X24" s="133">
        <f>SUM(X15:X22)</f>
        <v>155073.00217348579</v>
      </c>
      <c r="Z24" s="134"/>
      <c r="AA24" s="84"/>
      <c r="AB24" s="84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U24" s="114"/>
    </row>
    <row r="25" spans="1:47" ht="15.75">
      <c r="A25" s="84" t="s">
        <v>119</v>
      </c>
      <c r="C25" s="104">
        <f>C46+C63+C80</f>
        <v>-12327.931573957167</v>
      </c>
      <c r="D25" s="118"/>
      <c r="E25" s="82"/>
      <c r="F25" s="135">
        <f>F46+F63+F80</f>
        <v>-1473.026073087696</v>
      </c>
      <c r="G25" s="118"/>
      <c r="H25" s="82"/>
      <c r="I25" s="135">
        <f>I46+I63+I80</f>
        <v>-1473.026073087696</v>
      </c>
      <c r="J25" s="118"/>
      <c r="K25" s="82"/>
      <c r="L25" s="135">
        <f>I25</f>
        <v>-1473.026073087696</v>
      </c>
      <c r="M25" s="135"/>
      <c r="N25" s="118"/>
      <c r="O25" s="82"/>
      <c r="P25" s="136">
        <f>$L$25*Y30/($Y$30+$Z$30+$AA$30)</f>
        <v>-865.94483184430931</v>
      </c>
      <c r="Q25" s="137"/>
      <c r="R25" s="138"/>
      <c r="S25" s="138"/>
      <c r="T25" s="136">
        <f>$L$25*Z30/($Y$30+$Z$30+$AA$30)</f>
        <v>-122.00391138243049</v>
      </c>
      <c r="U25" s="137"/>
      <c r="V25" s="138"/>
      <c r="W25" s="138"/>
      <c r="X25" s="136">
        <f>$L$25*AA30/($Y$30+$Z$30+$AA$30)</f>
        <v>-485.07732986095613</v>
      </c>
      <c r="Z25" s="88">
        <f>SUM(P26:X26)</f>
        <v>468634.4151078522</v>
      </c>
      <c r="AA25" s="139" t="s">
        <v>108</v>
      </c>
      <c r="AB25" s="139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U25" s="114"/>
    </row>
    <row r="26" spans="1:47" ht="16.5" thickBot="1">
      <c r="A26" s="84" t="s">
        <v>3</v>
      </c>
      <c r="C26" s="140">
        <f>C24+C25</f>
        <v>3355235.0684260428</v>
      </c>
      <c r="D26" s="141"/>
      <c r="E26" s="141"/>
      <c r="F26" s="141">
        <f>F24+F25</f>
        <v>468634.97392691229</v>
      </c>
      <c r="G26" s="142"/>
      <c r="H26" s="141"/>
      <c r="I26" s="141">
        <f>I24+I25</f>
        <v>468634.41510785196</v>
      </c>
      <c r="J26" s="142"/>
      <c r="K26" s="141"/>
      <c r="L26" s="141">
        <f>L24+L25</f>
        <v>468634.41510785196</v>
      </c>
      <c r="M26" s="142"/>
      <c r="N26" s="142"/>
      <c r="O26" s="141"/>
      <c r="P26" s="141">
        <f>P24+P25</f>
        <v>275149.3588916976</v>
      </c>
      <c r="Q26" s="142"/>
      <c r="R26" s="142"/>
      <c r="S26" s="141"/>
      <c r="T26" s="141">
        <f>T24+T25</f>
        <v>38897.131372529722</v>
      </c>
      <c r="U26" s="142"/>
      <c r="V26" s="142"/>
      <c r="W26" s="141"/>
      <c r="X26" s="141">
        <f>X24+X25</f>
        <v>154587.92484362485</v>
      </c>
      <c r="Y26" s="143" t="s">
        <v>120</v>
      </c>
      <c r="Z26" s="144">
        <v>468634</v>
      </c>
      <c r="AA26" s="145">
        <v>0</v>
      </c>
      <c r="AB26" s="102"/>
      <c r="AC26" s="146"/>
      <c r="AD26" s="146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U26" s="114"/>
    </row>
    <row r="27" spans="1:47" ht="16.5" thickTop="1">
      <c r="A27" s="147" t="s">
        <v>121</v>
      </c>
      <c r="C27" s="148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49"/>
      <c r="Z27" s="150"/>
      <c r="AA27" s="151"/>
      <c r="AB27" s="102"/>
      <c r="AC27" s="146"/>
      <c r="AD27" s="146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U27" s="114"/>
    </row>
    <row r="28" spans="1:47" ht="15.75">
      <c r="C28" s="152"/>
      <c r="D28" s="153" t="s">
        <v>108</v>
      </c>
      <c r="E28" s="152"/>
      <c r="F28" s="109"/>
      <c r="G28" s="153" t="s">
        <v>108</v>
      </c>
      <c r="H28" s="152"/>
      <c r="I28" s="109"/>
      <c r="J28" s="153" t="s">
        <v>108</v>
      </c>
      <c r="K28" s="152"/>
      <c r="L28" s="109" t="s">
        <v>108</v>
      </c>
      <c r="M28" s="109"/>
      <c r="N28" s="153" t="s">
        <v>108</v>
      </c>
      <c r="O28" s="152"/>
      <c r="P28" s="109" t="s">
        <v>108</v>
      </c>
      <c r="Q28" s="109"/>
      <c r="R28" s="153" t="s">
        <v>108</v>
      </c>
      <c r="S28" s="152"/>
      <c r="T28" s="109" t="s">
        <v>108</v>
      </c>
      <c r="U28" s="109"/>
      <c r="V28" s="153" t="s">
        <v>108</v>
      </c>
      <c r="W28" s="152"/>
      <c r="X28" s="109" t="s">
        <v>108</v>
      </c>
      <c r="Y28" s="154" t="s">
        <v>122</v>
      </c>
      <c r="Z28" s="155">
        <f>Z26-L26</f>
        <v>-0.41510785196442157</v>
      </c>
      <c r="AA28" s="156">
        <v>0</v>
      </c>
      <c r="AB28" s="157"/>
      <c r="AC28" s="146"/>
      <c r="AD28" s="146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U28" s="114"/>
    </row>
    <row r="29" spans="1:47" ht="15.75">
      <c r="C29" s="152"/>
      <c r="D29" s="153"/>
      <c r="E29" s="152"/>
      <c r="F29" s="109"/>
      <c r="G29" s="153"/>
      <c r="H29" s="152"/>
      <c r="I29" s="109"/>
      <c r="J29" s="153"/>
      <c r="K29" s="152"/>
      <c r="L29" s="109"/>
      <c r="M29" s="109"/>
      <c r="N29" s="153"/>
      <c r="O29" s="152"/>
      <c r="P29" s="109"/>
      <c r="Q29" s="109"/>
      <c r="R29" s="153"/>
      <c r="S29" s="152"/>
      <c r="T29" s="109"/>
      <c r="U29" s="109"/>
      <c r="V29" s="153"/>
      <c r="W29" s="152"/>
      <c r="X29" s="109"/>
      <c r="Y29" s="103">
        <f>'[2]Exhibit No.__(JRS-6) p11'!J40+'[2]Exhibit No.__(JRS-6) p11'!K40+'[2]Exhibit No.__(JRS-6) p11'!L40</f>
        <v>0.58786795947824033</v>
      </c>
      <c r="Z29" s="103">
        <f>'[2]Exhibit No.__(JRS-6) p11'!I40</f>
        <v>8.2825357684735992E-2</v>
      </c>
      <c r="AA29" s="103">
        <f>'[2]Exhibit No.__(JRS-6) p11'!H40</f>
        <v>0.32930668283702352</v>
      </c>
      <c r="AB29" s="157"/>
      <c r="AC29" s="146"/>
      <c r="AD29" s="146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U29" s="114"/>
    </row>
    <row r="30" spans="1:47" ht="15.75">
      <c r="C30" s="152"/>
      <c r="D30" s="153"/>
      <c r="E30" s="152"/>
      <c r="F30" s="109"/>
      <c r="G30" s="153"/>
      <c r="H30" s="152"/>
      <c r="I30" s="109"/>
      <c r="J30" s="153"/>
      <c r="K30" s="152"/>
      <c r="L30" s="109"/>
      <c r="M30" s="109"/>
      <c r="N30" s="153"/>
      <c r="O30" s="152"/>
      <c r="P30" s="109"/>
      <c r="Q30" s="109"/>
      <c r="R30" s="153"/>
      <c r="S30" s="152"/>
      <c r="T30" s="109"/>
      <c r="U30" s="109"/>
      <c r="V30" s="153"/>
      <c r="W30" s="152"/>
      <c r="X30" s="109"/>
      <c r="Y30" s="150">
        <f>L26*Y29</f>
        <v>275495.15735073161</v>
      </c>
      <c r="Z30" s="150">
        <f>L26*Z29</f>
        <v>38814.813054684884</v>
      </c>
      <c r="AA30" s="150">
        <f>L26*AA29</f>
        <v>154324.44470243543</v>
      </c>
      <c r="AB30" s="157"/>
      <c r="AC30" s="146"/>
      <c r="AD30" s="146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U30" s="114"/>
    </row>
    <row r="31" spans="1:47" ht="15.75">
      <c r="A31" s="100" t="s">
        <v>104</v>
      </c>
      <c r="C31" s="108"/>
      <c r="D31" s="108"/>
      <c r="E31" s="108"/>
      <c r="F31" s="109"/>
      <c r="G31" s="108"/>
      <c r="H31" s="108"/>
      <c r="I31" s="109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Z31" s="158" t="s">
        <v>108</v>
      </c>
      <c r="AA31" s="84"/>
      <c r="AB31" s="84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U31" s="114"/>
    </row>
    <row r="32" spans="1:47" ht="15.75">
      <c r="A32" s="84" t="s">
        <v>123</v>
      </c>
      <c r="C32" s="108"/>
      <c r="D32" s="108"/>
      <c r="E32" s="108"/>
      <c r="F32" s="109"/>
      <c r="G32" s="108"/>
      <c r="H32" s="108"/>
      <c r="I32" s="109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82"/>
      <c r="AP32" s="82"/>
      <c r="AQ32" s="82"/>
      <c r="AR32" s="82"/>
      <c r="AS32" s="82"/>
      <c r="AU32" s="114"/>
    </row>
    <row r="33" spans="1:47" ht="15.75">
      <c r="C33" s="108"/>
      <c r="D33" s="108"/>
      <c r="E33" s="108"/>
      <c r="F33" s="109"/>
      <c r="G33" s="108"/>
      <c r="H33" s="108"/>
      <c r="I33" s="109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82"/>
      <c r="AP33" s="82"/>
      <c r="AQ33" s="82"/>
      <c r="AR33" s="82"/>
      <c r="AS33" s="82"/>
      <c r="AU33" s="114"/>
    </row>
    <row r="34" spans="1:47" ht="15.75">
      <c r="A34" s="84" t="s">
        <v>106</v>
      </c>
      <c r="C34" s="108"/>
      <c r="D34" s="108"/>
      <c r="E34" s="108"/>
      <c r="F34" s="109"/>
      <c r="G34" s="108"/>
      <c r="H34" s="108"/>
      <c r="I34" s="109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59"/>
      <c r="Z34" s="159"/>
      <c r="AA34" s="83"/>
      <c r="AB34" s="83"/>
      <c r="AC34" s="160"/>
      <c r="AD34" s="160"/>
      <c r="AE34" s="161"/>
      <c r="AF34" s="161"/>
      <c r="AG34" s="161"/>
      <c r="AH34" s="161"/>
      <c r="AI34" s="162"/>
      <c r="AJ34" s="163"/>
      <c r="AK34" s="159"/>
      <c r="AL34" s="159"/>
      <c r="AM34" s="159"/>
      <c r="AN34" s="159"/>
      <c r="AO34" s="82"/>
      <c r="AP34" s="82"/>
      <c r="AQ34" s="82"/>
      <c r="AR34" s="82"/>
      <c r="AS34" s="82"/>
      <c r="AU34" s="114"/>
    </row>
    <row r="35" spans="1:47" ht="15.75">
      <c r="A35" s="84" t="s">
        <v>107</v>
      </c>
      <c r="C35" s="164">
        <v>12659.61444244743</v>
      </c>
      <c r="D35" s="107">
        <v>10.63</v>
      </c>
      <c r="E35" s="108"/>
      <c r="F35" s="109">
        <f>ROUND(D35*$C35,0)</f>
        <v>134572</v>
      </c>
      <c r="G35" s="107">
        <v>10.63</v>
      </c>
      <c r="H35" s="108"/>
      <c r="I35" s="109">
        <f>G35*C35</f>
        <v>134571.70152321618</v>
      </c>
      <c r="J35" s="107">
        <f>$J$15</f>
        <v>10.63</v>
      </c>
      <c r="K35" s="108"/>
      <c r="L35" s="109">
        <f>(J35*$C35)</f>
        <v>134571.70152321618</v>
      </c>
      <c r="M35" s="109"/>
      <c r="N35" s="107">
        <f>N15</f>
        <v>6.235517581038299</v>
      </c>
      <c r="O35" s="108"/>
      <c r="P35" s="109">
        <f>N35*C35</f>
        <v>78939.248425047306</v>
      </c>
      <c r="Q35" s="109"/>
      <c r="R35" s="107">
        <f>R15</f>
        <v>0.88344075269858191</v>
      </c>
      <c r="S35" s="108"/>
      <c r="T35" s="109">
        <f>R35*C35</f>
        <v>11184.019311909595</v>
      </c>
      <c r="U35" s="109"/>
      <c r="V35" s="107">
        <f>V15</f>
        <v>3.5110416662631225</v>
      </c>
      <c r="W35" s="108"/>
      <c r="X35" s="109">
        <f>V35*C35</f>
        <v>44448.433786259317</v>
      </c>
      <c r="Y35" s="82"/>
      <c r="Z35" s="162"/>
      <c r="AA35" s="83"/>
      <c r="AB35" s="83"/>
      <c r="AC35" s="159"/>
      <c r="AD35" s="159"/>
      <c r="AE35" s="165"/>
      <c r="AF35" s="165"/>
      <c r="AG35" s="165"/>
      <c r="AH35" s="165"/>
      <c r="AI35" s="166"/>
      <c r="AJ35" s="159"/>
      <c r="AK35" s="162"/>
      <c r="AL35" s="162"/>
      <c r="AM35" s="167"/>
      <c r="AN35" s="162"/>
      <c r="AO35" s="82"/>
      <c r="AP35" s="82"/>
      <c r="AQ35" s="82"/>
      <c r="AR35" s="82"/>
      <c r="AS35" s="82"/>
      <c r="AU35" s="114"/>
    </row>
    <row r="36" spans="1:47" ht="15.75">
      <c r="A36" s="84" t="s">
        <v>109</v>
      </c>
      <c r="C36" s="164">
        <v>268.30053137836148</v>
      </c>
      <c r="D36" s="107">
        <v>20.23</v>
      </c>
      <c r="E36" s="108"/>
      <c r="F36" s="109">
        <f>ROUND(D36*$C36,0)</f>
        <v>5428</v>
      </c>
      <c r="G36" s="107">
        <v>20.23</v>
      </c>
      <c r="H36" s="108"/>
      <c r="I36" s="109">
        <f t="shared" ref="I36:I37" si="6">G36*C36</f>
        <v>5427.7197497842526</v>
      </c>
      <c r="J36" s="107">
        <f>$J$16</f>
        <v>20.23</v>
      </c>
      <c r="K36" s="108"/>
      <c r="L36" s="109">
        <f>(J36*$C36)</f>
        <v>5427.7197497842526</v>
      </c>
      <c r="M36" s="109"/>
      <c r="N36" s="107">
        <f>N16</f>
        <v>11.866841078495275</v>
      </c>
      <c r="O36" s="108"/>
      <c r="P36" s="109">
        <f t="shared" ref="P36:P42" si="7">N36*C36</f>
        <v>3183.8797671428506</v>
      </c>
      <c r="Q36" s="109"/>
      <c r="R36" s="107">
        <f>R16</f>
        <v>1.6812800025486652</v>
      </c>
      <c r="S36" s="108"/>
      <c r="T36" s="109">
        <f t="shared" ref="T36:T41" si="8">R36*C36</f>
        <v>451.0883180796198</v>
      </c>
      <c r="U36" s="109"/>
      <c r="V36" s="107">
        <f>V16</f>
        <v>6.6818789189560643</v>
      </c>
      <c r="W36" s="108"/>
      <c r="X36" s="109">
        <f t="shared" ref="X36:X41" si="9">V36*C36</f>
        <v>1792.7516645617836</v>
      </c>
      <c r="Y36" s="82"/>
      <c r="Z36" s="162"/>
      <c r="AA36" s="83"/>
      <c r="AB36" s="83"/>
      <c r="AC36" s="82"/>
      <c r="AD36" s="82"/>
      <c r="AE36" s="168"/>
      <c r="AF36" s="168"/>
      <c r="AG36" s="168"/>
      <c r="AH36" s="168"/>
      <c r="AI36" s="159"/>
      <c r="AJ36" s="159"/>
      <c r="AK36" s="162"/>
      <c r="AL36" s="162"/>
      <c r="AM36" s="167"/>
      <c r="AN36" s="162"/>
      <c r="AO36" s="82"/>
      <c r="AP36" s="82"/>
      <c r="AQ36" s="82"/>
      <c r="AR36" s="82"/>
      <c r="AS36" s="82"/>
      <c r="AU36" s="114"/>
    </row>
    <row r="37" spans="1:47" ht="15.75">
      <c r="A37" s="84" t="s">
        <v>110</v>
      </c>
      <c r="C37" s="164">
        <v>0</v>
      </c>
      <c r="D37" s="107">
        <v>41.86</v>
      </c>
      <c r="E37" s="108"/>
      <c r="F37" s="109">
        <f>ROUND(D37*$C37,0)</f>
        <v>0</v>
      </c>
      <c r="G37" s="107">
        <v>41.86</v>
      </c>
      <c r="H37" s="108"/>
      <c r="I37" s="109">
        <f t="shared" si="6"/>
        <v>0</v>
      </c>
      <c r="J37" s="107">
        <f>$J$17</f>
        <v>41.86</v>
      </c>
      <c r="K37" s="108"/>
      <c r="L37" s="109">
        <f>(J37*$C37)</f>
        <v>0</v>
      </c>
      <c r="M37" s="109"/>
      <c r="N37" s="107">
        <f>N17</f>
        <v>24.554916833703025</v>
      </c>
      <c r="O37" s="108"/>
      <c r="P37" s="109">
        <f t="shared" si="7"/>
        <v>0</v>
      </c>
      <c r="Q37" s="109"/>
      <c r="R37" s="107">
        <f>R17</f>
        <v>3.4789115623671343</v>
      </c>
      <c r="S37" s="108"/>
      <c r="T37" s="109">
        <f t="shared" si="8"/>
        <v>0</v>
      </c>
      <c r="U37" s="109"/>
      <c r="V37" s="107">
        <f>V17</f>
        <v>13.826171603929849</v>
      </c>
      <c r="W37" s="108"/>
      <c r="X37" s="109">
        <f t="shared" si="9"/>
        <v>0</v>
      </c>
      <c r="Y37" s="82"/>
      <c r="Z37" s="162"/>
      <c r="AA37" s="83"/>
      <c r="AB37" s="83"/>
      <c r="AC37" s="82"/>
      <c r="AD37" s="82"/>
      <c r="AE37" s="168"/>
      <c r="AF37" s="168"/>
      <c r="AG37" s="168"/>
      <c r="AH37" s="168"/>
      <c r="AI37" s="159"/>
      <c r="AJ37" s="159"/>
      <c r="AK37" s="162"/>
      <c r="AL37" s="162"/>
      <c r="AM37" s="167"/>
      <c r="AN37" s="162"/>
      <c r="AO37" s="82"/>
      <c r="AP37" s="82"/>
      <c r="AQ37" s="82"/>
      <c r="AR37" s="82"/>
      <c r="AS37" s="82"/>
      <c r="AU37" s="114"/>
    </row>
    <row r="38" spans="1:47" ht="15.75">
      <c r="A38" s="84" t="s">
        <v>111</v>
      </c>
      <c r="C38" s="164"/>
      <c r="D38" s="107"/>
      <c r="E38" s="108"/>
      <c r="F38" s="109"/>
      <c r="G38" s="107"/>
      <c r="H38" s="108"/>
      <c r="I38" s="109"/>
      <c r="J38" s="107"/>
      <c r="K38" s="108"/>
      <c r="L38" s="109"/>
      <c r="M38" s="109"/>
      <c r="N38" s="107"/>
      <c r="O38" s="108"/>
      <c r="P38" s="109"/>
      <c r="Q38" s="109"/>
      <c r="R38" s="107"/>
      <c r="S38" s="108"/>
      <c r="T38" s="109"/>
      <c r="U38" s="109"/>
      <c r="V38" s="107"/>
      <c r="W38" s="108"/>
      <c r="X38" s="109"/>
      <c r="Y38" s="82"/>
      <c r="Z38" s="162"/>
      <c r="AA38" s="83"/>
      <c r="AB38" s="83"/>
      <c r="AC38" s="82"/>
      <c r="AD38" s="82"/>
      <c r="AE38" s="168"/>
      <c r="AF38" s="168"/>
      <c r="AG38" s="168"/>
      <c r="AH38" s="168"/>
      <c r="AI38" s="159"/>
      <c r="AJ38" s="159"/>
      <c r="AK38" s="162"/>
      <c r="AL38" s="162"/>
      <c r="AM38" s="167"/>
      <c r="AN38" s="162"/>
      <c r="AO38" s="82"/>
      <c r="AP38" s="82"/>
      <c r="AQ38" s="82"/>
      <c r="AR38" s="82"/>
      <c r="AS38" s="82"/>
      <c r="AU38" s="114"/>
    </row>
    <row r="39" spans="1:47" ht="15.75">
      <c r="A39" s="84" t="s">
        <v>112</v>
      </c>
      <c r="C39" s="164">
        <v>807.60168615657005</v>
      </c>
      <c r="D39" s="107">
        <v>12.09</v>
      </c>
      <c r="E39" s="108"/>
      <c r="F39" s="109">
        <f>ROUND(D39*$C39,0)</f>
        <v>9764</v>
      </c>
      <c r="G39" s="107">
        <v>12.09</v>
      </c>
      <c r="H39" s="108"/>
      <c r="I39" s="109">
        <f t="shared" ref="I39:I42" si="10">G39*C39</f>
        <v>9763.9043856329317</v>
      </c>
      <c r="J39" s="107">
        <f>$J$19</f>
        <v>12.09</v>
      </c>
      <c r="K39" s="108"/>
      <c r="L39" s="109">
        <f t="shared" ref="L39:L42" si="11">(J39*$C39)</f>
        <v>9763.9043856329317</v>
      </c>
      <c r="M39" s="109"/>
      <c r="N39" s="107">
        <f>N19</f>
        <v>7.0919480296098802</v>
      </c>
      <c r="O39" s="108"/>
      <c r="P39" s="109">
        <f t="shared" si="7"/>
        <v>5727.4691868477039</v>
      </c>
      <c r="Q39" s="109"/>
      <c r="R39" s="107">
        <f>R19</f>
        <v>1.0047788052799487</v>
      </c>
      <c r="S39" s="108"/>
      <c r="T39" s="109">
        <f t="shared" si="8"/>
        <v>811.4610573584705</v>
      </c>
      <c r="U39" s="109"/>
      <c r="V39" s="107">
        <f>V19</f>
        <v>3.9932731651101738</v>
      </c>
      <c r="W39" s="108"/>
      <c r="X39" s="109">
        <f t="shared" si="9"/>
        <v>3224.9741414267596</v>
      </c>
      <c r="Y39" s="82"/>
      <c r="Z39" s="162"/>
      <c r="AA39" s="83"/>
      <c r="AB39" s="83"/>
      <c r="AC39" s="82"/>
      <c r="AD39" s="82"/>
      <c r="AE39" s="168"/>
      <c r="AF39" s="168"/>
      <c r="AG39" s="168"/>
      <c r="AH39" s="168"/>
      <c r="AI39" s="159"/>
      <c r="AJ39" s="159"/>
      <c r="AK39" s="162"/>
      <c r="AL39" s="162"/>
      <c r="AM39" s="167"/>
      <c r="AN39" s="162"/>
      <c r="AO39" s="82"/>
      <c r="AP39" s="82"/>
      <c r="AQ39" s="82"/>
      <c r="AR39" s="82"/>
      <c r="AS39" s="82"/>
      <c r="AU39" s="114"/>
    </row>
    <row r="40" spans="1:47" ht="15.75">
      <c r="A40" s="84" t="s">
        <v>113</v>
      </c>
      <c r="C40" s="164">
        <v>205.66799715733501</v>
      </c>
      <c r="D40" s="107">
        <v>17.760000000000002</v>
      </c>
      <c r="E40" s="108"/>
      <c r="F40" s="109">
        <f>ROUND(D40*$C40,0)</f>
        <v>3653</v>
      </c>
      <c r="G40" s="107">
        <v>17.760000000000002</v>
      </c>
      <c r="H40" s="108"/>
      <c r="I40" s="109">
        <f t="shared" si="10"/>
        <v>3652.6636295142703</v>
      </c>
      <c r="J40" s="107">
        <f>$J$20</f>
        <v>17.760000000000002</v>
      </c>
      <c r="K40" s="108"/>
      <c r="L40" s="109">
        <f t="shared" si="11"/>
        <v>3652.6636295142703</v>
      </c>
      <c r="M40" s="109"/>
      <c r="N40" s="107">
        <f>N20</f>
        <v>10.417948470295407</v>
      </c>
      <c r="O40" s="108"/>
      <c r="P40" s="109">
        <f t="shared" si="7"/>
        <v>2142.6385963739785</v>
      </c>
      <c r="Q40" s="109"/>
      <c r="R40" s="107">
        <f>R20</f>
        <v>1.4760026122226544</v>
      </c>
      <c r="S40" s="108"/>
      <c r="T40" s="109">
        <f t="shared" si="8"/>
        <v>303.56650105482794</v>
      </c>
      <c r="U40" s="109"/>
      <c r="V40" s="107">
        <f>V20</f>
        <v>5.866048917481943</v>
      </c>
      <c r="W40" s="108"/>
      <c r="X40" s="109">
        <f t="shared" si="9"/>
        <v>1206.4585320854644</v>
      </c>
      <c r="Y40" s="82"/>
      <c r="Z40" s="162"/>
      <c r="AA40" s="83"/>
      <c r="AB40" s="83"/>
      <c r="AC40" s="82"/>
      <c r="AD40" s="82"/>
      <c r="AE40" s="168"/>
      <c r="AF40" s="168"/>
      <c r="AG40" s="168"/>
      <c r="AH40" s="168"/>
      <c r="AI40" s="159"/>
      <c r="AJ40" s="159"/>
      <c r="AK40" s="162"/>
      <c r="AL40" s="162"/>
      <c r="AM40" s="167"/>
      <c r="AN40" s="162"/>
      <c r="AO40" s="82"/>
      <c r="AP40" s="82"/>
      <c r="AQ40" s="82"/>
      <c r="AR40" s="82"/>
      <c r="AS40" s="82"/>
      <c r="AU40" s="114"/>
    </row>
    <row r="41" spans="1:47" ht="15.75">
      <c r="A41" s="84" t="s">
        <v>114</v>
      </c>
      <c r="C41" s="164">
        <v>12.000000235856399</v>
      </c>
      <c r="D41" s="107">
        <v>28.64</v>
      </c>
      <c r="E41" s="108"/>
      <c r="F41" s="109">
        <f>ROUND(D41*$C41,0)</f>
        <v>344</v>
      </c>
      <c r="G41" s="107">
        <v>28.64</v>
      </c>
      <c r="H41" s="108"/>
      <c r="I41" s="109">
        <f t="shared" si="10"/>
        <v>343.68000675492726</v>
      </c>
      <c r="J41" s="107">
        <f>$J$21</f>
        <v>28.64</v>
      </c>
      <c r="K41" s="108"/>
      <c r="L41" s="109">
        <f t="shared" si="11"/>
        <v>343.68000675492726</v>
      </c>
      <c r="M41" s="109"/>
      <c r="N41" s="107">
        <f>N21</f>
        <v>16.800115100746648</v>
      </c>
      <c r="O41" s="108"/>
      <c r="P41" s="109">
        <f t="shared" si="7"/>
        <v>201.60138517137443</v>
      </c>
      <c r="Q41" s="109"/>
      <c r="R41" s="107">
        <f>R21</f>
        <v>2.3802204287194155</v>
      </c>
      <c r="S41" s="108"/>
      <c r="T41" s="109">
        <f t="shared" si="8"/>
        <v>28.562645706023208</v>
      </c>
      <c r="U41" s="109"/>
      <c r="V41" s="107">
        <f>V21</f>
        <v>9.4596644705339443</v>
      </c>
      <c r="W41" s="108"/>
      <c r="X41" s="109">
        <f t="shared" si="9"/>
        <v>113.51597587752973</v>
      </c>
      <c r="Y41" s="82"/>
      <c r="Z41" s="162"/>
      <c r="AA41" s="83"/>
      <c r="AB41" s="83"/>
      <c r="AC41" s="82"/>
      <c r="AD41" s="82"/>
      <c r="AE41" s="168"/>
      <c r="AF41" s="168"/>
      <c r="AG41" s="168"/>
      <c r="AH41" s="168"/>
      <c r="AI41" s="159"/>
      <c r="AJ41" s="159"/>
      <c r="AK41" s="162"/>
      <c r="AL41" s="162"/>
      <c r="AM41" s="167"/>
      <c r="AN41" s="162"/>
      <c r="AO41" s="82"/>
      <c r="AP41" s="82"/>
      <c r="AQ41" s="82"/>
      <c r="AR41" s="82"/>
      <c r="AS41" s="82"/>
      <c r="AU41" s="114"/>
    </row>
    <row r="42" spans="1:47" ht="15.75">
      <c r="A42" s="84" t="s">
        <v>115</v>
      </c>
      <c r="C42" s="164">
        <v>126.9668622698855</v>
      </c>
      <c r="D42" s="107">
        <v>1</v>
      </c>
      <c r="E42" s="120"/>
      <c r="F42" s="169">
        <f>ROUND(D42*$C42,0)</f>
        <v>127</v>
      </c>
      <c r="G42" s="107">
        <v>1</v>
      </c>
      <c r="H42" s="120"/>
      <c r="I42" s="109">
        <f t="shared" si="10"/>
        <v>126.9668622698855</v>
      </c>
      <c r="J42" s="119">
        <f>$J$22</f>
        <v>1</v>
      </c>
      <c r="K42" s="120"/>
      <c r="L42" s="109">
        <f t="shared" si="11"/>
        <v>126.9668622698855</v>
      </c>
      <c r="M42" s="109"/>
      <c r="N42" s="107">
        <f>N22</f>
        <v>1</v>
      </c>
      <c r="O42" s="120"/>
      <c r="P42" s="109">
        <f t="shared" si="7"/>
        <v>126.9668622698855</v>
      </c>
      <c r="Q42" s="109"/>
      <c r="R42" s="107" t="str">
        <f>R22</f>
        <v xml:space="preserve"> </v>
      </c>
      <c r="S42" s="120"/>
      <c r="T42" s="109"/>
      <c r="U42" s="109"/>
      <c r="V42" s="107"/>
      <c r="W42" s="120"/>
      <c r="X42" s="109"/>
      <c r="Y42" s="159"/>
      <c r="Z42" s="162"/>
      <c r="AA42" s="83"/>
      <c r="AB42" s="83"/>
      <c r="AC42" s="82"/>
      <c r="AD42" s="82"/>
      <c r="AE42" s="159"/>
      <c r="AF42" s="159"/>
      <c r="AG42" s="159"/>
      <c r="AH42" s="159"/>
      <c r="AI42" s="159"/>
      <c r="AJ42" s="159"/>
      <c r="AK42" s="162"/>
      <c r="AL42" s="162"/>
      <c r="AM42" s="162"/>
      <c r="AN42" s="162"/>
      <c r="AO42" s="82"/>
      <c r="AP42" s="82"/>
      <c r="AQ42" s="82"/>
      <c r="AR42" s="82"/>
      <c r="AS42" s="82"/>
      <c r="AU42" s="114"/>
    </row>
    <row r="43" spans="1:47" s="123" customFormat="1" ht="15.75">
      <c r="A43" s="122" t="s">
        <v>124</v>
      </c>
      <c r="C43" s="170">
        <f>C45</f>
        <v>1061743</v>
      </c>
      <c r="D43" s="119"/>
      <c r="E43" s="127"/>
      <c r="F43" s="128"/>
      <c r="G43" s="119"/>
      <c r="H43" s="127"/>
      <c r="I43" s="128"/>
      <c r="J43" s="129"/>
      <c r="K43" s="130"/>
      <c r="L43" s="128"/>
      <c r="M43" s="128"/>
      <c r="N43" s="129"/>
      <c r="O43" s="130"/>
      <c r="P43" s="128"/>
      <c r="Q43" s="128"/>
      <c r="R43" s="129"/>
      <c r="S43" s="130"/>
      <c r="T43" s="109"/>
      <c r="U43" s="128"/>
      <c r="V43" s="129"/>
      <c r="W43" s="130"/>
      <c r="X43" s="128"/>
      <c r="Z43" s="111"/>
      <c r="AC43" s="132"/>
      <c r="AD43" s="132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U43" s="131"/>
    </row>
    <row r="44" spans="1:47" ht="15.75">
      <c r="A44" s="84" t="s">
        <v>117</v>
      </c>
      <c r="C44" s="164">
        <v>13695</v>
      </c>
      <c r="D44" s="107"/>
      <c r="E44" s="108"/>
      <c r="F44" s="109"/>
      <c r="G44" s="107"/>
      <c r="H44" s="108"/>
      <c r="I44" s="109"/>
      <c r="J44" s="107"/>
      <c r="K44" s="108"/>
      <c r="L44" s="109"/>
      <c r="M44" s="109"/>
      <c r="N44" s="107"/>
      <c r="O44" s="108"/>
      <c r="P44" s="109"/>
      <c r="Q44" s="109"/>
      <c r="R44" s="107"/>
      <c r="S44" s="108"/>
      <c r="T44" s="109"/>
      <c r="U44" s="109"/>
      <c r="V44" s="107"/>
      <c r="W44" s="108"/>
      <c r="X44" s="10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71"/>
      <c r="AL44" s="159"/>
      <c r="AM44" s="159"/>
      <c r="AN44" s="159"/>
      <c r="AO44" s="82"/>
      <c r="AP44" s="82"/>
      <c r="AQ44" s="82"/>
      <c r="AR44" s="82"/>
      <c r="AS44" s="82"/>
      <c r="AU44" s="114"/>
    </row>
    <row r="45" spans="1:47" ht="15.75">
      <c r="A45" s="84" t="s">
        <v>118</v>
      </c>
      <c r="C45" s="164">
        <v>1061743</v>
      </c>
      <c r="D45" s="119"/>
      <c r="E45" s="120"/>
      <c r="F45" s="169">
        <f>SUM(F35:F42)</f>
        <v>153888</v>
      </c>
      <c r="G45" s="119"/>
      <c r="H45" s="120"/>
      <c r="I45" s="169">
        <f>SUM(I35:I42)</f>
        <v>153886.63615717244</v>
      </c>
      <c r="J45" s="119"/>
      <c r="K45" s="120"/>
      <c r="L45" s="169">
        <f>SUM(L35:L43)</f>
        <v>153886.63615717244</v>
      </c>
      <c r="M45" s="169"/>
      <c r="N45" s="119"/>
      <c r="O45" s="120"/>
      <c r="P45" s="169">
        <f>SUM(P35:P43)</f>
        <v>90321.804222853098</v>
      </c>
      <c r="Q45" s="169"/>
      <c r="R45" s="119"/>
      <c r="S45" s="120"/>
      <c r="T45" s="169">
        <f>SUM(T35:T43)</f>
        <v>12778.697834108534</v>
      </c>
      <c r="U45" s="169"/>
      <c r="V45" s="119"/>
      <c r="W45" s="120"/>
      <c r="X45" s="169">
        <f>SUM(X35:X43)</f>
        <v>50786.13410021086</v>
      </c>
      <c r="Y45" s="159"/>
      <c r="Z45" s="168"/>
      <c r="AA45" s="159"/>
      <c r="AB45" s="159"/>
      <c r="AC45" s="82"/>
      <c r="AD45" s="82"/>
      <c r="AE45" s="82"/>
      <c r="AF45" s="82"/>
      <c r="AG45" s="82"/>
      <c r="AH45" s="82"/>
      <c r="AI45" s="82"/>
      <c r="AJ45" s="159"/>
      <c r="AK45" s="159"/>
      <c r="AL45" s="159"/>
      <c r="AM45" s="159"/>
      <c r="AN45" s="159"/>
      <c r="AO45" s="82"/>
      <c r="AP45" s="82"/>
      <c r="AQ45" s="82"/>
      <c r="AR45" s="82"/>
      <c r="AS45" s="82"/>
      <c r="AU45" s="114"/>
    </row>
    <row r="46" spans="1:47" ht="15.75">
      <c r="A46" s="84" t="s">
        <v>119</v>
      </c>
      <c r="C46" s="164">
        <v>-3835.498481682414</v>
      </c>
      <c r="D46" s="119"/>
      <c r="E46" s="120"/>
      <c r="F46" s="169">
        <f>I46</f>
        <v>-314.74006547706313</v>
      </c>
      <c r="G46" s="119"/>
      <c r="H46" s="120"/>
      <c r="I46" s="169">
        <v>-314.74006547706313</v>
      </c>
      <c r="J46" s="119"/>
      <c r="K46" s="120"/>
      <c r="L46" s="169">
        <f>I46</f>
        <v>-314.74006547706313</v>
      </c>
      <c r="M46" s="169"/>
      <c r="N46" s="119"/>
      <c r="O46" s="120"/>
      <c r="P46" s="169">
        <f>P25/L25*L46</f>
        <v>-185.02560005804889</v>
      </c>
      <c r="Q46" s="169"/>
      <c r="R46" s="119"/>
      <c r="S46" s="120"/>
      <c r="T46" s="169">
        <f>T25/L25*L46</f>
        <v>-26.06845850085498</v>
      </c>
      <c r="U46" s="169"/>
      <c r="V46" s="119"/>
      <c r="W46" s="120"/>
      <c r="X46" s="169">
        <f>X25/L25*L46</f>
        <v>-103.64600691815924</v>
      </c>
      <c r="Y46" s="172"/>
      <c r="Z46" s="168"/>
      <c r="AA46" s="159"/>
      <c r="AB46" s="159"/>
      <c r="AC46" s="159"/>
      <c r="AD46" s="159"/>
      <c r="AE46" s="165"/>
      <c r="AF46" s="165"/>
      <c r="AG46" s="165"/>
      <c r="AH46" s="165"/>
      <c r="AI46" s="162"/>
      <c r="AJ46" s="159"/>
      <c r="AK46" s="159"/>
      <c r="AL46" s="159"/>
      <c r="AM46" s="159"/>
      <c r="AN46" s="159"/>
      <c r="AO46" s="82"/>
      <c r="AP46" s="82"/>
      <c r="AQ46" s="82"/>
      <c r="AR46" s="82"/>
      <c r="AS46" s="82"/>
      <c r="AU46" s="114"/>
    </row>
    <row r="47" spans="1:47" ht="16.5" thickBot="1">
      <c r="A47" s="84" t="s">
        <v>3</v>
      </c>
      <c r="C47" s="173">
        <f>C45+C46</f>
        <v>1057907.5015183175</v>
      </c>
      <c r="D47" s="174"/>
      <c r="E47" s="174"/>
      <c r="F47" s="174">
        <f>F45+F46</f>
        <v>153573.25993452294</v>
      </c>
      <c r="G47" s="175"/>
      <c r="H47" s="174"/>
      <c r="I47" s="174">
        <f>I45+I46</f>
        <v>153571.89609169538</v>
      </c>
      <c r="J47" s="175"/>
      <c r="K47" s="174"/>
      <c r="L47" s="174">
        <f>L45+L46</f>
        <v>153571.89609169538</v>
      </c>
      <c r="M47" s="175"/>
      <c r="N47" s="175"/>
      <c r="O47" s="174"/>
      <c r="P47" s="174">
        <f>P45+P46</f>
        <v>90136.778622795042</v>
      </c>
      <c r="Q47" s="175"/>
      <c r="R47" s="175"/>
      <c r="S47" s="174"/>
      <c r="T47" s="174">
        <f>T45+T46</f>
        <v>12752.629375607679</v>
      </c>
      <c r="U47" s="175"/>
      <c r="V47" s="175"/>
      <c r="W47" s="174"/>
      <c r="X47" s="174">
        <f>X45+X46</f>
        <v>50682.488093292704</v>
      </c>
      <c r="Y47" s="176"/>
      <c r="Z47" s="177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82"/>
      <c r="AP47" s="82"/>
      <c r="AQ47" s="82"/>
      <c r="AR47" s="82"/>
      <c r="AS47" s="82"/>
      <c r="AU47" s="114"/>
    </row>
    <row r="48" spans="1:47" ht="16.5" thickTop="1">
      <c r="C48" s="152"/>
      <c r="D48" s="153" t="s">
        <v>108</v>
      </c>
      <c r="E48" s="152"/>
      <c r="F48" s="109"/>
      <c r="G48" s="153" t="s">
        <v>108</v>
      </c>
      <c r="H48" s="152"/>
      <c r="I48" s="109"/>
      <c r="J48" s="153" t="s">
        <v>108</v>
      </c>
      <c r="K48" s="152"/>
      <c r="L48" s="109" t="s">
        <v>108</v>
      </c>
      <c r="M48" s="109"/>
      <c r="N48" s="153" t="s">
        <v>108</v>
      </c>
      <c r="O48" s="152"/>
      <c r="P48" s="109" t="s">
        <v>108</v>
      </c>
      <c r="Q48" s="109"/>
      <c r="R48" s="153" t="s">
        <v>108</v>
      </c>
      <c r="S48" s="152"/>
      <c r="T48" s="109" t="s">
        <v>108</v>
      </c>
      <c r="U48" s="109"/>
      <c r="V48" s="153" t="s">
        <v>108</v>
      </c>
      <c r="W48" s="152"/>
      <c r="X48" s="109" t="s">
        <v>108</v>
      </c>
      <c r="Y48" s="82"/>
      <c r="Z48" s="83"/>
      <c r="AA48" s="83"/>
      <c r="AB48" s="83"/>
      <c r="AC48" s="82"/>
      <c r="AD48" s="82"/>
      <c r="AE48" s="82"/>
      <c r="AF48" s="82"/>
      <c r="AG48" s="82"/>
      <c r="AH48" s="82"/>
      <c r="AI48" s="82"/>
      <c r="AJ48" s="159"/>
      <c r="AK48" s="159"/>
      <c r="AL48" s="159"/>
      <c r="AM48" s="159"/>
      <c r="AN48" s="159"/>
      <c r="AO48" s="82"/>
      <c r="AP48" s="82"/>
      <c r="AQ48" s="82"/>
      <c r="AR48" s="82"/>
      <c r="AS48" s="82"/>
      <c r="AU48" s="114"/>
    </row>
    <row r="49" spans="1:47" ht="15.75">
      <c r="A49" s="100" t="s">
        <v>104</v>
      </c>
      <c r="C49" s="108"/>
      <c r="D49" s="108"/>
      <c r="E49" s="108"/>
      <c r="F49" s="109"/>
      <c r="G49" s="108"/>
      <c r="H49" s="108"/>
      <c r="I49" s="109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82"/>
      <c r="Z49" s="83"/>
      <c r="AA49" s="83"/>
      <c r="AB49" s="83"/>
      <c r="AC49" s="82"/>
      <c r="AD49" s="82"/>
      <c r="AE49" s="82"/>
      <c r="AF49" s="82"/>
      <c r="AG49" s="82"/>
      <c r="AH49" s="82"/>
      <c r="AI49" s="82"/>
      <c r="AJ49" s="159"/>
      <c r="AK49" s="159"/>
      <c r="AL49" s="159"/>
      <c r="AM49" s="159"/>
      <c r="AN49" s="159"/>
      <c r="AO49" s="82"/>
      <c r="AP49" s="82"/>
      <c r="AQ49" s="82"/>
      <c r="AR49" s="82"/>
      <c r="AS49" s="82"/>
      <c r="AU49" s="114"/>
    </row>
    <row r="50" spans="1:47" ht="15.75">
      <c r="A50" s="84" t="s">
        <v>125</v>
      </c>
      <c r="C50" s="108"/>
      <c r="D50" s="108"/>
      <c r="E50" s="108"/>
      <c r="F50" s="109"/>
      <c r="G50" s="108"/>
      <c r="H50" s="108"/>
      <c r="I50" s="109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82"/>
      <c r="AP50" s="82"/>
      <c r="AQ50" s="82"/>
      <c r="AR50" s="82"/>
      <c r="AS50" s="82"/>
      <c r="AU50" s="114"/>
    </row>
    <row r="51" spans="1:47" ht="15.75">
      <c r="C51" s="108"/>
      <c r="D51" s="108"/>
      <c r="E51" s="108"/>
      <c r="F51" s="109"/>
      <c r="G51" s="108"/>
      <c r="H51" s="108"/>
      <c r="I51" s="109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82"/>
      <c r="AP51" s="82"/>
      <c r="AQ51" s="82"/>
      <c r="AR51" s="82"/>
      <c r="AS51" s="82"/>
      <c r="AU51" s="114"/>
    </row>
    <row r="52" spans="1:47" ht="15.75">
      <c r="A52" s="84" t="s">
        <v>106</v>
      </c>
      <c r="C52" s="108"/>
      <c r="D52" s="108"/>
      <c r="E52" s="108"/>
      <c r="F52" s="109"/>
      <c r="G52" s="108"/>
      <c r="H52" s="108"/>
      <c r="I52" s="109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59"/>
      <c r="Z52" s="159"/>
      <c r="AA52" s="83"/>
      <c r="AB52" s="83"/>
      <c r="AC52" s="160"/>
      <c r="AD52" s="160"/>
      <c r="AE52" s="161"/>
      <c r="AF52" s="161"/>
      <c r="AG52" s="161"/>
      <c r="AH52" s="161"/>
      <c r="AI52" s="162"/>
      <c r="AJ52" s="163"/>
      <c r="AK52" s="159"/>
      <c r="AL52" s="159"/>
      <c r="AM52" s="159"/>
      <c r="AN52" s="159"/>
      <c r="AO52" s="82"/>
      <c r="AP52" s="82"/>
      <c r="AQ52" s="82"/>
      <c r="AR52" s="82"/>
      <c r="AS52" s="82"/>
      <c r="AU52" s="114"/>
    </row>
    <row r="53" spans="1:47" ht="15.75">
      <c r="A53" s="84" t="s">
        <v>107</v>
      </c>
      <c r="C53" s="164">
        <v>14057.366751279909</v>
      </c>
      <c r="D53" s="107">
        <v>10.63</v>
      </c>
      <c r="E53" s="108"/>
      <c r="F53" s="109">
        <f>ROUND(D53*$C53,0)</f>
        <v>149430</v>
      </c>
      <c r="G53" s="107">
        <v>10.63</v>
      </c>
      <c r="H53" s="108"/>
      <c r="I53" s="109">
        <f t="shared" ref="I53:I55" si="12">G53*C53</f>
        <v>149429.80856610544</v>
      </c>
      <c r="J53" s="107">
        <f>$J$15</f>
        <v>10.63</v>
      </c>
      <c r="K53" s="108"/>
      <c r="L53" s="109">
        <f t="shared" ref="L53:L55" si="13">(J53*$C53)</f>
        <v>149429.80856610544</v>
      </c>
      <c r="M53" s="109"/>
      <c r="N53" s="107">
        <f>N15</f>
        <v>6.235517581038299</v>
      </c>
      <c r="O53" s="108"/>
      <c r="P53" s="109">
        <f t="shared" ref="P53:P55" si="14">(N53*$C53)</f>
        <v>87654.957520709111</v>
      </c>
      <c r="Q53" s="109"/>
      <c r="R53" s="107">
        <f>R15</f>
        <v>0.88344075269858191</v>
      </c>
      <c r="S53" s="108"/>
      <c r="T53" s="109">
        <f t="shared" ref="T53:T55" si="15">(R53*$C53)</f>
        <v>12418.850663710742</v>
      </c>
      <c r="U53" s="109"/>
      <c r="V53" s="107">
        <f>V15</f>
        <v>3.5110416662631225</v>
      </c>
      <c r="W53" s="108"/>
      <c r="X53" s="109">
        <f t="shared" ref="X53:X55" si="16">(V53*$C53)</f>
        <v>49356.000381685633</v>
      </c>
      <c r="Y53" s="82"/>
      <c r="Z53" s="162"/>
      <c r="AA53" s="83"/>
      <c r="AB53" s="83"/>
      <c r="AC53" s="159"/>
      <c r="AD53" s="159"/>
      <c r="AE53" s="165"/>
      <c r="AF53" s="165"/>
      <c r="AG53" s="165"/>
      <c r="AH53" s="165"/>
      <c r="AI53" s="166"/>
      <c r="AJ53" s="159"/>
      <c r="AK53" s="162"/>
      <c r="AL53" s="162"/>
      <c r="AM53" s="167"/>
      <c r="AN53" s="162"/>
      <c r="AO53" s="82"/>
      <c r="AP53" s="82"/>
      <c r="AQ53" s="82"/>
      <c r="AR53" s="82"/>
      <c r="AS53" s="82"/>
      <c r="AU53" s="114"/>
    </row>
    <row r="54" spans="1:47" ht="15.75">
      <c r="A54" s="84" t="s">
        <v>109</v>
      </c>
      <c r="C54" s="164">
        <v>3695.008160269952</v>
      </c>
      <c r="D54" s="107">
        <v>20.23</v>
      </c>
      <c r="E54" s="108"/>
      <c r="F54" s="109">
        <f>ROUND(D54*$C54,0)</f>
        <v>74750</v>
      </c>
      <c r="G54" s="107">
        <v>20.23</v>
      </c>
      <c r="H54" s="108"/>
      <c r="I54" s="109">
        <f t="shared" si="12"/>
        <v>74750.015082261132</v>
      </c>
      <c r="J54" s="107">
        <f>$J$16</f>
        <v>20.23</v>
      </c>
      <c r="K54" s="108"/>
      <c r="L54" s="109">
        <f t="shared" si="13"/>
        <v>74750.015082261132</v>
      </c>
      <c r="M54" s="109"/>
      <c r="N54" s="107">
        <f>N16</f>
        <v>11.866841078495275</v>
      </c>
      <c r="O54" s="108"/>
      <c r="P54" s="109">
        <f t="shared" si="14"/>
        <v>43848.074621666718</v>
      </c>
      <c r="Q54" s="109"/>
      <c r="R54" s="107">
        <f>R16</f>
        <v>1.6812800025486652</v>
      </c>
      <c r="S54" s="108"/>
      <c r="T54" s="109">
        <f t="shared" si="15"/>
        <v>6212.3433291160036</v>
      </c>
      <c r="U54" s="109"/>
      <c r="V54" s="107">
        <f>V16</f>
        <v>6.6818789189560643</v>
      </c>
      <c r="W54" s="108"/>
      <c r="X54" s="109">
        <f t="shared" si="16"/>
        <v>24689.597131478422</v>
      </c>
      <c r="Y54" s="82"/>
      <c r="Z54" s="162"/>
      <c r="AA54" s="83"/>
      <c r="AB54" s="83"/>
      <c r="AC54" s="82"/>
      <c r="AD54" s="82"/>
      <c r="AE54" s="168"/>
      <c r="AF54" s="168"/>
      <c r="AG54" s="168"/>
      <c r="AH54" s="168"/>
      <c r="AI54" s="159"/>
      <c r="AJ54" s="159"/>
      <c r="AK54" s="162"/>
      <c r="AL54" s="162"/>
      <c r="AM54" s="167"/>
      <c r="AN54" s="162"/>
      <c r="AO54" s="82"/>
      <c r="AP54" s="82"/>
      <c r="AQ54" s="82"/>
      <c r="AR54" s="82"/>
      <c r="AS54" s="82"/>
      <c r="AU54" s="114"/>
    </row>
    <row r="55" spans="1:47" ht="15.75">
      <c r="A55" s="84" t="s">
        <v>110</v>
      </c>
      <c r="C55" s="164">
        <v>492.36661446236099</v>
      </c>
      <c r="D55" s="107">
        <v>41.86</v>
      </c>
      <c r="E55" s="108"/>
      <c r="F55" s="109">
        <f>ROUND(D55*$C55,0)</f>
        <v>20610</v>
      </c>
      <c r="G55" s="107">
        <v>41.86</v>
      </c>
      <c r="H55" s="108"/>
      <c r="I55" s="109">
        <f t="shared" si="12"/>
        <v>20610.466481394429</v>
      </c>
      <c r="J55" s="107">
        <f>$J$17</f>
        <v>41.86</v>
      </c>
      <c r="K55" s="108"/>
      <c r="L55" s="109">
        <f t="shared" si="13"/>
        <v>20610.466481394429</v>
      </c>
      <c r="M55" s="109"/>
      <c r="N55" s="107">
        <f>N17</f>
        <v>24.554916833703025</v>
      </c>
      <c r="O55" s="108"/>
      <c r="P55" s="109">
        <f t="shared" si="14"/>
        <v>12090.021269815195</v>
      </c>
      <c r="Q55" s="109"/>
      <c r="R55" s="107">
        <f>R17</f>
        <v>3.4789115623671343</v>
      </c>
      <c r="S55" s="108"/>
      <c r="T55" s="109">
        <f t="shared" si="15"/>
        <v>1712.8999079766686</v>
      </c>
      <c r="U55" s="109"/>
      <c r="V55" s="107">
        <f>V17</f>
        <v>13.826171603929849</v>
      </c>
      <c r="W55" s="108"/>
      <c r="X55" s="109">
        <f t="shared" si="16"/>
        <v>6807.545303602571</v>
      </c>
      <c r="Y55" s="82"/>
      <c r="Z55" s="162"/>
      <c r="AA55" s="83"/>
      <c r="AB55" s="83"/>
      <c r="AC55" s="82"/>
      <c r="AD55" s="82"/>
      <c r="AE55" s="168"/>
      <c r="AF55" s="168"/>
      <c r="AG55" s="168"/>
      <c r="AH55" s="168"/>
      <c r="AI55" s="159"/>
      <c r="AJ55" s="159"/>
      <c r="AK55" s="162"/>
      <c r="AL55" s="162"/>
      <c r="AM55" s="167"/>
      <c r="AN55" s="162"/>
      <c r="AO55" s="82"/>
      <c r="AP55" s="82"/>
      <c r="AQ55" s="82"/>
      <c r="AR55" s="82"/>
      <c r="AS55" s="82"/>
      <c r="AU55" s="114"/>
    </row>
    <row r="56" spans="1:47" ht="15.75">
      <c r="A56" s="84" t="s">
        <v>111</v>
      </c>
      <c r="C56" s="164"/>
      <c r="D56" s="107"/>
      <c r="E56" s="108"/>
      <c r="F56" s="109"/>
      <c r="G56" s="107"/>
      <c r="H56" s="108"/>
      <c r="I56" s="109"/>
      <c r="J56" s="107"/>
      <c r="K56" s="108"/>
      <c r="L56" s="109"/>
      <c r="M56" s="109"/>
      <c r="N56" s="107"/>
      <c r="O56" s="108"/>
      <c r="P56" s="109"/>
      <c r="Q56" s="109"/>
      <c r="R56" s="107"/>
      <c r="S56" s="108"/>
      <c r="T56" s="109"/>
      <c r="U56" s="109"/>
      <c r="V56" s="107"/>
      <c r="W56" s="108"/>
      <c r="X56" s="109"/>
      <c r="Y56" s="82"/>
      <c r="Z56" s="162"/>
      <c r="AA56" s="83"/>
      <c r="AB56" s="83"/>
      <c r="AC56" s="82"/>
      <c r="AD56" s="82"/>
      <c r="AE56" s="168"/>
      <c r="AF56" s="168"/>
      <c r="AG56" s="168"/>
      <c r="AH56" s="168"/>
      <c r="AI56" s="159"/>
      <c r="AJ56" s="159"/>
      <c r="AK56" s="162"/>
      <c r="AL56" s="162"/>
      <c r="AM56" s="167"/>
      <c r="AN56" s="162"/>
      <c r="AO56" s="82"/>
      <c r="AP56" s="82"/>
      <c r="AQ56" s="82"/>
      <c r="AR56" s="82"/>
      <c r="AS56" s="82"/>
      <c r="AU56" s="114"/>
    </row>
    <row r="57" spans="1:47" ht="15.75">
      <c r="A57" s="84" t="s">
        <v>112</v>
      </c>
      <c r="C57" s="164">
        <v>1159.66773729581</v>
      </c>
      <c r="D57" s="107">
        <v>12.09</v>
      </c>
      <c r="E57" s="108"/>
      <c r="F57" s="109">
        <f>ROUND(D57*$C57,0)</f>
        <v>14020</v>
      </c>
      <c r="G57" s="107">
        <v>12.09</v>
      </c>
      <c r="H57" s="108"/>
      <c r="I57" s="109">
        <f t="shared" ref="I57:I60" si="17">G57*C57</f>
        <v>14020.382943906343</v>
      </c>
      <c r="J57" s="107">
        <f>$J$19</f>
        <v>12.09</v>
      </c>
      <c r="K57" s="108"/>
      <c r="L57" s="109">
        <f t="shared" ref="L57:L60" si="18">(J57*$C57)</f>
        <v>14020.382943906343</v>
      </c>
      <c r="M57" s="109"/>
      <c r="N57" s="107">
        <f>N19</f>
        <v>7.0919480296098802</v>
      </c>
      <c r="O57" s="108"/>
      <c r="P57" s="109">
        <f t="shared" ref="P57:P60" si="19">(N57*$C57)</f>
        <v>8224.3033245171682</v>
      </c>
      <c r="Q57" s="109"/>
      <c r="R57" s="107">
        <f>R19</f>
        <v>1.0047788052799487</v>
      </c>
      <c r="S57" s="108"/>
      <c r="T57" s="109">
        <f t="shared" ref="T57:T59" si="20">(R57*$C57)</f>
        <v>1165.2095636017852</v>
      </c>
      <c r="U57" s="109"/>
      <c r="V57" s="107">
        <f>V19</f>
        <v>3.9932731651101738</v>
      </c>
      <c r="W57" s="108"/>
      <c r="X57" s="109">
        <f t="shared" ref="X57:X59" si="21">(V57*$C57)</f>
        <v>4630.8700557873926</v>
      </c>
      <c r="Y57" s="82"/>
      <c r="Z57" s="162"/>
      <c r="AA57" s="83"/>
      <c r="AB57" s="83"/>
      <c r="AC57" s="82"/>
      <c r="AD57" s="82"/>
      <c r="AE57" s="168"/>
      <c r="AF57" s="168"/>
      <c r="AG57" s="168"/>
      <c r="AH57" s="168"/>
      <c r="AI57" s="159"/>
      <c r="AJ57" s="159"/>
      <c r="AK57" s="162"/>
      <c r="AL57" s="162"/>
      <c r="AM57" s="167"/>
      <c r="AN57" s="162"/>
      <c r="AO57" s="82"/>
      <c r="AP57" s="82"/>
      <c r="AQ57" s="82"/>
      <c r="AR57" s="82"/>
      <c r="AS57" s="82"/>
      <c r="AU57" s="114"/>
    </row>
    <row r="58" spans="1:47" ht="15.75">
      <c r="A58" s="84" t="s">
        <v>113</v>
      </c>
      <c r="C58" s="164">
        <v>1366.6397787665301</v>
      </c>
      <c r="D58" s="107">
        <v>17.760000000000002</v>
      </c>
      <c r="E58" s="108"/>
      <c r="F58" s="109">
        <f>ROUND(D58*$C58,0)</f>
        <v>24272</v>
      </c>
      <c r="G58" s="107">
        <v>17.760000000000002</v>
      </c>
      <c r="H58" s="108"/>
      <c r="I58" s="109">
        <f t="shared" si="17"/>
        <v>24271.522470893575</v>
      </c>
      <c r="J58" s="107">
        <f>$J$20</f>
        <v>17.760000000000002</v>
      </c>
      <c r="K58" s="108"/>
      <c r="L58" s="109">
        <f t="shared" si="18"/>
        <v>24271.522470893575</v>
      </c>
      <c r="M58" s="109"/>
      <c r="N58" s="107">
        <f>N20</f>
        <v>10.417948470295407</v>
      </c>
      <c r="O58" s="108"/>
      <c r="P58" s="109">
        <f t="shared" si="19"/>
        <v>14237.582792645626</v>
      </c>
      <c r="Q58" s="109"/>
      <c r="R58" s="107">
        <f>R20</f>
        <v>1.4760026122226544</v>
      </c>
      <c r="S58" s="108"/>
      <c r="T58" s="109">
        <f t="shared" si="20"/>
        <v>2017.163883426789</v>
      </c>
      <c r="U58" s="109"/>
      <c r="V58" s="107">
        <f>V20</f>
        <v>5.866048917481943</v>
      </c>
      <c r="W58" s="108"/>
      <c r="X58" s="109">
        <f t="shared" si="21"/>
        <v>8016.7757948211656</v>
      </c>
      <c r="Y58" s="82"/>
      <c r="Z58" s="162"/>
      <c r="AA58" s="83"/>
      <c r="AB58" s="83"/>
      <c r="AC58" s="82"/>
      <c r="AD58" s="82"/>
      <c r="AE58" s="168"/>
      <c r="AF58" s="168"/>
      <c r="AG58" s="168"/>
      <c r="AH58" s="168"/>
      <c r="AI58" s="159"/>
      <c r="AJ58" s="159"/>
      <c r="AK58" s="162"/>
      <c r="AL58" s="162"/>
      <c r="AM58" s="167"/>
      <c r="AN58" s="162"/>
      <c r="AO58" s="82"/>
      <c r="AP58" s="82"/>
      <c r="AQ58" s="82"/>
      <c r="AR58" s="82"/>
      <c r="AS58" s="82"/>
      <c r="AU58" s="114"/>
    </row>
    <row r="59" spans="1:47" ht="15.75">
      <c r="A59" s="84" t="s">
        <v>114</v>
      </c>
      <c r="C59" s="164">
        <v>466.23760141089298</v>
      </c>
      <c r="D59" s="107">
        <v>28.64</v>
      </c>
      <c r="E59" s="108"/>
      <c r="F59" s="109">
        <f>ROUND(D59*$C59,0)</f>
        <v>13353</v>
      </c>
      <c r="G59" s="107">
        <v>28.64</v>
      </c>
      <c r="H59" s="108"/>
      <c r="I59" s="109">
        <f t="shared" si="17"/>
        <v>13353.044904407976</v>
      </c>
      <c r="J59" s="107">
        <f>$J$21</f>
        <v>28.64</v>
      </c>
      <c r="K59" s="108"/>
      <c r="L59" s="109">
        <f t="shared" si="18"/>
        <v>13353.044904407976</v>
      </c>
      <c r="M59" s="109"/>
      <c r="N59" s="107">
        <f>N21</f>
        <v>16.800115100746648</v>
      </c>
      <c r="O59" s="108"/>
      <c r="P59" s="109">
        <f t="shared" si="19"/>
        <v>7832.8453679990398</v>
      </c>
      <c r="Q59" s="109"/>
      <c r="R59" s="107">
        <f>R21</f>
        <v>2.3802204287194155</v>
      </c>
      <c r="S59" s="108"/>
      <c r="T59" s="109">
        <f t="shared" si="20"/>
        <v>1109.7482635153476</v>
      </c>
      <c r="U59" s="109"/>
      <c r="V59" s="107">
        <f>V21</f>
        <v>9.4596644705339443</v>
      </c>
      <c r="W59" s="108"/>
      <c r="X59" s="109">
        <f t="shared" si="21"/>
        <v>4410.4512728935915</v>
      </c>
      <c r="Y59" s="82"/>
      <c r="Z59" s="162"/>
      <c r="AA59" s="83"/>
      <c r="AB59" s="83"/>
      <c r="AC59" s="82"/>
      <c r="AD59" s="82"/>
      <c r="AE59" s="168"/>
      <c r="AF59" s="168"/>
      <c r="AG59" s="168"/>
      <c r="AH59" s="168"/>
      <c r="AI59" s="159"/>
      <c r="AJ59" s="159"/>
      <c r="AK59" s="162"/>
      <c r="AL59" s="162"/>
      <c r="AM59" s="167"/>
      <c r="AN59" s="162"/>
      <c r="AO59" s="82"/>
      <c r="AP59" s="82"/>
      <c r="AQ59" s="82"/>
      <c r="AR59" s="82"/>
      <c r="AS59" s="82"/>
      <c r="AU59" s="114"/>
    </row>
    <row r="60" spans="1:47" ht="15.75">
      <c r="A60" s="84" t="s">
        <v>115</v>
      </c>
      <c r="C60" s="164">
        <v>350.76685864982318</v>
      </c>
      <c r="D60" s="107">
        <v>1</v>
      </c>
      <c r="E60" s="120"/>
      <c r="F60" s="169">
        <f>ROUND(D60*$C60,0)</f>
        <v>351</v>
      </c>
      <c r="G60" s="107">
        <v>1</v>
      </c>
      <c r="H60" s="120"/>
      <c r="I60" s="109">
        <f t="shared" si="17"/>
        <v>350.76685864982318</v>
      </c>
      <c r="J60" s="119">
        <f>$J$22</f>
        <v>1</v>
      </c>
      <c r="K60" s="120"/>
      <c r="L60" s="109">
        <f t="shared" si="18"/>
        <v>350.76685864982318</v>
      </c>
      <c r="M60" s="109"/>
      <c r="N60" s="107">
        <f>N22</f>
        <v>1</v>
      </c>
      <c r="O60" s="120"/>
      <c r="P60" s="109">
        <f t="shared" si="19"/>
        <v>350.76685864982318</v>
      </c>
      <c r="Q60" s="109"/>
      <c r="R60" s="107"/>
      <c r="S60" s="120"/>
      <c r="T60" s="109"/>
      <c r="U60" s="109"/>
      <c r="V60" s="107"/>
      <c r="W60" s="120"/>
      <c r="X60" s="109"/>
      <c r="Y60" s="159"/>
      <c r="Z60" s="162"/>
      <c r="AA60" s="83"/>
      <c r="AB60" s="83"/>
      <c r="AC60" s="82"/>
      <c r="AD60" s="82"/>
      <c r="AE60" s="159"/>
      <c r="AF60" s="159"/>
      <c r="AG60" s="159"/>
      <c r="AH60" s="159"/>
      <c r="AI60" s="159"/>
      <c r="AJ60" s="159"/>
      <c r="AK60" s="162"/>
      <c r="AL60" s="162"/>
      <c r="AM60" s="162"/>
      <c r="AN60" s="162"/>
      <c r="AO60" s="82"/>
      <c r="AP60" s="82"/>
      <c r="AQ60" s="82"/>
      <c r="AR60" s="82"/>
      <c r="AS60" s="82"/>
      <c r="AU60" s="114"/>
    </row>
    <row r="61" spans="1:47" ht="15.75">
      <c r="A61" s="84" t="s">
        <v>117</v>
      </c>
      <c r="C61" s="164">
        <v>16015</v>
      </c>
      <c r="D61" s="107"/>
      <c r="E61" s="108"/>
      <c r="F61" s="109"/>
      <c r="G61" s="107"/>
      <c r="H61" s="108"/>
      <c r="I61" s="109"/>
      <c r="J61" s="107"/>
      <c r="K61" s="108"/>
      <c r="L61" s="109"/>
      <c r="M61" s="109"/>
      <c r="N61" s="107"/>
      <c r="O61" s="108"/>
      <c r="P61" s="109"/>
      <c r="Q61" s="109"/>
      <c r="R61" s="107"/>
      <c r="S61" s="108"/>
      <c r="T61" s="109"/>
      <c r="U61" s="109"/>
      <c r="V61" s="107"/>
      <c r="W61" s="108"/>
      <c r="X61" s="10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71"/>
      <c r="AL61" s="159"/>
      <c r="AM61" s="159"/>
      <c r="AN61" s="159"/>
      <c r="AO61" s="82"/>
      <c r="AP61" s="82"/>
      <c r="AQ61" s="82"/>
      <c r="AR61" s="82"/>
      <c r="AS61" s="82"/>
      <c r="AU61" s="114"/>
    </row>
    <row r="62" spans="1:47" ht="15.75">
      <c r="A62" s="84" t="s">
        <v>118</v>
      </c>
      <c r="C62" s="164">
        <v>2156448</v>
      </c>
      <c r="D62" s="119"/>
      <c r="E62" s="120"/>
      <c r="F62" s="169">
        <f>SUM(F53:F60)</f>
        <v>296786</v>
      </c>
      <c r="G62" s="119"/>
      <c r="H62" s="120"/>
      <c r="I62" s="169">
        <f>SUM(I53:I60)</f>
        <v>296786.00730761874</v>
      </c>
      <c r="J62" s="119"/>
      <c r="K62" s="120"/>
      <c r="L62" s="169">
        <f>SUM(L53:L60)</f>
        <v>296786.00730761874</v>
      </c>
      <c r="M62" s="169"/>
      <c r="N62" s="119"/>
      <c r="O62" s="120"/>
      <c r="P62" s="169">
        <f>SUM(P53:P60)</f>
        <v>174238.55175600268</v>
      </c>
      <c r="Q62" s="169"/>
      <c r="R62" s="119"/>
      <c r="S62" s="120"/>
      <c r="T62" s="169"/>
      <c r="U62" s="169"/>
      <c r="V62" s="119"/>
      <c r="W62" s="120"/>
      <c r="X62" s="169"/>
      <c r="Y62" s="159"/>
      <c r="Z62" s="168"/>
      <c r="AA62" s="159"/>
      <c r="AB62" s="159"/>
      <c r="AC62" s="82"/>
      <c r="AD62" s="82"/>
      <c r="AE62" s="82"/>
      <c r="AF62" s="82"/>
      <c r="AG62" s="82"/>
      <c r="AH62" s="82"/>
      <c r="AI62" s="82"/>
      <c r="AJ62" s="159"/>
      <c r="AK62" s="159"/>
      <c r="AL62" s="159"/>
      <c r="AM62" s="159"/>
      <c r="AN62" s="159"/>
      <c r="AO62" s="82"/>
      <c r="AP62" s="82"/>
      <c r="AQ62" s="82"/>
      <c r="AR62" s="82"/>
      <c r="AS62" s="82"/>
      <c r="AU62" s="114"/>
    </row>
    <row r="63" spans="1:47" ht="15.75">
      <c r="A63" s="84" t="s">
        <v>119</v>
      </c>
      <c r="C63" s="164">
        <v>-6099.8611148977507</v>
      </c>
      <c r="D63" s="119"/>
      <c r="E63" s="120"/>
      <c r="F63" s="169">
        <f>I63</f>
        <v>-734.38073140861252</v>
      </c>
      <c r="G63" s="119"/>
      <c r="H63" s="120"/>
      <c r="I63" s="169">
        <v>-734.38073140861252</v>
      </c>
      <c r="J63" s="119"/>
      <c r="K63" s="120"/>
      <c r="L63" s="169">
        <f>I63</f>
        <v>-734.38073140861252</v>
      </c>
      <c r="M63" s="169"/>
      <c r="N63" s="119"/>
      <c r="O63" s="120"/>
      <c r="P63" s="169">
        <f>P25/L25*L63</f>
        <v>-431.7189020533188</v>
      </c>
      <c r="Q63" s="169"/>
      <c r="R63" s="119"/>
      <c r="S63" s="120"/>
      <c r="T63" s="169">
        <f>T25/L25*L63</f>
        <v>-60.825346755696366</v>
      </c>
      <c r="U63" s="169"/>
      <c r="V63" s="119"/>
      <c r="W63" s="120"/>
      <c r="X63" s="169">
        <f>X25/L25*L63</f>
        <v>-241.83648259959733</v>
      </c>
      <c r="Y63" s="172"/>
      <c r="Z63" s="168"/>
      <c r="AA63" s="159"/>
      <c r="AB63" s="159"/>
      <c r="AC63" s="159"/>
      <c r="AD63" s="159"/>
      <c r="AE63" s="165"/>
      <c r="AF63" s="165"/>
      <c r="AG63" s="165"/>
      <c r="AH63" s="165"/>
      <c r="AI63" s="162"/>
      <c r="AJ63" s="159"/>
      <c r="AK63" s="159"/>
      <c r="AL63" s="159"/>
      <c r="AM63" s="159"/>
      <c r="AN63" s="159"/>
      <c r="AO63" s="82"/>
      <c r="AP63" s="82"/>
      <c r="AQ63" s="82"/>
      <c r="AR63" s="82"/>
      <c r="AS63" s="82"/>
      <c r="AU63" s="114"/>
    </row>
    <row r="64" spans="1:47" ht="16.5" thickBot="1">
      <c r="A64" s="84" t="s">
        <v>3</v>
      </c>
      <c r="C64" s="173">
        <f>C62+C63</f>
        <v>2150348.1388851022</v>
      </c>
      <c r="D64" s="174"/>
      <c r="E64" s="174"/>
      <c r="F64" s="174">
        <f>F62+F63</f>
        <v>296051.6192685914</v>
      </c>
      <c r="G64" s="175"/>
      <c r="H64" s="174"/>
      <c r="I64" s="174">
        <f>I62+I63</f>
        <v>296051.62657621014</v>
      </c>
      <c r="J64" s="175"/>
      <c r="K64" s="174"/>
      <c r="L64" s="174">
        <f>L62+L63</f>
        <v>296051.62657621014</v>
      </c>
      <c r="M64" s="175"/>
      <c r="N64" s="175"/>
      <c r="O64" s="174"/>
      <c r="P64" s="174">
        <f>P62+P63</f>
        <v>173806.83285394937</v>
      </c>
      <c r="Q64" s="175"/>
      <c r="R64" s="175"/>
      <c r="S64" s="174"/>
      <c r="T64" s="174">
        <f>T62+T63</f>
        <v>-60.825346755696366</v>
      </c>
      <c r="U64" s="175"/>
      <c r="V64" s="175"/>
      <c r="W64" s="174"/>
      <c r="X64" s="174">
        <f>X62+X63</f>
        <v>-241.83648259959733</v>
      </c>
      <c r="Y64" s="176"/>
      <c r="Z64" s="177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82"/>
      <c r="AP64" s="82"/>
      <c r="AQ64" s="82"/>
      <c r="AR64" s="82"/>
      <c r="AS64" s="82"/>
      <c r="AU64" s="114"/>
    </row>
    <row r="65" spans="1:47" ht="16.5" thickTop="1">
      <c r="C65" s="152"/>
      <c r="D65" s="153" t="s">
        <v>108</v>
      </c>
      <c r="E65" s="152"/>
      <c r="F65" s="109"/>
      <c r="G65" s="153" t="s">
        <v>108</v>
      </c>
      <c r="H65" s="152"/>
      <c r="I65" s="109"/>
      <c r="J65" s="153" t="s">
        <v>108</v>
      </c>
      <c r="K65" s="152"/>
      <c r="L65" s="109" t="s">
        <v>108</v>
      </c>
      <c r="M65" s="109"/>
      <c r="N65" s="153" t="s">
        <v>108</v>
      </c>
      <c r="O65" s="152"/>
      <c r="P65" s="109" t="s">
        <v>108</v>
      </c>
      <c r="Q65" s="109"/>
      <c r="R65" s="153" t="s">
        <v>108</v>
      </c>
      <c r="S65" s="152"/>
      <c r="T65" s="109" t="s">
        <v>108</v>
      </c>
      <c r="U65" s="109"/>
      <c r="V65" s="153" t="s">
        <v>108</v>
      </c>
      <c r="W65" s="152"/>
      <c r="X65" s="109" t="s">
        <v>108</v>
      </c>
      <c r="Y65" s="82"/>
      <c r="Z65" s="83"/>
      <c r="AA65" s="83"/>
      <c r="AB65" s="83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U65" s="114"/>
    </row>
    <row r="66" spans="1:47" ht="15.75">
      <c r="A66" s="100" t="s">
        <v>104</v>
      </c>
      <c r="C66" s="108"/>
      <c r="D66" s="108"/>
      <c r="E66" s="108"/>
      <c r="F66" s="109"/>
      <c r="G66" s="108"/>
      <c r="H66" s="108"/>
      <c r="I66" s="109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82"/>
      <c r="Z66" s="83"/>
      <c r="AA66" s="83"/>
      <c r="AB66" s="83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U66" s="114"/>
    </row>
    <row r="67" spans="1:47" ht="15.75">
      <c r="A67" s="84" t="s">
        <v>126</v>
      </c>
      <c r="C67" s="108"/>
      <c r="D67" s="108"/>
      <c r="E67" s="108"/>
      <c r="F67" s="109"/>
      <c r="G67" s="108"/>
      <c r="H67" s="108"/>
      <c r="I67" s="109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82"/>
      <c r="AP67" s="82"/>
      <c r="AQ67" s="82"/>
      <c r="AR67" s="82"/>
      <c r="AS67" s="82"/>
      <c r="AU67" s="114"/>
    </row>
    <row r="68" spans="1:47" ht="15.75">
      <c r="C68" s="108"/>
      <c r="D68" s="108"/>
      <c r="E68" s="108"/>
      <c r="F68" s="109"/>
      <c r="G68" s="108"/>
      <c r="H68" s="108"/>
      <c r="I68" s="109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82"/>
      <c r="AP68" s="82"/>
      <c r="AQ68" s="82"/>
      <c r="AR68" s="82"/>
      <c r="AS68" s="82"/>
      <c r="AU68" s="114"/>
    </row>
    <row r="69" spans="1:47" ht="15.75">
      <c r="A69" s="84" t="s">
        <v>106</v>
      </c>
      <c r="C69" s="108"/>
      <c r="D69" s="108"/>
      <c r="E69" s="108"/>
      <c r="F69" s="109"/>
      <c r="G69" s="108"/>
      <c r="H69" s="108"/>
      <c r="I69" s="109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59"/>
      <c r="Z69" s="159"/>
      <c r="AA69" s="83"/>
      <c r="AB69" s="83"/>
      <c r="AC69" s="160"/>
      <c r="AD69" s="160"/>
      <c r="AE69" s="161"/>
      <c r="AF69" s="161"/>
      <c r="AG69" s="161"/>
      <c r="AH69" s="161"/>
      <c r="AI69" s="162"/>
      <c r="AJ69" s="163"/>
      <c r="AK69" s="159"/>
      <c r="AL69" s="159"/>
      <c r="AM69" s="159"/>
      <c r="AN69" s="159"/>
      <c r="AO69" s="82"/>
      <c r="AP69" s="82"/>
      <c r="AQ69" s="82"/>
      <c r="AR69" s="82"/>
      <c r="AS69" s="82"/>
      <c r="AU69" s="114"/>
    </row>
    <row r="70" spans="1:47" ht="15.75">
      <c r="A70" s="84" t="s">
        <v>107</v>
      </c>
      <c r="C70" s="164">
        <v>612.13238583609495</v>
      </c>
      <c r="D70" s="107">
        <v>10.63</v>
      </c>
      <c r="E70" s="108"/>
      <c r="F70" s="109">
        <f>ROUND(D70*$C70,0)</f>
        <v>6507</v>
      </c>
      <c r="G70" s="107">
        <v>10.63</v>
      </c>
      <c r="H70" s="108"/>
      <c r="I70" s="109">
        <f t="shared" ref="I70:I72" si="22">G70*C70</f>
        <v>6506.9672614376896</v>
      </c>
      <c r="J70" s="107">
        <f>$J$15</f>
        <v>10.63</v>
      </c>
      <c r="K70" s="108"/>
      <c r="L70" s="109">
        <f t="shared" ref="L70:L72" si="23">(J70*$C70)</f>
        <v>6506.9672614376896</v>
      </c>
      <c r="M70" s="109"/>
      <c r="N70" s="107">
        <f>N15</f>
        <v>6.235517581038299</v>
      </c>
      <c r="O70" s="108"/>
      <c r="P70" s="109">
        <f t="shared" ref="P70:P72" si="24">(N70*$C70)</f>
        <v>3816.9622538038893</v>
      </c>
      <c r="Q70" s="109"/>
      <c r="R70" s="107">
        <f>R15</f>
        <v>0.88344075269858191</v>
      </c>
      <c r="S70" s="108"/>
      <c r="T70" s="109">
        <f t="shared" ref="T70:T72" si="25">(R70*$C70)</f>
        <v>540.78269569421843</v>
      </c>
      <c r="U70" s="109"/>
      <c r="V70" s="107">
        <f>V15</f>
        <v>3.5110416662631225</v>
      </c>
      <c r="W70" s="108"/>
      <c r="X70" s="109">
        <f t="shared" ref="X70:X72" si="26">(V70*$C70)</f>
        <v>2149.2223119395835</v>
      </c>
      <c r="Y70" s="82"/>
      <c r="Z70" s="162"/>
      <c r="AA70" s="83"/>
      <c r="AB70" s="83"/>
      <c r="AC70" s="159"/>
      <c r="AD70" s="159"/>
      <c r="AE70" s="165"/>
      <c r="AF70" s="165"/>
      <c r="AG70" s="165"/>
      <c r="AH70" s="165"/>
      <c r="AI70" s="166"/>
      <c r="AJ70" s="159"/>
      <c r="AK70" s="162"/>
      <c r="AL70" s="162"/>
      <c r="AM70" s="167"/>
      <c r="AN70" s="162"/>
      <c r="AO70" s="82"/>
      <c r="AP70" s="82"/>
      <c r="AQ70" s="82"/>
      <c r="AR70" s="82"/>
      <c r="AS70" s="82"/>
      <c r="AU70" s="114"/>
    </row>
    <row r="71" spans="1:47" ht="15.75">
      <c r="A71" s="84" t="s">
        <v>109</v>
      </c>
      <c r="C71" s="164">
        <v>407.76913013469601</v>
      </c>
      <c r="D71" s="107">
        <v>20.23</v>
      </c>
      <c r="E71" s="108"/>
      <c r="F71" s="109">
        <f>ROUND(D71*$C71,0)</f>
        <v>8249</v>
      </c>
      <c r="G71" s="107">
        <v>20.23</v>
      </c>
      <c r="H71" s="108"/>
      <c r="I71" s="109">
        <f t="shared" si="22"/>
        <v>8249.1695026248999</v>
      </c>
      <c r="J71" s="107">
        <f>$J$16</f>
        <v>20.23</v>
      </c>
      <c r="K71" s="108"/>
      <c r="L71" s="109">
        <f t="shared" si="23"/>
        <v>8249.1695026248999</v>
      </c>
      <c r="M71" s="109"/>
      <c r="N71" s="107">
        <f>N16</f>
        <v>11.866841078495275</v>
      </c>
      <c r="O71" s="108"/>
      <c r="P71" s="109">
        <f t="shared" si="24"/>
        <v>4838.9314640246967</v>
      </c>
      <c r="Q71" s="109"/>
      <c r="R71" s="107">
        <f>R16</f>
        <v>1.6812800025486652</v>
      </c>
      <c r="S71" s="108"/>
      <c r="T71" s="109">
        <f t="shared" si="25"/>
        <v>685.57408415212865</v>
      </c>
      <c r="U71" s="109"/>
      <c r="V71" s="107">
        <f>V16</f>
        <v>6.6818789189560643</v>
      </c>
      <c r="W71" s="108"/>
      <c r="X71" s="109">
        <f t="shared" si="26"/>
        <v>2724.6639544480772</v>
      </c>
      <c r="Y71" s="82"/>
      <c r="Z71" s="162"/>
      <c r="AA71" s="83"/>
      <c r="AB71" s="83"/>
      <c r="AC71" s="82"/>
      <c r="AD71" s="82"/>
      <c r="AE71" s="168"/>
      <c r="AF71" s="168"/>
      <c r="AG71" s="168"/>
      <c r="AH71" s="168"/>
      <c r="AI71" s="159"/>
      <c r="AJ71" s="159"/>
      <c r="AK71" s="162"/>
      <c r="AL71" s="162"/>
      <c r="AM71" s="167"/>
      <c r="AN71" s="162"/>
      <c r="AO71" s="82"/>
      <c r="AP71" s="82"/>
      <c r="AQ71" s="82"/>
      <c r="AR71" s="82"/>
      <c r="AS71" s="82"/>
      <c r="AU71" s="114"/>
    </row>
    <row r="72" spans="1:47" ht="15.75">
      <c r="A72" s="84" t="s">
        <v>110</v>
      </c>
      <c r="C72" s="164">
        <v>47.999569482334898</v>
      </c>
      <c r="D72" s="107">
        <v>41.86</v>
      </c>
      <c r="E72" s="108"/>
      <c r="F72" s="109">
        <f>ROUND(D72*$C72,0)</f>
        <v>2009</v>
      </c>
      <c r="G72" s="107">
        <v>41.86</v>
      </c>
      <c r="H72" s="108"/>
      <c r="I72" s="109">
        <f t="shared" si="22"/>
        <v>2009.2619785305387</v>
      </c>
      <c r="J72" s="107">
        <f>$J$17</f>
        <v>41.86</v>
      </c>
      <c r="K72" s="108"/>
      <c r="L72" s="109">
        <f t="shared" si="23"/>
        <v>2009.2619785305387</v>
      </c>
      <c r="M72" s="109"/>
      <c r="N72" s="107">
        <f>N17</f>
        <v>24.554916833703025</v>
      </c>
      <c r="O72" s="108"/>
      <c r="P72" s="109">
        <f t="shared" si="24"/>
        <v>1178.6254366922833</v>
      </c>
      <c r="Q72" s="109"/>
      <c r="R72" s="107">
        <f>R17</f>
        <v>3.4789115623671343</v>
      </c>
      <c r="S72" s="108"/>
      <c r="T72" s="109">
        <f t="shared" si="25"/>
        <v>166.98625726073951</v>
      </c>
      <c r="U72" s="109"/>
      <c r="V72" s="107">
        <f>V17</f>
        <v>13.826171603929849</v>
      </c>
      <c r="W72" s="108"/>
      <c r="X72" s="109">
        <f t="shared" si="26"/>
        <v>663.65028457751657</v>
      </c>
      <c r="Y72" s="82"/>
      <c r="Z72" s="162"/>
      <c r="AA72" s="83"/>
      <c r="AB72" s="83"/>
      <c r="AC72" s="82"/>
      <c r="AD72" s="82"/>
      <c r="AE72" s="168"/>
      <c r="AF72" s="168"/>
      <c r="AG72" s="168"/>
      <c r="AH72" s="168"/>
      <c r="AI72" s="159"/>
      <c r="AJ72" s="159"/>
      <c r="AK72" s="162"/>
      <c r="AL72" s="162"/>
      <c r="AM72" s="167"/>
      <c r="AN72" s="162"/>
      <c r="AO72" s="82"/>
      <c r="AP72" s="82"/>
      <c r="AQ72" s="82"/>
      <c r="AR72" s="82"/>
      <c r="AS72" s="82"/>
      <c r="AU72" s="114"/>
    </row>
    <row r="73" spans="1:47" ht="15.75">
      <c r="A73" s="84" t="s">
        <v>111</v>
      </c>
      <c r="C73" s="164"/>
      <c r="D73" s="107"/>
      <c r="E73" s="108"/>
      <c r="F73" s="109"/>
      <c r="G73" s="107"/>
      <c r="H73" s="108"/>
      <c r="I73" s="109"/>
      <c r="J73" s="107"/>
      <c r="K73" s="108"/>
      <c r="L73" s="109"/>
      <c r="M73" s="109"/>
      <c r="N73" s="107"/>
      <c r="O73" s="108"/>
      <c r="P73" s="109"/>
      <c r="Q73" s="109"/>
      <c r="R73" s="107"/>
      <c r="S73" s="108"/>
      <c r="T73" s="109"/>
      <c r="U73" s="109"/>
      <c r="V73" s="107"/>
      <c r="W73" s="108"/>
      <c r="X73" s="109"/>
      <c r="Y73" s="82"/>
      <c r="Z73" s="162"/>
      <c r="AA73" s="83"/>
      <c r="AB73" s="83"/>
      <c r="AC73" s="82"/>
      <c r="AD73" s="82"/>
      <c r="AE73" s="168"/>
      <c r="AF73" s="168"/>
      <c r="AG73" s="168"/>
      <c r="AH73" s="168"/>
      <c r="AI73" s="159"/>
      <c r="AJ73" s="159"/>
      <c r="AK73" s="162"/>
      <c r="AL73" s="162"/>
      <c r="AM73" s="167"/>
      <c r="AN73" s="162"/>
      <c r="AO73" s="82"/>
      <c r="AP73" s="82"/>
      <c r="AQ73" s="82"/>
      <c r="AR73" s="82"/>
      <c r="AS73" s="82"/>
      <c r="AU73" s="114"/>
    </row>
    <row r="74" spans="1:47" ht="15.75">
      <c r="A74" s="84" t="s">
        <v>112</v>
      </c>
      <c r="C74" s="164">
        <v>11.999900155568399</v>
      </c>
      <c r="D74" s="107">
        <v>12.09</v>
      </c>
      <c r="E74" s="108"/>
      <c r="F74" s="109">
        <f>ROUND(D74*$C74,0)</f>
        <v>145</v>
      </c>
      <c r="G74" s="107">
        <v>12.09</v>
      </c>
      <c r="H74" s="108"/>
      <c r="I74" s="109">
        <f t="shared" ref="I74:I77" si="27">G74*C74</f>
        <v>145.07879288082194</v>
      </c>
      <c r="J74" s="107">
        <f>$J$19</f>
        <v>12.09</v>
      </c>
      <c r="K74" s="108"/>
      <c r="L74" s="109">
        <f t="shared" ref="L74:L77" si="28">(J74*$C74)</f>
        <v>145.07879288082194</v>
      </c>
      <c r="M74" s="109"/>
      <c r="N74" s="107">
        <f>N19</f>
        <v>7.0919480296098802</v>
      </c>
      <c r="O74" s="108"/>
      <c r="P74" s="109">
        <f t="shared" ref="P74:P77" si="29">(N74*$C74)</f>
        <v>85.102668263798606</v>
      </c>
      <c r="Q74" s="109"/>
      <c r="R74" s="107">
        <f>R19</f>
        <v>1.0047788052799487</v>
      </c>
      <c r="S74" s="108"/>
      <c r="T74" s="109">
        <f t="shared" ref="T74:T76" si="30">(R74*$C74)</f>
        <v>12.057245341790686</v>
      </c>
      <c r="U74" s="109"/>
      <c r="V74" s="107">
        <f>V19</f>
        <v>3.9932731651101738</v>
      </c>
      <c r="W74" s="108"/>
      <c r="X74" s="109">
        <f t="shared" ref="X74:X76" si="31">(V74*$C74)</f>
        <v>47.91887927523269</v>
      </c>
      <c r="Y74" s="82"/>
      <c r="Z74" s="162"/>
      <c r="AA74" s="83"/>
      <c r="AB74" s="83"/>
      <c r="AC74" s="82"/>
      <c r="AD74" s="82"/>
      <c r="AE74" s="168"/>
      <c r="AF74" s="168"/>
      <c r="AG74" s="168"/>
      <c r="AH74" s="168"/>
      <c r="AI74" s="159"/>
      <c r="AJ74" s="159"/>
      <c r="AK74" s="162"/>
      <c r="AL74" s="162"/>
      <c r="AM74" s="167"/>
      <c r="AN74" s="162"/>
      <c r="AO74" s="82"/>
      <c r="AP74" s="82"/>
      <c r="AQ74" s="82"/>
      <c r="AR74" s="82"/>
      <c r="AS74" s="82"/>
      <c r="AU74" s="114"/>
    </row>
    <row r="75" spans="1:47" ht="15.75">
      <c r="A75" s="84" t="s">
        <v>113</v>
      </c>
      <c r="C75" s="164">
        <v>96.000010505499901</v>
      </c>
      <c r="D75" s="107">
        <v>17.760000000000002</v>
      </c>
      <c r="E75" s="108"/>
      <c r="F75" s="109">
        <f>ROUND(D75*$C75,0)</f>
        <v>1705</v>
      </c>
      <c r="G75" s="107">
        <v>17.760000000000002</v>
      </c>
      <c r="H75" s="108"/>
      <c r="I75" s="109">
        <f t="shared" si="27"/>
        <v>1704.9601865776783</v>
      </c>
      <c r="J75" s="107">
        <f>$J$20</f>
        <v>17.760000000000002</v>
      </c>
      <c r="K75" s="108"/>
      <c r="L75" s="109">
        <f t="shared" si="28"/>
        <v>1704.9601865776783</v>
      </c>
      <c r="M75" s="109"/>
      <c r="N75" s="107">
        <f>N20</f>
        <v>10.417948470295407</v>
      </c>
      <c r="O75" s="108"/>
      <c r="P75" s="109">
        <f t="shared" si="29"/>
        <v>1000.1231625941157</v>
      </c>
      <c r="Q75" s="109"/>
      <c r="R75" s="107">
        <f>R20</f>
        <v>1.4760026122226544</v>
      </c>
      <c r="S75" s="108"/>
      <c r="T75" s="109">
        <f t="shared" si="30"/>
        <v>141.69626627952013</v>
      </c>
      <c r="U75" s="109"/>
      <c r="V75" s="107">
        <f>V20</f>
        <v>5.866048917481943</v>
      </c>
      <c r="W75" s="108"/>
      <c r="X75" s="109">
        <f t="shared" si="31"/>
        <v>563.14075770404281</v>
      </c>
      <c r="Y75" s="82"/>
      <c r="Z75" s="162"/>
      <c r="AA75" s="83"/>
      <c r="AB75" s="83"/>
      <c r="AC75" s="82"/>
      <c r="AD75" s="82"/>
      <c r="AE75" s="168"/>
      <c r="AF75" s="168"/>
      <c r="AG75" s="168"/>
      <c r="AH75" s="168"/>
      <c r="AI75" s="159"/>
      <c r="AJ75" s="159"/>
      <c r="AK75" s="162"/>
      <c r="AL75" s="162"/>
      <c r="AM75" s="167"/>
      <c r="AN75" s="162"/>
      <c r="AO75" s="82"/>
      <c r="AP75" s="82"/>
      <c r="AQ75" s="82"/>
      <c r="AR75" s="82"/>
      <c r="AS75" s="82"/>
      <c r="AU75" s="114"/>
    </row>
    <row r="76" spans="1:47" ht="15.75">
      <c r="A76" s="84" t="s">
        <v>114</v>
      </c>
      <c r="C76" s="164">
        <v>23.999999764143599</v>
      </c>
      <c r="D76" s="107">
        <v>28.64</v>
      </c>
      <c r="E76" s="108"/>
      <c r="F76" s="109">
        <f>ROUND(D76*$C76,0)</f>
        <v>687</v>
      </c>
      <c r="G76" s="107">
        <v>28.64</v>
      </c>
      <c r="H76" s="108"/>
      <c r="I76" s="109">
        <f t="shared" si="27"/>
        <v>687.3599932450727</v>
      </c>
      <c r="J76" s="107">
        <f>$J$21</f>
        <v>28.64</v>
      </c>
      <c r="K76" s="108"/>
      <c r="L76" s="109">
        <f t="shared" si="28"/>
        <v>687.3599932450727</v>
      </c>
      <c r="M76" s="109"/>
      <c r="N76" s="107">
        <f>N21</f>
        <v>16.800115100746648</v>
      </c>
      <c r="O76" s="108"/>
      <c r="P76" s="109">
        <f t="shared" si="29"/>
        <v>403.20275845550486</v>
      </c>
      <c r="Q76" s="109"/>
      <c r="R76" s="107">
        <f>R21</f>
        <v>2.3802204287194155</v>
      </c>
      <c r="S76" s="108"/>
      <c r="T76" s="109">
        <f t="shared" si="30"/>
        <v>57.125289727875746</v>
      </c>
      <c r="U76" s="109"/>
      <c r="V76" s="107">
        <f>V21</f>
        <v>9.4596644705339443</v>
      </c>
      <c r="W76" s="108"/>
      <c r="X76" s="109">
        <f t="shared" si="31"/>
        <v>227.03194506169226</v>
      </c>
      <c r="Y76" s="82"/>
      <c r="Z76" s="162"/>
      <c r="AA76" s="83"/>
      <c r="AB76" s="83"/>
      <c r="AC76" s="82"/>
      <c r="AD76" s="82"/>
      <c r="AE76" s="168"/>
      <c r="AF76" s="168"/>
      <c r="AG76" s="168"/>
      <c r="AH76" s="168"/>
      <c r="AI76" s="159"/>
      <c r="AJ76" s="159"/>
      <c r="AK76" s="162"/>
      <c r="AL76" s="162"/>
      <c r="AM76" s="167"/>
      <c r="AN76" s="162"/>
      <c r="AO76" s="82"/>
      <c r="AP76" s="82"/>
      <c r="AQ76" s="82"/>
      <c r="AR76" s="82"/>
      <c r="AS76" s="82"/>
      <c r="AU76" s="114"/>
    </row>
    <row r="77" spans="1:47" ht="15.75">
      <c r="A77" s="84" t="s">
        <v>115</v>
      </c>
      <c r="C77" s="164">
        <v>132.000000851811</v>
      </c>
      <c r="D77" s="107">
        <v>1</v>
      </c>
      <c r="E77" s="120"/>
      <c r="F77" s="169">
        <f>ROUND(D77*$C77,0)</f>
        <v>132</v>
      </c>
      <c r="G77" s="107">
        <v>1</v>
      </c>
      <c r="H77" s="120"/>
      <c r="I77" s="109">
        <f t="shared" si="27"/>
        <v>132.000000851811</v>
      </c>
      <c r="J77" s="119">
        <f>$J$22</f>
        <v>1</v>
      </c>
      <c r="K77" s="120"/>
      <c r="L77" s="109">
        <f t="shared" si="28"/>
        <v>132.000000851811</v>
      </c>
      <c r="M77" s="109"/>
      <c r="N77" s="107">
        <f>N22</f>
        <v>1</v>
      </c>
      <c r="O77" s="120"/>
      <c r="P77" s="109">
        <f t="shared" si="29"/>
        <v>132.000000851811</v>
      </c>
      <c r="Q77" s="109"/>
      <c r="R77" s="107"/>
      <c r="S77" s="120"/>
      <c r="T77" s="109"/>
      <c r="U77" s="109"/>
      <c r="V77" s="107"/>
      <c r="W77" s="120"/>
      <c r="X77" s="109"/>
      <c r="Y77" s="159"/>
      <c r="Z77" s="162"/>
      <c r="AA77" s="83"/>
      <c r="AB77" s="83"/>
      <c r="AC77" s="82"/>
      <c r="AD77" s="82"/>
      <c r="AE77" s="159"/>
      <c r="AF77" s="159"/>
      <c r="AG77" s="159"/>
      <c r="AH77" s="159"/>
      <c r="AI77" s="159"/>
      <c r="AJ77" s="159"/>
      <c r="AK77" s="162"/>
      <c r="AL77" s="162"/>
      <c r="AM77" s="162"/>
      <c r="AN77" s="162"/>
      <c r="AO77" s="82"/>
      <c r="AP77" s="82"/>
      <c r="AQ77" s="82"/>
      <c r="AR77" s="82"/>
      <c r="AS77" s="82"/>
      <c r="AU77" s="114"/>
    </row>
    <row r="78" spans="1:47" ht="15.75">
      <c r="A78" s="84" t="s">
        <v>117</v>
      </c>
      <c r="C78" s="164">
        <v>673</v>
      </c>
      <c r="D78" s="107"/>
      <c r="E78" s="108"/>
      <c r="F78" s="109"/>
      <c r="G78" s="107"/>
      <c r="H78" s="108"/>
      <c r="I78" s="109"/>
      <c r="J78" s="107"/>
      <c r="K78" s="108"/>
      <c r="L78" s="109"/>
      <c r="M78" s="109"/>
      <c r="N78" s="107"/>
      <c r="O78" s="108"/>
      <c r="P78" s="109"/>
      <c r="Q78" s="109"/>
      <c r="R78" s="107"/>
      <c r="S78" s="108"/>
      <c r="T78" s="109"/>
      <c r="U78" s="109"/>
      <c r="V78" s="107"/>
      <c r="W78" s="108"/>
      <c r="X78" s="10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71"/>
      <c r="AL78" s="159"/>
      <c r="AM78" s="159"/>
      <c r="AN78" s="159"/>
      <c r="AO78" s="82"/>
      <c r="AP78" s="82"/>
      <c r="AQ78" s="82"/>
      <c r="AR78" s="82"/>
      <c r="AS78" s="82"/>
      <c r="AU78" s="114"/>
    </row>
    <row r="79" spans="1:47" ht="15.75">
      <c r="A79" s="84" t="s">
        <v>118</v>
      </c>
      <c r="C79" s="164">
        <v>149372</v>
      </c>
      <c r="D79" s="119"/>
      <c r="E79" s="120"/>
      <c r="F79" s="169">
        <f>SUM(F70:F77)</f>
        <v>19434</v>
      </c>
      <c r="G79" s="119"/>
      <c r="H79" s="120"/>
      <c r="I79" s="169">
        <f>SUM(I70:I77)</f>
        <v>19434.797716148514</v>
      </c>
      <c r="J79" s="119"/>
      <c r="K79" s="120"/>
      <c r="L79" s="169">
        <f>SUM(L70:L77)</f>
        <v>19434.797716148514</v>
      </c>
      <c r="M79" s="169"/>
      <c r="N79" s="119"/>
      <c r="O79" s="120"/>
      <c r="P79" s="169">
        <f>SUM(P70:P77)</f>
        <v>11454.9477446861</v>
      </c>
      <c r="Q79" s="169"/>
      <c r="R79" s="119"/>
      <c r="S79" s="120"/>
      <c r="T79" s="169"/>
      <c r="U79" s="169"/>
      <c r="V79" s="119"/>
      <c r="W79" s="120"/>
      <c r="X79" s="169"/>
      <c r="Y79" s="159"/>
      <c r="Z79" s="168"/>
      <c r="AA79" s="159"/>
      <c r="AB79" s="159"/>
      <c r="AC79" s="82"/>
      <c r="AD79" s="82"/>
      <c r="AE79" s="82"/>
      <c r="AF79" s="82"/>
      <c r="AG79" s="82"/>
      <c r="AH79" s="82"/>
      <c r="AI79" s="82"/>
      <c r="AJ79" s="159"/>
      <c r="AK79" s="159"/>
      <c r="AL79" s="159"/>
      <c r="AM79" s="159"/>
      <c r="AN79" s="159"/>
      <c r="AO79" s="82"/>
      <c r="AP79" s="82"/>
      <c r="AQ79" s="82"/>
      <c r="AR79" s="82"/>
      <c r="AS79" s="82"/>
      <c r="AU79" s="114"/>
    </row>
    <row r="80" spans="1:47" ht="15.75">
      <c r="A80" s="84" t="s">
        <v>119</v>
      </c>
      <c r="C80" s="164">
        <v>-2392.5719773770011</v>
      </c>
      <c r="D80" s="119"/>
      <c r="E80" s="120"/>
      <c r="F80" s="169">
        <f>I80</f>
        <v>-423.90527620202027</v>
      </c>
      <c r="G80" s="119"/>
      <c r="H80" s="120"/>
      <c r="I80" s="169">
        <v>-423.90527620202027</v>
      </c>
      <c r="J80" s="119"/>
      <c r="K80" s="120"/>
      <c r="L80" s="169">
        <f>I80</f>
        <v>-423.90527620202027</v>
      </c>
      <c r="M80" s="169"/>
      <c r="N80" s="119"/>
      <c r="O80" s="120"/>
      <c r="P80" s="169">
        <f>P25/L25*L80</f>
        <v>-249.20032973294158</v>
      </c>
      <c r="Q80" s="169"/>
      <c r="R80" s="119"/>
      <c r="S80" s="120"/>
      <c r="T80" s="169">
        <f>T25/L25*L80</f>
        <v>-35.110106125879135</v>
      </c>
      <c r="U80" s="169"/>
      <c r="V80" s="119"/>
      <c r="W80" s="120"/>
      <c r="X80" s="169">
        <f>X25/L25*L80</f>
        <v>-139.59484034319954</v>
      </c>
      <c r="Y80" s="172"/>
      <c r="Z80" s="168"/>
      <c r="AA80" s="159"/>
      <c r="AB80" s="159"/>
      <c r="AC80" s="159"/>
      <c r="AD80" s="159"/>
      <c r="AE80" s="165"/>
      <c r="AF80" s="165"/>
      <c r="AG80" s="165"/>
      <c r="AH80" s="165"/>
      <c r="AI80" s="162"/>
      <c r="AJ80" s="159"/>
      <c r="AK80" s="159"/>
      <c r="AL80" s="159"/>
      <c r="AM80" s="159"/>
      <c r="AN80" s="159"/>
      <c r="AO80" s="82"/>
      <c r="AP80" s="82"/>
      <c r="AQ80" s="82"/>
      <c r="AR80" s="82"/>
      <c r="AS80" s="82"/>
      <c r="AU80" s="114"/>
    </row>
    <row r="81" spans="1:47" ht="16.5" thickBot="1">
      <c r="A81" s="84" t="s">
        <v>3</v>
      </c>
      <c r="C81" s="173">
        <f>C79+C80</f>
        <v>146979.428022623</v>
      </c>
      <c r="D81" s="174"/>
      <c r="E81" s="174"/>
      <c r="F81" s="174">
        <f>F79+F80</f>
        <v>19010.094723797978</v>
      </c>
      <c r="G81" s="175"/>
      <c r="H81" s="174"/>
      <c r="I81" s="174">
        <f>I79+I80</f>
        <v>19010.892439946492</v>
      </c>
      <c r="J81" s="175"/>
      <c r="K81" s="174"/>
      <c r="L81" s="174">
        <f>L79+L80</f>
        <v>19010.892439946492</v>
      </c>
      <c r="M81" s="175"/>
      <c r="N81" s="175"/>
      <c r="O81" s="174"/>
      <c r="P81" s="174">
        <f>P79+P80</f>
        <v>11205.747414953159</v>
      </c>
      <c r="Q81" s="175"/>
      <c r="R81" s="175"/>
      <c r="S81" s="174"/>
      <c r="T81" s="174">
        <f>T79+T80</f>
        <v>-35.110106125879135</v>
      </c>
      <c r="U81" s="175"/>
      <c r="V81" s="175"/>
      <c r="W81" s="174"/>
      <c r="X81" s="174">
        <f>X79+X80</f>
        <v>-139.59484034319954</v>
      </c>
      <c r="Y81" s="176"/>
      <c r="Z81" s="177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82"/>
      <c r="AP81" s="82"/>
      <c r="AQ81" s="82"/>
      <c r="AR81" s="82"/>
      <c r="AS81" s="82"/>
      <c r="AU81" s="114"/>
    </row>
    <row r="82" spans="1:47" ht="16.5" thickTop="1">
      <c r="C82" s="152"/>
      <c r="D82" s="153" t="s">
        <v>108</v>
      </c>
      <c r="E82" s="152"/>
      <c r="F82" s="109"/>
      <c r="G82" s="153" t="s">
        <v>108</v>
      </c>
      <c r="H82" s="152"/>
      <c r="I82" s="109"/>
      <c r="J82" s="153" t="s">
        <v>108</v>
      </c>
      <c r="K82" s="152"/>
      <c r="L82" s="109" t="s">
        <v>108</v>
      </c>
      <c r="M82" s="109"/>
      <c r="N82" s="153" t="s">
        <v>108</v>
      </c>
      <c r="O82" s="152"/>
      <c r="P82" s="109" t="s">
        <v>108</v>
      </c>
      <c r="Q82" s="109"/>
      <c r="R82" s="153" t="s">
        <v>108</v>
      </c>
      <c r="S82" s="152"/>
      <c r="T82" s="109" t="s">
        <v>108</v>
      </c>
      <c r="U82" s="109"/>
      <c r="V82" s="153" t="s">
        <v>108</v>
      </c>
      <c r="W82" s="152"/>
      <c r="X82" s="109" t="s">
        <v>108</v>
      </c>
      <c r="Y82" s="82"/>
      <c r="Z82" s="83"/>
      <c r="AA82" s="83"/>
      <c r="AB82" s="83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U82" s="114"/>
    </row>
    <row r="83" spans="1:47" ht="15.75">
      <c r="A83" s="178" t="s">
        <v>127</v>
      </c>
      <c r="B83" s="179"/>
      <c r="C83" s="153"/>
      <c r="D83" s="152"/>
      <c r="E83" s="152"/>
      <c r="F83" s="153"/>
      <c r="G83" s="152"/>
      <c r="H83" s="153"/>
      <c r="I83" s="153"/>
      <c r="J83" s="152"/>
      <c r="K83" s="153"/>
      <c r="L83" s="153"/>
      <c r="M83" s="153"/>
      <c r="N83" s="152"/>
      <c r="O83" s="153"/>
      <c r="P83" s="153"/>
      <c r="Q83" s="153"/>
      <c r="R83" s="152"/>
      <c r="S83" s="153"/>
      <c r="T83" s="153"/>
      <c r="U83" s="153"/>
      <c r="V83" s="152"/>
      <c r="W83" s="153"/>
      <c r="X83" s="153"/>
      <c r="Y83" s="82"/>
      <c r="Z83" s="83"/>
      <c r="AA83" s="83"/>
      <c r="AB83" s="83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U83" s="114"/>
    </row>
    <row r="84" spans="1:47" ht="15.75">
      <c r="A84" s="179" t="s">
        <v>128</v>
      </c>
      <c r="B84" s="179"/>
      <c r="C84" s="153"/>
      <c r="D84" s="152"/>
      <c r="E84" s="152"/>
      <c r="F84" s="153"/>
      <c r="G84" s="152"/>
      <c r="H84" s="153"/>
      <c r="I84" s="153"/>
      <c r="J84" s="152"/>
      <c r="K84" s="153"/>
      <c r="L84" s="153"/>
      <c r="M84" s="153"/>
      <c r="N84" s="152"/>
      <c r="O84" s="153"/>
      <c r="P84" s="180"/>
      <c r="Q84" s="153"/>
      <c r="R84" s="152"/>
      <c r="S84" s="153"/>
      <c r="T84" s="153"/>
      <c r="U84" s="153"/>
      <c r="V84" s="152"/>
      <c r="W84" s="153"/>
      <c r="X84" s="181"/>
      <c r="Y84" s="182"/>
      <c r="Z84" s="83"/>
      <c r="AA84" s="102"/>
      <c r="AB84" s="83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U84" s="114"/>
    </row>
    <row r="85" spans="1:47" ht="15.75">
      <c r="A85" s="183"/>
      <c r="B85" s="179"/>
      <c r="C85" s="153"/>
      <c r="D85" s="152"/>
      <c r="E85" s="152"/>
      <c r="F85" s="153"/>
      <c r="G85" s="152"/>
      <c r="H85" s="153"/>
      <c r="I85" s="153"/>
      <c r="J85" s="152"/>
      <c r="K85" s="153"/>
      <c r="L85" s="153"/>
      <c r="M85" s="153"/>
      <c r="N85" s="152"/>
      <c r="O85" s="153"/>
      <c r="P85" s="153"/>
      <c r="Q85" s="153"/>
      <c r="R85" s="152"/>
      <c r="S85" s="153"/>
      <c r="T85" s="153"/>
      <c r="U85" s="153"/>
      <c r="V85" s="152"/>
      <c r="W85" s="153"/>
      <c r="X85" s="184"/>
      <c r="Y85" s="82"/>
      <c r="Z85" s="83"/>
      <c r="AA85" s="467"/>
      <c r="AB85" s="185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U85" s="114"/>
    </row>
    <row r="86" spans="1:47" ht="15.75">
      <c r="A86" s="179" t="s">
        <v>129</v>
      </c>
      <c r="B86" s="179"/>
      <c r="C86" s="152">
        <f>C102+C116+C130+C144</f>
        <v>1254495.1973118281</v>
      </c>
      <c r="D86" s="186">
        <v>6</v>
      </c>
      <c r="E86" s="153"/>
      <c r="F86" s="109">
        <f>F102+F116+F130+F144</f>
        <v>7526971</v>
      </c>
      <c r="G86" s="186">
        <v>7.75</v>
      </c>
      <c r="H86" s="153"/>
      <c r="I86" s="109">
        <f>I102+I116+I130+I144</f>
        <v>9722338</v>
      </c>
      <c r="J86" s="186">
        <v>13</v>
      </c>
      <c r="K86" s="153"/>
      <c r="L86" s="109">
        <f>L102+L116+L130+L144</f>
        <v>16308438</v>
      </c>
      <c r="M86" s="109"/>
      <c r="N86" s="186">
        <v>13</v>
      </c>
      <c r="O86" s="153"/>
      <c r="P86" s="109">
        <f>P102+P116+P130+P144</f>
        <v>16308437.565053768</v>
      </c>
      <c r="Q86" s="109"/>
      <c r="R86" s="186" t="s">
        <v>108</v>
      </c>
      <c r="S86" s="153"/>
      <c r="T86" s="109"/>
      <c r="U86" s="109"/>
      <c r="V86" s="186"/>
      <c r="W86" s="153"/>
      <c r="X86" s="109"/>
      <c r="AB86" s="146"/>
      <c r="AC86" s="187"/>
      <c r="AN86" s="82"/>
      <c r="AO86" s="82"/>
      <c r="AP86" s="82"/>
      <c r="AQ86" s="82"/>
      <c r="AR86" s="82"/>
      <c r="AS86" s="82"/>
      <c r="AU86" s="114"/>
    </row>
    <row r="87" spans="1:47" ht="15.75">
      <c r="A87" s="179" t="s">
        <v>139</v>
      </c>
      <c r="B87" s="179"/>
      <c r="C87" s="152">
        <f>C103+C117+C131+C145</f>
        <v>851679450</v>
      </c>
      <c r="D87" s="188">
        <v>5.9489999999999998</v>
      </c>
      <c r="E87" s="153" t="s">
        <v>116</v>
      </c>
      <c r="F87" s="109">
        <f>F103+F117+F131+F145</f>
        <v>50666410</v>
      </c>
      <c r="G87" s="188">
        <v>6.1989999999999998</v>
      </c>
      <c r="H87" s="153" t="s">
        <v>116</v>
      </c>
      <c r="I87" s="109">
        <f>I103+I117+I131+I145</f>
        <v>60499050</v>
      </c>
      <c r="J87" s="188">
        <f>J103</f>
        <v>6.4719999999999995</v>
      </c>
      <c r="K87" s="153" t="s">
        <v>116</v>
      </c>
      <c r="L87" s="109">
        <f>L103+L117+L131+L145</f>
        <v>55120694</v>
      </c>
      <c r="M87" s="109"/>
      <c r="N87" s="188">
        <f>N103</f>
        <v>2.2329599999999998</v>
      </c>
      <c r="O87" s="153" t="s">
        <v>116</v>
      </c>
      <c r="P87" s="109">
        <f>N87*C87/100</f>
        <v>19017661.44672</v>
      </c>
      <c r="Q87" s="153" t="s">
        <v>108</v>
      </c>
      <c r="R87" s="188">
        <f>R103</f>
        <v>2.6255999999999999</v>
      </c>
      <c r="S87" s="153" t="s">
        <v>116</v>
      </c>
      <c r="T87" s="109">
        <f>R87*C87/100</f>
        <v>22361695.639200002</v>
      </c>
      <c r="U87" s="109"/>
      <c r="V87" s="188">
        <f>V103</f>
        <v>1.6137599999999999</v>
      </c>
      <c r="W87" s="153" t="s">
        <v>116</v>
      </c>
      <c r="X87" s="109">
        <f>V87*C87/100</f>
        <v>13744062.292319998</v>
      </c>
      <c r="Y87" s="471"/>
      <c r="Z87" s="189"/>
      <c r="AA87" s="146"/>
      <c r="AB87" s="146"/>
      <c r="AC87" s="190"/>
      <c r="AD87" s="190"/>
      <c r="AE87" s="190"/>
      <c r="AG87" s="114"/>
      <c r="AH87" s="114"/>
      <c r="AI87" s="190"/>
      <c r="AN87" s="82"/>
      <c r="AO87" s="82"/>
      <c r="AP87" s="82"/>
      <c r="AQ87" s="82"/>
      <c r="AR87" s="82"/>
      <c r="AS87" s="82"/>
      <c r="AU87" s="114"/>
    </row>
    <row r="88" spans="1:47" ht="15.75">
      <c r="A88" s="179" t="s">
        <v>140</v>
      </c>
      <c r="B88" s="179"/>
      <c r="C88" s="152">
        <f t="shared" ref="C88:C89" si="32">C104+C118+C132+C146</f>
        <v>461007328</v>
      </c>
      <c r="D88" s="188"/>
      <c r="E88" s="153"/>
      <c r="F88" s="109"/>
      <c r="G88" s="188">
        <f>(0.75*6.199)+(0.25*G89)</f>
        <v>7.1035000000000004</v>
      </c>
      <c r="H88" s="153" t="s">
        <v>116</v>
      </c>
      <c r="I88" s="109">
        <f t="shared" ref="I88:I89" si="33">I104+I118+I132+I146</f>
        <v>45257089</v>
      </c>
      <c r="J88" s="188">
        <f>J104</f>
        <v>9.17</v>
      </c>
      <c r="K88" s="153"/>
      <c r="L88" s="109">
        <f t="shared" ref="L88:L89" si="34">L104+L118+L132+L146</f>
        <v>42274372</v>
      </c>
      <c r="M88" s="109"/>
      <c r="N88" s="188"/>
      <c r="O88" s="153"/>
      <c r="P88" s="109"/>
      <c r="Q88" s="153"/>
      <c r="R88" s="188"/>
      <c r="S88" s="153"/>
      <c r="T88" s="109"/>
      <c r="U88" s="109"/>
      <c r="V88" s="188">
        <f>V104</f>
        <v>9.1699200000000012</v>
      </c>
      <c r="W88" s="153" t="s">
        <v>116</v>
      </c>
      <c r="X88" s="109">
        <f>(V88*C88)/100</f>
        <v>42274003.171737604</v>
      </c>
      <c r="Z88" s="189"/>
      <c r="AA88" s="146"/>
      <c r="AB88" s="146"/>
      <c r="AC88" s="190"/>
      <c r="AD88" s="190"/>
      <c r="AE88" s="190"/>
      <c r="AG88" s="114"/>
      <c r="AH88" s="114"/>
      <c r="AI88" s="190"/>
      <c r="AN88" s="82"/>
      <c r="AO88" s="82"/>
      <c r="AP88" s="82"/>
      <c r="AQ88" s="82"/>
      <c r="AR88" s="82"/>
      <c r="AS88" s="82"/>
      <c r="AU88" s="114"/>
    </row>
    <row r="89" spans="1:47" ht="15.75">
      <c r="A89" s="179" t="s">
        <v>130</v>
      </c>
      <c r="B89" s="179"/>
      <c r="C89" s="152">
        <f t="shared" si="32"/>
        <v>264468255</v>
      </c>
      <c r="D89" s="188">
        <v>9.4159999999999986</v>
      </c>
      <c r="E89" s="153" t="s">
        <v>116</v>
      </c>
      <c r="F89" s="109">
        <f>F105+F119+F133+F147</f>
        <v>24902331</v>
      </c>
      <c r="G89" s="188">
        <v>9.8170000000000002</v>
      </c>
      <c r="H89" s="153" t="s">
        <v>116</v>
      </c>
      <c r="I89" s="109">
        <f t="shared" si="33"/>
        <v>25962848</v>
      </c>
      <c r="J89" s="188">
        <f>J105</f>
        <v>11.996</v>
      </c>
      <c r="K89" s="153" t="s">
        <v>116</v>
      </c>
      <c r="L89" s="109">
        <f t="shared" si="34"/>
        <v>31725612</v>
      </c>
      <c r="M89" s="109"/>
      <c r="N89" s="188"/>
      <c r="O89" s="153"/>
      <c r="P89" s="109"/>
      <c r="Q89" s="153"/>
      <c r="R89" s="188"/>
      <c r="S89" s="153"/>
      <c r="T89" s="109"/>
      <c r="U89" s="109"/>
      <c r="V89" s="188">
        <f>V105</f>
        <v>11.996</v>
      </c>
      <c r="W89" s="153" t="s">
        <v>116</v>
      </c>
      <c r="X89" s="109">
        <f>V89*C89/100</f>
        <v>31725611.869800001</v>
      </c>
      <c r="Y89" s="191"/>
      <c r="AA89" s="146"/>
      <c r="AB89" s="146"/>
      <c r="AC89" s="190"/>
      <c r="AD89" s="190"/>
      <c r="AE89" s="190"/>
      <c r="AG89" s="192"/>
      <c r="AH89" s="192"/>
      <c r="AI89" s="190"/>
      <c r="AN89" s="82"/>
      <c r="AO89" s="82"/>
      <c r="AP89" s="82"/>
      <c r="AQ89" s="82"/>
      <c r="AR89" s="82"/>
      <c r="AS89" s="82"/>
      <c r="AU89" s="114"/>
    </row>
    <row r="90" spans="1:47" ht="15.75">
      <c r="A90" s="179" t="s">
        <v>131</v>
      </c>
      <c r="B90" s="179"/>
      <c r="C90" s="152">
        <f>C106+C120+C134+C148</f>
        <v>5446</v>
      </c>
      <c r="D90" s="186">
        <v>1.65</v>
      </c>
      <c r="E90" s="153"/>
      <c r="F90" s="109">
        <f>F106+F120+F134+F148</f>
        <v>8985</v>
      </c>
      <c r="G90" s="186">
        <v>1.65</v>
      </c>
      <c r="H90" s="153"/>
      <c r="I90" s="109">
        <f>I106+I120+I134+I148</f>
        <v>8985</v>
      </c>
      <c r="J90" s="186">
        <f>G90*(1+AA95)</f>
        <v>1.7126999999999999</v>
      </c>
      <c r="K90" s="153"/>
      <c r="L90" s="109">
        <f>L106+L120+L134+L148</f>
        <v>9327</v>
      </c>
      <c r="M90" s="109"/>
      <c r="N90" s="186"/>
      <c r="O90" s="153"/>
      <c r="P90" s="109"/>
      <c r="Q90" s="109"/>
      <c r="R90" s="186"/>
      <c r="S90" s="153"/>
      <c r="T90" s="109"/>
      <c r="U90" s="109"/>
      <c r="V90" s="230">
        <f>J90</f>
        <v>1.7126999999999999</v>
      </c>
      <c r="W90" s="153"/>
      <c r="X90" s="109">
        <f>V90*C90</f>
        <v>9327.3642</v>
      </c>
      <c r="AA90" s="146"/>
      <c r="AB90" s="146"/>
      <c r="AC90" s="88"/>
      <c r="AG90" s="114"/>
      <c r="AH90" s="114"/>
      <c r="AI90" s="190"/>
      <c r="AN90" s="82"/>
      <c r="AO90" s="82"/>
      <c r="AP90" s="82"/>
      <c r="AQ90" s="82"/>
      <c r="AR90" s="82"/>
      <c r="AS90" s="82"/>
      <c r="AU90" s="114"/>
    </row>
    <row r="91" spans="1:47" ht="15.75">
      <c r="A91" s="193" t="s">
        <v>132</v>
      </c>
      <c r="B91" s="193"/>
      <c r="C91" s="152">
        <f>C107+C121+C135+C149</f>
        <v>723</v>
      </c>
      <c r="D91" s="186">
        <v>3.2</v>
      </c>
      <c r="E91" s="108"/>
      <c r="F91" s="109">
        <f>F107+F121+F135+F149</f>
        <v>2313</v>
      </c>
      <c r="G91" s="186">
        <v>3.2</v>
      </c>
      <c r="H91" s="108"/>
      <c r="I91" s="109">
        <f>I107+I121+I135+I149</f>
        <v>2313</v>
      </c>
      <c r="J91" s="186">
        <f>G91*(1+AA95)</f>
        <v>3.3216000000000001</v>
      </c>
      <c r="K91" s="108"/>
      <c r="L91" s="109">
        <f>L107+L121+L135+L149</f>
        <v>2401</v>
      </c>
      <c r="M91" s="109"/>
      <c r="N91" s="186"/>
      <c r="O91" s="108"/>
      <c r="P91" s="109"/>
      <c r="Q91" s="109"/>
      <c r="R91" s="186"/>
      <c r="S91" s="108"/>
      <c r="T91" s="109"/>
      <c r="U91" s="109"/>
      <c r="V91" s="186">
        <f>J91</f>
        <v>3.3216000000000001</v>
      </c>
      <c r="W91" s="108"/>
      <c r="X91" s="109">
        <f>V91*C91</f>
        <v>2401.5167999999999</v>
      </c>
      <c r="AB91" s="146"/>
      <c r="AC91" s="88"/>
      <c r="AN91" s="82"/>
      <c r="AO91" s="82"/>
      <c r="AP91" s="82"/>
      <c r="AQ91" s="82"/>
      <c r="AR91" s="82"/>
      <c r="AS91" s="82"/>
      <c r="AU91" s="114"/>
    </row>
    <row r="92" spans="1:47" ht="15.75">
      <c r="A92" s="193" t="s">
        <v>133</v>
      </c>
      <c r="B92" s="193"/>
      <c r="C92" s="152">
        <f>C108+C122+C136+C150</f>
        <v>70</v>
      </c>
      <c r="D92" s="186">
        <v>-1.65</v>
      </c>
      <c r="E92" s="108"/>
      <c r="F92" s="109">
        <f>F108+F122+F136+F150</f>
        <v>-116</v>
      </c>
      <c r="G92" s="186">
        <v>-1.65</v>
      </c>
      <c r="H92" s="108"/>
      <c r="I92" s="109">
        <f>I108+I122+I136+I150</f>
        <v>-116</v>
      </c>
      <c r="J92" s="186">
        <f>-J90</f>
        <v>-1.7126999999999999</v>
      </c>
      <c r="K92" s="108"/>
      <c r="L92" s="109">
        <f>L108+L122+L136+L150</f>
        <v>-120</v>
      </c>
      <c r="M92" s="109"/>
      <c r="N92" s="186"/>
      <c r="O92" s="108"/>
      <c r="P92" s="109"/>
      <c r="Q92" s="109"/>
      <c r="R92" s="186"/>
      <c r="S92" s="108"/>
      <c r="T92" s="109"/>
      <c r="U92" s="109"/>
      <c r="V92" s="186">
        <f>J92</f>
        <v>-1.7126999999999999</v>
      </c>
      <c r="W92" s="108"/>
      <c r="X92" s="109">
        <f>V92*C92</f>
        <v>-119.889</v>
      </c>
      <c r="AB92" s="146"/>
      <c r="AC92" s="88"/>
      <c r="AN92" s="82"/>
      <c r="AO92" s="82"/>
      <c r="AP92" s="82"/>
      <c r="AQ92" s="82"/>
      <c r="AR92" s="82"/>
      <c r="AS92" s="82"/>
      <c r="AU92" s="114"/>
    </row>
    <row r="93" spans="1:47" ht="15.75">
      <c r="A93" s="179" t="s">
        <v>134</v>
      </c>
      <c r="B93" s="194"/>
      <c r="C93" s="152">
        <f>C109+C123+C137+C151</f>
        <v>1577155033</v>
      </c>
      <c r="D93" s="195"/>
      <c r="E93" s="109"/>
      <c r="F93" s="109">
        <f>F109+F123+F137+F151</f>
        <v>83106894</v>
      </c>
      <c r="G93" s="195"/>
      <c r="H93" s="109"/>
      <c r="I93" s="109">
        <f>I109+I123+I137+I151</f>
        <v>141452507</v>
      </c>
      <c r="J93" s="109"/>
      <c r="K93" s="109"/>
      <c r="L93" s="109">
        <f>L109+L123+L137+L151</f>
        <v>145440724</v>
      </c>
      <c r="M93" s="109"/>
      <c r="N93" s="109"/>
      <c r="O93" s="109"/>
      <c r="P93" s="109">
        <f>SUM(P86:P92)</f>
        <v>35326099.011773765</v>
      </c>
      <c r="Q93" s="109"/>
      <c r="R93" s="109"/>
      <c r="S93" s="109"/>
      <c r="T93" s="109">
        <f>SUM(T86:T92)</f>
        <v>22361695.639200002</v>
      </c>
      <c r="U93" s="109"/>
      <c r="V93" s="109"/>
      <c r="W93" s="109"/>
      <c r="X93" s="109">
        <f>SUM(X86:X92)</f>
        <v>87755286.325857595</v>
      </c>
      <c r="Z93" s="472"/>
      <c r="AN93" s="82"/>
      <c r="AO93" s="82"/>
      <c r="AP93" s="82"/>
      <c r="AQ93" s="82"/>
      <c r="AR93" s="82"/>
      <c r="AS93" s="82"/>
      <c r="AU93" s="114"/>
    </row>
    <row r="94" spans="1:47" ht="15.75">
      <c r="A94" s="179" t="s">
        <v>119</v>
      </c>
      <c r="B94" s="196"/>
      <c r="C94" s="197">
        <f>C110+C124+C138+C152</f>
        <v>-5866444.8608882269</v>
      </c>
      <c r="D94" s="153"/>
      <c r="E94" s="153"/>
      <c r="F94" s="198">
        <f>I94</f>
        <v>-279067.18391184526</v>
      </c>
      <c r="G94" s="153"/>
      <c r="H94" s="153"/>
      <c r="I94" s="197">
        <f>I110+I124+I138+I152</f>
        <v>-279067.18391184526</v>
      </c>
      <c r="J94" s="153"/>
      <c r="K94" s="153"/>
      <c r="L94" s="198">
        <f>I94</f>
        <v>-279067.18391184526</v>
      </c>
      <c r="M94" s="169"/>
      <c r="N94" s="153"/>
      <c r="O94" s="153"/>
      <c r="P94" s="198">
        <f>L94*(Unbundled!H21+Unbundled!I21+Unbundled!J21)</f>
        <v>-72123.448873122281</v>
      </c>
      <c r="Q94" s="169"/>
      <c r="R94" s="153"/>
      <c r="S94" s="153"/>
      <c r="T94" s="198">
        <f>L94*Unbundled!G21</f>
        <v>-42704.350021912323</v>
      </c>
      <c r="U94" s="169"/>
      <c r="V94" s="153"/>
      <c r="W94" s="153"/>
      <c r="X94" s="198">
        <f>L94*Unbundled!F21</f>
        <v>-164239.38501681064</v>
      </c>
      <c r="Y94" s="114"/>
      <c r="Z94" s="88">
        <f>P96+T96+X96</f>
        <v>0</v>
      </c>
      <c r="AN94" s="82"/>
      <c r="AO94" s="82"/>
      <c r="AP94" s="82"/>
      <c r="AQ94" s="82"/>
      <c r="AR94" s="82"/>
      <c r="AS94" s="82"/>
      <c r="AU94" s="114"/>
    </row>
    <row r="95" spans="1:47" ht="16.5" thickBot="1">
      <c r="A95" s="179" t="s">
        <v>135</v>
      </c>
      <c r="B95" s="179"/>
      <c r="C95" s="199">
        <f>C93+C94</f>
        <v>1571288588.1391118</v>
      </c>
      <c r="D95" s="142"/>
      <c r="E95" s="142"/>
      <c r="F95" s="142">
        <f>F93+F94</f>
        <v>82827826.816088155</v>
      </c>
      <c r="G95" s="142"/>
      <c r="H95" s="142"/>
      <c r="I95" s="142">
        <f>I93+I94</f>
        <v>141173439.81608814</v>
      </c>
      <c r="J95" s="142"/>
      <c r="K95" s="142"/>
      <c r="L95" s="142">
        <f>L93+L94</f>
        <v>145161656.81608814</v>
      </c>
      <c r="M95" s="142"/>
      <c r="N95" s="142"/>
      <c r="O95" s="142"/>
      <c r="P95" s="142">
        <f>P93+P94</f>
        <v>35253975.56290064</v>
      </c>
      <c r="Q95" s="142"/>
      <c r="R95" s="142"/>
      <c r="S95" s="142"/>
      <c r="T95" s="142">
        <f>T93+T94</f>
        <v>22318991.289178088</v>
      </c>
      <c r="U95" s="142"/>
      <c r="V95" s="142"/>
      <c r="W95" s="142"/>
      <c r="X95" s="142">
        <f>X93+X94</f>
        <v>87591046.940840781</v>
      </c>
      <c r="Y95" s="143" t="s">
        <v>120</v>
      </c>
      <c r="Z95" s="200">
        <f>'Residential Rate Worksheet'!P4</f>
        <v>145160675.93982399</v>
      </c>
      <c r="AA95" s="145">
        <v>3.7999999999999999E-2</v>
      </c>
      <c r="AB95" s="102"/>
      <c r="AC95" s="429">
        <f>P95+T95+X95</f>
        <v>145164013.79291952</v>
      </c>
      <c r="AD95" s="121" t="s">
        <v>108</v>
      </c>
      <c r="AN95" s="82"/>
      <c r="AO95" s="82"/>
      <c r="AP95" s="82"/>
      <c r="AQ95" s="82"/>
      <c r="AR95" s="82"/>
      <c r="AS95" s="82"/>
      <c r="AU95" s="114"/>
    </row>
    <row r="96" spans="1:47" ht="16.5" thickTop="1">
      <c r="A96" s="179"/>
      <c r="B96" s="179"/>
      <c r="C96" s="148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54" t="s">
        <v>122</v>
      </c>
      <c r="Z96" s="201">
        <f>Z95-L95</f>
        <v>-980.87626415491104</v>
      </c>
      <c r="AA96" s="156"/>
      <c r="AB96" s="102"/>
      <c r="AC96" s="121"/>
      <c r="AD96" s="121"/>
      <c r="AN96" s="82"/>
      <c r="AO96" s="82"/>
      <c r="AP96" s="82"/>
      <c r="AQ96" s="82"/>
      <c r="AR96" s="82"/>
      <c r="AS96" s="82"/>
      <c r="AU96" s="114"/>
    </row>
    <row r="97" spans="1:47" ht="15.75">
      <c r="A97" s="179"/>
      <c r="B97" s="179"/>
      <c r="C97" s="148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202">
        <f>'[2]Exhibit No.__(JRS-6) p11'!J33+'[2]Exhibit No.__(JRS-6) p11'!K33+'[2]Exhibit No.__(JRS-6) p11'!L33</f>
        <v>0.25354057682390091</v>
      </c>
      <c r="Z97" s="103">
        <f>'[2]Exhibit No.__(JRS-6) p11'!I33</f>
        <v>0.15070248606912753</v>
      </c>
      <c r="AA97" s="203">
        <f>'[2]Exhibit No.__(JRS-6) p11'!H33</f>
        <v>0.59575693710697164</v>
      </c>
      <c r="AB97" s="102"/>
      <c r="AC97" s="121"/>
      <c r="AD97" s="121"/>
      <c r="AN97" s="82"/>
      <c r="AO97" s="82"/>
      <c r="AP97" s="82"/>
      <c r="AQ97" s="82"/>
      <c r="AR97" s="82"/>
      <c r="AS97" s="82"/>
      <c r="AU97" s="114"/>
    </row>
    <row r="98" spans="1:47" ht="15.75">
      <c r="A98" s="179"/>
      <c r="B98" s="204"/>
      <c r="C98" s="205"/>
      <c r="D98" s="179" t="s">
        <v>108</v>
      </c>
      <c r="E98" s="205"/>
      <c r="G98" s="179" t="s">
        <v>108</v>
      </c>
      <c r="H98" s="179"/>
      <c r="J98" s="206"/>
      <c r="K98" s="179"/>
      <c r="L98" s="106"/>
      <c r="M98" s="106"/>
      <c r="N98" s="179" t="s">
        <v>108</v>
      </c>
      <c r="O98" s="179"/>
      <c r="Y98" s="131">
        <f>Y97*$L$95</f>
        <v>36804370.201864131</v>
      </c>
      <c r="Z98" s="131">
        <f t="shared" ref="Z98:AA98" si="35">Z97*$L$95</f>
        <v>21876222.564097993</v>
      </c>
      <c r="AA98" s="131">
        <f t="shared" si="35"/>
        <v>86481064.050126016</v>
      </c>
      <c r="AB98" s="207"/>
      <c r="AN98" s="82"/>
      <c r="AO98" s="82"/>
      <c r="AP98" s="82"/>
      <c r="AQ98" s="82"/>
      <c r="AR98" s="82"/>
      <c r="AS98" s="82"/>
      <c r="AU98" s="114"/>
    </row>
    <row r="99" spans="1:47" ht="15.75">
      <c r="A99" s="178" t="s">
        <v>136</v>
      </c>
      <c r="B99" s="179"/>
      <c r="C99" s="179" t="s">
        <v>108</v>
      </c>
      <c r="D99" s="205"/>
      <c r="E99" s="205"/>
      <c r="F99" s="179"/>
      <c r="G99" s="205"/>
      <c r="H99" s="179"/>
      <c r="I99" s="179"/>
      <c r="J99" s="208"/>
      <c r="K99" s="179"/>
      <c r="L99" s="106"/>
      <c r="M99" s="179"/>
      <c r="N99" s="205"/>
      <c r="O99" s="179"/>
      <c r="P99" s="179"/>
      <c r="Q99" s="179"/>
      <c r="R99" s="205"/>
      <c r="S99" s="179"/>
      <c r="T99" s="179"/>
      <c r="U99" s="179"/>
      <c r="V99" s="205"/>
      <c r="W99" s="179"/>
      <c r="X99" s="179"/>
      <c r="Y99" s="106"/>
      <c r="Z99" s="106"/>
      <c r="AA99" s="106"/>
      <c r="AB99" s="179"/>
      <c r="AD99" s="106"/>
      <c r="AE99" s="179" t="s">
        <v>108</v>
      </c>
      <c r="AF99" s="179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U99" s="114"/>
    </row>
    <row r="100" spans="1:47" ht="15.75">
      <c r="A100" s="179" t="s">
        <v>137</v>
      </c>
      <c r="B100" s="179"/>
      <c r="C100" s="179" t="s">
        <v>108</v>
      </c>
      <c r="D100" s="205"/>
      <c r="E100" s="205"/>
      <c r="F100" s="179"/>
      <c r="G100" s="152"/>
      <c r="H100" s="153"/>
      <c r="I100" s="153"/>
      <c r="J100" s="152"/>
      <c r="K100" s="153"/>
      <c r="L100" s="153"/>
      <c r="M100" s="153"/>
      <c r="N100" s="152"/>
      <c r="O100" s="153"/>
      <c r="P100" s="153" t="s">
        <v>108</v>
      </c>
      <c r="Q100" s="153"/>
      <c r="R100" s="152"/>
      <c r="S100" s="153"/>
      <c r="T100" s="153"/>
      <c r="U100" s="153"/>
      <c r="V100" s="152"/>
      <c r="W100" s="153"/>
      <c r="X100" s="179"/>
      <c r="Y100" s="82"/>
      <c r="Z100" s="83"/>
      <c r="AA100" s="102"/>
      <c r="AB100" s="83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U100" s="114"/>
    </row>
    <row r="101" spans="1:47" ht="15.75">
      <c r="A101" s="153" t="s">
        <v>138</v>
      </c>
      <c r="B101" s="153"/>
      <c r="C101" s="153"/>
      <c r="D101" s="205"/>
      <c r="E101" s="205"/>
      <c r="F101" s="179"/>
      <c r="G101" s="152"/>
      <c r="H101" s="153"/>
      <c r="I101" s="153"/>
      <c r="J101" s="152"/>
      <c r="K101" s="153"/>
      <c r="L101" s="153"/>
      <c r="M101" s="153"/>
      <c r="N101" s="152"/>
      <c r="O101" s="153"/>
      <c r="P101" s="153"/>
      <c r="Q101" s="153"/>
      <c r="R101" s="152"/>
      <c r="S101" s="153"/>
      <c r="T101" s="153"/>
      <c r="U101" s="153"/>
      <c r="V101" s="152"/>
      <c r="W101" s="153"/>
      <c r="X101" s="179"/>
      <c r="Y101" s="82"/>
      <c r="Z101" s="83"/>
      <c r="AA101" s="83"/>
      <c r="AB101" s="83"/>
      <c r="AC101" s="209" t="s">
        <v>108</v>
      </c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U101" s="114"/>
    </row>
    <row r="102" spans="1:47" ht="15.75">
      <c r="A102" s="153" t="s">
        <v>129</v>
      </c>
      <c r="B102" s="153"/>
      <c r="C102" s="152">
        <v>1202807</v>
      </c>
      <c r="D102" s="210">
        <v>6</v>
      </c>
      <c r="E102" s="179"/>
      <c r="F102" s="106">
        <f>ROUND(D102*$C102,0)</f>
        <v>7216842</v>
      </c>
      <c r="G102" s="186">
        <v>7.75</v>
      </c>
      <c r="H102" s="153"/>
      <c r="I102" s="109">
        <f>ROUND(G102*C102,0)</f>
        <v>9321754</v>
      </c>
      <c r="J102" s="186">
        <v>13</v>
      </c>
      <c r="K102" s="153"/>
      <c r="L102" s="109">
        <f>ROUND(J102*$C102,0)</f>
        <v>15636491</v>
      </c>
      <c r="M102" s="109"/>
      <c r="N102" s="186">
        <v>13</v>
      </c>
      <c r="O102" s="153"/>
      <c r="P102" s="109">
        <f>N102*$C102</f>
        <v>15636491</v>
      </c>
      <c r="Q102" s="109"/>
      <c r="R102" s="186"/>
      <c r="S102" s="153"/>
      <c r="T102" s="109"/>
      <c r="U102" s="109"/>
      <c r="V102" s="186"/>
      <c r="W102" s="153"/>
      <c r="X102" s="106"/>
      <c r="Y102" s="82"/>
      <c r="Z102" s="83"/>
      <c r="AA102" s="83"/>
      <c r="AB102" s="83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U102" s="114"/>
    </row>
    <row r="103" spans="1:47" ht="15.75">
      <c r="A103" s="179" t="s">
        <v>139</v>
      </c>
      <c r="B103" s="179"/>
      <c r="C103" s="205">
        <v>814674928</v>
      </c>
      <c r="D103" s="211">
        <v>5.9489999999999998</v>
      </c>
      <c r="E103" s="179" t="s">
        <v>116</v>
      </c>
      <c r="F103" s="106">
        <f>ROUND(D103*$C103/100,0)</f>
        <v>48465011</v>
      </c>
      <c r="G103" s="188">
        <f>(0.75*6.199)+(0.25*G104)</f>
        <v>7.1035000000000004</v>
      </c>
      <c r="H103" s="153" t="s">
        <v>116</v>
      </c>
      <c r="I103" s="109">
        <f>ROUND(C103*G103/100,0)</f>
        <v>57870434</v>
      </c>
      <c r="J103" s="188">
        <f>('Residential Rate Worksheet'!M9)*100</f>
        <v>6.4719999999999995</v>
      </c>
      <c r="K103" s="153" t="s">
        <v>116</v>
      </c>
      <c r="L103" s="109">
        <f>ROUND(J103*$C103/100,0)</f>
        <v>52725761</v>
      </c>
      <c r="M103" s="109"/>
      <c r="N103" s="188">
        <f>'Residential Rate Worksheet'!E14*100</f>
        <v>2.2329599999999998</v>
      </c>
      <c r="O103" s="153" t="s">
        <v>116</v>
      </c>
      <c r="P103" s="109">
        <f>N103*$C103/100</f>
        <v>18191365.272268798</v>
      </c>
      <c r="Q103" s="109"/>
      <c r="R103" s="188">
        <f>'Residential Rate Worksheet'!D14*100</f>
        <v>2.6255999999999999</v>
      </c>
      <c r="S103" s="153" t="s">
        <v>116</v>
      </c>
      <c r="T103" s="109">
        <f>ROUND(R103*$C103/100,0)</f>
        <v>21390105</v>
      </c>
      <c r="U103" s="109"/>
      <c r="V103" s="188">
        <f>'Residential Rate Worksheet'!B19*100</f>
        <v>1.6137599999999999</v>
      </c>
      <c r="W103" s="153" t="s">
        <v>116</v>
      </c>
      <c r="X103" s="106">
        <f>ROUND(V103*$C103/100,0)</f>
        <v>13146898</v>
      </c>
      <c r="Y103" s="82"/>
      <c r="Z103" s="83"/>
      <c r="AA103" s="83"/>
      <c r="AB103" s="83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U103" s="114"/>
    </row>
    <row r="104" spans="1:47" ht="15.75">
      <c r="A104" s="179" t="s">
        <v>140</v>
      </c>
      <c r="B104" s="179"/>
      <c r="C104" s="205">
        <v>441041331</v>
      </c>
      <c r="D104" s="211"/>
      <c r="E104" s="179"/>
      <c r="F104" s="106"/>
      <c r="G104" s="188">
        <v>9.8170000000000002</v>
      </c>
      <c r="H104" s="153" t="s">
        <v>116</v>
      </c>
      <c r="I104" s="109">
        <f>ROUND(C104*G104/100,0)</f>
        <v>43297027</v>
      </c>
      <c r="J104" s="188">
        <f>('Residential Rate Worksheet'!M10)*100</f>
        <v>9.17</v>
      </c>
      <c r="K104" s="153" t="s">
        <v>116</v>
      </c>
      <c r="L104" s="109">
        <f>ROUND(J104*$C104/100,0)</f>
        <v>40443490</v>
      </c>
      <c r="M104" s="109"/>
      <c r="N104" s="188"/>
      <c r="O104" s="153"/>
      <c r="P104" s="109"/>
      <c r="Q104" s="109"/>
      <c r="R104" s="188"/>
      <c r="S104" s="153"/>
      <c r="T104" s="109"/>
      <c r="U104" s="109"/>
      <c r="V104" s="188">
        <f>'Residential Rate Worksheet'!B20*100</f>
        <v>9.1699200000000012</v>
      </c>
      <c r="W104" s="153" t="s">
        <v>116</v>
      </c>
      <c r="X104" s="106">
        <f>ROUND(V104*$C104/100,0)</f>
        <v>40443137</v>
      </c>
      <c r="Y104" s="82"/>
      <c r="Z104" s="83"/>
      <c r="AA104" s="83"/>
      <c r="AB104" s="83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U104" s="114"/>
    </row>
    <row r="105" spans="1:47" ht="15.75">
      <c r="A105" s="179" t="s">
        <v>130</v>
      </c>
      <c r="B105" s="205"/>
      <c r="C105" s="205">
        <v>254335849</v>
      </c>
      <c r="D105" s="211">
        <v>9.4159999999999986</v>
      </c>
      <c r="E105" s="179" t="s">
        <v>116</v>
      </c>
      <c r="F105" s="106">
        <f>ROUND(D105*$C105/100,0)</f>
        <v>23948264</v>
      </c>
      <c r="G105" s="188">
        <v>9.8170000000000002</v>
      </c>
      <c r="H105" s="153" t="s">
        <v>116</v>
      </c>
      <c r="I105" s="109">
        <f>ROUND(C105*G105/100,0)</f>
        <v>24968150</v>
      </c>
      <c r="J105" s="188">
        <f>('Residential Rate Worksheet'!M11)*100</f>
        <v>11.996</v>
      </c>
      <c r="K105" s="153" t="s">
        <v>116</v>
      </c>
      <c r="L105" s="109">
        <f>ROUND(J105*$C105/100,0)</f>
        <v>30510128</v>
      </c>
      <c r="M105" s="109"/>
      <c r="N105" s="188"/>
      <c r="O105" s="153"/>
      <c r="P105" s="109"/>
      <c r="Q105" s="109"/>
      <c r="R105" s="188"/>
      <c r="S105" s="153"/>
      <c r="T105" s="109"/>
      <c r="U105" s="109"/>
      <c r="V105" s="188">
        <f>'Residential Rate Worksheet'!B21*100</f>
        <v>11.996</v>
      </c>
      <c r="W105" s="153" t="s">
        <v>116</v>
      </c>
      <c r="X105" s="106">
        <f>ROUND(V105*$C105/100,0)</f>
        <v>30510128</v>
      </c>
      <c r="Y105" s="82"/>
      <c r="Z105" s="83"/>
      <c r="AA105" s="83"/>
      <c r="AB105" s="83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U105" s="114"/>
    </row>
    <row r="106" spans="1:47" ht="15.75">
      <c r="A106" s="179" t="s">
        <v>131</v>
      </c>
      <c r="B106" s="179"/>
      <c r="C106" s="205">
        <v>0</v>
      </c>
      <c r="D106" s="210">
        <v>1.65</v>
      </c>
      <c r="E106" s="179"/>
      <c r="F106" s="106">
        <f>ROUND(D106*$C106,0)</f>
        <v>0</v>
      </c>
      <c r="G106" s="186">
        <v>1.65</v>
      </c>
      <c r="H106" s="153"/>
      <c r="I106" s="109">
        <v>0</v>
      </c>
      <c r="J106" s="186">
        <f>$J$90</f>
        <v>1.7126999999999999</v>
      </c>
      <c r="K106" s="153"/>
      <c r="L106" s="109">
        <f>ROUND(J106*$C106,0)</f>
        <v>0</v>
      </c>
      <c r="M106" s="109"/>
      <c r="N106" s="186"/>
      <c r="O106" s="153"/>
      <c r="P106" s="109"/>
      <c r="Q106" s="109"/>
      <c r="R106" s="186"/>
      <c r="S106" s="153"/>
      <c r="T106" s="109"/>
      <c r="U106" s="109"/>
      <c r="V106" s="186"/>
      <c r="W106" s="153"/>
      <c r="X106" s="106"/>
      <c r="Y106" s="82"/>
      <c r="Z106" s="83"/>
      <c r="AA106" s="83"/>
      <c r="AB106" s="83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U106" s="114"/>
    </row>
    <row r="107" spans="1:47" ht="15.75">
      <c r="A107" s="193" t="s">
        <v>132</v>
      </c>
      <c r="B107" s="193"/>
      <c r="C107" s="205">
        <v>0</v>
      </c>
      <c r="D107" s="210">
        <v>3.2</v>
      </c>
      <c r="E107" s="193"/>
      <c r="F107" s="106">
        <f>ROUND(D107*$C107,0)</f>
        <v>0</v>
      </c>
      <c r="G107" s="186">
        <v>3.2</v>
      </c>
      <c r="H107" s="108"/>
      <c r="I107" s="109">
        <v>0</v>
      </c>
      <c r="J107" s="186">
        <f>$J$91</f>
        <v>3.3216000000000001</v>
      </c>
      <c r="K107" s="108"/>
      <c r="L107" s="109">
        <f>ROUND(J107*$C107,0)</f>
        <v>0</v>
      </c>
      <c r="M107" s="109"/>
      <c r="N107" s="186"/>
      <c r="O107" s="108"/>
      <c r="P107" s="109"/>
      <c r="Q107" s="109"/>
      <c r="R107" s="186"/>
      <c r="S107" s="108"/>
      <c r="T107" s="109"/>
      <c r="U107" s="109"/>
      <c r="V107" s="186"/>
      <c r="W107" s="108"/>
      <c r="X107" s="106"/>
      <c r="Y107" s="82"/>
      <c r="Z107" s="83"/>
      <c r="AA107" s="83"/>
      <c r="AB107" s="83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U107" s="114"/>
    </row>
    <row r="108" spans="1:47" ht="15.75">
      <c r="A108" s="193" t="s">
        <v>133</v>
      </c>
      <c r="B108" s="193"/>
      <c r="C108" s="205">
        <v>0</v>
      </c>
      <c r="D108" s="212">
        <v>-1.65</v>
      </c>
      <c r="E108" s="193"/>
      <c r="F108" s="106">
        <f>ROUND(D108*$C108,0)</f>
        <v>0</v>
      </c>
      <c r="G108" s="186">
        <v>-1.65</v>
      </c>
      <c r="H108" s="108"/>
      <c r="I108" s="109">
        <v>0</v>
      </c>
      <c r="J108" s="186">
        <f>-J106</f>
        <v>-1.7126999999999999</v>
      </c>
      <c r="K108" s="108"/>
      <c r="L108" s="109">
        <f>ROUND(J108*$C108,0)</f>
        <v>0</v>
      </c>
      <c r="M108" s="109"/>
      <c r="N108" s="186"/>
      <c r="O108" s="108"/>
      <c r="P108" s="109"/>
      <c r="Q108" s="109"/>
      <c r="R108" s="186"/>
      <c r="S108" s="108"/>
      <c r="T108" s="109"/>
      <c r="U108" s="109"/>
      <c r="V108" s="186"/>
      <c r="W108" s="108"/>
      <c r="X108" s="106"/>
      <c r="Y108" s="82"/>
      <c r="Z108" s="83"/>
      <c r="AA108" s="83"/>
      <c r="AB108" s="83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U108" s="114"/>
    </row>
    <row r="109" spans="1:47" ht="15.75">
      <c r="A109" s="179" t="s">
        <v>134</v>
      </c>
      <c r="B109" s="194"/>
      <c r="C109" s="205">
        <f>SUM(C103:C105)</f>
        <v>1510052108</v>
      </c>
      <c r="D109" s="213"/>
      <c r="E109" s="106"/>
      <c r="F109" s="106">
        <f>SUM(F102:F108)</f>
        <v>79630117</v>
      </c>
      <c r="G109" s="195"/>
      <c r="H109" s="109"/>
      <c r="I109" s="109">
        <f>SUM(I102:I108)</f>
        <v>135457365</v>
      </c>
      <c r="J109" s="109"/>
      <c r="K109" s="109"/>
      <c r="L109" s="109">
        <f>SUM(L102:L108)</f>
        <v>139315870</v>
      </c>
      <c r="M109" s="109"/>
      <c r="N109" s="109"/>
      <c r="O109" s="109"/>
      <c r="P109" s="109">
        <f>SUM(P102:P108)</f>
        <v>33827856.272268802</v>
      </c>
      <c r="Q109" s="109"/>
      <c r="R109" s="109"/>
      <c r="S109" s="109"/>
      <c r="T109" s="109">
        <f>SUM(T102:T108)</f>
        <v>21390105</v>
      </c>
      <c r="U109" s="109"/>
      <c r="V109" s="109"/>
      <c r="W109" s="109"/>
      <c r="X109" s="106">
        <f>SUM(X102:X108)</f>
        <v>84100163</v>
      </c>
      <c r="Y109" s="82"/>
      <c r="Z109" s="137"/>
      <c r="AA109" s="83"/>
      <c r="AB109" s="83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U109" s="114"/>
    </row>
    <row r="110" spans="1:47" ht="15.75">
      <c r="A110" s="179" t="s">
        <v>119</v>
      </c>
      <c r="B110" s="196"/>
      <c r="C110" s="214">
        <v>-5617739.7424748819</v>
      </c>
      <c r="D110" s="138"/>
      <c r="E110" s="138"/>
      <c r="F110" s="136">
        <f>I110</f>
        <v>-267238.32128544542</v>
      </c>
      <c r="G110" s="153"/>
      <c r="H110" s="153"/>
      <c r="I110" s="197">
        <v>-267238.32128544542</v>
      </c>
      <c r="J110" s="153"/>
      <c r="K110" s="153"/>
      <c r="L110" s="198">
        <f>I110</f>
        <v>-267238.32128544542</v>
      </c>
      <c r="M110" s="169"/>
      <c r="N110" s="153"/>
      <c r="O110" s="153"/>
      <c r="P110" s="198">
        <f>L110*(Unbundled!H21+Unbundled!I21+Unbundled!J21)</f>
        <v>-69066.341416403782</v>
      </c>
      <c r="Q110" s="169"/>
      <c r="R110" s="153"/>
      <c r="S110" s="153"/>
      <c r="T110" s="198">
        <f>L110*Unbundled!G21</f>
        <v>-40894.234325476777</v>
      </c>
      <c r="U110" s="169"/>
      <c r="V110" s="153"/>
      <c r="W110" s="153"/>
      <c r="X110" s="136">
        <f>L110*Unbundled!F21</f>
        <v>-157277.74554356484</v>
      </c>
      <c r="Y110" s="443"/>
      <c r="Z110" s="168"/>
      <c r="AA110" s="83"/>
      <c r="AB110" s="83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U110" s="114"/>
    </row>
    <row r="111" spans="1:47" ht="16.5" thickBot="1">
      <c r="A111" s="179" t="s">
        <v>135</v>
      </c>
      <c r="B111" s="179"/>
      <c r="C111" s="199">
        <f>C109+C110</f>
        <v>1504434368.2575252</v>
      </c>
      <c r="D111" s="142"/>
      <c r="E111" s="142"/>
      <c r="F111" s="142">
        <f>F109+F110</f>
        <v>79362878.678714558</v>
      </c>
      <c r="G111" s="142"/>
      <c r="H111" s="142"/>
      <c r="I111" s="142">
        <f>SUM(I109:I110)</f>
        <v>135190126.67871454</v>
      </c>
      <c r="J111" s="142"/>
      <c r="K111" s="142"/>
      <c r="L111" s="142">
        <f>L109+L110</f>
        <v>139048631.67871454</v>
      </c>
      <c r="M111" s="142"/>
      <c r="N111" s="142"/>
      <c r="O111" s="142"/>
      <c r="P111" s="142">
        <f>P109+P110</f>
        <v>33758789.930852398</v>
      </c>
      <c r="Q111" s="142"/>
      <c r="R111" s="142"/>
      <c r="S111" s="142"/>
      <c r="T111" s="142">
        <f>T109+T110</f>
        <v>21349210.765674524</v>
      </c>
      <c r="U111" s="142"/>
      <c r="V111" s="142"/>
      <c r="W111" s="142"/>
      <c r="X111" s="142">
        <f>X109+$X$110</f>
        <v>83942885.254456431</v>
      </c>
      <c r="Y111" s="176"/>
      <c r="Z111" s="177"/>
      <c r="AA111" s="83"/>
      <c r="AB111" s="83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U111" s="114"/>
    </row>
    <row r="112" spans="1:47" ht="16.5" thickTop="1">
      <c r="A112" s="179"/>
      <c r="B112" s="204"/>
      <c r="C112" s="205"/>
      <c r="D112" s="179" t="s">
        <v>108</v>
      </c>
      <c r="E112" s="205"/>
      <c r="G112" s="179" t="s">
        <v>108</v>
      </c>
      <c r="H112" s="179"/>
      <c r="I112" s="114" t="s">
        <v>108</v>
      </c>
      <c r="J112" s="179" t="s">
        <v>108</v>
      </c>
      <c r="K112" s="179"/>
      <c r="L112" s="106"/>
      <c r="M112" s="106"/>
      <c r="N112" s="179" t="s">
        <v>108</v>
      </c>
      <c r="O112" s="179"/>
      <c r="P112" s="106" t="s">
        <v>108</v>
      </c>
      <c r="Q112" s="106"/>
      <c r="R112" s="179" t="s">
        <v>108</v>
      </c>
      <c r="S112" s="179"/>
      <c r="T112" s="106" t="s">
        <v>108</v>
      </c>
      <c r="U112" s="106"/>
      <c r="V112" s="179" t="s">
        <v>108</v>
      </c>
      <c r="W112" s="179"/>
      <c r="X112" s="106" t="s">
        <v>108</v>
      </c>
      <c r="Y112" s="82"/>
      <c r="Z112" s="83"/>
      <c r="AA112" s="83"/>
      <c r="AB112" s="83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U112" s="114"/>
    </row>
    <row r="113" spans="1:47" ht="15.75">
      <c r="A113" s="178" t="s">
        <v>141</v>
      </c>
      <c r="B113" s="179"/>
      <c r="C113" s="179" t="s">
        <v>108</v>
      </c>
      <c r="D113" s="205"/>
      <c r="E113" s="205"/>
      <c r="F113" s="179"/>
      <c r="G113" s="431"/>
      <c r="H113" s="179"/>
      <c r="I113" s="179"/>
      <c r="J113" s="205"/>
      <c r="K113" s="179"/>
      <c r="L113" s="179"/>
      <c r="M113" s="179"/>
      <c r="N113" s="205"/>
      <c r="O113" s="179"/>
      <c r="P113" s="179"/>
      <c r="Q113" s="179"/>
      <c r="R113" s="205"/>
      <c r="S113" s="179"/>
      <c r="T113" s="179"/>
      <c r="U113" s="179"/>
      <c r="V113" s="205"/>
      <c r="W113" s="179"/>
      <c r="X113" s="179"/>
      <c r="Y113" s="82"/>
      <c r="Z113" s="83"/>
      <c r="AA113" s="83"/>
      <c r="AB113" s="83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U113" s="114"/>
    </row>
    <row r="114" spans="1:47" ht="15.75">
      <c r="A114" s="179" t="s">
        <v>137</v>
      </c>
      <c r="B114" s="179"/>
      <c r="C114" s="179"/>
      <c r="D114" s="205"/>
      <c r="E114" s="205"/>
      <c r="F114" s="179"/>
      <c r="G114" s="205"/>
      <c r="H114" s="179"/>
      <c r="I114" s="179"/>
      <c r="J114" s="205"/>
      <c r="K114" s="179"/>
      <c r="L114" s="179"/>
      <c r="M114" s="179"/>
      <c r="N114" s="205"/>
      <c r="O114" s="179"/>
      <c r="P114" s="179"/>
      <c r="Q114" s="179"/>
      <c r="R114" s="205"/>
      <c r="S114" s="179"/>
      <c r="T114" s="179"/>
      <c r="U114" s="179"/>
      <c r="V114" s="205"/>
      <c r="W114" s="179"/>
      <c r="X114" s="179"/>
      <c r="Y114" s="82"/>
      <c r="Z114" s="83"/>
      <c r="AA114" s="83"/>
      <c r="AB114" s="83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U114" s="114"/>
    </row>
    <row r="115" spans="1:47" ht="15.75">
      <c r="A115" s="183"/>
      <c r="B115" s="179"/>
      <c r="C115" s="179"/>
      <c r="D115" s="205"/>
      <c r="E115" s="205"/>
      <c r="F115" s="179"/>
      <c r="G115" s="152"/>
      <c r="H115" s="153"/>
      <c r="I115" s="153"/>
      <c r="J115" s="152"/>
      <c r="K115" s="153"/>
      <c r="L115" s="153"/>
      <c r="M115" s="153"/>
      <c r="N115" s="152"/>
      <c r="O115" s="153"/>
      <c r="P115" s="153"/>
      <c r="Q115" s="153"/>
      <c r="R115" s="152"/>
      <c r="S115" s="153"/>
      <c r="T115" s="153"/>
      <c r="U115" s="153"/>
      <c r="V115" s="152"/>
      <c r="W115" s="153"/>
      <c r="X115" s="153"/>
      <c r="Y115" s="82"/>
      <c r="Z115" s="83"/>
      <c r="AA115" s="83"/>
      <c r="AB115" s="83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U115" s="114"/>
    </row>
    <row r="116" spans="1:47" ht="15.75">
      <c r="A116" s="179" t="s">
        <v>129</v>
      </c>
      <c r="B116" s="179"/>
      <c r="C116" s="205">
        <v>50454.485322581</v>
      </c>
      <c r="D116" s="210">
        <v>6</v>
      </c>
      <c r="E116" s="179"/>
      <c r="F116" s="106">
        <f>ROUND(D116*$C116,0)</f>
        <v>302727</v>
      </c>
      <c r="G116" s="186">
        <v>7.75</v>
      </c>
      <c r="H116" s="153"/>
      <c r="I116" s="109">
        <f>ROUND(G116*C116,0)</f>
        <v>391022</v>
      </c>
      <c r="J116" s="186">
        <v>13</v>
      </c>
      <c r="K116" s="153"/>
      <c r="L116" s="109">
        <f>ROUND(J116*$C116,0)</f>
        <v>655908</v>
      </c>
      <c r="M116" s="109"/>
      <c r="N116" s="186">
        <f>J116</f>
        <v>13</v>
      </c>
      <c r="O116" s="153"/>
      <c r="P116" s="109">
        <f>N116*$C116</f>
        <v>655908.30919355305</v>
      </c>
      <c r="Q116" s="109"/>
      <c r="R116" s="186"/>
      <c r="S116" s="153"/>
      <c r="T116" s="109"/>
      <c r="U116" s="109"/>
      <c r="V116" s="186"/>
      <c r="W116" s="153"/>
      <c r="X116" s="109"/>
      <c r="Y116" s="82"/>
      <c r="Z116" s="83"/>
      <c r="AA116" s="83"/>
      <c r="AB116" s="83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U116" s="114"/>
    </row>
    <row r="117" spans="1:47" ht="15.75">
      <c r="A117" s="179" t="s">
        <v>139</v>
      </c>
      <c r="B117" s="179"/>
      <c r="C117" s="205">
        <v>35676833</v>
      </c>
      <c r="D117" s="211">
        <v>5.9489999999999998</v>
      </c>
      <c r="E117" s="179" t="s">
        <v>116</v>
      </c>
      <c r="F117" s="106">
        <f>ROUND(D117*$C117/100,0)</f>
        <v>2122415</v>
      </c>
      <c r="G117" s="188">
        <f>(0.75*6.199)+(0.25*G118)</f>
        <v>7.1035000000000004</v>
      </c>
      <c r="H117" s="153" t="s">
        <v>116</v>
      </c>
      <c r="I117" s="109">
        <f>ROUND(C117*G117/100,0)</f>
        <v>2534304</v>
      </c>
      <c r="J117" s="188">
        <f>J103</f>
        <v>6.4719999999999995</v>
      </c>
      <c r="K117" s="153" t="s">
        <v>116</v>
      </c>
      <c r="L117" s="109">
        <f>ROUND(J117*$C117/100,0)</f>
        <v>2309005</v>
      </c>
      <c r="M117" s="109"/>
      <c r="N117" s="188">
        <f>N103</f>
        <v>2.2329599999999998</v>
      </c>
      <c r="O117" s="153" t="s">
        <v>116</v>
      </c>
      <c r="P117" s="109">
        <f>N117*$C117/100</f>
        <v>796649.41015679995</v>
      </c>
      <c r="Q117" s="109"/>
      <c r="R117" s="188">
        <f>R103</f>
        <v>2.6255999999999999</v>
      </c>
      <c r="S117" s="153" t="s">
        <v>116</v>
      </c>
      <c r="T117" s="109">
        <f>ROUND(R117*$C117/100,0)</f>
        <v>936731</v>
      </c>
      <c r="U117" s="109"/>
      <c r="V117" s="188">
        <f>V103</f>
        <v>1.6137599999999999</v>
      </c>
      <c r="W117" s="153" t="s">
        <v>116</v>
      </c>
      <c r="X117" s="109">
        <f>ROUND(V117*$C117/100,0)</f>
        <v>575738</v>
      </c>
      <c r="Y117" s="82"/>
      <c r="Z117" s="83"/>
      <c r="AA117" s="83"/>
      <c r="AB117" s="83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U117" s="114"/>
    </row>
    <row r="118" spans="1:47" ht="15.75">
      <c r="A118" s="179" t="s">
        <v>140</v>
      </c>
      <c r="B118" s="179"/>
      <c r="C118" s="205">
        <v>19247150</v>
      </c>
      <c r="D118" s="211"/>
      <c r="E118" s="179"/>
      <c r="F118" s="106"/>
      <c r="G118" s="188">
        <v>9.8170000000000002</v>
      </c>
      <c r="H118" s="153"/>
      <c r="I118" s="109">
        <f t="shared" ref="I118:I119" si="36">ROUND(C118*G118/100,0)</f>
        <v>1889493</v>
      </c>
      <c r="J118" s="188">
        <f>J104</f>
        <v>9.17</v>
      </c>
      <c r="K118" s="153" t="s">
        <v>116</v>
      </c>
      <c r="L118" s="109">
        <f t="shared" ref="L118:L119" si="37">ROUND(J118*$C118/100,0)</f>
        <v>1764964</v>
      </c>
      <c r="M118" s="109"/>
      <c r="N118" s="188"/>
      <c r="O118" s="153"/>
      <c r="P118" s="109"/>
      <c r="Q118" s="109"/>
      <c r="R118" s="188"/>
      <c r="S118" s="153"/>
      <c r="T118" s="109"/>
      <c r="U118" s="109"/>
      <c r="V118" s="188">
        <f>V104</f>
        <v>9.1699200000000012</v>
      </c>
      <c r="W118" s="153" t="s">
        <v>116</v>
      </c>
      <c r="X118" s="109">
        <f t="shared" ref="X118:X119" si="38">ROUND(V118*$C118/100,0)</f>
        <v>1764948</v>
      </c>
      <c r="Y118" s="82"/>
      <c r="Z118" s="83"/>
      <c r="AA118" s="83"/>
      <c r="AB118" s="83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U118" s="114"/>
    </row>
    <row r="119" spans="1:47" ht="15.75">
      <c r="A119" s="179" t="s">
        <v>130</v>
      </c>
      <c r="B119" s="179"/>
      <c r="C119" s="205">
        <v>9717980</v>
      </c>
      <c r="D119" s="211">
        <v>9.4159999999999986</v>
      </c>
      <c r="E119" s="179" t="s">
        <v>116</v>
      </c>
      <c r="F119" s="106">
        <f>ROUND(D119*$C119/100,0)</f>
        <v>915045</v>
      </c>
      <c r="G119" s="188">
        <v>9.8170000000000002</v>
      </c>
      <c r="H119" s="153" t="s">
        <v>116</v>
      </c>
      <c r="I119" s="109">
        <f t="shared" si="36"/>
        <v>954014</v>
      </c>
      <c r="J119" s="188">
        <f>J105</f>
        <v>11.996</v>
      </c>
      <c r="K119" s="153" t="s">
        <v>116</v>
      </c>
      <c r="L119" s="109">
        <f t="shared" si="37"/>
        <v>1165769</v>
      </c>
      <c r="M119" s="109"/>
      <c r="N119" s="188"/>
      <c r="O119" s="153"/>
      <c r="P119" s="109"/>
      <c r="Q119" s="109"/>
      <c r="R119" s="188"/>
      <c r="S119" s="153"/>
      <c r="T119" s="109"/>
      <c r="U119" s="109"/>
      <c r="V119" s="188">
        <f>V105</f>
        <v>11.996</v>
      </c>
      <c r="W119" s="153" t="s">
        <v>116</v>
      </c>
      <c r="X119" s="109">
        <f t="shared" si="38"/>
        <v>1165769</v>
      </c>
      <c r="Y119" s="82"/>
      <c r="Z119" s="83"/>
      <c r="AA119" s="83"/>
      <c r="AB119" s="83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U119" s="114"/>
    </row>
    <row r="120" spans="1:47" ht="15.75">
      <c r="A120" s="179" t="s">
        <v>131</v>
      </c>
      <c r="B120" s="179"/>
      <c r="C120" s="205">
        <v>0</v>
      </c>
      <c r="D120" s="210">
        <v>1.65</v>
      </c>
      <c r="E120" s="179"/>
      <c r="F120" s="106">
        <f>ROUND(D120*$C120,0)</f>
        <v>0</v>
      </c>
      <c r="G120" s="186">
        <v>1.65</v>
      </c>
      <c r="H120" s="153"/>
      <c r="I120" s="109">
        <v>0</v>
      </c>
      <c r="J120" s="186">
        <f>$J$90</f>
        <v>1.7126999999999999</v>
      </c>
      <c r="K120" s="153"/>
      <c r="L120" s="109">
        <f>ROUND(J120*$C120,0)</f>
        <v>0</v>
      </c>
      <c r="M120" s="109"/>
      <c r="N120" s="186"/>
      <c r="O120" s="153"/>
      <c r="P120" s="109"/>
      <c r="Q120" s="109"/>
      <c r="R120" s="186"/>
      <c r="S120" s="153"/>
      <c r="T120" s="109"/>
      <c r="U120" s="109"/>
      <c r="V120" s="186"/>
      <c r="W120" s="153"/>
      <c r="X120" s="109"/>
      <c r="Y120" s="82"/>
      <c r="Z120" s="83"/>
      <c r="AA120" s="83"/>
      <c r="AB120" s="83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U120" s="114"/>
    </row>
    <row r="121" spans="1:47" ht="15.75">
      <c r="A121" s="193" t="s">
        <v>132</v>
      </c>
      <c r="B121" s="193"/>
      <c r="C121" s="205">
        <v>0</v>
      </c>
      <c r="D121" s="210">
        <v>3.2</v>
      </c>
      <c r="E121" s="193"/>
      <c r="F121" s="106">
        <f>ROUND(D121*$C121,0)</f>
        <v>0</v>
      </c>
      <c r="G121" s="186">
        <v>3.2</v>
      </c>
      <c r="H121" s="108"/>
      <c r="I121" s="109">
        <v>0</v>
      </c>
      <c r="J121" s="186">
        <f>$J$91</f>
        <v>3.3216000000000001</v>
      </c>
      <c r="K121" s="108"/>
      <c r="L121" s="109">
        <f>ROUND(J121*$C121,0)</f>
        <v>0</v>
      </c>
      <c r="M121" s="109"/>
      <c r="N121" s="186"/>
      <c r="O121" s="108"/>
      <c r="P121" s="109"/>
      <c r="Q121" s="109"/>
      <c r="R121" s="186"/>
      <c r="S121" s="108"/>
      <c r="T121" s="109"/>
      <c r="U121" s="109"/>
      <c r="V121" s="186"/>
      <c r="W121" s="108"/>
      <c r="X121" s="109"/>
      <c r="Y121" s="82"/>
      <c r="Z121" s="83"/>
      <c r="AA121" s="83"/>
      <c r="AB121" s="83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U121" s="114"/>
    </row>
    <row r="122" spans="1:47" ht="15.75">
      <c r="A122" s="193" t="s">
        <v>133</v>
      </c>
      <c r="B122" s="193"/>
      <c r="C122" s="205">
        <v>0</v>
      </c>
      <c r="D122" s="212">
        <v>-1.65</v>
      </c>
      <c r="E122" s="193"/>
      <c r="F122" s="106">
        <f>ROUND(D122*$C122,0)</f>
        <v>0</v>
      </c>
      <c r="G122" s="186">
        <v>-1.65</v>
      </c>
      <c r="H122" s="108"/>
      <c r="I122" s="109">
        <v>0</v>
      </c>
      <c r="J122" s="186">
        <f>-J120</f>
        <v>-1.7126999999999999</v>
      </c>
      <c r="K122" s="108"/>
      <c r="L122" s="109">
        <f>ROUND(J122*$C122,0)</f>
        <v>0</v>
      </c>
      <c r="M122" s="109"/>
      <c r="N122" s="186"/>
      <c r="O122" s="108"/>
      <c r="P122" s="109"/>
      <c r="Q122" s="109"/>
      <c r="R122" s="186"/>
      <c r="S122" s="108"/>
      <c r="T122" s="109"/>
      <c r="U122" s="109"/>
      <c r="V122" s="186"/>
      <c r="W122" s="108"/>
      <c r="X122" s="109"/>
      <c r="Y122" s="82"/>
      <c r="Z122" s="83"/>
      <c r="AA122" s="83"/>
      <c r="AB122" s="83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U122" s="114"/>
    </row>
    <row r="123" spans="1:47" ht="15.75">
      <c r="A123" s="179" t="s">
        <v>134</v>
      </c>
      <c r="B123" s="179"/>
      <c r="C123" s="205">
        <f>SUM(C117:C119)</f>
        <v>64641963</v>
      </c>
      <c r="D123" s="213"/>
      <c r="E123" s="106"/>
      <c r="F123" s="106">
        <f>SUM(F116:F122)</f>
        <v>3340187</v>
      </c>
      <c r="G123" s="195"/>
      <c r="H123" s="109"/>
      <c r="I123" s="109">
        <f>SUM(I116:I122)</f>
        <v>5768833</v>
      </c>
      <c r="J123" s="109"/>
      <c r="K123" s="109"/>
      <c r="L123" s="109">
        <f>SUM(L116:L122)</f>
        <v>5895646</v>
      </c>
      <c r="M123" s="109"/>
      <c r="N123" s="109"/>
      <c r="O123" s="109"/>
      <c r="P123" s="109">
        <f>SUM(P116:P122)</f>
        <v>1452557.7193503529</v>
      </c>
      <c r="Q123" s="109"/>
      <c r="R123" s="109"/>
      <c r="S123" s="109"/>
      <c r="T123" s="109">
        <f>SUM(T116:T122)</f>
        <v>936731</v>
      </c>
      <c r="U123" s="109"/>
      <c r="V123" s="109"/>
      <c r="W123" s="109"/>
      <c r="X123" s="109">
        <f>SUM(X116:X122)</f>
        <v>3506455</v>
      </c>
      <c r="Y123" s="82"/>
      <c r="Z123" s="83"/>
      <c r="AA123" s="83"/>
      <c r="AB123" s="83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U123" s="114"/>
    </row>
    <row r="124" spans="1:47" ht="15.75">
      <c r="A124" s="179" t="s">
        <v>119</v>
      </c>
      <c r="B124" s="179"/>
      <c r="C124" s="214">
        <v>-238853.93279447255</v>
      </c>
      <c r="D124" s="138"/>
      <c r="E124" s="138"/>
      <c r="F124" s="136">
        <f>I124</f>
        <v>-11315.249854995447</v>
      </c>
      <c r="G124" s="153"/>
      <c r="H124" s="153"/>
      <c r="I124" s="197">
        <v>-11315.249854995447</v>
      </c>
      <c r="J124" s="153"/>
      <c r="K124" s="153"/>
      <c r="L124" s="198">
        <f>I124</f>
        <v>-11315.249854995447</v>
      </c>
      <c r="M124" s="169"/>
      <c r="N124" s="153"/>
      <c r="O124" s="153"/>
      <c r="P124" s="198">
        <f>L124*(Unbundled!H21+Unbundled!I21+Unbundled!J21)</f>
        <v>-2924.3669318753196</v>
      </c>
      <c r="Q124" s="169"/>
      <c r="R124" s="153"/>
      <c r="S124" s="153"/>
      <c r="T124" s="198">
        <f>L124*Unbundled!G21</f>
        <v>-1731.519928712793</v>
      </c>
      <c r="U124" s="169"/>
      <c r="V124" s="153"/>
      <c r="W124" s="153"/>
      <c r="X124" s="198">
        <f>L124*(Unbundled!F21)</f>
        <v>-6659.3629944073336</v>
      </c>
      <c r="Y124" s="443"/>
      <c r="Z124" s="168"/>
      <c r="AA124" s="83"/>
      <c r="AB124" s="83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U124" s="114"/>
    </row>
    <row r="125" spans="1:47" ht="16.5" thickBot="1">
      <c r="A125" s="179" t="s">
        <v>135</v>
      </c>
      <c r="B125" s="179"/>
      <c r="C125" s="199">
        <f>C123+C124</f>
        <v>64403109.067205526</v>
      </c>
      <c r="D125" s="142"/>
      <c r="E125" s="142"/>
      <c r="F125" s="142">
        <f>F123+F124</f>
        <v>3328871.7501450046</v>
      </c>
      <c r="G125" s="175"/>
      <c r="H125" s="175"/>
      <c r="I125" s="175">
        <f>SUM(I123:I124)</f>
        <v>5757517.7501450041</v>
      </c>
      <c r="J125" s="175"/>
      <c r="K125" s="175"/>
      <c r="L125" s="175">
        <f>L123+L124</f>
        <v>5884330.7501450041</v>
      </c>
      <c r="M125" s="175"/>
      <c r="N125" s="175"/>
      <c r="O125" s="175"/>
      <c r="P125" s="175">
        <f>P123+P124</f>
        <v>1449633.3524184776</v>
      </c>
      <c r="Q125" s="175"/>
      <c r="R125" s="175"/>
      <c r="S125" s="175"/>
      <c r="T125" s="175">
        <f>T123+T124</f>
        <v>934999.48007128725</v>
      </c>
      <c r="U125" s="175"/>
      <c r="V125" s="175"/>
      <c r="W125" s="175"/>
      <c r="X125" s="175">
        <f>X123+X124</f>
        <v>3499795.6370055927</v>
      </c>
      <c r="Y125" s="176"/>
      <c r="Z125" s="177"/>
      <c r="AA125" s="83"/>
      <c r="AB125" s="83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U125" s="114"/>
    </row>
    <row r="126" spans="1:47" ht="16.5" thickTop="1">
      <c r="A126" s="179"/>
      <c r="B126" s="204"/>
      <c r="C126" s="205"/>
      <c r="D126" s="179" t="s">
        <v>108</v>
      </c>
      <c r="E126" s="205"/>
      <c r="G126" s="179" t="s">
        <v>108</v>
      </c>
      <c r="H126" s="179"/>
      <c r="J126" s="179" t="s">
        <v>108</v>
      </c>
      <c r="K126" s="179"/>
      <c r="L126" s="106"/>
      <c r="M126" s="106"/>
      <c r="N126" s="179" t="s">
        <v>108</v>
      </c>
      <c r="O126" s="179"/>
      <c r="P126" s="106" t="s">
        <v>108</v>
      </c>
      <c r="Q126" s="106"/>
      <c r="R126" s="179" t="s">
        <v>108</v>
      </c>
      <c r="S126" s="179"/>
      <c r="T126" s="106" t="s">
        <v>108</v>
      </c>
      <c r="U126" s="106"/>
      <c r="V126" s="179" t="s">
        <v>108</v>
      </c>
      <c r="W126" s="179"/>
      <c r="X126" s="106" t="s">
        <v>108</v>
      </c>
      <c r="Y126" s="82"/>
      <c r="Z126" s="83"/>
      <c r="AA126" s="83"/>
      <c r="AB126" s="83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U126" s="114"/>
    </row>
    <row r="127" spans="1:47" ht="15.75">
      <c r="A127" s="178" t="s">
        <v>142</v>
      </c>
      <c r="B127" s="179"/>
      <c r="C127" s="179"/>
      <c r="D127" s="205"/>
      <c r="E127" s="205"/>
      <c r="F127" s="179"/>
      <c r="G127" s="205"/>
      <c r="H127" s="179"/>
      <c r="I127" s="179"/>
      <c r="J127" s="205"/>
      <c r="K127" s="179"/>
      <c r="L127" s="179"/>
      <c r="M127" s="179"/>
      <c r="N127" s="205"/>
      <c r="O127" s="179"/>
      <c r="P127" s="179"/>
      <c r="Q127" s="179"/>
      <c r="R127" s="205"/>
      <c r="S127" s="179"/>
      <c r="T127" s="179"/>
      <c r="U127" s="179"/>
      <c r="V127" s="205"/>
      <c r="W127" s="179"/>
      <c r="X127" s="179"/>
      <c r="Y127" s="82"/>
      <c r="Z127" s="83"/>
      <c r="AA127" s="83"/>
      <c r="AB127" s="83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U127" s="114"/>
    </row>
    <row r="128" spans="1:47" ht="15.75">
      <c r="A128" s="179" t="s">
        <v>137</v>
      </c>
      <c r="B128" s="179"/>
      <c r="C128" s="179"/>
      <c r="D128" s="205"/>
      <c r="E128" s="205"/>
      <c r="F128" s="179"/>
      <c r="G128" s="205"/>
      <c r="H128" s="179"/>
      <c r="I128" s="179"/>
      <c r="J128" s="205"/>
      <c r="K128" s="179"/>
      <c r="L128" s="179"/>
      <c r="M128" s="179"/>
      <c r="N128" s="205"/>
      <c r="O128" s="179"/>
      <c r="P128" s="179"/>
      <c r="Q128" s="179"/>
      <c r="R128" s="205"/>
      <c r="S128" s="179"/>
      <c r="T128" s="179"/>
      <c r="U128" s="179"/>
      <c r="V128" s="205"/>
      <c r="W128" s="179"/>
      <c r="X128" s="179"/>
      <c r="Y128" s="82"/>
      <c r="Z128" s="83"/>
      <c r="AA128" s="83"/>
      <c r="AB128" s="83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U128" s="114"/>
    </row>
    <row r="129" spans="1:47" ht="15.75">
      <c r="A129" s="183"/>
      <c r="B129" s="179"/>
      <c r="C129" s="179"/>
      <c r="D129" s="205"/>
      <c r="E129" s="205"/>
      <c r="F129" s="179"/>
      <c r="G129" s="205"/>
      <c r="H129" s="179"/>
      <c r="I129" s="179"/>
      <c r="J129" s="205"/>
      <c r="K129" s="179"/>
      <c r="L129" s="179"/>
      <c r="M129" s="179"/>
      <c r="N129" s="205"/>
      <c r="O129" s="179"/>
      <c r="P129" s="179"/>
      <c r="Q129" s="179"/>
      <c r="R129" s="205"/>
      <c r="S129" s="179"/>
      <c r="T129" s="179"/>
      <c r="U129" s="179"/>
      <c r="V129" s="205"/>
      <c r="W129" s="179"/>
      <c r="X129" s="179"/>
      <c r="Y129" s="82"/>
      <c r="Z129" s="83"/>
      <c r="AA129" s="83"/>
      <c r="AB129" s="83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U129" s="114"/>
    </row>
    <row r="130" spans="1:47" ht="15.75">
      <c r="A130" s="179" t="s">
        <v>129</v>
      </c>
      <c r="B130" s="179"/>
      <c r="C130" s="326">
        <v>1017.7441935483899</v>
      </c>
      <c r="D130" s="301">
        <v>6</v>
      </c>
      <c r="E130" s="331"/>
      <c r="F130" s="344">
        <f>ROUND(D130*$C130,0)</f>
        <v>6106</v>
      </c>
      <c r="G130" s="301">
        <v>7.75</v>
      </c>
      <c r="H130" s="331"/>
      <c r="I130" s="344">
        <f>ROUND(G130*C130,0)</f>
        <v>7888</v>
      </c>
      <c r="J130" s="301">
        <v>13</v>
      </c>
      <c r="K130" s="331"/>
      <c r="L130" s="344">
        <f>ROUND(J130*$C130,0)</f>
        <v>13231</v>
      </c>
      <c r="M130" s="344"/>
      <c r="N130" s="301">
        <v>13</v>
      </c>
      <c r="O130" s="331"/>
      <c r="P130" s="344">
        <f>N130*$C130</f>
        <v>13230.674516129069</v>
      </c>
      <c r="Q130" s="344"/>
      <c r="R130" s="301"/>
      <c r="S130" s="331"/>
      <c r="T130" s="344"/>
      <c r="U130" s="344"/>
      <c r="V130" s="301"/>
      <c r="W130" s="331"/>
      <c r="X130" s="344"/>
      <c r="Y130" s="82"/>
      <c r="Z130" s="83"/>
      <c r="AA130" s="83"/>
      <c r="AB130" s="83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U130" s="114"/>
    </row>
    <row r="131" spans="1:47" ht="15.75">
      <c r="A131" s="179" t="s">
        <v>139</v>
      </c>
      <c r="B131" s="179"/>
      <c r="C131" s="326">
        <v>1139385</v>
      </c>
      <c r="D131" s="444">
        <v>5.9489999999999998</v>
      </c>
      <c r="E131" s="331" t="s">
        <v>116</v>
      </c>
      <c r="F131" s="344">
        <f>ROUND(D131*$C131/100,0)</f>
        <v>67782</v>
      </c>
      <c r="G131" s="444">
        <f>(0.75*6.199)+(0.25*G132)</f>
        <v>7.1035000000000004</v>
      </c>
      <c r="H131" s="331" t="s">
        <v>116</v>
      </c>
      <c r="I131" s="344">
        <f>ROUND(C131*G131/100,0)</f>
        <v>80936</v>
      </c>
      <c r="J131" s="444">
        <f>J117</f>
        <v>6.4719999999999995</v>
      </c>
      <c r="K131" s="331" t="s">
        <v>116</v>
      </c>
      <c r="L131" s="344">
        <f>ROUND(J131*$C131/100,0)</f>
        <v>73741</v>
      </c>
      <c r="M131" s="344"/>
      <c r="N131" s="444">
        <f>N117</f>
        <v>2.2329599999999998</v>
      </c>
      <c r="O131" s="331" t="s">
        <v>116</v>
      </c>
      <c r="P131" s="344">
        <f>N131*$C131/100</f>
        <v>25442.011295999997</v>
      </c>
      <c r="Q131" s="344"/>
      <c r="R131" s="444">
        <f>R117</f>
        <v>2.6255999999999999</v>
      </c>
      <c r="S131" s="331" t="s">
        <v>116</v>
      </c>
      <c r="T131" s="344">
        <f>ROUND(R131*$C131/100,0)</f>
        <v>29916</v>
      </c>
      <c r="U131" s="344"/>
      <c r="V131" s="444">
        <f>V117</f>
        <v>1.6137599999999999</v>
      </c>
      <c r="W131" s="331" t="s">
        <v>116</v>
      </c>
      <c r="X131" s="344">
        <f>ROUND(V131*$C131/100,0)</f>
        <v>18387</v>
      </c>
      <c r="Y131" s="82"/>
      <c r="Z131" s="83"/>
      <c r="AA131" s="83"/>
      <c r="AB131" s="83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U131" s="114"/>
    </row>
    <row r="132" spans="1:47" ht="15.75">
      <c r="A132" s="179" t="s">
        <v>140</v>
      </c>
      <c r="B132" s="179"/>
      <c r="C132" s="326">
        <v>616894</v>
      </c>
      <c r="D132" s="444"/>
      <c r="E132" s="331"/>
      <c r="F132" s="344"/>
      <c r="G132" s="444">
        <v>9.8170000000000002</v>
      </c>
      <c r="H132" s="331" t="s">
        <v>116</v>
      </c>
      <c r="I132" s="344">
        <f t="shared" ref="I132:I133" si="39">ROUND(C132*G132/100,0)</f>
        <v>60560</v>
      </c>
      <c r="J132" s="444">
        <f>J118</f>
        <v>9.17</v>
      </c>
      <c r="K132" s="331" t="s">
        <v>116</v>
      </c>
      <c r="L132" s="344">
        <f t="shared" ref="L132:L133" si="40">ROUND(J132*$C132/100,0)</f>
        <v>56569</v>
      </c>
      <c r="M132" s="344"/>
      <c r="N132" s="444"/>
      <c r="O132" s="331"/>
      <c r="P132" s="344"/>
      <c r="Q132" s="344"/>
      <c r="R132" s="444"/>
      <c r="S132" s="331"/>
      <c r="T132" s="344"/>
      <c r="U132" s="344"/>
      <c r="V132" s="444">
        <f>V118</f>
        <v>9.1699200000000012</v>
      </c>
      <c r="W132" s="331" t="s">
        <v>116</v>
      </c>
      <c r="X132" s="344">
        <f t="shared" ref="X132:X133" si="41">ROUND(V132*$C132/100,0)</f>
        <v>56569</v>
      </c>
      <c r="Y132" s="82"/>
      <c r="Z132" s="83"/>
      <c r="AA132" s="83"/>
      <c r="AB132" s="83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U132" s="114"/>
    </row>
    <row r="133" spans="1:47" ht="15.75">
      <c r="A133" s="179" t="s">
        <v>130</v>
      </c>
      <c r="B133" s="179"/>
      <c r="C133" s="326">
        <v>355649</v>
      </c>
      <c r="D133" s="444">
        <v>9.4159999999999986</v>
      </c>
      <c r="E133" s="331" t="s">
        <v>116</v>
      </c>
      <c r="F133" s="344">
        <f>ROUND(D133*$C133/100,0)</f>
        <v>33488</v>
      </c>
      <c r="G133" s="444">
        <v>9.8170000000000002</v>
      </c>
      <c r="H133" s="331" t="s">
        <v>116</v>
      </c>
      <c r="I133" s="344">
        <f t="shared" si="39"/>
        <v>34914</v>
      </c>
      <c r="J133" s="444">
        <f>J119</f>
        <v>11.996</v>
      </c>
      <c r="K133" s="331" t="s">
        <v>116</v>
      </c>
      <c r="L133" s="344">
        <f t="shared" si="40"/>
        <v>42664</v>
      </c>
      <c r="M133" s="344"/>
      <c r="N133" s="444"/>
      <c r="O133" s="331"/>
      <c r="P133" s="344"/>
      <c r="Q133" s="344"/>
      <c r="R133" s="444"/>
      <c r="S133" s="331"/>
      <c r="T133" s="344"/>
      <c r="U133" s="344"/>
      <c r="V133" s="444">
        <f>V105</f>
        <v>11.996</v>
      </c>
      <c r="W133" s="331" t="s">
        <v>116</v>
      </c>
      <c r="X133" s="344">
        <f t="shared" si="41"/>
        <v>42664</v>
      </c>
      <c r="Y133" s="82"/>
      <c r="Z133" s="83"/>
      <c r="AA133" s="83"/>
      <c r="AB133" s="83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U133" s="114"/>
    </row>
    <row r="134" spans="1:47" ht="15.75">
      <c r="A134" s="179" t="s">
        <v>131</v>
      </c>
      <c r="B134" s="179"/>
      <c r="C134" s="326">
        <v>4673</v>
      </c>
      <c r="D134" s="301">
        <v>1.65</v>
      </c>
      <c r="E134" s="331"/>
      <c r="F134" s="344">
        <f>ROUND(D134*$C134,0)</f>
        <v>7710</v>
      </c>
      <c r="G134" s="301">
        <v>1.65</v>
      </c>
      <c r="H134" s="331"/>
      <c r="I134" s="344">
        <f t="shared" ref="I134:I135" si="42">ROUND(G134*C134,0)</f>
        <v>7710</v>
      </c>
      <c r="J134" s="301">
        <f>$J$90</f>
        <v>1.7126999999999999</v>
      </c>
      <c r="K134" s="331"/>
      <c r="L134" s="344">
        <f>ROUND(J134*$C134,0)</f>
        <v>8003</v>
      </c>
      <c r="M134" s="344"/>
      <c r="N134" s="301"/>
      <c r="O134" s="331"/>
      <c r="P134" s="344"/>
      <c r="Q134" s="344"/>
      <c r="R134" s="301"/>
      <c r="S134" s="331"/>
      <c r="T134" s="344"/>
      <c r="U134" s="344"/>
      <c r="V134" s="301">
        <f>V90</f>
        <v>1.7126999999999999</v>
      </c>
      <c r="W134" s="331"/>
      <c r="X134" s="344">
        <f>ROUND(V134*$C134,0)</f>
        <v>8003</v>
      </c>
      <c r="Y134" s="82"/>
      <c r="Z134" s="83"/>
      <c r="AA134" s="83"/>
      <c r="AB134" s="83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U134" s="114"/>
    </row>
    <row r="135" spans="1:47" ht="15.75">
      <c r="A135" s="193" t="s">
        <v>132</v>
      </c>
      <c r="B135" s="193"/>
      <c r="C135" s="326">
        <v>616</v>
      </c>
      <c r="D135" s="301">
        <v>3.2</v>
      </c>
      <c r="E135" s="121"/>
      <c r="F135" s="344">
        <f>ROUND(D135*$C135,0)</f>
        <v>1971</v>
      </c>
      <c r="G135" s="301">
        <v>3.2</v>
      </c>
      <c r="H135" s="121"/>
      <c r="I135" s="344">
        <f t="shared" si="42"/>
        <v>1971</v>
      </c>
      <c r="J135" s="301">
        <f>$J$91</f>
        <v>3.3216000000000001</v>
      </c>
      <c r="K135" s="121"/>
      <c r="L135" s="344">
        <f>ROUND(J135*$C135,0)</f>
        <v>2046</v>
      </c>
      <c r="M135" s="344"/>
      <c r="N135" s="301"/>
      <c r="O135" s="121"/>
      <c r="P135" s="344"/>
      <c r="Q135" s="344"/>
      <c r="R135" s="301"/>
      <c r="S135" s="121"/>
      <c r="T135" s="344"/>
      <c r="U135" s="344"/>
      <c r="V135" s="301">
        <f>V91</f>
        <v>3.3216000000000001</v>
      </c>
      <c r="W135" s="121"/>
      <c r="X135" s="344">
        <f>ROUND(V135*$C135,0)</f>
        <v>2046</v>
      </c>
      <c r="Y135" s="82"/>
      <c r="Z135" s="83"/>
      <c r="AA135" s="83"/>
      <c r="AB135" s="83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U135" s="114"/>
    </row>
    <row r="136" spans="1:47" ht="15.75">
      <c r="A136" s="193" t="s">
        <v>133</v>
      </c>
      <c r="B136" s="193"/>
      <c r="C136" s="326">
        <v>55</v>
      </c>
      <c r="D136" s="301">
        <v>-1.65</v>
      </c>
      <c r="E136" s="121"/>
      <c r="F136" s="344">
        <f>ROUND(D136*$C136,0)</f>
        <v>-91</v>
      </c>
      <c r="G136" s="301">
        <v>-1.65</v>
      </c>
      <c r="H136" s="121"/>
      <c r="I136" s="344">
        <f>ROUND(G136*C136,0)</f>
        <v>-91</v>
      </c>
      <c r="J136" s="301">
        <f>-J134</f>
        <v>-1.7126999999999999</v>
      </c>
      <c r="K136" s="121"/>
      <c r="L136" s="344">
        <f>ROUND(J136*$C136,0)</f>
        <v>-94</v>
      </c>
      <c r="M136" s="344"/>
      <c r="N136" s="301"/>
      <c r="O136" s="121"/>
      <c r="P136" s="344"/>
      <c r="Q136" s="344"/>
      <c r="R136" s="301"/>
      <c r="S136" s="121"/>
      <c r="T136" s="344"/>
      <c r="U136" s="344"/>
      <c r="V136" s="301">
        <f>-V134</f>
        <v>-1.7126999999999999</v>
      </c>
      <c r="W136" s="121"/>
      <c r="X136" s="344">
        <f>ROUND(V136*$C136,0)</f>
        <v>-94</v>
      </c>
      <c r="Y136" s="82"/>
      <c r="Z136" s="83"/>
      <c r="AA136" s="83"/>
      <c r="AB136" s="83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U136" s="114"/>
    </row>
    <row r="137" spans="1:47" ht="15.75">
      <c r="A137" s="179" t="s">
        <v>134</v>
      </c>
      <c r="B137" s="194"/>
      <c r="C137" s="205">
        <f>SUM(C131:C133)</f>
        <v>2111928</v>
      </c>
      <c r="D137" s="213"/>
      <c r="E137" s="106"/>
      <c r="F137" s="106">
        <f>SUM(F130:F136)</f>
        <v>116966</v>
      </c>
      <c r="G137" s="213"/>
      <c r="H137" s="106"/>
      <c r="I137" s="106">
        <f>SUM(I130:I136)</f>
        <v>193888</v>
      </c>
      <c r="J137" s="106"/>
      <c r="K137" s="106"/>
      <c r="L137" s="106">
        <f>SUM(L130:L136)</f>
        <v>196160</v>
      </c>
      <c r="M137" s="106"/>
      <c r="N137" s="106"/>
      <c r="O137" s="106"/>
      <c r="P137" s="106">
        <f>SUM(P130:P136)</f>
        <v>38672.685812129064</v>
      </c>
      <c r="Q137" s="106"/>
      <c r="R137" s="106"/>
      <c r="S137" s="106"/>
      <c r="T137" s="106">
        <f>SUM(T130:T136)</f>
        <v>29916</v>
      </c>
      <c r="U137" s="106"/>
      <c r="V137" s="106"/>
      <c r="W137" s="106"/>
      <c r="X137" s="106">
        <f>SUM(X130:X136)</f>
        <v>127575</v>
      </c>
      <c r="Y137" s="82"/>
      <c r="Z137" s="83"/>
      <c r="AA137" s="83"/>
      <c r="AB137" s="83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U137" s="114"/>
    </row>
    <row r="138" spans="1:47" ht="15.75">
      <c r="A138" s="179" t="s">
        <v>119</v>
      </c>
      <c r="B138" s="215"/>
      <c r="C138" s="214">
        <v>-8269.9564010600807</v>
      </c>
      <c r="D138" s="138"/>
      <c r="E138" s="138"/>
      <c r="F138" s="136">
        <f>I138</f>
        <v>-432.42577033280719</v>
      </c>
      <c r="G138" s="138"/>
      <c r="H138" s="138"/>
      <c r="I138" s="136">
        <v>-432.42577033280719</v>
      </c>
      <c r="J138" s="138"/>
      <c r="K138" s="138"/>
      <c r="L138" s="136">
        <f>I138</f>
        <v>-432.42577033280719</v>
      </c>
      <c r="M138" s="137"/>
      <c r="N138" s="138"/>
      <c r="O138" s="138"/>
      <c r="P138" s="136">
        <f>L138*(Unbundled!H21+Unbundled!I21+Unbundled!J21)</f>
        <v>-111.7581705625078</v>
      </c>
      <c r="Q138" s="137"/>
      <c r="R138" s="138"/>
      <c r="S138" s="138"/>
      <c r="T138" s="136">
        <f>L138*Unbundled!G21</f>
        <v>-66.172099477739565</v>
      </c>
      <c r="U138" s="137"/>
      <c r="V138" s="138"/>
      <c r="W138" s="138"/>
      <c r="X138" s="136">
        <f>L138*(Unbundled!F21)</f>
        <v>-254.49550029255977</v>
      </c>
      <c r="Y138" s="443"/>
      <c r="Z138" s="168"/>
      <c r="AA138" s="83"/>
      <c r="AB138" s="83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U138" s="114"/>
    </row>
    <row r="139" spans="1:47" ht="16.5" thickBot="1">
      <c r="A139" s="179" t="s">
        <v>135</v>
      </c>
      <c r="B139" s="179"/>
      <c r="C139" s="199">
        <f>C137+C138</f>
        <v>2103658.0435989401</v>
      </c>
      <c r="D139" s="142"/>
      <c r="E139" s="142"/>
      <c r="F139" s="142">
        <f>F137+F138</f>
        <v>116533.5742296672</v>
      </c>
      <c r="G139" s="142"/>
      <c r="H139" s="142"/>
      <c r="I139" s="142">
        <f>I137+I138</f>
        <v>193455.5742296672</v>
      </c>
      <c r="J139" s="142"/>
      <c r="K139" s="142"/>
      <c r="L139" s="142">
        <f>L137+L138</f>
        <v>195727.5742296672</v>
      </c>
      <c r="M139" s="142"/>
      <c r="N139" s="142"/>
      <c r="O139" s="142"/>
      <c r="P139" s="142">
        <f>P137+P138</f>
        <v>38560.927641566559</v>
      </c>
      <c r="Q139" s="142"/>
      <c r="R139" s="142"/>
      <c r="S139" s="142"/>
      <c r="T139" s="142">
        <f>T137+T138</f>
        <v>29849.827900522261</v>
      </c>
      <c r="U139" s="142"/>
      <c r="V139" s="142"/>
      <c r="W139" s="142"/>
      <c r="X139" s="142">
        <f>X137+X138</f>
        <v>127320.50449970744</v>
      </c>
      <c r="Y139" s="176"/>
      <c r="Z139" s="177"/>
      <c r="AA139" s="83"/>
      <c r="AB139" s="83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U139" s="114"/>
    </row>
    <row r="140" spans="1:47" ht="16.5" thickTop="1">
      <c r="A140" s="179"/>
      <c r="B140" s="204"/>
      <c r="C140" s="205"/>
      <c r="D140" s="179" t="s">
        <v>108</v>
      </c>
      <c r="E140" s="205"/>
      <c r="G140" s="179" t="s">
        <v>108</v>
      </c>
      <c r="H140" s="179"/>
      <c r="J140" s="179" t="s">
        <v>108</v>
      </c>
      <c r="K140" s="179"/>
      <c r="L140" s="106"/>
      <c r="M140" s="106"/>
      <c r="N140" s="179" t="s">
        <v>108</v>
      </c>
      <c r="O140" s="179"/>
      <c r="P140" s="106" t="s">
        <v>108</v>
      </c>
      <c r="Q140" s="106"/>
      <c r="R140" s="179" t="s">
        <v>108</v>
      </c>
      <c r="S140" s="179"/>
      <c r="T140" s="106" t="s">
        <v>108</v>
      </c>
      <c r="U140" s="106"/>
      <c r="V140" s="179" t="s">
        <v>108</v>
      </c>
      <c r="W140" s="179"/>
      <c r="X140" s="106" t="s">
        <v>108</v>
      </c>
      <c r="Y140" s="82"/>
      <c r="Z140" s="83"/>
      <c r="AA140" s="83"/>
      <c r="AB140" s="83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U140" s="114"/>
    </row>
    <row r="141" spans="1:47" ht="15.75">
      <c r="A141" s="178" t="s">
        <v>143</v>
      </c>
      <c r="B141" s="179"/>
      <c r="C141" s="179"/>
      <c r="D141" s="205"/>
      <c r="E141" s="205"/>
      <c r="F141" s="179"/>
      <c r="G141" s="205"/>
      <c r="H141" s="179"/>
      <c r="I141" s="179"/>
      <c r="J141" s="205"/>
      <c r="K141" s="179"/>
      <c r="L141" s="179"/>
      <c r="M141" s="179"/>
      <c r="N141" s="205"/>
      <c r="O141" s="179"/>
      <c r="P141" s="179"/>
      <c r="Q141" s="179"/>
      <c r="R141" s="205"/>
      <c r="S141" s="179"/>
      <c r="T141" s="179"/>
      <c r="U141" s="179"/>
      <c r="V141" s="205"/>
      <c r="W141" s="179"/>
      <c r="X141" s="179"/>
      <c r="Y141" s="82"/>
      <c r="Z141" s="83"/>
      <c r="AA141" s="83"/>
      <c r="AB141" s="83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U141" s="114"/>
    </row>
    <row r="142" spans="1:47" ht="15.75">
      <c r="A142" s="179" t="s">
        <v>137</v>
      </c>
      <c r="B142" s="179"/>
      <c r="C142" s="179"/>
      <c r="D142" s="205"/>
      <c r="E142" s="205"/>
      <c r="F142" s="179"/>
      <c r="G142" s="205"/>
      <c r="H142" s="179"/>
      <c r="I142" s="179"/>
      <c r="J142" s="205"/>
      <c r="K142" s="179"/>
      <c r="L142" s="179"/>
      <c r="M142" s="179"/>
      <c r="N142" s="205"/>
      <c r="O142" s="179"/>
      <c r="P142" s="179"/>
      <c r="Q142" s="179"/>
      <c r="R142" s="205"/>
      <c r="S142" s="179"/>
      <c r="T142" s="179"/>
      <c r="U142" s="179"/>
      <c r="V142" s="205"/>
      <c r="W142" s="179"/>
      <c r="X142" s="179"/>
      <c r="Y142" s="82"/>
      <c r="Z142" s="83"/>
      <c r="AA142" s="83"/>
      <c r="AB142" s="83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U142" s="114"/>
    </row>
    <row r="143" spans="1:47" ht="15.75">
      <c r="A143" s="183"/>
      <c r="B143" s="179"/>
      <c r="C143" s="331"/>
      <c r="D143" s="326"/>
      <c r="E143" s="326"/>
      <c r="F143" s="331"/>
      <c r="G143" s="326"/>
      <c r="H143" s="331"/>
      <c r="I143" s="331"/>
      <c r="J143" s="326"/>
      <c r="K143" s="331"/>
      <c r="L143" s="331"/>
      <c r="M143" s="331"/>
      <c r="N143" s="326"/>
      <c r="O143" s="331"/>
      <c r="P143" s="331"/>
      <c r="Q143" s="331"/>
      <c r="R143" s="326"/>
      <c r="S143" s="331"/>
      <c r="T143" s="331"/>
      <c r="U143" s="331"/>
      <c r="V143" s="326"/>
      <c r="W143" s="331"/>
      <c r="X143" s="331"/>
      <c r="Y143" s="82"/>
      <c r="Z143" s="83"/>
      <c r="AA143" s="83"/>
      <c r="AB143" s="83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U143" s="114"/>
    </row>
    <row r="144" spans="1:47" ht="15.75">
      <c r="A144" s="179" t="s">
        <v>129</v>
      </c>
      <c r="B144" s="179"/>
      <c r="C144" s="326">
        <v>215.96779569892499</v>
      </c>
      <c r="D144" s="301">
        <v>6</v>
      </c>
      <c r="E144" s="331"/>
      <c r="F144" s="344">
        <f>ROUND(D144*$C144,0)</f>
        <v>1296</v>
      </c>
      <c r="G144" s="301">
        <v>7.75</v>
      </c>
      <c r="H144" s="331"/>
      <c r="I144" s="344">
        <f>ROUND(G144*C144,0)</f>
        <v>1674</v>
      </c>
      <c r="J144" s="301">
        <v>13</v>
      </c>
      <c r="K144" s="331"/>
      <c r="L144" s="344">
        <f>ROUND(J144*$C144,0)</f>
        <v>2808</v>
      </c>
      <c r="M144" s="344"/>
      <c r="N144" s="301">
        <v>13</v>
      </c>
      <c r="O144" s="331"/>
      <c r="P144" s="344">
        <f>N144*$C144</f>
        <v>2807.5813440860247</v>
      </c>
      <c r="Q144" s="344"/>
      <c r="R144" s="301"/>
      <c r="S144" s="331"/>
      <c r="T144" s="344"/>
      <c r="U144" s="344"/>
      <c r="V144" s="301"/>
      <c r="W144" s="331"/>
      <c r="X144" s="344"/>
      <c r="Y144" s="82"/>
      <c r="Z144" s="83"/>
      <c r="AA144" s="83"/>
      <c r="AB144" s="83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U144" s="114"/>
    </row>
    <row r="145" spans="1:54" ht="15.75">
      <c r="A145" s="179" t="s">
        <v>139</v>
      </c>
      <c r="B145" s="179"/>
      <c r="C145" s="326">
        <v>188304</v>
      </c>
      <c r="D145" s="444">
        <v>5.9489999999999998</v>
      </c>
      <c r="E145" s="331" t="s">
        <v>116</v>
      </c>
      <c r="F145" s="344">
        <f>ROUND(D145*$C145/100,0)</f>
        <v>11202</v>
      </c>
      <c r="G145" s="444">
        <f>(0.75*6.199)+(0.25*G146)</f>
        <v>7.1035000000000004</v>
      </c>
      <c r="H145" s="331" t="s">
        <v>116</v>
      </c>
      <c r="I145" s="344">
        <f>ROUND(C145*G145/100,0)</f>
        <v>13376</v>
      </c>
      <c r="J145" s="444">
        <f>J131</f>
        <v>6.4719999999999995</v>
      </c>
      <c r="K145" s="331" t="s">
        <v>116</v>
      </c>
      <c r="L145" s="344">
        <f>ROUND(J145*$C145/100,0)</f>
        <v>12187</v>
      </c>
      <c r="M145" s="344"/>
      <c r="N145" s="444">
        <f>N131</f>
        <v>2.2329599999999998</v>
      </c>
      <c r="O145" s="331" t="s">
        <v>116</v>
      </c>
      <c r="P145" s="344">
        <f>N145*$C145/100</f>
        <v>4204.7529984000003</v>
      </c>
      <c r="Q145" s="344"/>
      <c r="R145" s="444">
        <f>R131</f>
        <v>2.6255999999999999</v>
      </c>
      <c r="S145" s="331" t="s">
        <v>116</v>
      </c>
      <c r="T145" s="344">
        <f>ROUND(R145*$C145/100,0)</f>
        <v>4944</v>
      </c>
      <c r="U145" s="344"/>
      <c r="V145" s="444">
        <f>V131</f>
        <v>1.6137599999999999</v>
      </c>
      <c r="W145" s="331" t="s">
        <v>116</v>
      </c>
      <c r="X145" s="344">
        <f>ROUND(V145*$C145/100,0)</f>
        <v>3039</v>
      </c>
      <c r="Y145" s="82"/>
      <c r="Z145" s="83"/>
      <c r="AA145" s="83"/>
      <c r="AB145" s="83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U145" s="114"/>
    </row>
    <row r="146" spans="1:54" ht="15.75">
      <c r="A146" s="179" t="s">
        <v>140</v>
      </c>
      <c r="B146" s="179"/>
      <c r="C146" s="326">
        <v>101953</v>
      </c>
      <c r="D146" s="444"/>
      <c r="E146" s="331"/>
      <c r="F146" s="344"/>
      <c r="G146" s="444">
        <v>9.8170000000000002</v>
      </c>
      <c r="H146" s="331"/>
      <c r="I146" s="344">
        <f t="shared" ref="I146:I147" si="43">ROUND(C146*G146/100,0)</f>
        <v>10009</v>
      </c>
      <c r="J146" s="444">
        <f>J132</f>
        <v>9.17</v>
      </c>
      <c r="K146" s="331" t="s">
        <v>116</v>
      </c>
      <c r="L146" s="344">
        <f t="shared" ref="L146:L147" si="44">ROUND(J146*$C146/100,0)</f>
        <v>9349</v>
      </c>
      <c r="M146" s="344"/>
      <c r="N146" s="444"/>
      <c r="O146" s="331"/>
      <c r="P146" s="344"/>
      <c r="Q146" s="344"/>
      <c r="R146" s="444"/>
      <c r="S146" s="331"/>
      <c r="T146" s="344"/>
      <c r="U146" s="344"/>
      <c r="V146" s="444">
        <f>V132</f>
        <v>9.1699200000000012</v>
      </c>
      <c r="W146" s="331"/>
      <c r="X146" s="344">
        <f>(V146*C146)/100</f>
        <v>9349.0085376000006</v>
      </c>
      <c r="Y146" s="82"/>
      <c r="Z146" s="83"/>
      <c r="AA146" s="83"/>
      <c r="AB146" s="83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U146" s="114"/>
    </row>
    <row r="147" spans="1:54" ht="15.75">
      <c r="A147" s="179" t="s">
        <v>130</v>
      </c>
      <c r="B147" s="179"/>
      <c r="C147" s="326">
        <v>58777</v>
      </c>
      <c r="D147" s="444">
        <v>9.4159999999999986</v>
      </c>
      <c r="E147" s="331" t="s">
        <v>116</v>
      </c>
      <c r="F147" s="344">
        <f>ROUND(D147*$C147/100,0)</f>
        <v>5534</v>
      </c>
      <c r="G147" s="444">
        <v>9.8170000000000002</v>
      </c>
      <c r="H147" s="331" t="s">
        <v>116</v>
      </c>
      <c r="I147" s="344">
        <f t="shared" si="43"/>
        <v>5770</v>
      </c>
      <c r="J147" s="444">
        <f>J133</f>
        <v>11.996</v>
      </c>
      <c r="K147" s="331" t="s">
        <v>116</v>
      </c>
      <c r="L147" s="344">
        <f t="shared" si="44"/>
        <v>7051</v>
      </c>
      <c r="M147" s="344"/>
      <c r="N147" s="444"/>
      <c r="O147" s="331"/>
      <c r="P147" s="344"/>
      <c r="Q147" s="344"/>
      <c r="R147" s="444"/>
      <c r="S147" s="331"/>
      <c r="T147" s="344"/>
      <c r="U147" s="344"/>
      <c r="V147" s="444">
        <f>V133</f>
        <v>11.996</v>
      </c>
      <c r="W147" s="331" t="s">
        <v>116</v>
      </c>
      <c r="X147" s="344">
        <f>ROUND(V147*$C147/100,0)</f>
        <v>7051</v>
      </c>
      <c r="Y147" s="82"/>
      <c r="Z147" s="83"/>
      <c r="AA147" s="83"/>
      <c r="AB147" s="83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U147" s="114"/>
    </row>
    <row r="148" spans="1:54" ht="15.75">
      <c r="A148" s="179" t="s">
        <v>131</v>
      </c>
      <c r="B148" s="179"/>
      <c r="C148" s="326">
        <v>773</v>
      </c>
      <c r="D148" s="301">
        <v>1.65</v>
      </c>
      <c r="E148" s="331"/>
      <c r="F148" s="344">
        <f>ROUND(D148*$C148,0)</f>
        <v>1275</v>
      </c>
      <c r="G148" s="301">
        <v>1.65</v>
      </c>
      <c r="H148" s="331"/>
      <c r="I148" s="344">
        <f t="shared" ref="I148:I149" si="45">ROUND(G148*C148,0)</f>
        <v>1275</v>
      </c>
      <c r="J148" s="301">
        <f>$J$90</f>
        <v>1.7126999999999999</v>
      </c>
      <c r="K148" s="331"/>
      <c r="L148" s="344">
        <f>ROUND(J148*$C148,0)</f>
        <v>1324</v>
      </c>
      <c r="M148" s="344"/>
      <c r="N148" s="301"/>
      <c r="O148" s="331"/>
      <c r="P148" s="344"/>
      <c r="Q148" s="344"/>
      <c r="R148" s="301"/>
      <c r="S148" s="331"/>
      <c r="T148" s="344"/>
      <c r="U148" s="344"/>
      <c r="V148" s="301">
        <f>V90</f>
        <v>1.7126999999999999</v>
      </c>
      <c r="W148" s="331"/>
      <c r="X148" s="344">
        <f>ROUND(V148*$C148,0)</f>
        <v>1324</v>
      </c>
      <c r="Y148" s="82"/>
      <c r="Z148" s="83"/>
      <c r="AA148" s="83"/>
      <c r="AB148" s="83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U148" s="114"/>
    </row>
    <row r="149" spans="1:54" ht="15.75">
      <c r="A149" s="193" t="s">
        <v>132</v>
      </c>
      <c r="B149" s="193"/>
      <c r="C149" s="326">
        <v>107</v>
      </c>
      <c r="D149" s="301">
        <v>3.2</v>
      </c>
      <c r="E149" s="121"/>
      <c r="F149" s="344">
        <f>ROUND(D149*$C149,0)</f>
        <v>342</v>
      </c>
      <c r="G149" s="301">
        <v>3.2</v>
      </c>
      <c r="H149" s="121"/>
      <c r="I149" s="344">
        <f t="shared" si="45"/>
        <v>342</v>
      </c>
      <c r="J149" s="301">
        <f>$J$91</f>
        <v>3.3216000000000001</v>
      </c>
      <c r="K149" s="121"/>
      <c r="L149" s="344">
        <f>ROUND(J149*$C149,0)</f>
        <v>355</v>
      </c>
      <c r="M149" s="344"/>
      <c r="N149" s="301"/>
      <c r="O149" s="121"/>
      <c r="P149" s="344"/>
      <c r="Q149" s="344"/>
      <c r="R149" s="301"/>
      <c r="S149" s="121"/>
      <c r="T149" s="344"/>
      <c r="U149" s="344"/>
      <c r="V149" s="301">
        <f>V91</f>
        <v>3.3216000000000001</v>
      </c>
      <c r="W149" s="121"/>
      <c r="X149" s="344">
        <f>ROUND(V149*$C149,0)</f>
        <v>355</v>
      </c>
      <c r="Y149" s="82"/>
      <c r="Z149" s="83"/>
      <c r="AA149" s="83"/>
      <c r="AB149" s="83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U149" s="114"/>
    </row>
    <row r="150" spans="1:54" ht="15.75">
      <c r="A150" s="193" t="s">
        <v>133</v>
      </c>
      <c r="B150" s="193"/>
      <c r="C150" s="326">
        <v>15</v>
      </c>
      <c r="D150" s="301">
        <v>-1.65</v>
      </c>
      <c r="E150" s="121"/>
      <c r="F150" s="344">
        <f>ROUND(D150*$C150,0)</f>
        <v>-25</v>
      </c>
      <c r="G150" s="301">
        <v>-1.65</v>
      </c>
      <c r="H150" s="121"/>
      <c r="I150" s="344">
        <f>ROUND(G150*C150,0)</f>
        <v>-25</v>
      </c>
      <c r="J150" s="301">
        <f>-J148</f>
        <v>-1.7126999999999999</v>
      </c>
      <c r="K150" s="121"/>
      <c r="L150" s="344">
        <f>ROUND(J150*$C150,0)</f>
        <v>-26</v>
      </c>
      <c r="M150" s="344"/>
      <c r="N150" s="301"/>
      <c r="O150" s="121"/>
      <c r="P150" s="344"/>
      <c r="Q150" s="344"/>
      <c r="R150" s="301"/>
      <c r="S150" s="121"/>
      <c r="T150" s="344"/>
      <c r="U150" s="344"/>
      <c r="V150" s="301">
        <f>-V148</f>
        <v>-1.7126999999999999</v>
      </c>
      <c r="W150" s="121"/>
      <c r="X150" s="344">
        <f>ROUND(V150*$C150,0)</f>
        <v>-26</v>
      </c>
      <c r="Y150" s="82"/>
      <c r="Z150" s="83"/>
      <c r="AA150" s="83"/>
      <c r="AB150" s="83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U150" s="114"/>
    </row>
    <row r="151" spans="1:54" ht="15.75">
      <c r="A151" s="179" t="s">
        <v>134</v>
      </c>
      <c r="B151" s="179"/>
      <c r="C151" s="326">
        <f>SUM(C145:C147)</f>
        <v>349034</v>
      </c>
      <c r="D151" s="445"/>
      <c r="E151" s="344"/>
      <c r="F151" s="344">
        <f>SUM(F144:F150)</f>
        <v>19624</v>
      </c>
      <c r="G151" s="445"/>
      <c r="H151" s="344"/>
      <c r="I151" s="344">
        <f>SUM(I144:I150)</f>
        <v>32421</v>
      </c>
      <c r="J151" s="344"/>
      <c r="K151" s="344"/>
      <c r="L151" s="344">
        <f>SUM(L144:L150)</f>
        <v>33048</v>
      </c>
      <c r="M151" s="344"/>
      <c r="N151" s="344"/>
      <c r="O151" s="344"/>
      <c r="P151" s="344">
        <f>SUM(P144:P150)</f>
        <v>7012.334342486025</v>
      </c>
      <c r="Q151" s="344"/>
      <c r="R151" s="344"/>
      <c r="S151" s="344"/>
      <c r="T151" s="344">
        <f>SUM(T144:T150)</f>
        <v>4944</v>
      </c>
      <c r="U151" s="344"/>
      <c r="V151" s="344"/>
      <c r="W151" s="344"/>
      <c r="X151" s="344">
        <f>SUM(X144:X150)</f>
        <v>21092.008537599999</v>
      </c>
      <c r="Y151" s="82"/>
      <c r="Z151" s="83"/>
      <c r="AA151" s="83"/>
      <c r="AB151" s="83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U151" s="114"/>
    </row>
    <row r="152" spans="1:54" ht="15.75">
      <c r="A152" s="179" t="s">
        <v>119</v>
      </c>
      <c r="B152" s="179"/>
      <c r="C152" s="446">
        <v>-1581.2292178126904</v>
      </c>
      <c r="D152" s="447"/>
      <c r="E152" s="447"/>
      <c r="F152" s="448">
        <f>I152</f>
        <v>-81.187001071598146</v>
      </c>
      <c r="G152" s="447"/>
      <c r="H152" s="447"/>
      <c r="I152" s="448">
        <v>-81.187001071598146</v>
      </c>
      <c r="J152" s="447"/>
      <c r="K152" s="447"/>
      <c r="L152" s="448">
        <f>I152</f>
        <v>-81.187001071598146</v>
      </c>
      <c r="M152" s="299"/>
      <c r="N152" s="447"/>
      <c r="O152" s="447"/>
      <c r="P152" s="448">
        <f>L152*(Unbundled!H21+Unbundled!I21+Unbundled!J21)</f>
        <v>-20.982354280678255</v>
      </c>
      <c r="Q152" s="299"/>
      <c r="R152" s="447"/>
      <c r="S152" s="447"/>
      <c r="T152" s="448">
        <f>L152*Unbundled!G21</f>
        <v>-12.423668245013371</v>
      </c>
      <c r="U152" s="299"/>
      <c r="V152" s="447"/>
      <c r="W152" s="447"/>
      <c r="X152" s="448">
        <f>L152*(Unbundled!F21)</f>
        <v>-47.780978545906514</v>
      </c>
      <c r="Y152" s="172"/>
      <c r="Z152" s="168"/>
      <c r="AA152" s="83"/>
      <c r="AB152" s="83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U152" s="114"/>
    </row>
    <row r="153" spans="1:54" ht="16.5" thickBot="1">
      <c r="A153" s="179" t="s">
        <v>135</v>
      </c>
      <c r="B153" s="179"/>
      <c r="C153" s="449">
        <f>C151+C152</f>
        <v>347452.77078218729</v>
      </c>
      <c r="D153" s="450"/>
      <c r="E153" s="450"/>
      <c r="F153" s="450">
        <f>F151+F152</f>
        <v>19542.812998928403</v>
      </c>
      <c r="G153" s="450"/>
      <c r="H153" s="450"/>
      <c r="I153" s="450">
        <f>I151+I152</f>
        <v>32339.812998928403</v>
      </c>
      <c r="J153" s="450"/>
      <c r="K153" s="450"/>
      <c r="L153" s="450">
        <f>L151+L152</f>
        <v>32966.812998928399</v>
      </c>
      <c r="M153" s="450"/>
      <c r="N153" s="450"/>
      <c r="O153" s="450"/>
      <c r="P153" s="450">
        <f>P151+P152</f>
        <v>6991.351988205347</v>
      </c>
      <c r="Q153" s="450"/>
      <c r="R153" s="450"/>
      <c r="S153" s="450"/>
      <c r="T153" s="450">
        <f>T151+T152</f>
        <v>4931.5763317549863</v>
      </c>
      <c r="U153" s="450"/>
      <c r="V153" s="450"/>
      <c r="W153" s="450"/>
      <c r="X153" s="450">
        <f>X151+X152</f>
        <v>21044.227559054092</v>
      </c>
      <c r="Y153" s="176"/>
      <c r="Z153" s="177"/>
      <c r="AA153" s="83"/>
      <c r="AB153" s="83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U153" s="114"/>
    </row>
    <row r="154" spans="1:54" ht="16.5" thickTop="1">
      <c r="A154" s="179"/>
      <c r="B154" s="204"/>
      <c r="C154" s="205"/>
      <c r="D154" s="179" t="s">
        <v>108</v>
      </c>
      <c r="E154" s="205"/>
      <c r="G154" s="179" t="s">
        <v>108</v>
      </c>
      <c r="H154" s="179"/>
      <c r="J154" s="179" t="s">
        <v>108</v>
      </c>
      <c r="K154" s="179"/>
      <c r="L154" s="106" t="s">
        <v>108</v>
      </c>
      <c r="M154" s="106"/>
      <c r="N154" s="179" t="s">
        <v>108</v>
      </c>
      <c r="O154" s="179"/>
      <c r="P154" s="106" t="s">
        <v>108</v>
      </c>
      <c r="Q154" s="106"/>
      <c r="R154" s="179" t="s">
        <v>108</v>
      </c>
      <c r="S154" s="179"/>
      <c r="T154" s="106" t="s">
        <v>108</v>
      </c>
      <c r="U154" s="106"/>
      <c r="V154" s="179" t="s">
        <v>108</v>
      </c>
      <c r="W154" s="179"/>
      <c r="X154" s="106" t="s">
        <v>108</v>
      </c>
      <c r="Y154" s="82"/>
      <c r="Z154" s="83"/>
      <c r="AA154" s="83"/>
      <c r="AB154" s="83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U154" s="114"/>
    </row>
    <row r="155" spans="1:54" ht="15.75">
      <c r="A155" s="178" t="s">
        <v>144</v>
      </c>
      <c r="B155" s="179"/>
      <c r="C155" s="179" t="s">
        <v>108</v>
      </c>
      <c r="D155" s="106"/>
      <c r="E155" s="106"/>
      <c r="F155" s="179" t="s">
        <v>108</v>
      </c>
      <c r="G155" s="106"/>
      <c r="H155" s="179"/>
      <c r="I155" s="179"/>
      <c r="J155" s="106"/>
      <c r="K155" s="179"/>
      <c r="L155" s="179"/>
      <c r="M155" s="179"/>
      <c r="N155" s="106"/>
      <c r="O155" s="179"/>
      <c r="P155" s="179"/>
      <c r="Q155" s="179"/>
      <c r="R155" s="106"/>
      <c r="S155" s="179"/>
      <c r="T155" s="179"/>
      <c r="U155" s="179"/>
      <c r="V155" s="106"/>
      <c r="W155" s="179"/>
      <c r="X155" s="179"/>
      <c r="Y155" s="82"/>
      <c r="Z155" s="83"/>
      <c r="AA155" s="83"/>
      <c r="AB155" s="83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U155" s="114"/>
    </row>
    <row r="156" spans="1:54" ht="15.75">
      <c r="A156" s="179" t="s">
        <v>145</v>
      </c>
      <c r="B156" s="179"/>
      <c r="C156" s="179"/>
      <c r="D156" s="106"/>
      <c r="E156" s="106"/>
      <c r="F156" s="179"/>
      <c r="G156" s="106"/>
      <c r="H156" s="179"/>
      <c r="I156" s="179"/>
      <c r="J156" s="106"/>
      <c r="K156" s="179"/>
      <c r="L156" s="179"/>
      <c r="M156" s="179"/>
      <c r="N156" s="106"/>
      <c r="O156" s="179"/>
      <c r="P156" s="179"/>
      <c r="Q156" s="179"/>
      <c r="R156" s="106"/>
      <c r="S156" s="179"/>
      <c r="T156" s="179"/>
      <c r="U156" s="179"/>
      <c r="V156" s="106"/>
      <c r="W156" s="179"/>
      <c r="X156" s="179"/>
      <c r="Y156" s="82"/>
      <c r="Z156" s="83"/>
      <c r="AA156" s="83"/>
      <c r="AB156" s="83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U156" s="114"/>
    </row>
    <row r="157" spans="1:54" ht="15.75">
      <c r="A157" s="179"/>
      <c r="B157" s="179"/>
      <c r="C157" s="179"/>
      <c r="D157" s="106"/>
      <c r="E157" s="106"/>
      <c r="F157" s="179"/>
      <c r="G157" s="109"/>
      <c r="H157" s="153"/>
      <c r="I157" s="153"/>
      <c r="J157" s="109"/>
      <c r="K157" s="153"/>
      <c r="L157" s="153"/>
      <c r="M157" s="153"/>
      <c r="N157" s="109"/>
      <c r="O157" s="153"/>
      <c r="P157" s="153"/>
      <c r="Q157" s="153"/>
      <c r="R157" s="109"/>
      <c r="S157" s="153"/>
      <c r="T157" s="153"/>
      <c r="U157" s="153"/>
      <c r="V157" s="109"/>
      <c r="W157" s="153"/>
      <c r="X157" s="153"/>
      <c r="Y157" s="82"/>
      <c r="AA157" s="83"/>
      <c r="AB157" s="83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U157" s="114"/>
    </row>
    <row r="158" spans="1:54" ht="15.75">
      <c r="A158" s="179" t="s">
        <v>146</v>
      </c>
      <c r="B158" s="179"/>
      <c r="C158" s="179"/>
      <c r="D158" s="106"/>
      <c r="E158" s="106"/>
      <c r="F158" s="179"/>
      <c r="G158" s="109"/>
      <c r="H158" s="153"/>
      <c r="I158" s="153"/>
      <c r="J158" s="109"/>
      <c r="K158" s="153"/>
      <c r="L158" s="153"/>
      <c r="M158" s="153"/>
      <c r="N158" s="109"/>
      <c r="O158" s="153"/>
      <c r="P158" s="153"/>
      <c r="Q158" s="153"/>
      <c r="R158" s="109"/>
      <c r="S158" s="153"/>
      <c r="T158" s="153"/>
      <c r="U158" s="153"/>
      <c r="V158" s="109"/>
      <c r="W158" s="153"/>
      <c r="X158" s="153"/>
      <c r="Y158" s="82"/>
      <c r="Z158" s="83"/>
      <c r="AA158" s="185"/>
      <c r="AB158" s="185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U158" s="114"/>
    </row>
    <row r="159" spans="1:54" ht="15.75">
      <c r="A159" s="179" t="s">
        <v>147</v>
      </c>
      <c r="B159" s="179"/>
      <c r="C159" s="205">
        <f>C425</f>
        <v>1</v>
      </c>
      <c r="D159" s="210">
        <v>104.52000000000001</v>
      </c>
      <c r="E159" s="106"/>
      <c r="F159" s="106">
        <f t="shared" ref="F159:I161" si="46">F396</f>
        <v>105</v>
      </c>
      <c r="G159" s="186">
        <v>104.52000000000001</v>
      </c>
      <c r="H159" s="153"/>
      <c r="I159" s="109">
        <f t="shared" si="46"/>
        <v>105</v>
      </c>
      <c r="J159" s="186">
        <v>104.52000000000001</v>
      </c>
      <c r="K159" s="153"/>
      <c r="L159" s="109">
        <f>L396</f>
        <v>105</v>
      </c>
      <c r="M159" s="109"/>
      <c r="N159" s="186">
        <v>105</v>
      </c>
      <c r="O159" s="153"/>
      <c r="P159" s="109">
        <f>N159*C159</f>
        <v>105</v>
      </c>
      <c r="Q159" s="109"/>
      <c r="R159" s="186"/>
      <c r="S159" s="153"/>
      <c r="T159" s="109"/>
      <c r="U159" s="109"/>
      <c r="V159" s="186"/>
      <c r="W159" s="153"/>
      <c r="X159" s="109"/>
      <c r="AA159" s="146"/>
      <c r="AB159" s="146"/>
      <c r="AE159" s="216"/>
      <c r="AG159" s="216"/>
      <c r="AI159" s="216"/>
      <c r="AJ159" s="216"/>
      <c r="AU159" s="82"/>
      <c r="AV159" s="82"/>
      <c r="AW159" s="82"/>
      <c r="AX159" s="82"/>
      <c r="AY159" s="82"/>
      <c r="AZ159" s="82"/>
      <c r="BB159" s="114"/>
    </row>
    <row r="160" spans="1:54" ht="15.75">
      <c r="A160" s="179" t="s">
        <v>148</v>
      </c>
      <c r="B160" s="179"/>
      <c r="C160" s="205">
        <f>C397</f>
        <v>86.216438356164403</v>
      </c>
      <c r="D160" s="210">
        <v>155.76</v>
      </c>
      <c r="E160" s="106"/>
      <c r="F160" s="106">
        <f t="shared" si="46"/>
        <v>13429</v>
      </c>
      <c r="G160" s="186">
        <v>155.76</v>
      </c>
      <c r="H160" s="153"/>
      <c r="I160" s="109">
        <f t="shared" si="46"/>
        <v>13429</v>
      </c>
      <c r="J160" s="186">
        <v>155.76</v>
      </c>
      <c r="K160" s="153"/>
      <c r="L160" s="109">
        <f>L397</f>
        <v>13429</v>
      </c>
      <c r="M160" s="109"/>
      <c r="N160" s="186">
        <v>155.76</v>
      </c>
      <c r="O160" s="153"/>
      <c r="P160" s="109">
        <f t="shared" ref="P160:P165" si="47">N160*C160</f>
        <v>13429.072438356166</v>
      </c>
      <c r="Q160" s="109"/>
      <c r="R160" s="186"/>
      <c r="S160" s="153"/>
      <c r="T160" s="109"/>
      <c r="U160" s="109"/>
      <c r="V160" s="186"/>
      <c r="W160" s="153"/>
      <c r="X160" s="109"/>
      <c r="Y160" s="114"/>
      <c r="AA160" s="146"/>
      <c r="AB160" s="146"/>
      <c r="AD160" s="114"/>
      <c r="AE160" s="217"/>
      <c r="AF160" s="114"/>
      <c r="AG160" s="217"/>
      <c r="AH160" s="114"/>
      <c r="AI160" s="114"/>
      <c r="AJ160" s="217"/>
      <c r="AK160" s="190"/>
      <c r="AL160" s="114"/>
      <c r="AM160" s="114"/>
      <c r="AU160" s="82"/>
      <c r="AV160" s="82"/>
      <c r="AW160" s="82"/>
      <c r="AX160" s="82"/>
      <c r="AY160" s="82"/>
      <c r="AZ160" s="82"/>
      <c r="BB160" s="114"/>
    </row>
    <row r="161" spans="1:54" ht="15.75">
      <c r="A161" s="179" t="s">
        <v>149</v>
      </c>
      <c r="B161" s="179"/>
      <c r="C161" s="205">
        <f>C398</f>
        <v>3360.78082191781</v>
      </c>
      <c r="D161" s="210">
        <v>11.040000000000001</v>
      </c>
      <c r="E161" s="106"/>
      <c r="F161" s="106">
        <f t="shared" si="46"/>
        <v>37103</v>
      </c>
      <c r="G161" s="186">
        <v>11.040000000000001</v>
      </c>
      <c r="H161" s="153"/>
      <c r="I161" s="109">
        <f t="shared" si="46"/>
        <v>37103</v>
      </c>
      <c r="J161" s="186">
        <v>11.040000000000001</v>
      </c>
      <c r="K161" s="153"/>
      <c r="L161" s="109">
        <f>L398</f>
        <v>37103</v>
      </c>
      <c r="M161" s="109"/>
      <c r="N161" s="186">
        <v>11.04</v>
      </c>
      <c r="O161" s="153"/>
      <c r="P161" s="109">
        <f t="shared" si="47"/>
        <v>37103.020273972623</v>
      </c>
      <c r="Q161" s="109"/>
      <c r="R161" s="186"/>
      <c r="S161" s="153"/>
      <c r="T161" s="109"/>
      <c r="U161" s="109"/>
      <c r="V161" s="186"/>
      <c r="W161" s="153"/>
      <c r="X161" s="109"/>
      <c r="AA161" s="146"/>
      <c r="AB161" s="146"/>
      <c r="AD161" s="114"/>
      <c r="AE161" s="217"/>
      <c r="AF161" s="114"/>
      <c r="AG161" s="217"/>
      <c r="AH161" s="114"/>
      <c r="AI161" s="114"/>
      <c r="AJ161" s="217"/>
      <c r="AK161" s="190"/>
      <c r="AL161" s="114"/>
      <c r="AM161" s="114"/>
      <c r="AU161" s="82"/>
      <c r="AV161" s="82"/>
      <c r="AW161" s="82"/>
      <c r="AX161" s="82"/>
      <c r="AY161" s="82"/>
      <c r="AZ161" s="82"/>
      <c r="BB161" s="114"/>
    </row>
    <row r="162" spans="1:54" ht="15.75">
      <c r="A162" s="179" t="s">
        <v>11</v>
      </c>
      <c r="B162" s="179"/>
      <c r="C162" s="218"/>
      <c r="D162" s="106"/>
      <c r="E162" s="106"/>
      <c r="F162" s="179"/>
      <c r="G162" s="109"/>
      <c r="H162" s="153"/>
      <c r="I162" s="153"/>
      <c r="J162" s="109"/>
      <c r="K162" s="153"/>
      <c r="L162" s="153"/>
      <c r="M162" s="153"/>
      <c r="N162" s="109"/>
      <c r="O162" s="153"/>
      <c r="P162" s="153"/>
      <c r="Q162" s="153"/>
      <c r="R162" s="109"/>
      <c r="S162" s="153"/>
      <c r="T162" s="153"/>
      <c r="U162" s="153"/>
      <c r="V162" s="109"/>
      <c r="W162" s="153"/>
      <c r="X162" s="153"/>
      <c r="AA162" s="219"/>
      <c r="AB162" s="219"/>
      <c r="AD162" s="114"/>
      <c r="AE162" s="217"/>
      <c r="AF162" s="114"/>
      <c r="AG162" s="217"/>
      <c r="AH162" s="114"/>
      <c r="AI162" s="114"/>
      <c r="AJ162" s="217"/>
      <c r="AK162" s="190"/>
      <c r="AL162" s="114"/>
      <c r="AM162" s="114"/>
      <c r="AU162" s="82"/>
      <c r="AV162" s="82"/>
      <c r="AW162" s="82"/>
      <c r="AX162" s="82"/>
      <c r="AY162" s="82"/>
      <c r="AZ162" s="82"/>
      <c r="BB162" s="114"/>
    </row>
    <row r="163" spans="1:54" ht="15.75">
      <c r="A163" s="179" t="s">
        <v>147</v>
      </c>
      <c r="B163" s="179"/>
      <c r="C163" s="218">
        <f>C195+C308</f>
        <v>164390.55320404682</v>
      </c>
      <c r="D163" s="210">
        <v>8.7100000000000009</v>
      </c>
      <c r="E163" s="220"/>
      <c r="F163" s="221">
        <f>F195+F308</f>
        <v>1431841</v>
      </c>
      <c r="G163" s="186">
        <v>8.7100000000000009</v>
      </c>
      <c r="H163" s="153"/>
      <c r="I163" s="169">
        <f>I195+I308</f>
        <v>1431841</v>
      </c>
      <c r="J163" s="186">
        <v>8.7100000000000009</v>
      </c>
      <c r="K163" s="153"/>
      <c r="L163" s="169">
        <f>L195+L308</f>
        <v>1431841</v>
      </c>
      <c r="M163" s="169"/>
      <c r="N163" s="186">
        <f>N195</f>
        <v>8.7100000000000009</v>
      </c>
      <c r="O163" s="153"/>
      <c r="P163" s="109">
        <f t="shared" si="47"/>
        <v>1431841.7184072479</v>
      </c>
      <c r="Q163" s="169"/>
      <c r="R163" s="186"/>
      <c r="S163" s="153"/>
      <c r="T163" s="109"/>
      <c r="U163" s="169"/>
      <c r="V163" s="186"/>
      <c r="W163" s="153"/>
      <c r="X163" s="109"/>
      <c r="AA163" s="146"/>
      <c r="AB163" s="146"/>
      <c r="AD163" s="114"/>
      <c r="AE163" s="217"/>
      <c r="AF163" s="114"/>
      <c r="AG163" s="217"/>
      <c r="AH163" s="114"/>
      <c r="AI163" s="114"/>
      <c r="AJ163" s="217"/>
      <c r="AK163" s="190"/>
      <c r="AL163" s="114"/>
      <c r="AM163" s="114"/>
      <c r="AU163" s="82"/>
      <c r="AV163" s="82"/>
      <c r="AW163" s="82"/>
      <c r="AX163" s="82"/>
      <c r="AY163" s="82"/>
      <c r="AZ163" s="82"/>
      <c r="BB163" s="114"/>
    </row>
    <row r="164" spans="1:54" ht="15.75">
      <c r="A164" s="179" t="s">
        <v>148</v>
      </c>
      <c r="B164" s="179"/>
      <c r="C164" s="218">
        <f>C196+C309</f>
        <v>63164.166666666628</v>
      </c>
      <c r="D164" s="210">
        <v>12.98</v>
      </c>
      <c r="E164" s="222"/>
      <c r="F164" s="221">
        <f>F196+F309</f>
        <v>819872</v>
      </c>
      <c r="G164" s="186">
        <v>12.98</v>
      </c>
      <c r="H164" s="223"/>
      <c r="I164" s="169">
        <f>I196+I309</f>
        <v>819872</v>
      </c>
      <c r="J164" s="186">
        <v>12.98</v>
      </c>
      <c r="K164" s="223"/>
      <c r="L164" s="169">
        <f>L196+L309</f>
        <v>819872</v>
      </c>
      <c r="M164" s="169"/>
      <c r="N164" s="186">
        <f t="shared" ref="N164:N165" si="48">N196</f>
        <v>12.98</v>
      </c>
      <c r="O164" s="223"/>
      <c r="P164" s="109">
        <f t="shared" si="47"/>
        <v>819870.88333333284</v>
      </c>
      <c r="Q164" s="169"/>
      <c r="R164" s="186"/>
      <c r="S164" s="223"/>
      <c r="T164" s="109"/>
      <c r="U164" s="169"/>
      <c r="V164" s="186"/>
      <c r="W164" s="223"/>
      <c r="X164" s="109"/>
      <c r="AA164" s="146"/>
      <c r="AB164" s="146"/>
      <c r="AC164" s="88"/>
      <c r="AD164" s="114"/>
      <c r="AE164" s="217"/>
      <c r="AF164" s="114"/>
      <c r="AG164" s="224"/>
      <c r="AH164" s="114"/>
      <c r="AI164" s="114"/>
      <c r="AJ164" s="224"/>
      <c r="AL164" s="82"/>
      <c r="AM164" s="82"/>
      <c r="AN164" s="82"/>
      <c r="AO164" s="82"/>
      <c r="AP164" s="82"/>
      <c r="AQ164" s="82"/>
      <c r="AR164" s="82"/>
      <c r="AS164" s="82"/>
      <c r="AU164" s="114"/>
    </row>
    <row r="165" spans="1:54" ht="15.75">
      <c r="A165" s="179" t="s">
        <v>149</v>
      </c>
      <c r="B165" s="179"/>
      <c r="C165" s="218">
        <f>C197+C310</f>
        <v>1251783</v>
      </c>
      <c r="D165" s="210">
        <v>0.92</v>
      </c>
      <c r="E165" s="222"/>
      <c r="F165" s="221">
        <f>F197+F310</f>
        <v>1151641</v>
      </c>
      <c r="G165" s="186">
        <v>0.92</v>
      </c>
      <c r="H165" s="223"/>
      <c r="I165" s="169">
        <f>I197+I310</f>
        <v>1151641</v>
      </c>
      <c r="J165" s="186">
        <v>0.92</v>
      </c>
      <c r="K165" s="223"/>
      <c r="L165" s="169">
        <f>L197+L310</f>
        <v>1151641</v>
      </c>
      <c r="M165" s="169"/>
      <c r="N165" s="186">
        <f t="shared" si="48"/>
        <v>0.92</v>
      </c>
      <c r="O165" s="223"/>
      <c r="P165" s="109">
        <f t="shared" si="47"/>
        <v>1151640.3600000001</v>
      </c>
      <c r="Q165" s="169"/>
      <c r="R165" s="186"/>
      <c r="S165" s="223"/>
      <c r="T165" s="109"/>
      <c r="U165" s="169"/>
      <c r="V165" s="186"/>
      <c r="W165" s="223"/>
      <c r="X165" s="109"/>
      <c r="AA165" s="146"/>
      <c r="AB165" s="146"/>
      <c r="AC165" s="88"/>
      <c r="AF165" s="225"/>
      <c r="AG165" s="225"/>
      <c r="AH165" s="225"/>
      <c r="AI165" s="225"/>
      <c r="AJ165" s="225"/>
      <c r="AL165" s="82"/>
      <c r="AM165" s="82"/>
      <c r="AN165" s="82"/>
      <c r="AO165" s="82"/>
      <c r="AP165" s="82"/>
      <c r="AQ165" s="82"/>
      <c r="AR165" s="82"/>
      <c r="AS165" s="82"/>
      <c r="AU165" s="114"/>
    </row>
    <row r="166" spans="1:54" ht="15.75">
      <c r="A166" s="179" t="s">
        <v>150</v>
      </c>
      <c r="B166" s="179"/>
      <c r="C166" s="218">
        <f>SUM(C163:C164)</f>
        <v>227554.71987071345</v>
      </c>
      <c r="D166" s="210"/>
      <c r="E166" s="220"/>
      <c r="F166" s="221"/>
      <c r="G166" s="186"/>
      <c r="H166" s="153"/>
      <c r="I166" s="169"/>
      <c r="J166" s="186"/>
      <c r="K166" s="153"/>
      <c r="L166" s="169"/>
      <c r="M166" s="169"/>
      <c r="N166" s="186"/>
      <c r="O166" s="153"/>
      <c r="P166" s="169"/>
      <c r="Q166" s="169"/>
      <c r="R166" s="186"/>
      <c r="S166" s="153"/>
      <c r="T166" s="169"/>
      <c r="U166" s="169"/>
      <c r="V166" s="186"/>
      <c r="W166" s="153"/>
      <c r="X166" s="169"/>
      <c r="AA166" s="219"/>
      <c r="AB166" s="219"/>
      <c r="AC166" s="88"/>
      <c r="AL166" s="82"/>
      <c r="AM166" s="82"/>
      <c r="AN166" s="82"/>
      <c r="AO166" s="82"/>
      <c r="AP166" s="82"/>
      <c r="AQ166" s="82"/>
      <c r="AR166" s="82"/>
      <c r="AS166" s="82"/>
      <c r="AU166" s="114"/>
    </row>
    <row r="167" spans="1:54" ht="15.75">
      <c r="A167" s="179" t="s">
        <v>117</v>
      </c>
      <c r="B167" s="179"/>
      <c r="C167" s="218">
        <f t="shared" ref="C167:C172" si="49">C198+C312+C400</f>
        <v>225461.92499999961</v>
      </c>
      <c r="D167" s="210"/>
      <c r="E167" s="220"/>
      <c r="F167" s="221"/>
      <c r="G167" s="186"/>
      <c r="H167" s="153"/>
      <c r="I167" s="169"/>
      <c r="J167" s="186"/>
      <c r="K167" s="153"/>
      <c r="L167" s="169"/>
      <c r="M167" s="169"/>
      <c r="N167" s="186"/>
      <c r="O167" s="153"/>
      <c r="P167" s="169"/>
      <c r="Q167" s="169"/>
      <c r="R167" s="186"/>
      <c r="S167" s="153"/>
      <c r="T167" s="169"/>
      <c r="U167" s="169"/>
      <c r="V167" s="186"/>
      <c r="W167" s="153"/>
      <c r="X167" s="169"/>
      <c r="AA167" s="219"/>
      <c r="AB167" s="219"/>
      <c r="AC167" s="88"/>
      <c r="AL167" s="82"/>
      <c r="AM167" s="82"/>
      <c r="AN167" s="82"/>
      <c r="AO167" s="82"/>
      <c r="AP167" s="82"/>
      <c r="AQ167" s="82"/>
      <c r="AR167" s="82"/>
      <c r="AS167" s="82"/>
      <c r="AU167" s="114"/>
    </row>
    <row r="168" spans="1:54" ht="15.75">
      <c r="A168" s="179" t="s">
        <v>151</v>
      </c>
      <c r="B168" s="179"/>
      <c r="C168" s="218">
        <f t="shared" si="49"/>
        <v>856088.82058823528</v>
      </c>
      <c r="D168" s="210">
        <v>3.4</v>
      </c>
      <c r="E168" s="226"/>
      <c r="F168" s="221">
        <f>F199+F313+F401</f>
        <v>2910702</v>
      </c>
      <c r="G168" s="186">
        <v>3.61</v>
      </c>
      <c r="H168" s="153"/>
      <c r="I168" s="169">
        <f>I199+I313+I401</f>
        <v>3090481</v>
      </c>
      <c r="J168" s="186">
        <v>3.61</v>
      </c>
      <c r="K168" s="153"/>
      <c r="L168" s="169">
        <f>L199+L313+L401</f>
        <v>3090481</v>
      </c>
      <c r="M168" s="169"/>
      <c r="N168" s="186">
        <f>N199</f>
        <v>0.73180556367242244</v>
      </c>
      <c r="O168" s="153" t="s">
        <v>108</v>
      </c>
      <c r="P168" s="109">
        <f t="shared" ref="P168" si="50">N168*C168</f>
        <v>626490.56190423283</v>
      </c>
      <c r="Q168" s="153" t="s">
        <v>108</v>
      </c>
      <c r="R168" s="186">
        <f>R199</f>
        <v>0.59067856199955471</v>
      </c>
      <c r="S168" s="153" t="s">
        <v>108</v>
      </c>
      <c r="T168" s="109">
        <f t="shared" ref="T168" si="51">R168*C168</f>
        <v>505673.31348895357</v>
      </c>
      <c r="U168" s="109"/>
      <c r="V168" s="186">
        <f>V199</f>
        <v>2.2875158743280228</v>
      </c>
      <c r="W168" s="153" t="s">
        <v>108</v>
      </c>
      <c r="X168" s="109">
        <f>V168*C168</f>
        <v>1958316.7669303429</v>
      </c>
      <c r="Y168" s="114"/>
      <c r="AA168" s="146"/>
      <c r="AB168" s="146"/>
      <c r="AC168" s="88"/>
      <c r="AL168" s="82"/>
      <c r="AM168" s="82"/>
      <c r="AN168" s="82"/>
      <c r="AO168" s="82"/>
      <c r="AP168" s="82"/>
      <c r="AQ168" s="82"/>
      <c r="AR168" s="82"/>
      <c r="AS168" s="82"/>
      <c r="AU168" s="114"/>
    </row>
    <row r="169" spans="1:54" ht="15.75">
      <c r="A169" s="179" t="s">
        <v>152</v>
      </c>
      <c r="B169" s="179"/>
      <c r="C169" s="218">
        <f t="shared" si="49"/>
        <v>131966941.08172859</v>
      </c>
      <c r="D169" s="211">
        <v>9.766</v>
      </c>
      <c r="E169" s="226" t="s">
        <v>116</v>
      </c>
      <c r="F169" s="221">
        <f>F200+F314+F402</f>
        <v>12887891</v>
      </c>
      <c r="G169" s="188">
        <v>10.359</v>
      </c>
      <c r="H169" s="153" t="s">
        <v>116</v>
      </c>
      <c r="I169" s="169">
        <f>I200+I314+I402</f>
        <v>13670457</v>
      </c>
      <c r="J169" s="188">
        <v>10.359</v>
      </c>
      <c r="K169" s="153" t="s">
        <v>116</v>
      </c>
      <c r="L169" s="169">
        <f>L200+L314+L402</f>
        <v>13670457</v>
      </c>
      <c r="M169" s="169"/>
      <c r="N169" s="186">
        <f t="shared" ref="N169:N171" si="52">N200</f>
        <v>2.0999373501613916</v>
      </c>
      <c r="O169" s="130" t="s">
        <v>116</v>
      </c>
      <c r="P169" s="109">
        <f>N169*C169/100</f>
        <v>2771223.0856406963</v>
      </c>
      <c r="Q169" s="169"/>
      <c r="R169" s="186">
        <f t="shared" ref="R169:R172" si="53">R200</f>
        <v>1.69496931405911</v>
      </c>
      <c r="S169" s="153" t="s">
        <v>116</v>
      </c>
      <c r="T169" s="109">
        <f>R169*C169/100</f>
        <v>2236799.1560377646</v>
      </c>
      <c r="U169" s="169"/>
      <c r="V169" s="186">
        <f t="shared" ref="V169:V172" si="54">V200</f>
        <v>6.5640933357794982</v>
      </c>
      <c r="W169" s="153" t="s">
        <v>116</v>
      </c>
      <c r="X169" s="109">
        <f>V169*C169/100</f>
        <v>8662433.1849778034</v>
      </c>
      <c r="AA169" s="146"/>
      <c r="AB169" s="146"/>
      <c r="AC169" s="88"/>
      <c r="AD169" s="227"/>
      <c r="AE169" s="227"/>
      <c r="AF169" s="227"/>
      <c r="AG169" s="227"/>
      <c r="AH169" s="227"/>
      <c r="AI169" s="227"/>
      <c r="AL169" s="82"/>
      <c r="AM169" s="82"/>
      <c r="AN169" s="82"/>
      <c r="AO169" s="82"/>
      <c r="AP169" s="82"/>
      <c r="AQ169" s="82"/>
      <c r="AR169" s="82"/>
      <c r="AS169" s="82"/>
      <c r="AU169" s="114"/>
    </row>
    <row r="170" spans="1:54" ht="15.75">
      <c r="A170" s="179" t="s">
        <v>153</v>
      </c>
      <c r="B170" s="179"/>
      <c r="C170" s="218">
        <f t="shared" si="49"/>
        <v>289086888.50220066</v>
      </c>
      <c r="D170" s="211">
        <v>6.7460000000000004</v>
      </c>
      <c r="E170" s="226" t="s">
        <v>116</v>
      </c>
      <c r="F170" s="221">
        <f>F201+F315+F403</f>
        <v>19501802</v>
      </c>
      <c r="G170" s="188">
        <v>7.1559999999999997</v>
      </c>
      <c r="H170" s="153" t="s">
        <v>116</v>
      </c>
      <c r="I170" s="169">
        <f>I201+I315+I403</f>
        <v>20687058</v>
      </c>
      <c r="J170" s="188">
        <v>7.1559999999999997</v>
      </c>
      <c r="K170" s="153" t="s">
        <v>116</v>
      </c>
      <c r="L170" s="169">
        <f>L201+L315+L403</f>
        <v>20687058</v>
      </c>
      <c r="M170" s="169"/>
      <c r="N170" s="186">
        <f t="shared" si="52"/>
        <v>1.4506372890969126</v>
      </c>
      <c r="O170" s="130" t="s">
        <v>116</v>
      </c>
      <c r="P170" s="109">
        <f t="shared" ref="P170:P171" si="55">N170*C170/100</f>
        <v>4193602.202502938</v>
      </c>
      <c r="Q170" s="169"/>
      <c r="R170" s="186">
        <f t="shared" si="53"/>
        <v>1.1708852602960702</v>
      </c>
      <c r="S170" s="153" t="s">
        <v>116</v>
      </c>
      <c r="T170" s="109">
        <f t="shared" ref="T170:T171" si="56">R170*C170/100</f>
        <v>3384875.7669208026</v>
      </c>
      <c r="U170" s="169"/>
      <c r="V170" s="186">
        <f t="shared" si="54"/>
        <v>4.5344774506070165</v>
      </c>
      <c r="W170" s="153" t="s">
        <v>116</v>
      </c>
      <c r="X170" s="109">
        <f>V170*C170/100</f>
        <v>13108579.771793738</v>
      </c>
      <c r="Y170" s="228"/>
      <c r="AA170" s="146"/>
      <c r="AB170" s="146"/>
      <c r="AC170" s="88"/>
      <c r="AL170" s="82"/>
      <c r="AM170" s="82"/>
      <c r="AN170" s="82"/>
      <c r="AO170" s="82"/>
      <c r="AP170" s="82"/>
      <c r="AQ170" s="82"/>
      <c r="AR170" s="82"/>
      <c r="AS170" s="82"/>
      <c r="AU170" s="114"/>
    </row>
    <row r="171" spans="1:54" ht="15.75">
      <c r="A171" s="179" t="s">
        <v>154</v>
      </c>
      <c r="B171" s="179"/>
      <c r="C171" s="218">
        <f t="shared" si="49"/>
        <v>123964295.42237033</v>
      </c>
      <c r="D171" s="211">
        <v>5.8120000000000003</v>
      </c>
      <c r="E171" s="226" t="s">
        <v>116</v>
      </c>
      <c r="F171" s="221">
        <f>F202+F316+F404</f>
        <v>7204804</v>
      </c>
      <c r="G171" s="188">
        <v>6.1660000000000004</v>
      </c>
      <c r="H171" s="153" t="s">
        <v>116</v>
      </c>
      <c r="I171" s="169">
        <f>I202+I316+I404</f>
        <v>7643639</v>
      </c>
      <c r="J171" s="188">
        <v>6.1660000000000004</v>
      </c>
      <c r="K171" s="153" t="s">
        <v>116</v>
      </c>
      <c r="L171" s="169">
        <f>L202+L316+L404</f>
        <v>7643639</v>
      </c>
      <c r="M171" s="169"/>
      <c r="N171" s="186">
        <f t="shared" si="52"/>
        <v>1.2499482286992125</v>
      </c>
      <c r="O171" s="130" t="s">
        <v>116</v>
      </c>
      <c r="P171" s="109">
        <f t="shared" si="55"/>
        <v>1549489.5148513771</v>
      </c>
      <c r="Q171" s="169"/>
      <c r="R171" s="186">
        <f t="shared" si="53"/>
        <v>1.0088986186396827</v>
      </c>
      <c r="S171" s="153" t="s">
        <v>116</v>
      </c>
      <c r="T171" s="109">
        <f t="shared" si="56"/>
        <v>1250674.0641227097</v>
      </c>
      <c r="U171" s="169"/>
      <c r="V171" s="186">
        <f t="shared" si="54"/>
        <v>3.9071531526611052</v>
      </c>
      <c r="W171" s="153" t="s">
        <v>116</v>
      </c>
      <c r="X171" s="109">
        <f>V171*C171/100</f>
        <v>4843474.8767692689</v>
      </c>
      <c r="Y171" s="191"/>
      <c r="AA171" s="146"/>
      <c r="AB171" s="146"/>
      <c r="AC171" s="88"/>
      <c r="AD171" s="114"/>
      <c r="AE171" s="114"/>
      <c r="AL171" s="82"/>
      <c r="AM171" s="82"/>
      <c r="AN171" s="82"/>
      <c r="AO171" s="82"/>
      <c r="AP171" s="82"/>
      <c r="AQ171" s="82"/>
      <c r="AR171" s="82"/>
      <c r="AS171" s="82"/>
      <c r="AU171" s="114"/>
    </row>
    <row r="172" spans="1:54" ht="15.75">
      <c r="A172" s="179" t="s">
        <v>155</v>
      </c>
      <c r="B172" s="179"/>
      <c r="C172" s="218">
        <f t="shared" si="49"/>
        <v>118638.41500000002</v>
      </c>
      <c r="D172" s="229">
        <v>56</v>
      </c>
      <c r="E172" s="220" t="s">
        <v>116</v>
      </c>
      <c r="F172" s="221">
        <f>F203+F317+F405</f>
        <v>66437</v>
      </c>
      <c r="G172" s="230">
        <v>56</v>
      </c>
      <c r="H172" s="153" t="s">
        <v>116</v>
      </c>
      <c r="I172" s="169">
        <f>I203+I317+I405</f>
        <v>66437</v>
      </c>
      <c r="J172" s="230">
        <v>56</v>
      </c>
      <c r="K172" s="153" t="s">
        <v>116</v>
      </c>
      <c r="L172" s="169">
        <f>L203+L317+L405</f>
        <v>66437</v>
      </c>
      <c r="M172" s="169"/>
      <c r="N172" s="230"/>
      <c r="O172" s="153"/>
      <c r="P172" s="231"/>
      <c r="Q172" s="169"/>
      <c r="R172" s="186">
        <f t="shared" ca="1" si="53"/>
        <v>11</v>
      </c>
      <c r="S172" s="153" t="s">
        <v>116</v>
      </c>
      <c r="T172" s="109">
        <f ca="1">R172*C172/100</f>
        <v>13050.225650000002</v>
      </c>
      <c r="U172" s="169"/>
      <c r="V172" s="186">
        <f t="shared" ca="1" si="54"/>
        <v>45</v>
      </c>
      <c r="W172" s="153" t="s">
        <v>116</v>
      </c>
      <c r="X172" s="109">
        <f ca="1">V172*C172/100</f>
        <v>53387.286750000007</v>
      </c>
      <c r="AA172" s="146"/>
      <c r="AB172" s="146"/>
      <c r="AC172" s="88"/>
      <c r="AL172" s="82"/>
      <c r="AM172" s="82"/>
      <c r="AN172" s="82"/>
      <c r="AO172" s="82"/>
      <c r="AP172" s="82"/>
      <c r="AQ172" s="82"/>
      <c r="AR172" s="82"/>
      <c r="AS172" s="82"/>
      <c r="AU172" s="114"/>
    </row>
    <row r="173" spans="1:54" ht="15.75">
      <c r="A173" s="233" t="s">
        <v>156</v>
      </c>
      <c r="B173" s="179"/>
      <c r="C173" s="218"/>
      <c r="D173" s="234">
        <v>-0.01</v>
      </c>
      <c r="E173" s="220"/>
      <c r="F173" s="221"/>
      <c r="G173" s="235">
        <v>-0.01</v>
      </c>
      <c r="H173" s="153"/>
      <c r="I173" s="169"/>
      <c r="J173" s="235">
        <v>-0.01</v>
      </c>
      <c r="K173" s="153"/>
      <c r="L173" s="169"/>
      <c r="M173" s="169"/>
      <c r="N173" s="235">
        <v>-0.01</v>
      </c>
      <c r="O173" s="153"/>
      <c r="P173" s="169"/>
      <c r="Q173" s="169"/>
      <c r="R173" s="235">
        <v>-0.01</v>
      </c>
      <c r="S173" s="153"/>
      <c r="T173" s="169"/>
      <c r="U173" s="169"/>
      <c r="V173" s="235">
        <v>-0.01</v>
      </c>
      <c r="W173" s="153"/>
      <c r="X173" s="169"/>
      <c r="Z173" s="236"/>
      <c r="AL173" s="82"/>
      <c r="AM173" s="82"/>
      <c r="AN173" s="82"/>
      <c r="AO173" s="82"/>
      <c r="AP173" s="82"/>
      <c r="AQ173" s="82"/>
      <c r="AR173" s="82"/>
      <c r="AS173" s="82"/>
      <c r="AU173" s="114"/>
    </row>
    <row r="174" spans="1:54" ht="15.75">
      <c r="A174" s="179" t="s">
        <v>147</v>
      </c>
      <c r="B174" s="179"/>
      <c r="C174" s="218">
        <f t="shared" ref="C174:C185" si="57">C205+C319+C407</f>
        <v>71.966666666666697</v>
      </c>
      <c r="D174" s="237">
        <v>8.7100000000000009</v>
      </c>
      <c r="E174" s="220"/>
      <c r="F174" s="221">
        <f t="shared" ref="F174:F184" si="58">F205+F319+F407</f>
        <v>-6</v>
      </c>
      <c r="G174" s="238">
        <v>8.7100000000000009</v>
      </c>
      <c r="H174" s="109"/>
      <c r="I174" s="169">
        <f t="shared" ref="I174:I185" si="59">I205+I319+I407</f>
        <v>-6</v>
      </c>
      <c r="J174" s="238">
        <f>J163</f>
        <v>8.7100000000000009</v>
      </c>
      <c r="K174" s="109"/>
      <c r="L174" s="169">
        <f t="shared" ref="L174:L184" si="60">L205+L319+L407</f>
        <v>-6</v>
      </c>
      <c r="M174" s="169"/>
      <c r="N174" s="238">
        <f>N163</f>
        <v>8.7100000000000009</v>
      </c>
      <c r="O174" s="109"/>
      <c r="P174" s="169">
        <f>N174*C174*N173</f>
        <v>-6.2682966666666697</v>
      </c>
      <c r="Q174" s="169"/>
      <c r="R174" s="238">
        <f>R163</f>
        <v>0</v>
      </c>
      <c r="S174" s="109"/>
      <c r="T174" s="169">
        <f>R174*C174*R173</f>
        <v>0</v>
      </c>
      <c r="U174" s="169"/>
      <c r="V174" s="238">
        <f>V163</f>
        <v>0</v>
      </c>
      <c r="W174" s="109"/>
      <c r="X174" s="169">
        <f>V174*C174*V173</f>
        <v>0</v>
      </c>
      <c r="AL174" s="82"/>
      <c r="AM174" s="82"/>
      <c r="AN174" s="82"/>
      <c r="AO174" s="82"/>
      <c r="AP174" s="82"/>
      <c r="AQ174" s="82"/>
      <c r="AR174" s="82"/>
      <c r="AS174" s="82"/>
      <c r="AU174" s="114"/>
    </row>
    <row r="175" spans="1:54" ht="15.75">
      <c r="A175" s="179" t="s">
        <v>148</v>
      </c>
      <c r="B175" s="179"/>
      <c r="C175" s="218">
        <f t="shared" si="57"/>
        <v>38.6</v>
      </c>
      <c r="D175" s="237">
        <v>12.98</v>
      </c>
      <c r="E175" s="220"/>
      <c r="F175" s="221">
        <f t="shared" si="58"/>
        <v>-5</v>
      </c>
      <c r="G175" s="238">
        <v>12.98</v>
      </c>
      <c r="H175" s="109"/>
      <c r="I175" s="169">
        <f t="shared" si="59"/>
        <v>-5</v>
      </c>
      <c r="J175" s="238">
        <f>J164</f>
        <v>12.98</v>
      </c>
      <c r="K175" s="109"/>
      <c r="L175" s="169">
        <f t="shared" si="60"/>
        <v>-5</v>
      </c>
      <c r="M175" s="169"/>
      <c r="N175" s="238">
        <f>N164</f>
        <v>12.98</v>
      </c>
      <c r="O175" s="109"/>
      <c r="P175" s="169">
        <f>N175*C175*N173</f>
        <v>-5.0102800000000007</v>
      </c>
      <c r="Q175" s="169"/>
      <c r="R175" s="238">
        <f>R164</f>
        <v>0</v>
      </c>
      <c r="S175" s="109"/>
      <c r="T175" s="169">
        <f>R175*C175*R173</f>
        <v>0</v>
      </c>
      <c r="U175" s="169"/>
      <c r="V175" s="238">
        <f>V164</f>
        <v>0</v>
      </c>
      <c r="W175" s="109"/>
      <c r="X175" s="169">
        <f>V175*C175*V173</f>
        <v>0</v>
      </c>
      <c r="Z175" s="189" t="s">
        <v>108</v>
      </c>
      <c r="AN175" s="82"/>
      <c r="AO175" s="82"/>
      <c r="AP175" s="82"/>
      <c r="AQ175" s="82"/>
      <c r="AR175" s="82"/>
      <c r="AS175" s="82"/>
      <c r="AU175" s="114"/>
    </row>
    <row r="176" spans="1:54" ht="15.75">
      <c r="A176" s="179" t="s">
        <v>157</v>
      </c>
      <c r="B176" s="179"/>
      <c r="C176" s="218">
        <f t="shared" si="57"/>
        <v>1129</v>
      </c>
      <c r="D176" s="237">
        <v>0.92</v>
      </c>
      <c r="E176" s="220"/>
      <c r="F176" s="221">
        <f t="shared" si="58"/>
        <v>-11</v>
      </c>
      <c r="G176" s="238">
        <v>0.92</v>
      </c>
      <c r="H176" s="109"/>
      <c r="I176" s="169">
        <f t="shared" si="59"/>
        <v>-11</v>
      </c>
      <c r="J176" s="238">
        <f>J165</f>
        <v>0.92</v>
      </c>
      <c r="K176" s="109"/>
      <c r="L176" s="169">
        <f t="shared" si="60"/>
        <v>-11</v>
      </c>
      <c r="M176" s="169"/>
      <c r="N176" s="238">
        <f>N165</f>
        <v>0.92</v>
      </c>
      <c r="O176" s="109"/>
      <c r="P176" s="169">
        <f>N176*C176*N173</f>
        <v>-10.386800000000001</v>
      </c>
      <c r="Q176" s="169"/>
      <c r="R176" s="238">
        <f>R165</f>
        <v>0</v>
      </c>
      <c r="S176" s="109"/>
      <c r="T176" s="169">
        <f>R176*C176*R173</f>
        <v>0</v>
      </c>
      <c r="U176" s="169"/>
      <c r="V176" s="238">
        <f>V165</f>
        <v>0</v>
      </c>
      <c r="W176" s="109"/>
      <c r="X176" s="169">
        <f>V176*C176*V173</f>
        <v>0</v>
      </c>
      <c r="AA176" s="189" t="s">
        <v>108</v>
      </c>
      <c r="AC176" s="121" t="s">
        <v>108</v>
      </c>
      <c r="AN176" s="82"/>
      <c r="AO176" s="82"/>
      <c r="AP176" s="82"/>
      <c r="AQ176" s="82"/>
      <c r="AR176" s="82"/>
      <c r="AS176" s="82"/>
      <c r="AU176" s="114"/>
    </row>
    <row r="177" spans="1:47" ht="15.75">
      <c r="A177" s="179" t="s">
        <v>158</v>
      </c>
      <c r="B177" s="179"/>
      <c r="C177" s="218">
        <f t="shared" si="57"/>
        <v>948</v>
      </c>
      <c r="D177" s="237">
        <v>3.4</v>
      </c>
      <c r="E177" s="226"/>
      <c r="F177" s="221">
        <f t="shared" si="58"/>
        <v>-32</v>
      </c>
      <c r="G177" s="238">
        <v>3.61</v>
      </c>
      <c r="H177" s="153"/>
      <c r="I177" s="169">
        <f t="shared" si="59"/>
        <v>-35</v>
      </c>
      <c r="J177" s="238">
        <f>J168</f>
        <v>3.61</v>
      </c>
      <c r="K177" s="153"/>
      <c r="L177" s="169">
        <f t="shared" si="60"/>
        <v>-35</v>
      </c>
      <c r="M177" s="169"/>
      <c r="N177" s="238">
        <f>N168</f>
        <v>0.73180556367242244</v>
      </c>
      <c r="O177" s="153"/>
      <c r="P177" s="169">
        <f>N177*C177*N173</f>
        <v>-6.9375167436145651</v>
      </c>
      <c r="Q177" s="169"/>
      <c r="R177" s="238">
        <f>R168</f>
        <v>0.59067856199955471</v>
      </c>
      <c r="S177" s="153"/>
      <c r="T177" s="169">
        <f>R177*C177*R173</f>
        <v>-5.5996327677557778</v>
      </c>
      <c r="U177" s="169"/>
      <c r="V177" s="238">
        <f>V168</f>
        <v>2.2875158743280228</v>
      </c>
      <c r="W177" s="153"/>
      <c r="X177" s="169">
        <f>V177*C177*V173</f>
        <v>-21.685650488629658</v>
      </c>
      <c r="AB177" s="189" t="s">
        <v>108</v>
      </c>
      <c r="AN177" s="82"/>
      <c r="AO177" s="82"/>
      <c r="AP177" s="82"/>
      <c r="AQ177" s="82"/>
      <c r="AR177" s="82"/>
      <c r="AS177" s="82"/>
      <c r="AU177" s="114"/>
    </row>
    <row r="178" spans="1:47" ht="15.75">
      <c r="A178" s="179" t="s">
        <v>159</v>
      </c>
      <c r="B178" s="179"/>
      <c r="C178" s="218">
        <f t="shared" si="57"/>
        <v>90642.333333333299</v>
      </c>
      <c r="D178" s="239">
        <v>9.766</v>
      </c>
      <c r="E178" s="226" t="s">
        <v>116</v>
      </c>
      <c r="F178" s="221">
        <f t="shared" si="58"/>
        <v>-89</v>
      </c>
      <c r="G178" s="240">
        <v>10.359</v>
      </c>
      <c r="H178" s="153" t="s">
        <v>116</v>
      </c>
      <c r="I178" s="169">
        <f t="shared" si="59"/>
        <v>-94</v>
      </c>
      <c r="J178" s="240">
        <f>J169</f>
        <v>10.359</v>
      </c>
      <c r="K178" s="153" t="s">
        <v>116</v>
      </c>
      <c r="L178" s="169">
        <f t="shared" si="60"/>
        <v>-94</v>
      </c>
      <c r="M178" s="169"/>
      <c r="N178" s="240">
        <f>N169</f>
        <v>2.0999373501613916</v>
      </c>
      <c r="O178" s="153"/>
      <c r="P178" s="231">
        <f>N178*C178/100*N173</f>
        <v>-19.034322127244554</v>
      </c>
      <c r="Q178" s="169"/>
      <c r="R178" s="240">
        <f>R169</f>
        <v>1.69496931405911</v>
      </c>
      <c r="S178" s="153" t="s">
        <v>116</v>
      </c>
      <c r="T178" s="231">
        <f>R178*C178/100*R173</f>
        <v>-15.363597355471713</v>
      </c>
      <c r="U178" s="169"/>
      <c r="V178" s="240">
        <f>V169</f>
        <v>6.5640933357794982</v>
      </c>
      <c r="W178" s="153" t="s">
        <v>116</v>
      </c>
      <c r="X178" s="231">
        <f>V178*C178/100*V173</f>
        <v>-59.4984736172837</v>
      </c>
      <c r="AN178" s="82"/>
      <c r="AO178" s="82"/>
      <c r="AP178" s="82"/>
      <c r="AQ178" s="82"/>
      <c r="AR178" s="82"/>
      <c r="AS178" s="82"/>
      <c r="AU178" s="114"/>
    </row>
    <row r="179" spans="1:47" ht="15.75">
      <c r="A179" s="179" t="s">
        <v>153</v>
      </c>
      <c r="B179" s="179"/>
      <c r="C179" s="218">
        <f t="shared" si="57"/>
        <v>455823.66666666698</v>
      </c>
      <c r="D179" s="239">
        <v>6.7460000000000004</v>
      </c>
      <c r="E179" s="226" t="s">
        <v>116</v>
      </c>
      <c r="F179" s="221">
        <f t="shared" si="58"/>
        <v>-307</v>
      </c>
      <c r="G179" s="240">
        <v>7.1559999999999997</v>
      </c>
      <c r="H179" s="153" t="s">
        <v>116</v>
      </c>
      <c r="I179" s="169">
        <f t="shared" si="59"/>
        <v>-326</v>
      </c>
      <c r="J179" s="240">
        <f>J170</f>
        <v>7.1559999999999997</v>
      </c>
      <c r="K179" s="153" t="s">
        <v>116</v>
      </c>
      <c r="L179" s="169">
        <f t="shared" si="60"/>
        <v>-326</v>
      </c>
      <c r="M179" s="169"/>
      <c r="N179" s="240">
        <f>N170</f>
        <v>1.4506372890969126</v>
      </c>
      <c r="O179" s="153"/>
      <c r="P179" s="231">
        <f>N179*C179/100*N173</f>
        <v>-66.123480811954849</v>
      </c>
      <c r="Q179" s="169"/>
      <c r="R179" s="240">
        <f>R170</f>
        <v>1.1708852602960702</v>
      </c>
      <c r="S179" s="153" t="s">
        <v>116</v>
      </c>
      <c r="T179" s="231">
        <f>R179*C179/100*R173</f>
        <v>-53.371721259410954</v>
      </c>
      <c r="U179" s="169"/>
      <c r="V179" s="240">
        <f>V170</f>
        <v>4.5344774506070165</v>
      </c>
      <c r="W179" s="153" t="s">
        <v>116</v>
      </c>
      <c r="X179" s="231">
        <f>V179*C179/100*V173</f>
        <v>-206.69221379530109</v>
      </c>
      <c r="AN179" s="82"/>
      <c r="AO179" s="82"/>
      <c r="AP179" s="82"/>
      <c r="AQ179" s="82"/>
      <c r="AR179" s="82"/>
      <c r="AS179" s="82"/>
      <c r="AU179" s="114"/>
    </row>
    <row r="180" spans="1:47" ht="15.75">
      <c r="A180" s="179" t="s">
        <v>154</v>
      </c>
      <c r="B180" s="179"/>
      <c r="C180" s="218">
        <f t="shared" si="57"/>
        <v>176779.99999999971</v>
      </c>
      <c r="D180" s="239">
        <v>5.8120000000000003</v>
      </c>
      <c r="E180" s="226" t="s">
        <v>116</v>
      </c>
      <c r="F180" s="221">
        <f t="shared" si="58"/>
        <v>-102</v>
      </c>
      <c r="G180" s="240">
        <v>6.1660000000000004</v>
      </c>
      <c r="H180" s="153" t="s">
        <v>116</v>
      </c>
      <c r="I180" s="169">
        <f t="shared" si="59"/>
        <v>-109</v>
      </c>
      <c r="J180" s="240">
        <f>J171</f>
        <v>6.1660000000000004</v>
      </c>
      <c r="K180" s="153" t="s">
        <v>116</v>
      </c>
      <c r="L180" s="169">
        <f t="shared" si="60"/>
        <v>-109</v>
      </c>
      <c r="M180" s="169"/>
      <c r="N180" s="240">
        <f>N171</f>
        <v>1.2499482286992125</v>
      </c>
      <c r="O180" s="153"/>
      <c r="P180" s="231">
        <f>N180*C180/100*N173</f>
        <v>-22.096584786944643</v>
      </c>
      <c r="Q180" s="169"/>
      <c r="R180" s="240">
        <f>R171</f>
        <v>1.0088986186396827</v>
      </c>
      <c r="S180" s="153" t="s">
        <v>116</v>
      </c>
      <c r="T180" s="231">
        <f>R180*C180/100*R173</f>
        <v>-17.835309780312279</v>
      </c>
      <c r="U180" s="169"/>
      <c r="V180" s="240">
        <f>V171</f>
        <v>3.9071531526611052</v>
      </c>
      <c r="W180" s="153" t="s">
        <v>116</v>
      </c>
      <c r="X180" s="231">
        <f>V180*C180/100*V173</f>
        <v>-69.070653432742901</v>
      </c>
      <c r="AL180" s="82"/>
      <c r="AM180" s="82"/>
      <c r="AN180" s="82"/>
      <c r="AO180" s="82"/>
      <c r="AP180" s="82"/>
      <c r="AQ180" s="82"/>
      <c r="AR180" s="82"/>
      <c r="AS180" s="82"/>
      <c r="AU180" s="114"/>
    </row>
    <row r="181" spans="1:47" ht="15.75">
      <c r="A181" s="179" t="s">
        <v>155</v>
      </c>
      <c r="B181" s="179"/>
      <c r="C181" s="218">
        <f t="shared" si="57"/>
        <v>1148.3</v>
      </c>
      <c r="D181" s="241">
        <v>56</v>
      </c>
      <c r="E181" s="226" t="s">
        <v>116</v>
      </c>
      <c r="F181" s="221">
        <f t="shared" si="58"/>
        <v>-6</v>
      </c>
      <c r="G181" s="242">
        <v>56</v>
      </c>
      <c r="H181" s="153" t="s">
        <v>116</v>
      </c>
      <c r="I181" s="169">
        <f t="shared" si="59"/>
        <v>-6</v>
      </c>
      <c r="J181" s="242">
        <f>J172</f>
        <v>56</v>
      </c>
      <c r="K181" s="153" t="s">
        <v>116</v>
      </c>
      <c r="L181" s="169">
        <f t="shared" si="60"/>
        <v>-6</v>
      </c>
      <c r="M181" s="169"/>
      <c r="N181" s="242">
        <f>N172</f>
        <v>0</v>
      </c>
      <c r="O181" s="153"/>
      <c r="P181" s="231"/>
      <c r="Q181" s="169"/>
      <c r="R181" s="242">
        <f ca="1">R172</f>
        <v>11</v>
      </c>
      <c r="S181" s="153" t="s">
        <v>116</v>
      </c>
      <c r="T181" s="231">
        <f ca="1">R181*G181/100*R173</f>
        <v>-6.1600000000000002E-2</v>
      </c>
      <c r="U181" s="169"/>
      <c r="V181" s="242">
        <f ca="1">V172</f>
        <v>45</v>
      </c>
      <c r="W181" s="153" t="s">
        <v>116</v>
      </c>
      <c r="X181" s="231">
        <f ca="1">V181*C181/100*V173</f>
        <v>-5.1673499999999999</v>
      </c>
      <c r="AL181" s="82"/>
      <c r="AM181" s="82"/>
      <c r="AN181" s="82"/>
      <c r="AO181" s="82"/>
      <c r="AP181" s="82"/>
      <c r="AQ181" s="82"/>
      <c r="AR181" s="82"/>
      <c r="AS181" s="82"/>
      <c r="AU181" s="114"/>
    </row>
    <row r="182" spans="1:47" ht="15.75">
      <c r="A182" s="179" t="s">
        <v>160</v>
      </c>
      <c r="B182" s="179"/>
      <c r="C182" s="218">
        <f t="shared" si="57"/>
        <v>123.4666666666667</v>
      </c>
      <c r="D182" s="243">
        <v>60</v>
      </c>
      <c r="E182" s="220"/>
      <c r="F182" s="221">
        <f t="shared" si="58"/>
        <v>7408</v>
      </c>
      <c r="G182" s="238">
        <v>60</v>
      </c>
      <c r="H182" s="153"/>
      <c r="I182" s="169">
        <f t="shared" si="59"/>
        <v>7408</v>
      </c>
      <c r="J182" s="238">
        <v>60</v>
      </c>
      <c r="K182" s="153"/>
      <c r="L182" s="169">
        <f t="shared" si="60"/>
        <v>7408</v>
      </c>
      <c r="M182" s="169"/>
      <c r="N182" s="238" t="s">
        <v>108</v>
      </c>
      <c r="O182" s="153"/>
      <c r="P182" s="231"/>
      <c r="Q182" s="169"/>
      <c r="R182" s="195">
        <f>J182*(AA192/(AA192+Z192))</f>
        <v>12.313523114579342</v>
      </c>
      <c r="S182" s="153"/>
      <c r="T182" s="231">
        <f>R182*C182</f>
        <v>1520.309653880063</v>
      </c>
      <c r="U182" s="169"/>
      <c r="V182" s="195">
        <f>J182*(Z192/(Z192+AA192))</f>
        <v>47.68647688542066</v>
      </c>
      <c r="W182" s="153"/>
      <c r="X182" s="452">
        <f>V182*C182</f>
        <v>5887.690346119939</v>
      </c>
      <c r="AA182" s="189" t="s">
        <v>108</v>
      </c>
      <c r="AL182" s="82"/>
      <c r="AM182" s="82"/>
      <c r="AN182" s="82"/>
      <c r="AO182" s="82"/>
      <c r="AP182" s="82"/>
      <c r="AQ182" s="82"/>
      <c r="AR182" s="82"/>
      <c r="AS182" s="82"/>
      <c r="AU182" s="114"/>
    </row>
    <row r="183" spans="1:47" ht="15.75">
      <c r="A183" s="179" t="s">
        <v>161</v>
      </c>
      <c r="B183" s="179"/>
      <c r="C183" s="218">
        <f t="shared" si="57"/>
        <v>1129</v>
      </c>
      <c r="D183" s="244">
        <v>-30</v>
      </c>
      <c r="E183" s="220" t="s">
        <v>116</v>
      </c>
      <c r="F183" s="221">
        <f t="shared" si="58"/>
        <v>-339</v>
      </c>
      <c r="G183" s="245">
        <v>-30</v>
      </c>
      <c r="H183" s="153" t="s">
        <v>116</v>
      </c>
      <c r="I183" s="169">
        <f t="shared" si="59"/>
        <v>-339</v>
      </c>
      <c r="J183" s="245">
        <v>-30</v>
      </c>
      <c r="K183" s="153" t="s">
        <v>116</v>
      </c>
      <c r="L183" s="169">
        <f t="shared" si="60"/>
        <v>-339</v>
      </c>
      <c r="M183" s="169"/>
      <c r="N183" s="245">
        <v>-30</v>
      </c>
      <c r="O183" s="153" t="s">
        <v>116</v>
      </c>
      <c r="P183" s="169">
        <f>L183</f>
        <v>-339</v>
      </c>
      <c r="Q183" s="169"/>
      <c r="R183" s="245"/>
      <c r="S183" s="153"/>
      <c r="T183" s="169"/>
      <c r="U183" s="169"/>
      <c r="V183" s="245"/>
      <c r="W183" s="153"/>
      <c r="X183" s="169"/>
      <c r="AA183" s="189" t="s">
        <v>108</v>
      </c>
      <c r="AC183" s="246"/>
      <c r="AD183" s="246"/>
      <c r="AL183" s="82"/>
      <c r="AM183" s="82"/>
      <c r="AN183" s="82"/>
      <c r="AO183" s="82"/>
      <c r="AP183" s="82"/>
      <c r="AQ183" s="82"/>
      <c r="AR183" s="82"/>
      <c r="AS183" s="82"/>
      <c r="AU183" s="114"/>
    </row>
    <row r="184" spans="1:47" ht="15.75">
      <c r="A184" s="179" t="s">
        <v>134</v>
      </c>
      <c r="B184" s="104"/>
      <c r="C184" s="218">
        <f t="shared" si="57"/>
        <v>545018125.00629961</v>
      </c>
      <c r="D184" s="229"/>
      <c r="E184" s="106"/>
      <c r="F184" s="221">
        <f t="shared" si="58"/>
        <v>46032138</v>
      </c>
      <c r="G184" s="230"/>
      <c r="H184" s="153"/>
      <c r="I184" s="169">
        <f t="shared" si="59"/>
        <v>48618540</v>
      </c>
      <c r="J184" s="230"/>
      <c r="K184" s="153"/>
      <c r="L184" s="169">
        <f t="shared" si="60"/>
        <v>48618540</v>
      </c>
      <c r="M184" s="169"/>
      <c r="N184" s="230"/>
      <c r="O184" s="153"/>
      <c r="P184" s="169">
        <f>SUM(P159:P183)</f>
        <v>12594320.562071016</v>
      </c>
      <c r="Q184" s="169"/>
      <c r="R184" s="230"/>
      <c r="S184" s="153"/>
      <c r="T184" s="169">
        <f ca="1">SUM(T159:T183)</f>
        <v>7392500.6040129475</v>
      </c>
      <c r="U184" s="169"/>
      <c r="V184" s="230"/>
      <c r="W184" s="153"/>
      <c r="X184" s="169">
        <f ca="1">SUM(X159:X183)</f>
        <v>28631717.463225938</v>
      </c>
      <c r="AL184" s="82"/>
      <c r="AM184" s="82"/>
      <c r="AN184" s="82"/>
      <c r="AO184" s="82"/>
      <c r="AP184" s="82"/>
      <c r="AQ184" s="82"/>
      <c r="AR184" s="82"/>
      <c r="AS184" s="82"/>
      <c r="AU184" s="114"/>
    </row>
    <row r="185" spans="1:47" ht="15.75">
      <c r="A185" s="179" t="s">
        <v>119</v>
      </c>
      <c r="B185" s="215"/>
      <c r="C185" s="247">
        <f t="shared" si="57"/>
        <v>-1816567.5683300961</v>
      </c>
      <c r="D185" s="138"/>
      <c r="E185" s="138"/>
      <c r="F185" s="248">
        <f>I185</f>
        <v>-145443.54178481566</v>
      </c>
      <c r="G185" s="153"/>
      <c r="H185" s="153"/>
      <c r="I185" s="198">
        <f t="shared" si="59"/>
        <v>-145443.54178481566</v>
      </c>
      <c r="J185" s="153"/>
      <c r="K185" s="153"/>
      <c r="L185" s="198">
        <f>I185</f>
        <v>-145443.54178481566</v>
      </c>
      <c r="M185" s="169"/>
      <c r="N185" s="153"/>
      <c r="O185" s="153"/>
      <c r="P185" s="198">
        <f>$L$185*Y189/($Y$189+$Z$189+$AA$189)</f>
        <v>-28949.965037370541</v>
      </c>
      <c r="Q185" s="169"/>
      <c r="R185" s="153"/>
      <c r="S185" s="153"/>
      <c r="T185" s="198">
        <f>$L$185*Z189/($Y$189+$Z$189+$AA$189)</f>
        <v>-23492.919862404488</v>
      </c>
      <c r="U185" s="169"/>
      <c r="V185" s="153"/>
      <c r="W185" s="153"/>
      <c r="X185" s="198">
        <f>$L$185*AA189/($Y$189+$Z$189+$AA$189)</f>
        <v>-93000.656885040662</v>
      </c>
      <c r="AA185" s="190"/>
      <c r="AB185" s="190"/>
      <c r="AL185" s="82"/>
      <c r="AM185" s="82"/>
      <c r="AN185" s="82"/>
      <c r="AO185" s="82"/>
      <c r="AP185" s="82"/>
      <c r="AQ185" s="82"/>
      <c r="AR185" s="82"/>
      <c r="AS185" s="82"/>
      <c r="AU185" s="114"/>
    </row>
    <row r="186" spans="1:47" ht="16.5" thickBot="1">
      <c r="A186" s="179" t="s">
        <v>135</v>
      </c>
      <c r="B186" s="179"/>
      <c r="C186" s="199">
        <f>SUM(C184:C185)</f>
        <v>543201557.43796957</v>
      </c>
      <c r="D186" s="249"/>
      <c r="E186" s="250"/>
      <c r="F186" s="251">
        <f>F184+F185</f>
        <v>45886694.458215185</v>
      </c>
      <c r="G186" s="252"/>
      <c r="H186" s="253"/>
      <c r="I186" s="175">
        <f>I184+I185</f>
        <v>48473096.458215185</v>
      </c>
      <c r="J186" s="254"/>
      <c r="K186" s="253"/>
      <c r="L186" s="175">
        <f>L184+L185</f>
        <v>48473096.458215185</v>
      </c>
      <c r="M186" s="175"/>
      <c r="N186" s="254"/>
      <c r="O186" s="253"/>
      <c r="P186" s="175">
        <f>P184+P185</f>
        <v>12565370.597033646</v>
      </c>
      <c r="Q186" s="175"/>
      <c r="R186" s="254"/>
      <c r="S186" s="253"/>
      <c r="T186" s="175">
        <f ca="1">T184+T185</f>
        <v>7369007.6841505431</v>
      </c>
      <c r="U186" s="175"/>
      <c r="V186" s="254"/>
      <c r="W186" s="253"/>
      <c r="X186" s="175">
        <f ca="1">X184+X185</f>
        <v>28538716.806340899</v>
      </c>
      <c r="Y186" s="143" t="s">
        <v>162</v>
      </c>
      <c r="Z186" s="144">
        <v>48473096</v>
      </c>
      <c r="AA186" s="255">
        <v>-2.8624372690949688E-2</v>
      </c>
      <c r="AB186" s="256"/>
      <c r="AC186" s="146" t="s">
        <v>108</v>
      </c>
      <c r="AL186" s="82"/>
      <c r="AM186" s="82"/>
      <c r="AN186" s="82"/>
      <c r="AO186" s="82"/>
      <c r="AP186" s="82"/>
      <c r="AQ186" s="82"/>
      <c r="AR186" s="82"/>
      <c r="AS186" s="82"/>
      <c r="AU186" s="114"/>
    </row>
    <row r="187" spans="1:47" ht="16.5" thickTop="1">
      <c r="A187" s="179"/>
      <c r="B187" s="179"/>
      <c r="C187" s="148"/>
      <c r="D187" s="257"/>
      <c r="E187" s="258"/>
      <c r="F187" s="221"/>
      <c r="G187" s="257"/>
      <c r="H187" s="259"/>
      <c r="I187" s="221"/>
      <c r="J187" s="260"/>
      <c r="K187" s="259"/>
      <c r="L187" s="221"/>
      <c r="M187" s="221"/>
      <c r="N187" s="260"/>
      <c r="O187" s="259"/>
      <c r="P187" s="221"/>
      <c r="Q187" s="221"/>
      <c r="R187" s="260"/>
      <c r="S187" s="259"/>
      <c r="T187" s="221"/>
      <c r="U187" s="221"/>
      <c r="V187" s="260"/>
      <c r="W187" s="259"/>
      <c r="X187" s="221" t="s">
        <v>108</v>
      </c>
      <c r="Y187" s="154" t="s">
        <v>122</v>
      </c>
      <c r="Z187" s="155">
        <f>Z186-L186</f>
        <v>-0.45821518450975418</v>
      </c>
      <c r="AA187" s="261"/>
      <c r="AB187" s="256"/>
      <c r="AC187" s="146"/>
      <c r="AL187" s="82"/>
      <c r="AM187" s="82"/>
      <c r="AN187" s="82"/>
      <c r="AO187" s="82"/>
      <c r="AP187" s="82"/>
      <c r="AQ187" s="82"/>
      <c r="AR187" s="82"/>
      <c r="AS187" s="82"/>
      <c r="AU187" s="114"/>
    </row>
    <row r="188" spans="1:47" ht="15.75">
      <c r="A188" s="179"/>
      <c r="B188" s="179"/>
      <c r="C188" s="148"/>
      <c r="D188" s="257"/>
      <c r="E188" s="258"/>
      <c r="F188" s="221"/>
      <c r="G188" s="257"/>
      <c r="H188" s="259"/>
      <c r="I188" s="221"/>
      <c r="J188" s="260"/>
      <c r="K188" s="259"/>
      <c r="L188" s="221"/>
      <c r="M188" s="221"/>
      <c r="N188" s="260"/>
      <c r="O188" s="259"/>
      <c r="P188" s="221"/>
      <c r="Q188" s="221"/>
      <c r="R188" s="260"/>
      <c r="S188" s="259"/>
      <c r="T188" s="221"/>
      <c r="U188" s="221"/>
      <c r="V188" s="260"/>
      <c r="W188" s="259"/>
      <c r="X188" s="221" t="s">
        <v>108</v>
      </c>
      <c r="Y188" s="202">
        <f>'[2]Exhibit No.__(JRS-6) p11'!J34+'[2]Exhibit No.__(JRS-6) p11'!K34+'[2]Exhibit No.__(JRS-6) p11'!L34</f>
        <v>0.19904606751258941</v>
      </c>
      <c r="Z188" s="262">
        <f>'[2]Exhibit No.__(JRS-6) p11'!I34</f>
        <v>0.16152604353627717</v>
      </c>
      <c r="AA188" s="103">
        <f>'[2]Exhibit No.__(JRS-6) p11'!H34</f>
        <v>0.63942788895113334</v>
      </c>
      <c r="AB188" s="256"/>
      <c r="AC188" s="146"/>
      <c r="AL188" s="82"/>
      <c r="AM188" s="82"/>
      <c r="AN188" s="82"/>
      <c r="AO188" s="82"/>
      <c r="AP188" s="82"/>
      <c r="AQ188" s="82"/>
      <c r="AR188" s="82"/>
      <c r="AS188" s="82"/>
      <c r="AU188" s="114"/>
    </row>
    <row r="189" spans="1:47" ht="15.75">
      <c r="A189" s="179"/>
      <c r="B189" s="179"/>
      <c r="C189" s="205"/>
      <c r="D189" s="243"/>
      <c r="E189" s="106"/>
      <c r="F189" s="106"/>
      <c r="G189" s="243"/>
      <c r="H189" s="179"/>
      <c r="I189" s="106" t="s">
        <v>108</v>
      </c>
      <c r="J189" s="243"/>
      <c r="K189" s="179"/>
      <c r="L189" s="106" t="s">
        <v>108</v>
      </c>
      <c r="M189" s="106"/>
      <c r="N189" s="243"/>
      <c r="O189" s="179"/>
      <c r="P189" s="106" t="s">
        <v>108</v>
      </c>
      <c r="Q189" s="106"/>
      <c r="R189" s="243"/>
      <c r="S189" s="179"/>
      <c r="T189" s="106" t="s">
        <v>108</v>
      </c>
      <c r="U189" s="106"/>
      <c r="V189" s="243"/>
      <c r="W189" s="179"/>
      <c r="X189" s="106" t="s">
        <v>108</v>
      </c>
      <c r="Y189" s="131">
        <f>Y188*$L$186</f>
        <v>9648379.2301661577</v>
      </c>
      <c r="Z189" s="131">
        <f t="shared" ref="Z189:AA189" si="61">Z188*$L$186</f>
        <v>7829667.4888478285</v>
      </c>
      <c r="AA189" s="131">
        <f t="shared" si="61"/>
        <v>30995049.739201196</v>
      </c>
      <c r="AB189" s="263" t="s">
        <v>162</v>
      </c>
      <c r="AL189" s="82"/>
      <c r="AM189" s="82"/>
      <c r="AN189" s="82"/>
      <c r="AO189" s="82"/>
      <c r="AP189" s="82"/>
      <c r="AQ189" s="82"/>
      <c r="AR189" s="82"/>
      <c r="AS189" s="82"/>
      <c r="AU189" s="114"/>
    </row>
    <row r="190" spans="1:47" ht="15.75">
      <c r="A190" s="179"/>
      <c r="B190" s="179"/>
      <c r="C190" s="205"/>
      <c r="D190" s="243"/>
      <c r="E190" s="106"/>
      <c r="F190" s="106"/>
      <c r="G190" s="243"/>
      <c r="H190" s="179"/>
      <c r="I190" s="106"/>
      <c r="J190" s="243"/>
      <c r="K190" s="179"/>
      <c r="N190" s="243"/>
      <c r="O190" s="179"/>
      <c r="R190" s="243"/>
      <c r="S190" s="179"/>
      <c r="V190" s="243"/>
      <c r="W190" s="179"/>
      <c r="AL190" s="82"/>
      <c r="AM190" s="82"/>
      <c r="AN190" s="82"/>
      <c r="AO190" s="82"/>
      <c r="AP190" s="82"/>
      <c r="AQ190" s="82"/>
      <c r="AR190" s="82"/>
      <c r="AS190" s="82"/>
      <c r="AU190" s="114"/>
    </row>
    <row r="191" spans="1:47" ht="15.75">
      <c r="A191" s="178" t="s">
        <v>144</v>
      </c>
      <c r="B191" s="179"/>
      <c r="C191" s="179"/>
      <c r="D191" s="106"/>
      <c r="E191" s="106"/>
      <c r="F191" s="179" t="s">
        <v>108</v>
      </c>
      <c r="G191" s="106"/>
      <c r="H191" s="179"/>
      <c r="I191" s="179"/>
      <c r="J191" s="106"/>
      <c r="K191" s="179"/>
      <c r="L191" s="179"/>
      <c r="M191" s="179"/>
      <c r="N191" s="106"/>
      <c r="O191" s="179"/>
      <c r="P191" s="179"/>
      <c r="Q191" s="179"/>
      <c r="R191" s="106"/>
      <c r="S191" s="179"/>
      <c r="T191" s="179"/>
      <c r="U191" s="179"/>
      <c r="V191" s="106"/>
      <c r="W191" s="179"/>
      <c r="X191" s="179"/>
      <c r="Z191" s="264" t="s">
        <v>108</v>
      </c>
      <c r="AA191" s="146"/>
      <c r="AB191" s="146"/>
      <c r="AL191" s="82"/>
      <c r="AM191" s="82"/>
      <c r="AN191" s="82"/>
      <c r="AO191" s="82"/>
      <c r="AP191" s="82"/>
      <c r="AQ191" s="82"/>
      <c r="AR191" s="82"/>
      <c r="AS191" s="82"/>
      <c r="AU191" s="114"/>
    </row>
    <row r="192" spans="1:47" ht="15.75">
      <c r="A192" s="179" t="s">
        <v>163</v>
      </c>
      <c r="B192" s="179"/>
      <c r="C192" s="179"/>
      <c r="D192" s="106"/>
      <c r="E192" s="106"/>
      <c r="F192" s="179"/>
      <c r="G192" s="106"/>
      <c r="H192" s="179"/>
      <c r="I192" s="179"/>
      <c r="J192" s="106"/>
      <c r="K192" s="179"/>
      <c r="L192" s="179"/>
      <c r="M192" s="179"/>
      <c r="N192" s="106"/>
      <c r="O192" s="179"/>
      <c r="P192" s="179"/>
      <c r="Q192" s="179"/>
      <c r="R192" s="106"/>
      <c r="S192" s="179"/>
      <c r="T192" s="179"/>
      <c r="U192" s="179"/>
      <c r="V192" s="106"/>
      <c r="W192" s="179"/>
      <c r="X192" s="179"/>
      <c r="Y192" s="150">
        <v>48473096</v>
      </c>
      <c r="Z192" s="102">
        <f>Unbundled!F22</f>
        <v>0.63366090701607281</v>
      </c>
      <c r="AA192" s="102">
        <f>Unbundled!G22</f>
        <v>0.16362287035998746</v>
      </c>
      <c r="AB192" s="102">
        <f>(Unbundled!H22+Unbundled!I22+Unbundled!J22)</f>
        <v>0.20271622262393973</v>
      </c>
      <c r="AC192" s="103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U192" s="114"/>
    </row>
    <row r="193" spans="1:47" ht="15.75">
      <c r="A193" s="179"/>
      <c r="B193" s="179"/>
      <c r="C193" s="179"/>
      <c r="D193" s="106"/>
      <c r="E193" s="106"/>
      <c r="F193" s="179"/>
      <c r="G193" s="106"/>
      <c r="H193" s="179"/>
      <c r="I193" s="179"/>
      <c r="J193" s="106"/>
      <c r="K193" s="179"/>
      <c r="L193" s="179"/>
      <c r="M193" s="179"/>
      <c r="N193" s="106"/>
      <c r="O193" s="179"/>
      <c r="P193" s="179"/>
      <c r="Q193" s="179"/>
      <c r="R193" s="106"/>
      <c r="S193" s="179"/>
      <c r="T193" s="179"/>
      <c r="U193" s="179"/>
      <c r="V193" s="106"/>
      <c r="W193" s="179"/>
      <c r="X193" s="179"/>
      <c r="Y193" s="150"/>
      <c r="Z193" s="83"/>
      <c r="AA193" s="83"/>
      <c r="AB193" s="83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U193" s="114"/>
    </row>
    <row r="194" spans="1:47" ht="15.75">
      <c r="A194" s="179" t="s">
        <v>11</v>
      </c>
      <c r="B194" s="179"/>
      <c r="C194" s="218"/>
      <c r="D194" s="106"/>
      <c r="E194" s="106"/>
      <c r="F194" s="179"/>
      <c r="G194" s="106"/>
      <c r="H194" s="179"/>
      <c r="I194" s="179"/>
      <c r="J194" s="106"/>
      <c r="K194" s="179"/>
      <c r="L194" s="179"/>
      <c r="M194" s="179"/>
      <c r="N194" s="106"/>
      <c r="O194" s="179"/>
      <c r="P194" s="179"/>
      <c r="Q194" s="179"/>
      <c r="R194" s="106"/>
      <c r="S194" s="179"/>
      <c r="T194" s="179"/>
      <c r="U194" s="179"/>
      <c r="V194" s="106"/>
      <c r="W194" s="179"/>
      <c r="X194" s="179"/>
      <c r="Y194" s="82"/>
      <c r="Z194" s="83"/>
      <c r="AA194" s="83"/>
      <c r="AB194" s="83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U194" s="114"/>
    </row>
    <row r="195" spans="1:47" ht="15.75">
      <c r="A195" s="179" t="s">
        <v>147</v>
      </c>
      <c r="B195" s="179"/>
      <c r="C195" s="218">
        <f>C252+C280+C223</f>
        <v>159824.86666666632</v>
      </c>
      <c r="D195" s="210">
        <v>8.7100000000000009</v>
      </c>
      <c r="E195" s="220"/>
      <c r="F195" s="106">
        <f>F252+F280+F223</f>
        <v>1392074</v>
      </c>
      <c r="G195" s="210">
        <v>8.7100000000000009</v>
      </c>
      <c r="H195" s="226"/>
      <c r="I195" s="106">
        <f>I252+I280+I223</f>
        <v>1392074</v>
      </c>
      <c r="J195" s="210">
        <f>$J$163</f>
        <v>8.7100000000000009</v>
      </c>
      <c r="K195" s="226"/>
      <c r="L195" s="106">
        <f>L252+L280+L223</f>
        <v>1392074</v>
      </c>
      <c r="M195" s="106"/>
      <c r="N195" s="210">
        <v>8.7100000000000009</v>
      </c>
      <c r="O195" s="226"/>
      <c r="P195" s="106">
        <f>P252+P280+P223</f>
        <v>1392074</v>
      </c>
      <c r="Q195" s="106"/>
      <c r="R195" s="210"/>
      <c r="S195" s="226"/>
      <c r="T195" s="106"/>
      <c r="U195" s="106"/>
      <c r="V195" s="210"/>
      <c r="W195" s="226"/>
      <c r="X195" s="106"/>
      <c r="Y195" s="82"/>
      <c r="Z195" s="83"/>
      <c r="AA195" s="83"/>
      <c r="AB195" s="83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U195" s="114"/>
    </row>
    <row r="196" spans="1:47" ht="15.75">
      <c r="A196" s="179" t="s">
        <v>148</v>
      </c>
      <c r="B196" s="179"/>
      <c r="C196" s="218">
        <f>C253+C281+C224</f>
        <v>63164.166666666628</v>
      </c>
      <c r="D196" s="210">
        <v>12.98</v>
      </c>
      <c r="E196" s="222"/>
      <c r="F196" s="106">
        <f>F253+F281+F224</f>
        <v>819872</v>
      </c>
      <c r="G196" s="210">
        <v>12.98</v>
      </c>
      <c r="H196" s="265"/>
      <c r="I196" s="106">
        <f>I253+I281+I224</f>
        <v>819872</v>
      </c>
      <c r="J196" s="210">
        <f>$J$164</f>
        <v>12.98</v>
      </c>
      <c r="K196" s="265"/>
      <c r="L196" s="106">
        <f>L253+L281+L224</f>
        <v>819872</v>
      </c>
      <c r="M196" s="106"/>
      <c r="N196" s="210">
        <v>12.98</v>
      </c>
      <c r="O196" s="265"/>
      <c r="P196" s="106">
        <f>P253+P281+P224</f>
        <v>819872</v>
      </c>
      <c r="Q196" s="106"/>
      <c r="R196" s="210"/>
      <c r="S196" s="265"/>
      <c r="T196" s="106"/>
      <c r="U196" s="106"/>
      <c r="V196" s="210"/>
      <c r="W196" s="265"/>
      <c r="X196" s="106"/>
      <c r="Y196" s="82"/>
      <c r="Z196" s="83"/>
      <c r="AA196" s="83"/>
      <c r="AB196" s="83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U196" s="114"/>
    </row>
    <row r="197" spans="1:47" ht="15.75">
      <c r="A197" s="179" t="s">
        <v>149</v>
      </c>
      <c r="B197" s="179"/>
      <c r="C197" s="218">
        <f>C254+C282+C225</f>
        <v>1251783</v>
      </c>
      <c r="D197" s="210">
        <v>0.92</v>
      </c>
      <c r="E197" s="222"/>
      <c r="F197" s="106">
        <f>F254+F282+F225</f>
        <v>1151641</v>
      </c>
      <c r="G197" s="210">
        <v>0.92</v>
      </c>
      <c r="H197" s="265"/>
      <c r="I197" s="106">
        <f>I254+I282+I225</f>
        <v>1151641</v>
      </c>
      <c r="J197" s="210">
        <f>$J$165</f>
        <v>0.92</v>
      </c>
      <c r="K197" s="265"/>
      <c r="L197" s="106">
        <f>L254+L282+L225</f>
        <v>1151641</v>
      </c>
      <c r="M197" s="106"/>
      <c r="N197" s="210">
        <v>0.92</v>
      </c>
      <c r="O197" s="265"/>
      <c r="P197" s="106">
        <f>P254+P282+P225</f>
        <v>1151641</v>
      </c>
      <c r="Q197" s="106"/>
      <c r="R197" s="210"/>
      <c r="S197" s="265"/>
      <c r="T197" s="106"/>
      <c r="U197" s="106"/>
      <c r="V197" s="210"/>
      <c r="W197" s="265"/>
      <c r="X197" s="106"/>
      <c r="Y197" s="82"/>
      <c r="Z197" s="83"/>
      <c r="AA197" s="83"/>
      <c r="AB197" s="83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U197" s="114"/>
    </row>
    <row r="198" spans="1:47" ht="15.75">
      <c r="A198" s="179" t="s">
        <v>150</v>
      </c>
      <c r="B198" s="179"/>
      <c r="C198" s="218">
        <f>SUM(C195:C196)</f>
        <v>222989.03333333295</v>
      </c>
      <c r="D198" s="210"/>
      <c r="E198" s="220"/>
      <c r="F198" s="106"/>
      <c r="G198" s="210"/>
      <c r="H198" s="226"/>
      <c r="I198" s="106"/>
      <c r="J198" s="210"/>
      <c r="K198" s="226"/>
      <c r="L198" s="106"/>
      <c r="M198" s="106"/>
      <c r="N198" s="451"/>
      <c r="O198" s="226"/>
      <c r="P198" s="106"/>
      <c r="Q198" s="106"/>
      <c r="R198" s="210"/>
      <c r="S198" s="226"/>
      <c r="T198" s="106"/>
      <c r="U198" s="106"/>
      <c r="V198" s="210"/>
      <c r="W198" s="226"/>
      <c r="X198" s="106"/>
      <c r="Y198" s="82"/>
      <c r="Z198" s="83"/>
      <c r="AA198" s="83"/>
      <c r="AB198" s="83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U198" s="114"/>
    </row>
    <row r="199" spans="1:47" ht="15.75">
      <c r="A199" s="179" t="s">
        <v>151</v>
      </c>
      <c r="B199" s="179"/>
      <c r="C199" s="218">
        <f>C256+C284+C227</f>
        <v>847087</v>
      </c>
      <c r="D199" s="243">
        <v>3.4</v>
      </c>
      <c r="E199" s="226"/>
      <c r="F199" s="106">
        <f>F256+F284+F227</f>
        <v>2880096</v>
      </c>
      <c r="G199" s="243">
        <v>3.61</v>
      </c>
      <c r="H199" s="226"/>
      <c r="I199" s="106">
        <f>I256+I284+I227</f>
        <v>3057984</v>
      </c>
      <c r="J199" s="243">
        <f>$J$168</f>
        <v>3.61</v>
      </c>
      <c r="K199" s="226"/>
      <c r="L199" s="106">
        <f>L256+L284+L227</f>
        <v>3057984</v>
      </c>
      <c r="M199" s="106"/>
      <c r="N199" s="243">
        <f>$J199*$AB$192</f>
        <v>0.73180556367242244</v>
      </c>
      <c r="O199" s="226"/>
      <c r="P199" s="106">
        <f>P256+P284+P227</f>
        <v>619903</v>
      </c>
      <c r="Q199" s="106"/>
      <c r="R199" s="243">
        <f>$J199*$AA$192</f>
        <v>0.59067856199955471</v>
      </c>
      <c r="S199" s="226"/>
      <c r="T199" s="106">
        <f>T256+T284+T227</f>
        <v>500356</v>
      </c>
      <c r="U199" s="106"/>
      <c r="V199" s="243">
        <f>$J199*$Z$192</f>
        <v>2.2875158743280228</v>
      </c>
      <c r="W199" s="226"/>
      <c r="X199" s="106">
        <f>X256+X284+X227</f>
        <v>1937725</v>
      </c>
      <c r="Y199" s="82"/>
      <c r="Z199" s="83"/>
      <c r="AA199" s="83"/>
      <c r="AB199" s="83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U199" s="114"/>
    </row>
    <row r="200" spans="1:47" ht="15.75">
      <c r="A200" s="179" t="s">
        <v>152</v>
      </c>
      <c r="B200" s="179"/>
      <c r="C200" s="218">
        <f>C257+C285+C228</f>
        <v>130575962.42116135</v>
      </c>
      <c r="D200" s="211">
        <v>9.766</v>
      </c>
      <c r="E200" s="226" t="s">
        <v>116</v>
      </c>
      <c r="F200" s="106">
        <f>F257+F285+F228</f>
        <v>12752048</v>
      </c>
      <c r="G200" s="211">
        <v>10.359</v>
      </c>
      <c r="H200" s="226" t="s">
        <v>116</v>
      </c>
      <c r="I200" s="106">
        <f>I257+I285+I228</f>
        <v>13526365</v>
      </c>
      <c r="J200" s="211">
        <f>$J$169</f>
        <v>10.359</v>
      </c>
      <c r="K200" s="226" t="s">
        <v>116</v>
      </c>
      <c r="L200" s="106">
        <f>L257+L285+L228</f>
        <v>13526365</v>
      </c>
      <c r="M200" s="106"/>
      <c r="N200" s="243">
        <f>J200*AB192</f>
        <v>2.0999373501613916</v>
      </c>
      <c r="O200" s="226" t="s">
        <v>116</v>
      </c>
      <c r="P200" s="106">
        <f>P257+P285+P228</f>
        <v>2742014</v>
      </c>
      <c r="Q200" s="106"/>
      <c r="R200" s="243">
        <f t="shared" ref="R200:R202" si="62">$J200*$AA$192</f>
        <v>1.69496931405911</v>
      </c>
      <c r="S200" s="226" t="s">
        <v>116</v>
      </c>
      <c r="T200" s="106">
        <f>T257+T285+T228</f>
        <v>2213223</v>
      </c>
      <c r="U200" s="106"/>
      <c r="V200" s="243">
        <f t="shared" ref="V200:V202" si="63">$J200*$Z$192</f>
        <v>6.5640933357794982</v>
      </c>
      <c r="W200" s="226" t="s">
        <v>116</v>
      </c>
      <c r="X200" s="106">
        <f>X257+X285+X228</f>
        <v>8571129</v>
      </c>
      <c r="Y200" s="396"/>
      <c r="Z200" s="83"/>
      <c r="AA200" s="83"/>
      <c r="AB200" s="83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U200" s="114"/>
    </row>
    <row r="201" spans="1:47" ht="15.75">
      <c r="A201" s="179" t="s">
        <v>153</v>
      </c>
      <c r="B201" s="179"/>
      <c r="C201" s="218">
        <f>C258+C286+C229</f>
        <v>288878910.50220066</v>
      </c>
      <c r="D201" s="211">
        <v>6.7460000000000004</v>
      </c>
      <c r="E201" s="226" t="s">
        <v>116</v>
      </c>
      <c r="F201" s="106">
        <f>F258+F286+F229</f>
        <v>19487772</v>
      </c>
      <c r="G201" s="211">
        <v>7.1559999999999997</v>
      </c>
      <c r="H201" s="226" t="s">
        <v>116</v>
      </c>
      <c r="I201" s="106">
        <f>I258+I286+I229</f>
        <v>20672175</v>
      </c>
      <c r="J201" s="211">
        <f>$J$170</f>
        <v>7.1559999999999997</v>
      </c>
      <c r="K201" s="226" t="s">
        <v>116</v>
      </c>
      <c r="L201" s="106">
        <f>L258+L286+L229</f>
        <v>20672175</v>
      </c>
      <c r="M201" s="106"/>
      <c r="N201" s="243">
        <f t="shared" ref="N201:N202" si="64">$J201*$AB$192</f>
        <v>1.4506372890969126</v>
      </c>
      <c r="O201" s="226" t="s">
        <v>116</v>
      </c>
      <c r="P201" s="106">
        <f>P258+P286+P229</f>
        <v>4190585</v>
      </c>
      <c r="Q201" s="106"/>
      <c r="R201" s="243">
        <f t="shared" si="62"/>
        <v>1.1708852602960702</v>
      </c>
      <c r="S201" s="226" t="s">
        <v>116</v>
      </c>
      <c r="T201" s="106">
        <f>T258+T286+T229</f>
        <v>3382440</v>
      </c>
      <c r="U201" s="106"/>
      <c r="V201" s="243">
        <f t="shared" si="63"/>
        <v>4.5344774506070165</v>
      </c>
      <c r="W201" s="226" t="s">
        <v>116</v>
      </c>
      <c r="X201" s="106">
        <f>X258+X286+X229</f>
        <v>13099149</v>
      </c>
      <c r="Y201" s="82"/>
      <c r="Z201" s="83"/>
      <c r="AA201" s="83"/>
      <c r="AB201" s="83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U201" s="114"/>
    </row>
    <row r="202" spans="1:47" ht="15.75">
      <c r="A202" s="179" t="s">
        <v>154</v>
      </c>
      <c r="B202" s="179"/>
      <c r="C202" s="218">
        <f>C259+C287+C230</f>
        <v>123790615.42237033</v>
      </c>
      <c r="D202" s="211">
        <v>5.8120000000000003</v>
      </c>
      <c r="E202" s="226" t="s">
        <v>116</v>
      </c>
      <c r="F202" s="106">
        <f>F259+F287+F230</f>
        <v>7194710</v>
      </c>
      <c r="G202" s="211">
        <v>6.1660000000000004</v>
      </c>
      <c r="H202" s="226" t="s">
        <v>116</v>
      </c>
      <c r="I202" s="106">
        <f>I259+I287+I230</f>
        <v>7632930</v>
      </c>
      <c r="J202" s="211">
        <f>$J$171</f>
        <v>6.1660000000000004</v>
      </c>
      <c r="K202" s="226" t="s">
        <v>116</v>
      </c>
      <c r="L202" s="106">
        <f>L259+L287+L230</f>
        <v>7632930</v>
      </c>
      <c r="M202" s="106"/>
      <c r="N202" s="243">
        <f t="shared" si="64"/>
        <v>1.2499482286992125</v>
      </c>
      <c r="O202" s="226" t="s">
        <v>116</v>
      </c>
      <c r="P202" s="106">
        <f>P259+P287+P230</f>
        <v>1547319</v>
      </c>
      <c r="Q202" s="106"/>
      <c r="R202" s="243">
        <f t="shared" si="62"/>
        <v>1.0088986186396827</v>
      </c>
      <c r="S202" s="226" t="s">
        <v>116</v>
      </c>
      <c r="T202" s="106">
        <f>T259+T287+T230</f>
        <v>1248922</v>
      </c>
      <c r="U202" s="106"/>
      <c r="V202" s="243">
        <f t="shared" si="63"/>
        <v>3.9071531526611052</v>
      </c>
      <c r="W202" s="226" t="s">
        <v>116</v>
      </c>
      <c r="X202" s="106">
        <f>X259+X287+X230</f>
        <v>4836689</v>
      </c>
      <c r="Y202" s="82"/>
      <c r="Z202" s="83"/>
      <c r="AA202" s="83"/>
      <c r="AB202" s="83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U202" s="114"/>
    </row>
    <row r="203" spans="1:47" ht="15.75">
      <c r="A203" s="179" t="s">
        <v>155</v>
      </c>
      <c r="B203" s="179"/>
      <c r="C203" s="218">
        <f>C260+C288+C231</f>
        <v>117537.53333333335</v>
      </c>
      <c r="D203" s="229">
        <v>56</v>
      </c>
      <c r="E203" s="220" t="s">
        <v>116</v>
      </c>
      <c r="F203" s="106">
        <f>F260+F288+F231</f>
        <v>65821</v>
      </c>
      <c r="G203" s="229">
        <v>56</v>
      </c>
      <c r="H203" s="226" t="s">
        <v>116</v>
      </c>
      <c r="I203" s="106">
        <f>I260+I288+I231</f>
        <v>65821</v>
      </c>
      <c r="J203" s="229">
        <f>$J$172</f>
        <v>56</v>
      </c>
      <c r="K203" s="226" t="s">
        <v>116</v>
      </c>
      <c r="L203" s="106">
        <f>L260+L288+L231</f>
        <v>65821</v>
      </c>
      <c r="M203" s="106"/>
      <c r="N203" s="229"/>
      <c r="O203" s="226"/>
      <c r="P203" s="106"/>
      <c r="Q203" s="106"/>
      <c r="R203" s="229">
        <f ca="1">$R$172</f>
        <v>11</v>
      </c>
      <c r="S203" s="226" t="s">
        <v>116</v>
      </c>
      <c r="T203" s="106">
        <f ca="1">T260+T288+T231</f>
        <v>12930</v>
      </c>
      <c r="U203" s="106"/>
      <c r="V203" s="229">
        <f ca="1">$V$172</f>
        <v>45</v>
      </c>
      <c r="W203" s="226" t="s">
        <v>116</v>
      </c>
      <c r="X203" s="106">
        <f ca="1">X260+X288+X231</f>
        <v>52892</v>
      </c>
      <c r="Y203" s="82"/>
      <c r="Z203" s="83"/>
      <c r="AA203" s="83"/>
      <c r="AB203" s="83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U203" s="114"/>
    </row>
    <row r="204" spans="1:47" ht="15.75">
      <c r="A204" s="233" t="s">
        <v>156</v>
      </c>
      <c r="B204" s="179"/>
      <c r="C204" s="218"/>
      <c r="D204" s="234">
        <v>-0.01</v>
      </c>
      <c r="E204" s="220"/>
      <c r="F204" s="106"/>
      <c r="G204" s="234">
        <v>-0.01</v>
      </c>
      <c r="H204" s="226"/>
      <c r="I204" s="106"/>
      <c r="J204" s="234">
        <v>-0.01</v>
      </c>
      <c r="K204" s="226"/>
      <c r="L204" s="106"/>
      <c r="M204" s="106"/>
      <c r="N204" s="234">
        <v>-0.01</v>
      </c>
      <c r="O204" s="226"/>
      <c r="P204" s="106"/>
      <c r="Q204" s="106"/>
      <c r="R204" s="234">
        <v>-0.01</v>
      </c>
      <c r="S204" s="226"/>
      <c r="T204" s="106"/>
      <c r="U204" s="106"/>
      <c r="V204" s="234">
        <v>-0.01</v>
      </c>
      <c r="W204" s="226"/>
      <c r="X204" s="106"/>
      <c r="Y204" s="82"/>
      <c r="Z204" s="266" t="s">
        <v>108</v>
      </c>
      <c r="AA204" s="83"/>
      <c r="AB204" s="83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U204" s="114"/>
    </row>
    <row r="205" spans="1:47" ht="15.75">
      <c r="A205" s="179" t="s">
        <v>147</v>
      </c>
      <c r="B205" s="179"/>
      <c r="C205" s="218">
        <f t="shared" ref="C205:C215" si="65">C262+C290+C233</f>
        <v>71.966666666666697</v>
      </c>
      <c r="D205" s="237">
        <v>8.7100000000000009</v>
      </c>
      <c r="E205" s="220"/>
      <c r="F205" s="106">
        <f t="shared" ref="F205:F215" si="66">F262+F290+F233</f>
        <v>-6</v>
      </c>
      <c r="G205" s="237">
        <v>8.7100000000000009</v>
      </c>
      <c r="H205" s="220"/>
      <c r="I205" s="106">
        <f t="shared" ref="I205:I215" si="67">I262+I290+I233</f>
        <v>-6</v>
      </c>
      <c r="J205" s="237">
        <f>J195</f>
        <v>8.7100000000000009</v>
      </c>
      <c r="K205" s="220"/>
      <c r="L205" s="106">
        <f t="shared" ref="L205:L215" si="68">L262+L290+L233</f>
        <v>-6</v>
      </c>
      <c r="M205" s="106"/>
      <c r="N205" s="237">
        <f>N195</f>
        <v>8.7100000000000009</v>
      </c>
      <c r="O205" s="220"/>
      <c r="P205" s="106">
        <f t="shared" ref="P205:P215" si="69">P262+P290+P233</f>
        <v>-6</v>
      </c>
      <c r="Q205" s="106"/>
      <c r="R205" s="237"/>
      <c r="S205" s="220"/>
      <c r="T205" s="106"/>
      <c r="U205" s="106"/>
      <c r="V205" s="237"/>
      <c r="W205" s="220"/>
      <c r="X205" s="106"/>
      <c r="Y205" s="82"/>
      <c r="Z205" s="83"/>
      <c r="AA205" s="83"/>
      <c r="AB205" s="83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U205" s="114"/>
    </row>
    <row r="206" spans="1:47" ht="15.75">
      <c r="A206" s="179" t="s">
        <v>148</v>
      </c>
      <c r="B206" s="179"/>
      <c r="C206" s="218">
        <f t="shared" si="65"/>
        <v>38.6</v>
      </c>
      <c r="D206" s="237">
        <v>12.98</v>
      </c>
      <c r="E206" s="220"/>
      <c r="F206" s="106">
        <f t="shared" si="66"/>
        <v>-5</v>
      </c>
      <c r="G206" s="237">
        <v>12.98</v>
      </c>
      <c r="H206" s="220"/>
      <c r="I206" s="106">
        <f t="shared" si="67"/>
        <v>-5</v>
      </c>
      <c r="J206" s="237">
        <f>J196</f>
        <v>12.98</v>
      </c>
      <c r="K206" s="220"/>
      <c r="L206" s="106">
        <f t="shared" si="68"/>
        <v>-5</v>
      </c>
      <c r="M206" s="106"/>
      <c r="N206" s="237">
        <f>N196</f>
        <v>12.98</v>
      </c>
      <c r="O206" s="220"/>
      <c r="P206" s="106">
        <f t="shared" si="69"/>
        <v>-5</v>
      </c>
      <c r="Q206" s="106"/>
      <c r="R206" s="237"/>
      <c r="S206" s="220"/>
      <c r="T206" s="106"/>
      <c r="U206" s="106"/>
      <c r="V206" s="237"/>
      <c r="W206" s="220"/>
      <c r="X206" s="106"/>
      <c r="Y206" s="82"/>
      <c r="Z206" s="83"/>
      <c r="AA206" s="83"/>
      <c r="AB206" s="83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U206" s="114"/>
    </row>
    <row r="207" spans="1:47" ht="15.75">
      <c r="A207" s="179" t="s">
        <v>157</v>
      </c>
      <c r="B207" s="179"/>
      <c r="C207" s="218">
        <f t="shared" si="65"/>
        <v>1129</v>
      </c>
      <c r="D207" s="237">
        <v>0.92</v>
      </c>
      <c r="E207" s="220"/>
      <c r="F207" s="106">
        <f t="shared" si="66"/>
        <v>-11</v>
      </c>
      <c r="G207" s="237">
        <v>0.92</v>
      </c>
      <c r="H207" s="220"/>
      <c r="I207" s="106">
        <f t="shared" si="67"/>
        <v>-11</v>
      </c>
      <c r="J207" s="237">
        <f>J197</f>
        <v>0.92</v>
      </c>
      <c r="K207" s="220"/>
      <c r="L207" s="106">
        <f t="shared" si="68"/>
        <v>-11</v>
      </c>
      <c r="M207" s="106"/>
      <c r="N207" s="237">
        <f>N197</f>
        <v>0.92</v>
      </c>
      <c r="O207" s="220"/>
      <c r="P207" s="106">
        <f t="shared" si="69"/>
        <v>-11</v>
      </c>
      <c r="Q207" s="106"/>
      <c r="R207" s="237"/>
      <c r="S207" s="220"/>
      <c r="T207" s="106"/>
      <c r="U207" s="106"/>
      <c r="V207" s="237"/>
      <c r="W207" s="220"/>
      <c r="X207" s="106"/>
      <c r="Y207" s="82"/>
      <c r="Z207" s="83"/>
      <c r="AA207" s="83"/>
      <c r="AB207" s="83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U207" s="114"/>
    </row>
    <row r="208" spans="1:47" ht="15.75">
      <c r="A208" s="179" t="s">
        <v>158</v>
      </c>
      <c r="B208" s="179"/>
      <c r="C208" s="218">
        <f t="shared" si="65"/>
        <v>948</v>
      </c>
      <c r="D208" s="237">
        <v>3.4</v>
      </c>
      <c r="E208" s="226"/>
      <c r="F208" s="106">
        <f t="shared" si="66"/>
        <v>-32</v>
      </c>
      <c r="G208" s="237">
        <v>3.61</v>
      </c>
      <c r="H208" s="226"/>
      <c r="I208" s="106">
        <f t="shared" si="67"/>
        <v>-35</v>
      </c>
      <c r="J208" s="237">
        <f>J199</f>
        <v>3.61</v>
      </c>
      <c r="K208" s="226"/>
      <c r="L208" s="106">
        <f t="shared" si="68"/>
        <v>-35</v>
      </c>
      <c r="M208" s="106"/>
      <c r="N208" s="237">
        <f>N199</f>
        <v>0.73180556367242244</v>
      </c>
      <c r="O208" s="226"/>
      <c r="P208" s="106">
        <f t="shared" si="69"/>
        <v>-7</v>
      </c>
      <c r="Q208" s="106"/>
      <c r="R208" s="237">
        <f>R199</f>
        <v>0.59067856199955471</v>
      </c>
      <c r="S208" s="226"/>
      <c r="T208" s="106">
        <f t="shared" ref="T208:T215" si="70">T265+T293+T236</f>
        <v>-6</v>
      </c>
      <c r="U208" s="106"/>
      <c r="V208" s="237">
        <f>V199</f>
        <v>2.2875158743280228</v>
      </c>
      <c r="W208" s="226"/>
      <c r="X208" s="106">
        <f t="shared" ref="X208:X215" si="71">X265+X293+X236</f>
        <v>-22</v>
      </c>
      <c r="Y208" s="82"/>
      <c r="Z208" s="83"/>
      <c r="AA208" s="83"/>
      <c r="AB208" s="83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U208" s="114"/>
    </row>
    <row r="209" spans="1:47" ht="15.75">
      <c r="A209" s="179" t="s">
        <v>159</v>
      </c>
      <c r="B209" s="179"/>
      <c r="C209" s="218">
        <f t="shared" si="65"/>
        <v>90642.333333333299</v>
      </c>
      <c r="D209" s="239">
        <v>9.766</v>
      </c>
      <c r="E209" s="226" t="s">
        <v>116</v>
      </c>
      <c r="F209" s="106">
        <f t="shared" si="66"/>
        <v>-89</v>
      </c>
      <c r="G209" s="239">
        <v>10.359</v>
      </c>
      <c r="H209" s="226" t="s">
        <v>116</v>
      </c>
      <c r="I209" s="106">
        <f t="shared" si="67"/>
        <v>-94</v>
      </c>
      <c r="J209" s="239">
        <f>J200</f>
        <v>10.359</v>
      </c>
      <c r="K209" s="226" t="s">
        <v>116</v>
      </c>
      <c r="L209" s="106">
        <f t="shared" si="68"/>
        <v>-94</v>
      </c>
      <c r="M209" s="106"/>
      <c r="N209" s="241">
        <f>N200</f>
        <v>2.0999373501613916</v>
      </c>
      <c r="O209" s="226" t="s">
        <v>116</v>
      </c>
      <c r="P209" s="106">
        <f t="shared" si="69"/>
        <v>-19</v>
      </c>
      <c r="Q209" s="106"/>
      <c r="R209" s="239">
        <f>R200</f>
        <v>1.69496931405911</v>
      </c>
      <c r="S209" s="226" t="s">
        <v>116</v>
      </c>
      <c r="T209" s="106">
        <f t="shared" si="70"/>
        <v>-15</v>
      </c>
      <c r="U209" s="106"/>
      <c r="V209" s="239">
        <f>V200</f>
        <v>6.5640933357794982</v>
      </c>
      <c r="W209" s="226" t="s">
        <v>116</v>
      </c>
      <c r="X209" s="106">
        <f t="shared" si="71"/>
        <v>-60</v>
      </c>
      <c r="Y209" s="82"/>
      <c r="Z209" s="83"/>
      <c r="AA209" s="83"/>
      <c r="AB209" s="83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U209" s="114"/>
    </row>
    <row r="210" spans="1:47" ht="15.75">
      <c r="A210" s="179" t="s">
        <v>153</v>
      </c>
      <c r="B210" s="179"/>
      <c r="C210" s="218">
        <f t="shared" si="65"/>
        <v>455823.66666666698</v>
      </c>
      <c r="D210" s="239">
        <v>6.7460000000000004</v>
      </c>
      <c r="E210" s="226" t="s">
        <v>116</v>
      </c>
      <c r="F210" s="106">
        <f t="shared" si="66"/>
        <v>-307</v>
      </c>
      <c r="G210" s="239">
        <v>7.1559999999999997</v>
      </c>
      <c r="H210" s="226" t="s">
        <v>116</v>
      </c>
      <c r="I210" s="106">
        <f t="shared" si="67"/>
        <v>-326</v>
      </c>
      <c r="J210" s="239">
        <f>J201</f>
        <v>7.1559999999999997</v>
      </c>
      <c r="K210" s="226" t="s">
        <v>116</v>
      </c>
      <c r="L210" s="106">
        <f t="shared" si="68"/>
        <v>-326</v>
      </c>
      <c r="M210" s="106"/>
      <c r="N210" s="241">
        <f>N201</f>
        <v>1.4506372890969126</v>
      </c>
      <c r="O210" s="226" t="s">
        <v>116</v>
      </c>
      <c r="P210" s="106">
        <f t="shared" si="69"/>
        <v>-66</v>
      </c>
      <c r="Q210" s="106"/>
      <c r="R210" s="239">
        <f>R201</f>
        <v>1.1708852602960702</v>
      </c>
      <c r="S210" s="226" t="s">
        <v>116</v>
      </c>
      <c r="T210" s="106">
        <f t="shared" si="70"/>
        <v>-53</v>
      </c>
      <c r="U210" s="106"/>
      <c r="V210" s="239">
        <f>V201</f>
        <v>4.5344774506070165</v>
      </c>
      <c r="W210" s="226" t="s">
        <v>116</v>
      </c>
      <c r="X210" s="106">
        <f t="shared" si="71"/>
        <v>-206</v>
      </c>
      <c r="Y210" s="82"/>
      <c r="Z210" s="83"/>
      <c r="AA210" s="83"/>
      <c r="AB210" s="83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U210" s="114"/>
    </row>
    <row r="211" spans="1:47" ht="15.75">
      <c r="A211" s="179" t="s">
        <v>154</v>
      </c>
      <c r="B211" s="179"/>
      <c r="C211" s="218">
        <f t="shared" si="65"/>
        <v>176779.99999999971</v>
      </c>
      <c r="D211" s="239">
        <v>5.8120000000000003</v>
      </c>
      <c r="E211" s="226" t="s">
        <v>116</v>
      </c>
      <c r="F211" s="106">
        <f t="shared" si="66"/>
        <v>-102</v>
      </c>
      <c r="G211" s="239">
        <v>6.1660000000000004</v>
      </c>
      <c r="H211" s="226" t="s">
        <v>116</v>
      </c>
      <c r="I211" s="106">
        <f t="shared" si="67"/>
        <v>-109</v>
      </c>
      <c r="J211" s="239">
        <f>J202</f>
        <v>6.1660000000000004</v>
      </c>
      <c r="K211" s="226" t="s">
        <v>116</v>
      </c>
      <c r="L211" s="106">
        <f t="shared" si="68"/>
        <v>-109</v>
      </c>
      <c r="M211" s="106"/>
      <c r="N211" s="241">
        <f>N202</f>
        <v>1.2499482286992125</v>
      </c>
      <c r="O211" s="226" t="s">
        <v>116</v>
      </c>
      <c r="P211" s="106">
        <f t="shared" si="69"/>
        <v>-22</v>
      </c>
      <c r="Q211" s="106"/>
      <c r="R211" s="239">
        <f>R202</f>
        <v>1.0088986186396827</v>
      </c>
      <c r="S211" s="226" t="s">
        <v>116</v>
      </c>
      <c r="T211" s="106">
        <f t="shared" si="70"/>
        <v>-18</v>
      </c>
      <c r="U211" s="106"/>
      <c r="V211" s="239">
        <f>V202</f>
        <v>3.9071531526611052</v>
      </c>
      <c r="W211" s="226" t="s">
        <v>116</v>
      </c>
      <c r="X211" s="106">
        <f t="shared" si="71"/>
        <v>-69</v>
      </c>
      <c r="Y211" s="82"/>
      <c r="Z211" s="83"/>
      <c r="AA211" s="83"/>
      <c r="AB211" s="83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U211" s="114"/>
    </row>
    <row r="212" spans="1:47" ht="15.75">
      <c r="A212" s="179" t="s">
        <v>155</v>
      </c>
      <c r="B212" s="179"/>
      <c r="C212" s="218">
        <f t="shared" si="65"/>
        <v>1148.3</v>
      </c>
      <c r="D212" s="241">
        <v>56</v>
      </c>
      <c r="E212" s="226" t="s">
        <v>116</v>
      </c>
      <c r="F212" s="106">
        <f t="shared" si="66"/>
        <v>-6</v>
      </c>
      <c r="G212" s="241">
        <v>56</v>
      </c>
      <c r="H212" s="226" t="s">
        <v>116</v>
      </c>
      <c r="I212" s="106">
        <f t="shared" si="67"/>
        <v>-6</v>
      </c>
      <c r="J212" s="241">
        <f>J203</f>
        <v>56</v>
      </c>
      <c r="K212" s="226" t="s">
        <v>116</v>
      </c>
      <c r="L212" s="106">
        <f t="shared" si="68"/>
        <v>-6</v>
      </c>
      <c r="M212" s="106"/>
      <c r="N212" s="241">
        <f>N203</f>
        <v>0</v>
      </c>
      <c r="O212" s="226" t="s">
        <v>116</v>
      </c>
      <c r="P212" s="106">
        <f t="shared" si="69"/>
        <v>0</v>
      </c>
      <c r="Q212" s="106"/>
      <c r="R212" s="241">
        <f ca="1">R203</f>
        <v>11</v>
      </c>
      <c r="S212" s="226" t="s">
        <v>116</v>
      </c>
      <c r="T212" s="106">
        <f t="shared" ca="1" si="70"/>
        <v>-1</v>
      </c>
      <c r="U212" s="106"/>
      <c r="V212" s="241">
        <f ca="1">V203</f>
        <v>45</v>
      </c>
      <c r="W212" s="226" t="s">
        <v>116</v>
      </c>
      <c r="X212" s="106">
        <f t="shared" ca="1" si="71"/>
        <v>-5</v>
      </c>
      <c r="Y212" s="82"/>
      <c r="Z212" s="83"/>
      <c r="AA212" s="83"/>
      <c r="AB212" s="83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U212" s="114"/>
    </row>
    <row r="213" spans="1:47" ht="15.75">
      <c r="A213" s="179" t="s">
        <v>160</v>
      </c>
      <c r="B213" s="179"/>
      <c r="C213" s="218">
        <f t="shared" si="65"/>
        <v>123.4666666666667</v>
      </c>
      <c r="D213" s="243">
        <v>60</v>
      </c>
      <c r="E213" s="220"/>
      <c r="F213" s="106">
        <f t="shared" si="66"/>
        <v>7408</v>
      </c>
      <c r="G213" s="243">
        <v>60</v>
      </c>
      <c r="H213" s="226"/>
      <c r="I213" s="106">
        <f t="shared" si="67"/>
        <v>7408</v>
      </c>
      <c r="J213" s="243">
        <f>$J$182</f>
        <v>60</v>
      </c>
      <c r="K213" s="226"/>
      <c r="L213" s="106">
        <f t="shared" si="68"/>
        <v>7408</v>
      </c>
      <c r="M213" s="106"/>
      <c r="N213" s="243">
        <f>$J$182</f>
        <v>60</v>
      </c>
      <c r="O213" s="226"/>
      <c r="P213" s="106">
        <f t="shared" si="69"/>
        <v>0</v>
      </c>
      <c r="Q213" s="106"/>
      <c r="R213" s="243">
        <f>$R$182</f>
        <v>12.313523114579342</v>
      </c>
      <c r="S213" s="226"/>
      <c r="T213" s="106">
        <f t="shared" si="70"/>
        <v>1520</v>
      </c>
      <c r="U213" s="106"/>
      <c r="V213" s="243">
        <f>$V$182</f>
        <v>47.68647688542066</v>
      </c>
      <c r="W213" s="226"/>
      <c r="X213" s="106">
        <f t="shared" si="71"/>
        <v>5888</v>
      </c>
      <c r="Y213" s="82"/>
      <c r="Z213" s="83"/>
      <c r="AA213" s="83"/>
      <c r="AB213" s="83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U213" s="114"/>
    </row>
    <row r="214" spans="1:47" ht="15.75">
      <c r="A214" s="179" t="s">
        <v>161</v>
      </c>
      <c r="B214" s="179"/>
      <c r="C214" s="218">
        <f t="shared" si="65"/>
        <v>1129</v>
      </c>
      <c r="D214" s="244">
        <v>-30</v>
      </c>
      <c r="E214" s="220" t="s">
        <v>116</v>
      </c>
      <c r="F214" s="106">
        <f t="shared" si="66"/>
        <v>-339</v>
      </c>
      <c r="G214" s="244">
        <v>-30</v>
      </c>
      <c r="H214" s="226" t="s">
        <v>116</v>
      </c>
      <c r="I214" s="106">
        <f t="shared" si="67"/>
        <v>-339</v>
      </c>
      <c r="J214" s="244">
        <f>$J$183</f>
        <v>-30</v>
      </c>
      <c r="K214" s="226" t="s">
        <v>116</v>
      </c>
      <c r="L214" s="106">
        <f t="shared" si="68"/>
        <v>-339</v>
      </c>
      <c r="M214" s="106"/>
      <c r="N214" s="244">
        <f>$N$183</f>
        <v>-30</v>
      </c>
      <c r="O214" s="226" t="s">
        <v>116</v>
      </c>
      <c r="P214" s="106">
        <f t="shared" si="69"/>
        <v>-339</v>
      </c>
      <c r="Q214" s="106"/>
      <c r="R214" s="244">
        <f>$R$183</f>
        <v>0</v>
      </c>
      <c r="S214" s="226" t="s">
        <v>116</v>
      </c>
      <c r="T214" s="106">
        <f t="shared" si="70"/>
        <v>0</v>
      </c>
      <c r="U214" s="106"/>
      <c r="V214" s="244">
        <f>$V$183</f>
        <v>0</v>
      </c>
      <c r="W214" s="226" t="s">
        <v>116</v>
      </c>
      <c r="X214" s="106">
        <f t="shared" si="71"/>
        <v>0</v>
      </c>
      <c r="Y214" s="82"/>
      <c r="Z214" s="83"/>
      <c r="AA214" s="83"/>
      <c r="AB214" s="83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U214" s="114"/>
    </row>
    <row r="215" spans="1:47" ht="15.75">
      <c r="A215" s="179" t="s">
        <v>134</v>
      </c>
      <c r="B215" s="104"/>
      <c r="C215" s="218">
        <f t="shared" si="65"/>
        <v>543245488.34573233</v>
      </c>
      <c r="D215" s="229"/>
      <c r="E215" s="106"/>
      <c r="F215" s="106">
        <f t="shared" si="66"/>
        <v>45750545</v>
      </c>
      <c r="G215" s="229"/>
      <c r="H215" s="226"/>
      <c r="I215" s="106">
        <f t="shared" si="67"/>
        <v>48325339</v>
      </c>
      <c r="J215" s="229"/>
      <c r="K215" s="226"/>
      <c r="L215" s="106">
        <f t="shared" si="68"/>
        <v>48325339</v>
      </c>
      <c r="M215" s="106"/>
      <c r="N215" s="229"/>
      <c r="O215" s="226"/>
      <c r="P215" s="106">
        <f t="shared" si="69"/>
        <v>12462933</v>
      </c>
      <c r="Q215" s="106"/>
      <c r="R215" s="229"/>
      <c r="S215" s="226"/>
      <c r="T215" s="106">
        <f t="shared" ca="1" si="70"/>
        <v>7359298</v>
      </c>
      <c r="U215" s="106"/>
      <c r="V215" s="229"/>
      <c r="W215" s="226"/>
      <c r="X215" s="106">
        <f t="shared" ca="1" si="71"/>
        <v>28503110</v>
      </c>
      <c r="Y215" s="82"/>
      <c r="Z215" s="83"/>
      <c r="AA215" s="83"/>
      <c r="AB215" s="83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U215" s="114"/>
    </row>
    <row r="216" spans="1:47" ht="15.75">
      <c r="A216" s="179" t="s">
        <v>119</v>
      </c>
      <c r="B216" s="267"/>
      <c r="C216" s="247">
        <f>C244+C273+C301</f>
        <v>-1810988.0382363582</v>
      </c>
      <c r="D216" s="138"/>
      <c r="E216" s="138"/>
      <c r="F216" s="248">
        <f>I216</f>
        <v>-144541.39544477698</v>
      </c>
      <c r="G216" s="138"/>
      <c r="H216" s="138"/>
      <c r="I216" s="248">
        <f>I244+I273+I301</f>
        <v>-144541.39544477698</v>
      </c>
      <c r="J216" s="138"/>
      <c r="K216" s="138"/>
      <c r="L216" s="248">
        <f>I216</f>
        <v>-144541.39544477698</v>
      </c>
      <c r="M216" s="221"/>
      <c r="N216" s="138"/>
      <c r="O216" s="138"/>
      <c r="P216" s="248">
        <f>P185/L185*L216</f>
        <v>-28770.396356064964</v>
      </c>
      <c r="Q216" s="221"/>
      <c r="R216" s="138"/>
      <c r="S216" s="138"/>
      <c r="T216" s="248">
        <f>T185/L185*L216</f>
        <v>-23347.199733407306</v>
      </c>
      <c r="U216" s="221"/>
      <c r="V216" s="138"/>
      <c r="W216" s="138"/>
      <c r="X216" s="248">
        <f>X185/L185*L216</f>
        <v>-92423.799355304742</v>
      </c>
      <c r="Y216" s="172"/>
      <c r="Z216" s="168"/>
      <c r="AA216" s="83"/>
      <c r="AB216" s="83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U216" s="114"/>
    </row>
    <row r="217" spans="1:47" ht="16.5" thickBot="1">
      <c r="A217" s="179" t="s">
        <v>135</v>
      </c>
      <c r="B217" s="179"/>
      <c r="C217" s="199">
        <f>SUM(C215:C216)</f>
        <v>541434500.30749595</v>
      </c>
      <c r="D217" s="268"/>
      <c r="E217" s="250"/>
      <c r="F217" s="251">
        <f>F215+F216</f>
        <v>45606003.604555219</v>
      </c>
      <c r="G217" s="268"/>
      <c r="H217" s="269"/>
      <c r="I217" s="251">
        <f>I215+I216</f>
        <v>48180797.604555219</v>
      </c>
      <c r="J217" s="268"/>
      <c r="K217" s="269"/>
      <c r="L217" s="251">
        <f>L215+L216</f>
        <v>48180797.604555219</v>
      </c>
      <c r="M217" s="251"/>
      <c r="N217" s="268"/>
      <c r="O217" s="269"/>
      <c r="P217" s="251">
        <f>P215+P216</f>
        <v>12434162.603643935</v>
      </c>
      <c r="Q217" s="251"/>
      <c r="R217" s="268"/>
      <c r="S217" s="269"/>
      <c r="T217" s="251">
        <f ca="1">T215+T216</f>
        <v>7335950.8002665928</v>
      </c>
      <c r="U217" s="251"/>
      <c r="V217" s="268"/>
      <c r="W217" s="269"/>
      <c r="X217" s="251">
        <f ca="1">X215+X216</f>
        <v>28410686.200644694</v>
      </c>
      <c r="Y217" s="176"/>
      <c r="Z217" s="177"/>
      <c r="AA217" s="83"/>
      <c r="AB217" s="83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U217" s="114"/>
    </row>
    <row r="218" spans="1:47" ht="16.5" thickTop="1">
      <c r="A218" s="179"/>
      <c r="B218" s="179"/>
      <c r="C218" s="205"/>
      <c r="D218" s="243"/>
      <c r="E218" s="106"/>
      <c r="F218" s="106"/>
      <c r="G218" s="243"/>
      <c r="H218" s="179"/>
      <c r="I218" s="106"/>
      <c r="J218" s="243"/>
      <c r="K218" s="179"/>
      <c r="L218" s="106"/>
      <c r="M218" s="106"/>
      <c r="N218" s="243"/>
      <c r="O218" s="179"/>
      <c r="P218" s="106" t="s">
        <v>108</v>
      </c>
      <c r="Q218" s="106"/>
      <c r="R218" s="243"/>
      <c r="S218" s="179"/>
      <c r="T218" s="106" t="s">
        <v>108</v>
      </c>
      <c r="U218" s="106"/>
      <c r="V218" s="243"/>
      <c r="W218" s="179"/>
      <c r="X218" s="106" t="s">
        <v>108</v>
      </c>
      <c r="Y218" s="82"/>
      <c r="Z218" s="83"/>
      <c r="AA218" s="83"/>
      <c r="AB218" s="83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U218" s="114"/>
    </row>
    <row r="219" spans="1:47" ht="15.75">
      <c r="A219" s="178" t="s">
        <v>144</v>
      </c>
      <c r="B219" s="179"/>
      <c r="C219" s="179"/>
      <c r="D219" s="106"/>
      <c r="E219" s="106"/>
      <c r="F219" s="179" t="s">
        <v>108</v>
      </c>
      <c r="G219" s="106"/>
      <c r="H219" s="179"/>
      <c r="I219" s="270" t="s">
        <v>108</v>
      </c>
      <c r="J219" s="106"/>
      <c r="K219" s="179"/>
      <c r="L219" s="179"/>
      <c r="M219" s="179"/>
      <c r="N219" s="106"/>
      <c r="O219" s="179"/>
      <c r="P219" s="179"/>
      <c r="Q219" s="179"/>
      <c r="R219" s="106"/>
      <c r="S219" s="179"/>
      <c r="T219" s="179"/>
      <c r="U219" s="179"/>
      <c r="V219" s="106"/>
      <c r="W219" s="179"/>
      <c r="X219" s="179"/>
      <c r="Y219" s="82"/>
      <c r="Z219" s="83"/>
      <c r="AA219" s="83"/>
      <c r="AB219" s="83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U219" s="114"/>
    </row>
    <row r="220" spans="1:47" ht="15.75">
      <c r="A220" s="179" t="s">
        <v>164</v>
      </c>
      <c r="B220" s="179"/>
      <c r="C220" s="179"/>
      <c r="D220" s="106"/>
      <c r="E220" s="106"/>
      <c r="F220" s="179"/>
      <c r="G220" s="106"/>
      <c r="H220" s="179"/>
      <c r="I220" s="179"/>
      <c r="J220" s="106"/>
      <c r="K220" s="179"/>
      <c r="L220" s="179"/>
      <c r="M220" s="179"/>
      <c r="N220" s="106"/>
      <c r="O220" s="179"/>
      <c r="P220" s="179"/>
      <c r="Q220" s="179"/>
      <c r="R220" s="106"/>
      <c r="S220" s="179"/>
      <c r="T220" s="179"/>
      <c r="U220" s="179"/>
      <c r="V220" s="106"/>
      <c r="W220" s="179"/>
      <c r="X220" s="179"/>
      <c r="Y220" s="82"/>
      <c r="Z220" s="83"/>
      <c r="AA220" s="83"/>
      <c r="AB220" s="83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U220" s="114"/>
    </row>
    <row r="221" spans="1:47" ht="15.75">
      <c r="A221" s="271" t="s">
        <v>108</v>
      </c>
      <c r="B221" s="179"/>
      <c r="C221" s="205"/>
      <c r="D221" s="106"/>
      <c r="E221" s="106"/>
      <c r="F221" s="179"/>
      <c r="G221" s="106"/>
      <c r="H221" s="179"/>
      <c r="I221" s="179"/>
      <c r="J221" s="106"/>
      <c r="K221" s="179"/>
      <c r="L221" s="179"/>
      <c r="M221" s="179"/>
      <c r="N221" s="106"/>
      <c r="O221" s="179"/>
      <c r="P221" s="179"/>
      <c r="Q221" s="179"/>
      <c r="R221" s="106"/>
      <c r="S221" s="179"/>
      <c r="T221" s="179"/>
      <c r="U221" s="179"/>
      <c r="V221" s="106"/>
      <c r="W221" s="179"/>
      <c r="X221" s="179"/>
      <c r="Y221" s="82"/>
      <c r="Z221" s="83"/>
      <c r="AA221" s="83"/>
      <c r="AB221" s="83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U221" s="114"/>
    </row>
    <row r="222" spans="1:47" ht="15.75">
      <c r="A222" s="179" t="s">
        <v>11</v>
      </c>
      <c r="B222" s="179"/>
      <c r="C222" s="218"/>
      <c r="D222" s="106"/>
      <c r="E222" s="106"/>
      <c r="F222" s="179"/>
      <c r="G222" s="106"/>
      <c r="H222" s="179"/>
      <c r="I222" s="179"/>
      <c r="J222" s="106"/>
      <c r="K222" s="179"/>
      <c r="L222" s="179"/>
      <c r="M222" s="179"/>
      <c r="N222" s="106"/>
      <c r="O222" s="179"/>
      <c r="P222" s="179"/>
      <c r="Q222" s="179"/>
      <c r="R222" s="106"/>
      <c r="S222" s="179"/>
      <c r="T222" s="179"/>
      <c r="U222" s="179"/>
      <c r="V222" s="106"/>
      <c r="W222" s="179"/>
      <c r="X222" s="179"/>
      <c r="Y222" s="82"/>
      <c r="Z222" s="83"/>
      <c r="AA222" s="83"/>
      <c r="AB222" s="83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U222" s="114"/>
    </row>
    <row r="223" spans="1:47" ht="15.75">
      <c r="A223" s="179" t="s">
        <v>147</v>
      </c>
      <c r="B223" s="179"/>
      <c r="C223" s="218">
        <v>16222.5</v>
      </c>
      <c r="D223" s="210">
        <v>8.7100000000000009</v>
      </c>
      <c r="E223" s="220"/>
      <c r="F223" s="106">
        <f>ROUND(D223*$C223,0)</f>
        <v>141298</v>
      </c>
      <c r="G223" s="210">
        <v>8.7100000000000009</v>
      </c>
      <c r="H223" s="226"/>
      <c r="I223" s="106">
        <f>ROUND(G223*$C223,0)</f>
        <v>141298</v>
      </c>
      <c r="J223" s="210">
        <f>$J$163</f>
        <v>8.7100000000000009</v>
      </c>
      <c r="K223" s="226"/>
      <c r="L223" s="106">
        <f>ROUND(J223*$C223,0)</f>
        <v>141298</v>
      </c>
      <c r="M223" s="106"/>
      <c r="N223" s="210">
        <f>N195</f>
        <v>8.7100000000000009</v>
      </c>
      <c r="O223" s="226"/>
      <c r="P223" s="106">
        <f>ROUND(N223*$C223,0)</f>
        <v>141298</v>
      </c>
      <c r="Q223" s="106"/>
      <c r="R223" s="210"/>
      <c r="S223" s="226"/>
      <c r="T223" s="106"/>
      <c r="U223" s="106"/>
      <c r="V223" s="210"/>
      <c r="W223" s="226"/>
      <c r="X223" s="106"/>
      <c r="Y223" s="82"/>
      <c r="Z223" s="83"/>
      <c r="AA223" s="83"/>
      <c r="AB223" s="83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U223" s="114"/>
    </row>
    <row r="224" spans="1:47" ht="15.75">
      <c r="A224" s="179" t="s">
        <v>148</v>
      </c>
      <c r="B224" s="179"/>
      <c r="C224" s="218">
        <v>747.26666666666699</v>
      </c>
      <c r="D224" s="210">
        <v>12.98</v>
      </c>
      <c r="E224" s="222"/>
      <c r="F224" s="106">
        <f>ROUND(D224*$C224,0)</f>
        <v>9700</v>
      </c>
      <c r="G224" s="210">
        <v>12.98</v>
      </c>
      <c r="H224" s="265"/>
      <c r="I224" s="106">
        <f t="shared" ref="I224:I225" si="72">ROUND(G224*$C224,0)</f>
        <v>9700</v>
      </c>
      <c r="J224" s="210">
        <f>$J$164</f>
        <v>12.98</v>
      </c>
      <c r="K224" s="265"/>
      <c r="L224" s="106">
        <f>ROUND(J224*$C224,0)</f>
        <v>9700</v>
      </c>
      <c r="M224" s="106"/>
      <c r="N224" s="210">
        <f t="shared" ref="N224:N230" si="73">N196</f>
        <v>12.98</v>
      </c>
      <c r="O224" s="265"/>
      <c r="P224" s="106">
        <f>ROUND(N224*$C224,0)</f>
        <v>9700</v>
      </c>
      <c r="Q224" s="106"/>
      <c r="R224" s="210"/>
      <c r="S224" s="265"/>
      <c r="T224" s="106"/>
      <c r="U224" s="106"/>
      <c r="V224" s="210"/>
      <c r="W224" s="265"/>
      <c r="X224" s="106"/>
      <c r="Y224" s="82"/>
      <c r="Z224" s="83"/>
      <c r="AA224" s="83"/>
      <c r="AB224" s="83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U224" s="114"/>
    </row>
    <row r="225" spans="1:47" ht="15.75">
      <c r="A225" s="179" t="s">
        <v>149</v>
      </c>
      <c r="B225" s="179"/>
      <c r="C225" s="218">
        <v>4516</v>
      </c>
      <c r="D225" s="210">
        <v>0.92</v>
      </c>
      <c r="E225" s="222"/>
      <c r="F225" s="106">
        <f>ROUND(D225*$C225,0)</f>
        <v>4155</v>
      </c>
      <c r="G225" s="210">
        <v>0.92</v>
      </c>
      <c r="H225" s="265"/>
      <c r="I225" s="106">
        <f t="shared" si="72"/>
        <v>4155</v>
      </c>
      <c r="J225" s="210">
        <f>$J$165</f>
        <v>0.92</v>
      </c>
      <c r="K225" s="265"/>
      <c r="L225" s="106">
        <f>ROUND(J225*$C225,0)</f>
        <v>4155</v>
      </c>
      <c r="M225" s="106"/>
      <c r="N225" s="210">
        <f t="shared" si="73"/>
        <v>0.92</v>
      </c>
      <c r="O225" s="265"/>
      <c r="P225" s="106">
        <f>ROUND(N225*$C225,0)</f>
        <v>4155</v>
      </c>
      <c r="Q225" s="106"/>
      <c r="R225" s="210"/>
      <c r="S225" s="265"/>
      <c r="T225" s="106"/>
      <c r="U225" s="106"/>
      <c r="V225" s="210"/>
      <c r="W225" s="265"/>
      <c r="X225" s="106"/>
      <c r="Y225" s="82"/>
      <c r="Z225" s="83"/>
      <c r="AA225" s="83"/>
      <c r="AB225" s="83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U225" s="114"/>
    </row>
    <row r="226" spans="1:47" ht="15.75">
      <c r="A226" s="179" t="s">
        <v>150</v>
      </c>
      <c r="B226" s="179"/>
      <c r="C226" s="218">
        <f>SUM(C223:C224)</f>
        <v>16969.766666666666</v>
      </c>
      <c r="D226" s="210"/>
      <c r="E226" s="220"/>
      <c r="F226" s="106"/>
      <c r="G226" s="210"/>
      <c r="H226" s="226"/>
      <c r="I226" s="106"/>
      <c r="J226" s="210"/>
      <c r="K226" s="226"/>
      <c r="L226" s="106"/>
      <c r="M226" s="106"/>
      <c r="N226" s="210"/>
      <c r="O226" s="226"/>
      <c r="P226" s="106"/>
      <c r="Q226" s="106"/>
      <c r="R226" s="210"/>
      <c r="S226" s="226"/>
      <c r="T226" s="106"/>
      <c r="U226" s="106"/>
      <c r="V226" s="210"/>
      <c r="W226" s="226"/>
      <c r="X226" s="106"/>
      <c r="Y226" s="82"/>
      <c r="Z226" s="83"/>
      <c r="AA226" s="83"/>
      <c r="AB226" s="83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U226" s="114"/>
    </row>
    <row r="227" spans="1:47" ht="15.75">
      <c r="A227" s="179" t="s">
        <v>151</v>
      </c>
      <c r="B227" s="179"/>
      <c r="C227" s="218">
        <v>3433</v>
      </c>
      <c r="D227" s="243">
        <v>3.4</v>
      </c>
      <c r="E227" s="226"/>
      <c r="F227" s="106">
        <f>ROUND(D227*$C227,0)</f>
        <v>11672</v>
      </c>
      <c r="G227" s="243">
        <v>3.61</v>
      </c>
      <c r="H227" s="226"/>
      <c r="I227" s="106">
        <f>ROUND(G227*C227,0)</f>
        <v>12393</v>
      </c>
      <c r="J227" s="243">
        <f>$J$168</f>
        <v>3.61</v>
      </c>
      <c r="K227" s="226"/>
      <c r="L227" s="106">
        <f>ROUND(J227*$C227,0)</f>
        <v>12393</v>
      </c>
      <c r="M227" s="106"/>
      <c r="N227" s="210">
        <f t="shared" si="73"/>
        <v>0.73180556367242244</v>
      </c>
      <c r="O227" s="226"/>
      <c r="P227" s="106">
        <f>ROUND(N227*$C227,0)</f>
        <v>2512</v>
      </c>
      <c r="Q227" s="106"/>
      <c r="R227" s="243">
        <f>R199</f>
        <v>0.59067856199955471</v>
      </c>
      <c r="S227" s="226"/>
      <c r="T227" s="106">
        <f>ROUND(R227*$C227,0)</f>
        <v>2028</v>
      </c>
      <c r="U227" s="106"/>
      <c r="V227" s="243">
        <f>V199</f>
        <v>2.2875158743280228</v>
      </c>
      <c r="W227" s="226"/>
      <c r="X227" s="106">
        <f>ROUND(V227*$C227,0)</f>
        <v>7853</v>
      </c>
      <c r="Y227" s="82"/>
      <c r="Z227" s="83"/>
      <c r="AA227" s="83"/>
      <c r="AB227" s="83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U227" s="114"/>
    </row>
    <row r="228" spans="1:47" ht="15.75">
      <c r="A228" s="179" t="s">
        <v>152</v>
      </c>
      <c r="B228" s="218"/>
      <c r="C228" s="218">
        <v>4790266.1001077108</v>
      </c>
      <c r="D228" s="211">
        <v>9.766</v>
      </c>
      <c r="E228" s="226" t="s">
        <v>116</v>
      </c>
      <c r="F228" s="106">
        <f>ROUND(D228*$C228/100,0)</f>
        <v>467817</v>
      </c>
      <c r="G228" s="211">
        <v>10.359</v>
      </c>
      <c r="H228" s="226" t="s">
        <v>116</v>
      </c>
      <c r="I228" s="106">
        <f>ROUND(G228*C228/100,0)</f>
        <v>496224</v>
      </c>
      <c r="J228" s="211">
        <f>$J$169</f>
        <v>10.359</v>
      </c>
      <c r="K228" s="226" t="s">
        <v>116</v>
      </c>
      <c r="L228" s="106">
        <f>ROUND(J228*$C228/100,0)</f>
        <v>496224</v>
      </c>
      <c r="M228" s="106"/>
      <c r="N228" s="210">
        <f t="shared" si="73"/>
        <v>2.0999373501613916</v>
      </c>
      <c r="O228" s="226" t="s">
        <v>116</v>
      </c>
      <c r="P228" s="106">
        <f>ROUND(N228*$C228/100,0)</f>
        <v>100593</v>
      </c>
      <c r="Q228" s="106"/>
      <c r="R228" s="243">
        <f t="shared" ref="R228:R230" si="74">R200</f>
        <v>1.69496931405911</v>
      </c>
      <c r="S228" s="226" t="s">
        <v>116</v>
      </c>
      <c r="T228" s="106">
        <f>ROUND(R228*$C228/100,0)</f>
        <v>81194</v>
      </c>
      <c r="U228" s="106"/>
      <c r="V228" s="243">
        <f t="shared" ref="V228:V231" si="75">V200</f>
        <v>6.5640933357794982</v>
      </c>
      <c r="W228" s="226" t="s">
        <v>116</v>
      </c>
      <c r="X228" s="106">
        <f>ROUND(V228*$C228/100,0)</f>
        <v>314438</v>
      </c>
      <c r="Y228" s="272"/>
      <c r="Z228" s="83"/>
      <c r="AA228" s="83"/>
      <c r="AB228" s="83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U228" s="114"/>
    </row>
    <row r="229" spans="1:47" ht="15.75">
      <c r="A229" s="179" t="s">
        <v>153</v>
      </c>
      <c r="B229" s="218"/>
      <c r="C229" s="218">
        <v>1927075.6940961913</v>
      </c>
      <c r="D229" s="211">
        <v>6.7460000000000004</v>
      </c>
      <c r="E229" s="226" t="s">
        <v>116</v>
      </c>
      <c r="F229" s="106">
        <f>ROUND(D229*$C229/100,0)</f>
        <v>130001</v>
      </c>
      <c r="G229" s="211">
        <v>7.1559999999999997</v>
      </c>
      <c r="H229" s="226" t="s">
        <v>116</v>
      </c>
      <c r="I229" s="106">
        <f t="shared" ref="I229:I231" si="76">ROUND(G229*C229/100,0)</f>
        <v>137902</v>
      </c>
      <c r="J229" s="211">
        <f>$J$170</f>
        <v>7.1559999999999997</v>
      </c>
      <c r="K229" s="226" t="s">
        <v>116</v>
      </c>
      <c r="L229" s="106">
        <f>ROUND(J229*$C229/100,0)</f>
        <v>137902</v>
      </c>
      <c r="M229" s="106"/>
      <c r="N229" s="210">
        <f t="shared" si="73"/>
        <v>1.4506372890969126</v>
      </c>
      <c r="O229" s="226" t="s">
        <v>116</v>
      </c>
      <c r="P229" s="106">
        <f>ROUND(N229*$C229/100,0)</f>
        <v>27955</v>
      </c>
      <c r="Q229" s="106"/>
      <c r="R229" s="243">
        <f t="shared" si="74"/>
        <v>1.1708852602960702</v>
      </c>
      <c r="S229" s="226" t="s">
        <v>116</v>
      </c>
      <c r="T229" s="106">
        <f>ROUND(R229*$C229/100,0)</f>
        <v>22564</v>
      </c>
      <c r="U229" s="106"/>
      <c r="V229" s="243">
        <f t="shared" si="75"/>
        <v>4.5344774506070165</v>
      </c>
      <c r="W229" s="226" t="s">
        <v>116</v>
      </c>
      <c r="X229" s="106">
        <f>ROUND(V229*$C229/100,0)</f>
        <v>87383</v>
      </c>
      <c r="Y229" s="272"/>
      <c r="Z229" s="83"/>
      <c r="AA229" s="83"/>
      <c r="AB229" s="83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U229" s="114"/>
    </row>
    <row r="230" spans="1:47" ht="15.75">
      <c r="A230" s="179" t="s">
        <v>154</v>
      </c>
      <c r="B230" s="218"/>
      <c r="C230" s="218">
        <v>297732.95603028813</v>
      </c>
      <c r="D230" s="211">
        <v>5.8120000000000003</v>
      </c>
      <c r="E230" s="226" t="s">
        <v>116</v>
      </c>
      <c r="F230" s="106">
        <f>ROUND(D230*$C230/100,0)</f>
        <v>17304</v>
      </c>
      <c r="G230" s="211">
        <v>6.1660000000000004</v>
      </c>
      <c r="H230" s="226" t="s">
        <v>116</v>
      </c>
      <c r="I230" s="106">
        <f t="shared" si="76"/>
        <v>18358</v>
      </c>
      <c r="J230" s="211">
        <f>$J$171</f>
        <v>6.1660000000000004</v>
      </c>
      <c r="K230" s="226" t="s">
        <v>116</v>
      </c>
      <c r="L230" s="106">
        <f>ROUND(J230*$C230/100,0)</f>
        <v>18358</v>
      </c>
      <c r="M230" s="106"/>
      <c r="N230" s="210">
        <f t="shared" si="73"/>
        <v>1.2499482286992125</v>
      </c>
      <c r="O230" s="226" t="s">
        <v>116</v>
      </c>
      <c r="P230" s="106">
        <f>ROUND(N230*$C230/100,0)</f>
        <v>3722</v>
      </c>
      <c r="Q230" s="106"/>
      <c r="R230" s="243">
        <f t="shared" si="74"/>
        <v>1.0088986186396827</v>
      </c>
      <c r="S230" s="226" t="s">
        <v>116</v>
      </c>
      <c r="T230" s="106">
        <f>ROUND(R230*$C230/100,0)</f>
        <v>3004</v>
      </c>
      <c r="U230" s="106"/>
      <c r="V230" s="243">
        <f t="shared" si="75"/>
        <v>3.9071531526611052</v>
      </c>
      <c r="W230" s="226" t="s">
        <v>116</v>
      </c>
      <c r="X230" s="106">
        <f>ROUND(V230*$C230/100,0)</f>
        <v>11633</v>
      </c>
      <c r="Y230" s="272"/>
      <c r="Z230" s="83"/>
      <c r="AA230" s="83"/>
      <c r="AB230" s="83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U230" s="114"/>
    </row>
    <row r="231" spans="1:47" ht="15.75">
      <c r="A231" s="179" t="s">
        <v>155</v>
      </c>
      <c r="B231" s="205"/>
      <c r="C231" s="218">
        <v>15</v>
      </c>
      <c r="D231" s="229">
        <v>56</v>
      </c>
      <c r="E231" s="220" t="s">
        <v>116</v>
      </c>
      <c r="F231" s="106">
        <f>ROUND(D231*$C231/100,0)</f>
        <v>8</v>
      </c>
      <c r="G231" s="229">
        <v>56</v>
      </c>
      <c r="H231" s="226" t="s">
        <v>116</v>
      </c>
      <c r="I231" s="106">
        <f t="shared" si="76"/>
        <v>8</v>
      </c>
      <c r="J231" s="229">
        <f>$J$172</f>
        <v>56</v>
      </c>
      <c r="K231" s="226" t="s">
        <v>116</v>
      </c>
      <c r="L231" s="106">
        <f>ROUND(J231*$C231/100,0)</f>
        <v>8</v>
      </c>
      <c r="M231" s="106"/>
      <c r="N231" s="210"/>
      <c r="O231" s="226"/>
      <c r="P231" s="106"/>
      <c r="Q231" s="106"/>
      <c r="R231" s="229">
        <f ca="1">$R$172</f>
        <v>11</v>
      </c>
      <c r="S231" s="226" t="s">
        <v>116</v>
      </c>
      <c r="T231" s="106">
        <f ca="1">ROUND(R231*$C231/100,0)</f>
        <v>2</v>
      </c>
      <c r="U231" s="106"/>
      <c r="V231" s="243">
        <f t="shared" ca="1" si="75"/>
        <v>45</v>
      </c>
      <c r="W231" s="226" t="s">
        <v>116</v>
      </c>
      <c r="X231" s="106">
        <f ca="1">ROUND(V231*$C231/100,0)</f>
        <v>7</v>
      </c>
      <c r="Y231" s="82"/>
      <c r="Z231" s="83"/>
      <c r="AA231" s="83"/>
      <c r="AB231" s="83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U231" s="114"/>
    </row>
    <row r="232" spans="1:47" ht="15.75">
      <c r="A232" s="233" t="s">
        <v>156</v>
      </c>
      <c r="B232" s="205"/>
      <c r="C232" s="218"/>
      <c r="D232" s="234">
        <v>-0.01</v>
      </c>
      <c r="E232" s="220"/>
      <c r="F232" s="106"/>
      <c r="G232" s="234">
        <v>-0.01</v>
      </c>
      <c r="H232" s="226"/>
      <c r="I232" s="106"/>
      <c r="J232" s="234">
        <v>-0.01</v>
      </c>
      <c r="K232" s="226"/>
      <c r="L232" s="106"/>
      <c r="M232" s="106"/>
      <c r="N232" s="234">
        <v>-0.01</v>
      </c>
      <c r="O232" s="226"/>
      <c r="P232" s="106"/>
      <c r="Q232" s="106"/>
      <c r="R232" s="234">
        <v>-0.01</v>
      </c>
      <c r="S232" s="226"/>
      <c r="T232" s="106"/>
      <c r="U232" s="106"/>
      <c r="V232" s="234">
        <v>-0.01</v>
      </c>
      <c r="W232" s="226"/>
      <c r="X232" s="106"/>
      <c r="Y232" s="82"/>
      <c r="Z232" s="83"/>
      <c r="AA232" s="83"/>
      <c r="AB232" s="83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U232" s="114"/>
    </row>
    <row r="233" spans="1:47" ht="15.75">
      <c r="A233" s="179" t="s">
        <v>147</v>
      </c>
      <c r="B233" s="179"/>
      <c r="C233" s="218">
        <v>0</v>
      </c>
      <c r="D233" s="237">
        <v>8.7100000000000009</v>
      </c>
      <c r="E233" s="220"/>
      <c r="F233" s="106">
        <f>-ROUND(D233*$C233/100,0)</f>
        <v>0</v>
      </c>
      <c r="G233" s="237">
        <v>8.7100000000000009</v>
      </c>
      <c r="H233" s="220"/>
      <c r="I233" s="106">
        <f>-ROUND(G233*$C233/100,0)</f>
        <v>0</v>
      </c>
      <c r="J233" s="237">
        <f>J223</f>
        <v>8.7100000000000009</v>
      </c>
      <c r="K233" s="220"/>
      <c r="L233" s="106">
        <f>-ROUND(J233*$C233/100,0)</f>
        <v>0</v>
      </c>
      <c r="M233" s="106"/>
      <c r="N233" s="237">
        <f>N223</f>
        <v>8.7100000000000009</v>
      </c>
      <c r="O233" s="220"/>
      <c r="P233" s="106">
        <f>-ROUND(N233*$C233/100,0)</f>
        <v>0</v>
      </c>
      <c r="Q233" s="106"/>
      <c r="R233" s="237">
        <f>R223</f>
        <v>0</v>
      </c>
      <c r="S233" s="220"/>
      <c r="T233" s="106">
        <f>-ROUND(R233*$C233/100,0)</f>
        <v>0</v>
      </c>
      <c r="U233" s="106"/>
      <c r="V233" s="237">
        <f>V223</f>
        <v>0</v>
      </c>
      <c r="W233" s="220"/>
      <c r="X233" s="106">
        <f>-ROUND(V233*$C233/100,0)</f>
        <v>0</v>
      </c>
      <c r="Y233" s="82"/>
      <c r="Z233" s="83"/>
      <c r="AA233" s="83"/>
      <c r="AB233" s="83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U233" s="114"/>
    </row>
    <row r="234" spans="1:47" ht="15.75">
      <c r="A234" s="179" t="s">
        <v>148</v>
      </c>
      <c r="B234" s="179"/>
      <c r="C234" s="218">
        <v>9</v>
      </c>
      <c r="D234" s="237">
        <v>12.98</v>
      </c>
      <c r="E234" s="220"/>
      <c r="F234" s="106">
        <f>-ROUND(D234*$C234/100,0)</f>
        <v>-1</v>
      </c>
      <c r="G234" s="237">
        <v>12.98</v>
      </c>
      <c r="H234" s="220"/>
      <c r="I234" s="106">
        <f t="shared" ref="I234:I236" si="77">-ROUND(G234*$C234/100,0)</f>
        <v>-1</v>
      </c>
      <c r="J234" s="237">
        <f>J224</f>
        <v>12.98</v>
      </c>
      <c r="K234" s="220"/>
      <c r="L234" s="106">
        <f>-ROUND(J234*$C234/100,0)</f>
        <v>-1</v>
      </c>
      <c r="M234" s="106"/>
      <c r="N234" s="237">
        <f>N224</f>
        <v>12.98</v>
      </c>
      <c r="O234" s="220"/>
      <c r="P234" s="106">
        <f>-ROUND(N234*$C234/100,0)</f>
        <v>-1</v>
      </c>
      <c r="Q234" s="106"/>
      <c r="R234" s="237">
        <f>R224</f>
        <v>0</v>
      </c>
      <c r="S234" s="220"/>
      <c r="T234" s="106">
        <f>-ROUND(R234*$C234/100,0)</f>
        <v>0</v>
      </c>
      <c r="U234" s="106"/>
      <c r="V234" s="237">
        <f>V224</f>
        <v>0</v>
      </c>
      <c r="W234" s="220"/>
      <c r="X234" s="106">
        <f>-ROUND(V234*$C234/100,0)</f>
        <v>0</v>
      </c>
      <c r="Y234" s="82"/>
      <c r="Z234" s="83"/>
      <c r="AA234" s="83"/>
      <c r="AB234" s="83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U234" s="114"/>
    </row>
    <row r="235" spans="1:47" ht="15.75">
      <c r="A235" s="179" t="s">
        <v>157</v>
      </c>
      <c r="B235" s="179"/>
      <c r="C235" s="218">
        <v>0</v>
      </c>
      <c r="D235" s="237">
        <v>0.92</v>
      </c>
      <c r="E235" s="220"/>
      <c r="F235" s="106">
        <f>-ROUND(D235*$C235/100,0)</f>
        <v>0</v>
      </c>
      <c r="G235" s="237">
        <v>0.92</v>
      </c>
      <c r="H235" s="220"/>
      <c r="I235" s="106">
        <f t="shared" si="77"/>
        <v>0</v>
      </c>
      <c r="J235" s="237">
        <f>J225</f>
        <v>0.92</v>
      </c>
      <c r="K235" s="220"/>
      <c r="L235" s="106">
        <f>-ROUND(J235*$C235/100,0)</f>
        <v>0</v>
      </c>
      <c r="M235" s="106"/>
      <c r="N235" s="237">
        <f>N225</f>
        <v>0.92</v>
      </c>
      <c r="O235" s="220"/>
      <c r="P235" s="106">
        <f>-ROUND(N235*$C235/100,0)</f>
        <v>0</v>
      </c>
      <c r="Q235" s="106"/>
      <c r="R235" s="237">
        <f>R225</f>
        <v>0</v>
      </c>
      <c r="S235" s="220"/>
      <c r="T235" s="106">
        <f>-ROUND(R235*$C235/100,0)</f>
        <v>0</v>
      </c>
      <c r="U235" s="106"/>
      <c r="V235" s="237">
        <f>V225</f>
        <v>0</v>
      </c>
      <c r="W235" s="220"/>
      <c r="X235" s="106">
        <f>-ROUND(V235*$C235/100,0)</f>
        <v>0</v>
      </c>
      <c r="Y235" s="82"/>
      <c r="Z235" s="83"/>
      <c r="AA235" s="83"/>
      <c r="AB235" s="83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U235" s="114"/>
    </row>
    <row r="236" spans="1:47" ht="15.75">
      <c r="A236" s="179" t="s">
        <v>165</v>
      </c>
      <c r="B236" s="179"/>
      <c r="C236" s="218">
        <f>0</f>
        <v>0</v>
      </c>
      <c r="D236" s="237">
        <v>3.4</v>
      </c>
      <c r="E236" s="226"/>
      <c r="F236" s="106">
        <f>-ROUND(D236*$C236/100,0)</f>
        <v>0</v>
      </c>
      <c r="G236" s="237">
        <v>3.61</v>
      </c>
      <c r="H236" s="226"/>
      <c r="I236" s="106">
        <f t="shared" si="77"/>
        <v>0</v>
      </c>
      <c r="J236" s="237">
        <f>J227</f>
        <v>3.61</v>
      </c>
      <c r="K236" s="226"/>
      <c r="L236" s="106">
        <f>-ROUND(J236*$C236/100,0)</f>
        <v>0</v>
      </c>
      <c r="M236" s="106"/>
      <c r="N236" s="237">
        <f>N227</f>
        <v>0.73180556367242244</v>
      </c>
      <c r="O236" s="226"/>
      <c r="P236" s="106">
        <f>-ROUND(N236*$C236/100,0)</f>
        <v>0</v>
      </c>
      <c r="Q236" s="106"/>
      <c r="R236" s="237">
        <f>R227</f>
        <v>0.59067856199955471</v>
      </c>
      <c r="S236" s="226"/>
      <c r="T236" s="106">
        <f>-ROUND(R236*$C236/100,0)</f>
        <v>0</v>
      </c>
      <c r="U236" s="106"/>
      <c r="V236" s="237">
        <f>V227</f>
        <v>2.2875158743280228</v>
      </c>
      <c r="W236" s="226"/>
      <c r="X236" s="106">
        <f>-ROUND(V236*$C236/100,0)</f>
        <v>0</v>
      </c>
      <c r="Y236" s="82"/>
      <c r="Z236" s="83"/>
      <c r="AA236" s="83"/>
      <c r="AB236" s="83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U236" s="114"/>
    </row>
    <row r="237" spans="1:47" ht="15.75">
      <c r="A237" s="179" t="s">
        <v>159</v>
      </c>
      <c r="B237" s="179"/>
      <c r="C237" s="218">
        <v>0</v>
      </c>
      <c r="D237" s="239">
        <v>9.766</v>
      </c>
      <c r="E237" s="226" t="s">
        <v>116</v>
      </c>
      <c r="F237" s="106">
        <f>ROUND(D237*$C237/100*D232,0)</f>
        <v>0</v>
      </c>
      <c r="G237" s="239">
        <v>10.359</v>
      </c>
      <c r="H237" s="226" t="s">
        <v>116</v>
      </c>
      <c r="I237" s="106">
        <f>ROUND(G237*$C237/100*G232,0)</f>
        <v>0</v>
      </c>
      <c r="J237" s="239">
        <f>J228</f>
        <v>10.359</v>
      </c>
      <c r="K237" s="226" t="s">
        <v>116</v>
      </c>
      <c r="L237" s="106">
        <f>ROUND(J237*$C237/100*J232,0)</f>
        <v>0</v>
      </c>
      <c r="M237" s="106"/>
      <c r="N237" s="239">
        <f>N228</f>
        <v>2.0999373501613916</v>
      </c>
      <c r="O237" s="226" t="s">
        <v>116</v>
      </c>
      <c r="P237" s="106">
        <f>ROUND(N237*$C237/100*N232,0)</f>
        <v>0</v>
      </c>
      <c r="Q237" s="106"/>
      <c r="R237" s="239">
        <f>R228</f>
        <v>1.69496931405911</v>
      </c>
      <c r="S237" s="226" t="s">
        <v>116</v>
      </c>
      <c r="T237" s="106">
        <f>ROUND(R237*$C237/100*R232,0)</f>
        <v>0</v>
      </c>
      <c r="U237" s="106"/>
      <c r="V237" s="239">
        <f>V228</f>
        <v>6.5640933357794982</v>
      </c>
      <c r="W237" s="226" t="s">
        <v>116</v>
      </c>
      <c r="X237" s="106">
        <f>ROUND(V237*$C237/100*V232,0)</f>
        <v>0</v>
      </c>
      <c r="Y237" s="82"/>
      <c r="Z237" s="83"/>
      <c r="AA237" s="83"/>
      <c r="AB237" s="83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U237" s="114"/>
    </row>
    <row r="238" spans="1:47" ht="15.75">
      <c r="A238" s="179" t="s">
        <v>153</v>
      </c>
      <c r="B238" s="179"/>
      <c r="C238" s="218">
        <v>0</v>
      </c>
      <c r="D238" s="239">
        <v>6.7460000000000004</v>
      </c>
      <c r="E238" s="226" t="s">
        <v>116</v>
      </c>
      <c r="F238" s="106">
        <f>ROUND(D238*$C238/100*D232,0)</f>
        <v>0</v>
      </c>
      <c r="G238" s="239">
        <v>7.1559999999999997</v>
      </c>
      <c r="H238" s="226" t="s">
        <v>116</v>
      </c>
      <c r="I238" s="106">
        <f>ROUND(G238*$C238/100*G232,0)</f>
        <v>0</v>
      </c>
      <c r="J238" s="239">
        <f>J229</f>
        <v>7.1559999999999997</v>
      </c>
      <c r="K238" s="226" t="s">
        <v>116</v>
      </c>
      <c r="L238" s="106">
        <f>ROUND(J238*$C238/100*J232,0)</f>
        <v>0</v>
      </c>
      <c r="M238" s="106"/>
      <c r="N238" s="239">
        <f>N229</f>
        <v>1.4506372890969126</v>
      </c>
      <c r="O238" s="226" t="s">
        <v>116</v>
      </c>
      <c r="P238" s="106">
        <f>ROUND(N238*$C238/100*N232,0)</f>
        <v>0</v>
      </c>
      <c r="Q238" s="106"/>
      <c r="R238" s="239">
        <f>R229</f>
        <v>1.1708852602960702</v>
      </c>
      <c r="S238" s="226" t="s">
        <v>116</v>
      </c>
      <c r="T238" s="106">
        <f>ROUND(R238*$C238/100*R232,0)</f>
        <v>0</v>
      </c>
      <c r="U238" s="106"/>
      <c r="V238" s="239">
        <f>V229</f>
        <v>4.5344774506070165</v>
      </c>
      <c r="W238" s="226" t="s">
        <v>116</v>
      </c>
      <c r="X238" s="106">
        <f>ROUND(V238*$C238/100*V232,0)</f>
        <v>0</v>
      </c>
      <c r="Y238" s="82"/>
      <c r="Z238" s="83"/>
      <c r="AA238" s="83"/>
      <c r="AB238" s="83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U238" s="114"/>
    </row>
    <row r="239" spans="1:47" ht="15.75">
      <c r="A239" s="179" t="s">
        <v>154</v>
      </c>
      <c r="B239" s="179"/>
      <c r="C239" s="218">
        <v>0</v>
      </c>
      <c r="D239" s="239">
        <v>5.8120000000000003</v>
      </c>
      <c r="E239" s="226" t="s">
        <v>116</v>
      </c>
      <c r="F239" s="106">
        <f>ROUND(D239*$C239/100*D232,0)</f>
        <v>0</v>
      </c>
      <c r="G239" s="239">
        <v>6.1660000000000004</v>
      </c>
      <c r="H239" s="226" t="s">
        <v>116</v>
      </c>
      <c r="I239" s="106">
        <f>ROUND(G239*$C239/100*G232,0)</f>
        <v>0</v>
      </c>
      <c r="J239" s="239">
        <f>J230</f>
        <v>6.1660000000000004</v>
      </c>
      <c r="K239" s="226" t="s">
        <v>116</v>
      </c>
      <c r="L239" s="106">
        <f>ROUND(J239*$C239/100*J232,0)</f>
        <v>0</v>
      </c>
      <c r="M239" s="106"/>
      <c r="N239" s="239">
        <f>N230</f>
        <v>1.2499482286992125</v>
      </c>
      <c r="O239" s="226" t="s">
        <v>116</v>
      </c>
      <c r="P239" s="106">
        <f>ROUND(N239*$C239/100*N232,0)</f>
        <v>0</v>
      </c>
      <c r="Q239" s="106"/>
      <c r="R239" s="239">
        <f>R230</f>
        <v>1.0088986186396827</v>
      </c>
      <c r="S239" s="226" t="s">
        <v>116</v>
      </c>
      <c r="T239" s="106">
        <f>ROUND(R239*$C239/100*R232,0)</f>
        <v>0</v>
      </c>
      <c r="U239" s="106"/>
      <c r="V239" s="239">
        <f>V230</f>
        <v>3.9071531526611052</v>
      </c>
      <c r="W239" s="226" t="s">
        <v>116</v>
      </c>
      <c r="X239" s="106">
        <f>ROUND(V239*$C239/100*V232,0)</f>
        <v>0</v>
      </c>
      <c r="Y239" s="82"/>
      <c r="Z239" s="83"/>
      <c r="AA239" s="83"/>
      <c r="AB239" s="83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U239" s="114"/>
    </row>
    <row r="240" spans="1:47" ht="15.75">
      <c r="A240" s="179" t="s">
        <v>155</v>
      </c>
      <c r="B240" s="179"/>
      <c r="C240" s="218">
        <v>0</v>
      </c>
      <c r="D240" s="241">
        <v>56</v>
      </c>
      <c r="E240" s="226" t="s">
        <v>116</v>
      </c>
      <c r="F240" s="106">
        <f>ROUND(D240*$C240/100*D232,0)</f>
        <v>0</v>
      </c>
      <c r="G240" s="241">
        <v>56</v>
      </c>
      <c r="H240" s="226" t="s">
        <v>116</v>
      </c>
      <c r="I240" s="106">
        <f>ROUND(G240*$C240/100*G232,0)</f>
        <v>0</v>
      </c>
      <c r="J240" s="241">
        <f>J231</f>
        <v>56</v>
      </c>
      <c r="K240" s="226" t="s">
        <v>116</v>
      </c>
      <c r="L240" s="106">
        <f>ROUND(J240*$C240/100*J232,0)</f>
        <v>0</v>
      </c>
      <c r="M240" s="106"/>
      <c r="N240" s="241">
        <f>N231</f>
        <v>0</v>
      </c>
      <c r="O240" s="226" t="s">
        <v>116</v>
      </c>
      <c r="P240" s="106">
        <f>ROUND(N240*$C240/100*N232,0)</f>
        <v>0</v>
      </c>
      <c r="Q240" s="106"/>
      <c r="R240" s="241">
        <f ca="1">R231</f>
        <v>11</v>
      </c>
      <c r="S240" s="226" t="s">
        <v>116</v>
      </c>
      <c r="T240" s="106">
        <f ca="1">ROUND(R240*$C240/100*R232,0)</f>
        <v>0</v>
      </c>
      <c r="U240" s="106"/>
      <c r="V240" s="241">
        <f ca="1">V231</f>
        <v>45</v>
      </c>
      <c r="W240" s="226" t="s">
        <v>116</v>
      </c>
      <c r="X240" s="106">
        <f ca="1">ROUND(V240*$C240/100*V232,0)</f>
        <v>0</v>
      </c>
      <c r="Y240" s="82"/>
      <c r="Z240" s="83"/>
      <c r="AA240" s="83"/>
      <c r="AB240" s="83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U240" s="114"/>
    </row>
    <row r="241" spans="1:47" ht="15.75">
      <c r="A241" s="179" t="s">
        <v>160</v>
      </c>
      <c r="B241" s="179"/>
      <c r="C241" s="218">
        <v>0</v>
      </c>
      <c r="D241" s="243">
        <v>60</v>
      </c>
      <c r="E241" s="220"/>
      <c r="F241" s="106">
        <f>ROUND(D241*$C241,0)</f>
        <v>0</v>
      </c>
      <c r="G241" s="243">
        <v>60</v>
      </c>
      <c r="H241" s="226"/>
      <c r="I241" s="106">
        <f>ROUND(G241*C241,0)</f>
        <v>0</v>
      </c>
      <c r="J241" s="243">
        <f>$J$182</f>
        <v>60</v>
      </c>
      <c r="K241" s="226"/>
      <c r="L241" s="106">
        <f>ROUND(J241*$C241,0)</f>
        <v>0</v>
      </c>
      <c r="M241" s="106"/>
      <c r="N241" s="243"/>
      <c r="O241" s="226"/>
      <c r="P241" s="106"/>
      <c r="Q241" s="106"/>
      <c r="R241" s="243"/>
      <c r="S241" s="226"/>
      <c r="T241" s="106"/>
      <c r="U241" s="106"/>
      <c r="V241" s="243"/>
      <c r="W241" s="226"/>
      <c r="X241" s="106"/>
      <c r="Y241" s="82"/>
      <c r="Z241" s="83"/>
      <c r="AA241" s="83"/>
      <c r="AB241" s="83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U241" s="114"/>
    </row>
    <row r="242" spans="1:47" ht="15.75">
      <c r="A242" s="179" t="s">
        <v>161</v>
      </c>
      <c r="B242" s="179"/>
      <c r="C242" s="218">
        <v>0</v>
      </c>
      <c r="D242" s="244">
        <v>-30</v>
      </c>
      <c r="E242" s="220" t="s">
        <v>116</v>
      </c>
      <c r="F242" s="106">
        <f>ROUND(D242*$C242/100,0)</f>
        <v>0</v>
      </c>
      <c r="G242" s="244">
        <v>-30</v>
      </c>
      <c r="H242" s="226" t="s">
        <v>116</v>
      </c>
      <c r="I242" s="106">
        <f>ROUND(G242*C242/100,0)</f>
        <v>0</v>
      </c>
      <c r="J242" s="244">
        <f>$J$183</f>
        <v>-30</v>
      </c>
      <c r="K242" s="226" t="s">
        <v>116</v>
      </c>
      <c r="L242" s="106">
        <f>ROUND(J242*$C242/100,0)</f>
        <v>0</v>
      </c>
      <c r="M242" s="106"/>
      <c r="N242" s="244"/>
      <c r="O242" s="226"/>
      <c r="P242" s="106"/>
      <c r="Q242" s="106"/>
      <c r="R242" s="244"/>
      <c r="S242" s="226"/>
      <c r="T242" s="106"/>
      <c r="U242" s="106"/>
      <c r="V242" s="244"/>
      <c r="W242" s="226"/>
      <c r="X242" s="106"/>
      <c r="Y242" s="82"/>
      <c r="Z242" s="83"/>
      <c r="AA242" s="83"/>
      <c r="AB242" s="83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U242" s="114"/>
    </row>
    <row r="243" spans="1:47" ht="15.75">
      <c r="A243" s="179" t="s">
        <v>134</v>
      </c>
      <c r="B243" s="196"/>
      <c r="C243" s="218">
        <f>SUM(C228:C230)</f>
        <v>7015074.7502341894</v>
      </c>
      <c r="D243" s="229"/>
      <c r="E243" s="106"/>
      <c r="F243" s="106">
        <f>SUM(F223:F242)</f>
        <v>781954</v>
      </c>
      <c r="G243" s="229"/>
      <c r="H243" s="226"/>
      <c r="I243" s="106">
        <f>SUM(I223:I242)</f>
        <v>820037</v>
      </c>
      <c r="J243" s="229"/>
      <c r="K243" s="226"/>
      <c r="L243" s="106">
        <f>SUM(L223:L242)</f>
        <v>820037</v>
      </c>
      <c r="M243" s="106"/>
      <c r="N243" s="229"/>
      <c r="O243" s="226"/>
      <c r="P243" s="106">
        <f>SUM(P223:P242)</f>
        <v>289934</v>
      </c>
      <c r="Q243" s="106"/>
      <c r="R243" s="229"/>
      <c r="S243" s="226"/>
      <c r="T243" s="106">
        <f ca="1">SUM(T223:T242)</f>
        <v>108792</v>
      </c>
      <c r="U243" s="106"/>
      <c r="V243" s="229"/>
      <c r="W243" s="226"/>
      <c r="X243" s="106">
        <f ca="1">SUM(X223:X242)</f>
        <v>421314</v>
      </c>
      <c r="Y243" s="150"/>
      <c r="Z243" s="83"/>
      <c r="AA243" s="83"/>
      <c r="AB243" s="83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U243" s="114"/>
    </row>
    <row r="244" spans="1:47" ht="15.75">
      <c r="A244" s="179" t="s">
        <v>119</v>
      </c>
      <c r="B244" s="179"/>
      <c r="C244" s="273">
        <v>-25719.640630090842</v>
      </c>
      <c r="D244" s="138"/>
      <c r="E244" s="138"/>
      <c r="F244" s="248">
        <f>I244</f>
        <v>-1618.0760226777425</v>
      </c>
      <c r="G244" s="138"/>
      <c r="H244" s="138"/>
      <c r="I244" s="248">
        <v>-1618.0760226777425</v>
      </c>
      <c r="J244" s="138"/>
      <c r="K244" s="138"/>
      <c r="L244" s="248">
        <f>I244</f>
        <v>-1618.0760226777425</v>
      </c>
      <c r="M244" s="221"/>
      <c r="N244" s="138"/>
      <c r="O244" s="138"/>
      <c r="P244" s="248">
        <f>L244*AB192</f>
        <v>-328.01025923560019</v>
      </c>
      <c r="Q244" s="221"/>
      <c r="R244" s="138"/>
      <c r="S244" s="138"/>
      <c r="T244" s="248">
        <f>L244*AA192</f>
        <v>-264.75424329120438</v>
      </c>
      <c r="U244" s="221"/>
      <c r="V244" s="138"/>
      <c r="W244" s="138"/>
      <c r="X244" s="248">
        <f>L244*Z192</f>
        <v>-1025.3115201509379</v>
      </c>
      <c r="Y244" s="443"/>
      <c r="Z244" s="168"/>
      <c r="AA244" s="83"/>
      <c r="AB244" s="83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U244" s="114"/>
    </row>
    <row r="245" spans="1:47" ht="16.5" thickBot="1">
      <c r="A245" s="179" t="s">
        <v>135</v>
      </c>
      <c r="B245" s="179"/>
      <c r="C245" s="199">
        <f>SUM(C243:C244)</f>
        <v>6989355.1096040988</v>
      </c>
      <c r="D245" s="268"/>
      <c r="E245" s="250"/>
      <c r="F245" s="251">
        <f>F243+F244</f>
        <v>780335.92397732229</v>
      </c>
      <c r="G245" s="268"/>
      <c r="H245" s="269"/>
      <c r="I245" s="251">
        <f>I243+I244</f>
        <v>818418.92397732229</v>
      </c>
      <c r="J245" s="268"/>
      <c r="K245" s="269"/>
      <c r="L245" s="251">
        <f>L243+L244</f>
        <v>818418.92397732229</v>
      </c>
      <c r="M245" s="251"/>
      <c r="N245" s="268"/>
      <c r="O245" s="269"/>
      <c r="P245" s="251">
        <f>P243+P244</f>
        <v>289605.98974076437</v>
      </c>
      <c r="Q245" s="251"/>
      <c r="R245" s="268"/>
      <c r="S245" s="269"/>
      <c r="T245" s="251">
        <f ca="1">T243+T244</f>
        <v>108527.2457567088</v>
      </c>
      <c r="U245" s="251"/>
      <c r="V245" s="268"/>
      <c r="W245" s="269"/>
      <c r="X245" s="251">
        <f ca="1">X243+X244</f>
        <v>420288.68847984908</v>
      </c>
      <c r="Y245" s="176"/>
      <c r="Z245" s="177"/>
      <c r="AA245" s="83"/>
      <c r="AB245" s="83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U245" s="114"/>
    </row>
    <row r="246" spans="1:47" ht="16.5" thickTop="1">
      <c r="A246" s="179"/>
      <c r="B246" s="179"/>
      <c r="C246" s="205"/>
      <c r="D246" s="243"/>
      <c r="E246" s="106"/>
      <c r="F246" s="106"/>
      <c r="G246" s="243"/>
      <c r="H246" s="179"/>
      <c r="I246" s="106"/>
      <c r="J246" s="243"/>
      <c r="K246" s="179"/>
      <c r="L246" s="106" t="s">
        <v>108</v>
      </c>
      <c r="M246" s="106"/>
      <c r="N246" s="243"/>
      <c r="O246" s="179"/>
      <c r="P246" s="106" t="s">
        <v>108</v>
      </c>
      <c r="Q246" s="106"/>
      <c r="R246" s="243"/>
      <c r="S246" s="179"/>
      <c r="T246" s="106" t="s">
        <v>108</v>
      </c>
      <c r="U246" s="106"/>
      <c r="V246" s="243"/>
      <c r="W246" s="179"/>
      <c r="X246" s="106" t="s">
        <v>108</v>
      </c>
      <c r="Y246" s="82"/>
      <c r="Z246" s="83"/>
      <c r="AA246" s="83"/>
      <c r="AB246" s="83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U246" s="114"/>
    </row>
    <row r="247" spans="1:47" ht="15.75">
      <c r="A247" s="179"/>
      <c r="B247" s="179"/>
      <c r="C247" s="205"/>
      <c r="D247" s="243"/>
      <c r="E247" s="106"/>
      <c r="F247" s="106"/>
      <c r="G247" s="243"/>
      <c r="H247" s="179"/>
      <c r="I247" s="106"/>
      <c r="J247" s="243"/>
      <c r="K247" s="179"/>
      <c r="L247" s="106" t="s">
        <v>108</v>
      </c>
      <c r="M247" s="106"/>
      <c r="N247" s="243"/>
      <c r="O247" s="179"/>
      <c r="P247" s="106" t="s">
        <v>108</v>
      </c>
      <c r="Q247" s="106"/>
      <c r="R247" s="243"/>
      <c r="S247" s="179"/>
      <c r="T247" s="106" t="s">
        <v>108</v>
      </c>
      <c r="U247" s="106"/>
      <c r="V247" s="243"/>
      <c r="W247" s="179"/>
      <c r="X247" s="106" t="s">
        <v>108</v>
      </c>
      <c r="Y247" s="82"/>
      <c r="Z247" s="83"/>
      <c r="AA247" s="83"/>
      <c r="AB247" s="83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U247" s="114"/>
    </row>
    <row r="248" spans="1:47" ht="15.75">
      <c r="A248" s="178" t="s">
        <v>144</v>
      </c>
      <c r="B248" s="179"/>
      <c r="C248" s="179"/>
      <c r="D248" s="106"/>
      <c r="E248" s="106"/>
      <c r="F248" s="179" t="s">
        <v>108</v>
      </c>
      <c r="G248" s="106"/>
      <c r="H248" s="179"/>
      <c r="I248" s="179"/>
      <c r="J248" s="106"/>
      <c r="K248" s="179"/>
      <c r="L248" s="179"/>
      <c r="M248" s="179"/>
      <c r="N248" s="106"/>
      <c r="O248" s="179"/>
      <c r="P248" s="179"/>
      <c r="Q248" s="179"/>
      <c r="R248" s="106"/>
      <c r="S248" s="179"/>
      <c r="T248" s="179"/>
      <c r="U248" s="179"/>
      <c r="V248" s="106"/>
      <c r="W248" s="179"/>
      <c r="X248" s="179"/>
      <c r="Y248" s="82"/>
      <c r="Z248" s="83"/>
      <c r="AA248" s="83"/>
      <c r="AB248" s="83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U248" s="114"/>
    </row>
    <row r="249" spans="1:47" ht="15.75">
      <c r="A249" s="179" t="s">
        <v>166</v>
      </c>
      <c r="B249" s="179"/>
      <c r="C249" s="179"/>
      <c r="D249" s="106"/>
      <c r="E249" s="106"/>
      <c r="F249" s="179"/>
      <c r="G249" s="106"/>
      <c r="H249" s="179"/>
      <c r="I249" s="179"/>
      <c r="J249" s="106"/>
      <c r="K249" s="179"/>
      <c r="L249" s="179"/>
      <c r="M249" s="179"/>
      <c r="N249" s="106"/>
      <c r="O249" s="179"/>
      <c r="P249" s="179"/>
      <c r="Q249" s="179"/>
      <c r="R249" s="106"/>
      <c r="S249" s="179"/>
      <c r="T249" s="179"/>
      <c r="U249" s="179"/>
      <c r="V249" s="106"/>
      <c r="W249" s="179"/>
      <c r="X249" s="179"/>
      <c r="Y249" s="82"/>
      <c r="Z249" s="83"/>
      <c r="AA249" s="83"/>
      <c r="AB249" s="83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U249" s="114"/>
    </row>
    <row r="250" spans="1:47" ht="15.75">
      <c r="A250" s="271" t="s">
        <v>167</v>
      </c>
      <c r="B250" s="179"/>
      <c r="C250" s="205"/>
      <c r="D250" s="106"/>
      <c r="E250" s="106"/>
      <c r="F250" s="179"/>
      <c r="G250" s="106"/>
      <c r="H250" s="179"/>
      <c r="I250" s="179"/>
      <c r="J250" s="106"/>
      <c r="K250" s="179"/>
      <c r="L250" s="179"/>
      <c r="M250" s="179"/>
      <c r="N250" s="106"/>
      <c r="O250" s="179"/>
      <c r="P250" s="179"/>
      <c r="Q250" s="179"/>
      <c r="R250" s="106"/>
      <c r="S250" s="179"/>
      <c r="T250" s="179"/>
      <c r="U250" s="179"/>
      <c r="V250" s="106"/>
      <c r="W250" s="179"/>
      <c r="X250" s="179"/>
      <c r="Y250" s="82"/>
      <c r="Z250" s="83"/>
      <c r="AA250" s="83"/>
      <c r="AB250" s="83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U250" s="114"/>
    </row>
    <row r="251" spans="1:47" ht="15.75">
      <c r="A251" s="179" t="s">
        <v>11</v>
      </c>
      <c r="B251" s="179"/>
      <c r="C251" s="218"/>
      <c r="D251" s="106"/>
      <c r="E251" s="106"/>
      <c r="F251" s="179"/>
      <c r="G251" s="106"/>
      <c r="H251" s="179"/>
      <c r="I251" s="179"/>
      <c r="J251" s="106"/>
      <c r="K251" s="179"/>
      <c r="L251" s="179"/>
      <c r="M251" s="179"/>
      <c r="N251" s="106"/>
      <c r="O251" s="179"/>
      <c r="P251" s="179"/>
      <c r="Q251" s="179"/>
      <c r="R251" s="106"/>
      <c r="S251" s="179"/>
      <c r="T251" s="179"/>
      <c r="U251" s="179"/>
      <c r="V251" s="106"/>
      <c r="W251" s="179"/>
      <c r="X251" s="179"/>
      <c r="Y251" s="82"/>
      <c r="Z251" s="83"/>
      <c r="AA251" s="83"/>
      <c r="AB251" s="83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U251" s="114"/>
    </row>
    <row r="252" spans="1:47" ht="15.75">
      <c r="A252" s="179" t="s">
        <v>147</v>
      </c>
      <c r="B252" s="179"/>
      <c r="C252" s="218">
        <v>141741.26666666631</v>
      </c>
      <c r="D252" s="210">
        <v>8.7100000000000009</v>
      </c>
      <c r="E252" s="220"/>
      <c r="F252" s="106">
        <f>ROUND(D252*$C252,0)</f>
        <v>1234566</v>
      </c>
      <c r="G252" s="210">
        <v>8.7100000000000009</v>
      </c>
      <c r="H252" s="226"/>
      <c r="I252" s="106">
        <f>ROUND(G252*$C252,0)</f>
        <v>1234566</v>
      </c>
      <c r="J252" s="210">
        <f>$J$163</f>
        <v>8.7100000000000009</v>
      </c>
      <c r="K252" s="226"/>
      <c r="L252" s="106">
        <f>ROUND(J252*$C252,0)</f>
        <v>1234566</v>
      </c>
      <c r="M252" s="106"/>
      <c r="N252" s="210">
        <f>N223</f>
        <v>8.7100000000000009</v>
      </c>
      <c r="O252" s="226"/>
      <c r="P252" s="106">
        <f>ROUND(N252*$C252,0)</f>
        <v>1234566</v>
      </c>
      <c r="Q252" s="106"/>
      <c r="R252" s="210"/>
      <c r="S252" s="226"/>
      <c r="T252" s="106"/>
      <c r="U252" s="106"/>
      <c r="V252" s="210"/>
      <c r="W252" s="226"/>
      <c r="X252" s="106"/>
      <c r="Y252" s="82"/>
      <c r="Z252" s="83"/>
      <c r="AA252" s="83"/>
      <c r="AB252" s="83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U252" s="114"/>
    </row>
    <row r="253" spans="1:47" ht="15.75">
      <c r="A253" s="179" t="s">
        <v>148</v>
      </c>
      <c r="B253" s="179"/>
      <c r="C253" s="218">
        <v>59416.999999999964</v>
      </c>
      <c r="D253" s="210">
        <v>12.98</v>
      </c>
      <c r="E253" s="222"/>
      <c r="F253" s="106">
        <f>ROUND(D253*$C253,0)</f>
        <v>771233</v>
      </c>
      <c r="G253" s="210">
        <v>12.98</v>
      </c>
      <c r="H253" s="265"/>
      <c r="I253" s="106">
        <f t="shared" ref="I253:I254" si="78">ROUND(G253*$C253,0)</f>
        <v>771233</v>
      </c>
      <c r="J253" s="210">
        <f>$J$164</f>
        <v>12.98</v>
      </c>
      <c r="K253" s="265"/>
      <c r="L253" s="106">
        <f>ROUND(J253*$C253,0)</f>
        <v>771233</v>
      </c>
      <c r="M253" s="106"/>
      <c r="N253" s="210">
        <f t="shared" ref="N253:N259" si="79">N224</f>
        <v>12.98</v>
      </c>
      <c r="O253" s="265"/>
      <c r="P253" s="106">
        <f>ROUND(N253*$C253,0)</f>
        <v>771233</v>
      </c>
      <c r="Q253" s="106"/>
      <c r="R253" s="210"/>
      <c r="S253" s="265"/>
      <c r="T253" s="106"/>
      <c r="U253" s="106"/>
      <c r="V253" s="210"/>
      <c r="W253" s="265"/>
      <c r="X253" s="106"/>
      <c r="Y253" s="82"/>
      <c r="Z253" s="83"/>
      <c r="AA253" s="83"/>
      <c r="AB253" s="83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U253" s="114"/>
    </row>
    <row r="254" spans="1:47" ht="15.75">
      <c r="A254" s="179" t="s">
        <v>149</v>
      </c>
      <c r="B254" s="179"/>
      <c r="C254" s="218">
        <v>1187077</v>
      </c>
      <c r="D254" s="210">
        <v>0.92</v>
      </c>
      <c r="E254" s="222"/>
      <c r="F254" s="106">
        <f>ROUND(D254*$C254,0)</f>
        <v>1092111</v>
      </c>
      <c r="G254" s="210">
        <v>0.92</v>
      </c>
      <c r="H254" s="265"/>
      <c r="I254" s="106">
        <f t="shared" si="78"/>
        <v>1092111</v>
      </c>
      <c r="J254" s="210">
        <f>$J$165</f>
        <v>0.92</v>
      </c>
      <c r="K254" s="265"/>
      <c r="L254" s="106">
        <f>ROUND(J254*$C254,0)</f>
        <v>1092111</v>
      </c>
      <c r="M254" s="106"/>
      <c r="N254" s="210">
        <f t="shared" si="79"/>
        <v>0.92</v>
      </c>
      <c r="O254" s="265"/>
      <c r="P254" s="106">
        <f>ROUND(N254*$C254,0)</f>
        <v>1092111</v>
      </c>
      <c r="Q254" s="106"/>
      <c r="R254" s="210"/>
      <c r="S254" s="265"/>
      <c r="T254" s="106"/>
      <c r="U254" s="106"/>
      <c r="V254" s="210"/>
      <c r="W254" s="265"/>
      <c r="X254" s="106"/>
      <c r="Y254" s="82"/>
      <c r="Z254" s="83"/>
      <c r="AA254" s="83"/>
      <c r="AB254" s="83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U254" s="114"/>
    </row>
    <row r="255" spans="1:47" ht="15.75">
      <c r="A255" s="179" t="s">
        <v>150</v>
      </c>
      <c r="B255" s="179"/>
      <c r="C255" s="218">
        <f>SUM(C252:C253)</f>
        <v>201158.26666666628</v>
      </c>
      <c r="D255" s="210"/>
      <c r="E255" s="220"/>
      <c r="F255" s="106"/>
      <c r="G255" s="210"/>
      <c r="H255" s="226"/>
      <c r="I255" s="106"/>
      <c r="J255" s="210"/>
      <c r="K255" s="226"/>
      <c r="L255" s="106"/>
      <c r="M255" s="106"/>
      <c r="N255" s="210"/>
      <c r="O255" s="226"/>
      <c r="P255" s="106"/>
      <c r="Q255" s="106"/>
      <c r="R255" s="210"/>
      <c r="S255" s="226"/>
      <c r="T255" s="106"/>
      <c r="U255" s="106"/>
      <c r="V255" s="210"/>
      <c r="W255" s="226"/>
      <c r="X255" s="106"/>
      <c r="Y255" s="82"/>
      <c r="Z255" s="83"/>
      <c r="AA255" s="83"/>
      <c r="AB255" s="83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U255" s="114"/>
    </row>
    <row r="256" spans="1:47" ht="15.75">
      <c r="A256" s="179" t="s">
        <v>151</v>
      </c>
      <c r="B256" s="179"/>
      <c r="C256" s="218">
        <v>803395</v>
      </c>
      <c r="D256" s="243">
        <v>3.4</v>
      </c>
      <c r="E256" s="226"/>
      <c r="F256" s="106">
        <f>ROUND(D256*$C256,0)</f>
        <v>2731543</v>
      </c>
      <c r="G256" s="243">
        <v>3.61</v>
      </c>
      <c r="H256" s="226"/>
      <c r="I256" s="106">
        <f>ROUND(G256*C256,0)</f>
        <v>2900256</v>
      </c>
      <c r="J256" s="243">
        <f>$J$168</f>
        <v>3.61</v>
      </c>
      <c r="K256" s="226"/>
      <c r="L256" s="106">
        <f>ROUND(J256*$C256,0)</f>
        <v>2900256</v>
      </c>
      <c r="M256" s="106"/>
      <c r="N256" s="210">
        <f t="shared" si="79"/>
        <v>0.73180556367242244</v>
      </c>
      <c r="O256" s="226"/>
      <c r="P256" s="106">
        <f>ROUND(N256*$C256,0)</f>
        <v>587929</v>
      </c>
      <c r="Q256" s="106"/>
      <c r="R256" s="243">
        <f>$R$168</f>
        <v>0.59067856199955471</v>
      </c>
      <c r="S256" s="226"/>
      <c r="T256" s="106">
        <f>ROUND(R256*$C256,0)</f>
        <v>474548</v>
      </c>
      <c r="U256" s="106"/>
      <c r="V256" s="243">
        <f>$V$168</f>
        <v>2.2875158743280228</v>
      </c>
      <c r="W256" s="226"/>
      <c r="X256" s="106">
        <f>ROUND(V256*$C256,0)</f>
        <v>1837779</v>
      </c>
      <c r="Y256" s="82"/>
      <c r="Z256" s="83"/>
      <c r="AA256" s="83"/>
      <c r="AB256" s="83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U256" s="114"/>
    </row>
    <row r="257" spans="1:47" ht="15.75">
      <c r="A257" s="179" t="s">
        <v>152</v>
      </c>
      <c r="B257" s="218"/>
      <c r="C257" s="218">
        <v>122485429.32105364</v>
      </c>
      <c r="D257" s="211">
        <v>9.766</v>
      </c>
      <c r="E257" s="226" t="s">
        <v>116</v>
      </c>
      <c r="F257" s="106">
        <f>ROUND(D257*$C257/100,0)</f>
        <v>11961927</v>
      </c>
      <c r="G257" s="211">
        <v>10.359</v>
      </c>
      <c r="H257" s="226" t="s">
        <v>116</v>
      </c>
      <c r="I257" s="106">
        <f>ROUND(G257*C257/100,0)</f>
        <v>12688266</v>
      </c>
      <c r="J257" s="211">
        <f>$J$169</f>
        <v>10.359</v>
      </c>
      <c r="K257" s="226" t="s">
        <v>116</v>
      </c>
      <c r="L257" s="106">
        <f>ROUND(J257*$C257/100,0)</f>
        <v>12688266</v>
      </c>
      <c r="M257" s="106"/>
      <c r="N257" s="210">
        <f t="shared" si="79"/>
        <v>2.0999373501613916</v>
      </c>
      <c r="O257" s="226" t="s">
        <v>116</v>
      </c>
      <c r="P257" s="106">
        <f>ROUND(N257*$C257/100,0)</f>
        <v>2572117</v>
      </c>
      <c r="Q257" s="106"/>
      <c r="R257" s="211">
        <f>$R$169</f>
        <v>1.69496931405911</v>
      </c>
      <c r="S257" s="226" t="s">
        <v>116</v>
      </c>
      <c r="T257" s="106">
        <f>ROUND(R257*$C257/100,0)</f>
        <v>2076090</v>
      </c>
      <c r="U257" s="106"/>
      <c r="V257" s="211">
        <f>$V$169</f>
        <v>6.5640933357794982</v>
      </c>
      <c r="W257" s="226" t="s">
        <v>116</v>
      </c>
      <c r="X257" s="106">
        <f>ROUND(V257*$C257/100,0)</f>
        <v>8040058</v>
      </c>
      <c r="Y257" s="272"/>
      <c r="Z257" s="83"/>
      <c r="AA257" s="83"/>
      <c r="AB257" s="83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U257" s="114"/>
    </row>
    <row r="258" spans="1:47" ht="15.75">
      <c r="A258" s="179" t="s">
        <v>153</v>
      </c>
      <c r="B258" s="218"/>
      <c r="C258" s="218">
        <v>277023851.80810446</v>
      </c>
      <c r="D258" s="211">
        <v>6.7460000000000004</v>
      </c>
      <c r="E258" s="226" t="s">
        <v>116</v>
      </c>
      <c r="F258" s="106">
        <f>ROUND(D258*$C258/100,0)</f>
        <v>18688029</v>
      </c>
      <c r="G258" s="211">
        <v>7.1559999999999997</v>
      </c>
      <c r="H258" s="226" t="s">
        <v>116</v>
      </c>
      <c r="I258" s="106">
        <f t="shared" ref="I258:I260" si="80">ROUND(G258*C258/100,0)</f>
        <v>19823827</v>
      </c>
      <c r="J258" s="211">
        <f>$J$170</f>
        <v>7.1559999999999997</v>
      </c>
      <c r="K258" s="226" t="s">
        <v>116</v>
      </c>
      <c r="L258" s="106">
        <f>ROUND(J258*$C258/100,0)</f>
        <v>19823827</v>
      </c>
      <c r="M258" s="106"/>
      <c r="N258" s="210">
        <f t="shared" si="79"/>
        <v>1.4506372890969126</v>
      </c>
      <c r="O258" s="226" t="s">
        <v>116</v>
      </c>
      <c r="P258" s="106">
        <f>ROUND(N258*$C258/100,0)</f>
        <v>4018611</v>
      </c>
      <c r="Q258" s="106"/>
      <c r="R258" s="211">
        <f>$R$170</f>
        <v>1.1708852602960702</v>
      </c>
      <c r="S258" s="226" t="s">
        <v>116</v>
      </c>
      <c r="T258" s="106">
        <f>ROUND(R258*$C258/100,0)</f>
        <v>3243631</v>
      </c>
      <c r="U258" s="106"/>
      <c r="V258" s="211">
        <f>$V$170</f>
        <v>4.5344774506070165</v>
      </c>
      <c r="W258" s="226" t="s">
        <v>116</v>
      </c>
      <c r="X258" s="106">
        <f>ROUND(V258*$C258/100,0)</f>
        <v>12561584</v>
      </c>
      <c r="Y258" s="272"/>
      <c r="Z258" s="83"/>
      <c r="AA258" s="83"/>
      <c r="AB258" s="83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U258" s="114"/>
    </row>
    <row r="259" spans="1:47" ht="15.75">
      <c r="A259" s="179" t="s">
        <v>154</v>
      </c>
      <c r="B259" s="218"/>
      <c r="C259" s="218">
        <v>118022195.46634004</v>
      </c>
      <c r="D259" s="211">
        <v>5.8120000000000003</v>
      </c>
      <c r="E259" s="226" t="s">
        <v>116</v>
      </c>
      <c r="F259" s="106">
        <f>ROUND(D259*$C259/100,0)</f>
        <v>6859450</v>
      </c>
      <c r="G259" s="211">
        <v>6.1660000000000004</v>
      </c>
      <c r="H259" s="226" t="s">
        <v>116</v>
      </c>
      <c r="I259" s="106">
        <f t="shared" si="80"/>
        <v>7277249</v>
      </c>
      <c r="J259" s="211">
        <f>$J$171</f>
        <v>6.1660000000000004</v>
      </c>
      <c r="K259" s="226" t="s">
        <v>116</v>
      </c>
      <c r="L259" s="106">
        <f>ROUND(J259*$C259/100,0)</f>
        <v>7277249</v>
      </c>
      <c r="M259" s="106"/>
      <c r="N259" s="210">
        <f t="shared" si="79"/>
        <v>1.2499482286992125</v>
      </c>
      <c r="O259" s="226" t="s">
        <v>116</v>
      </c>
      <c r="P259" s="106">
        <f>ROUND(N259*$C259/100,0)</f>
        <v>1475216</v>
      </c>
      <c r="Q259" s="106"/>
      <c r="R259" s="211">
        <f>$R$171</f>
        <v>1.0088986186396827</v>
      </c>
      <c r="S259" s="226" t="s">
        <v>116</v>
      </c>
      <c r="T259" s="106">
        <f>ROUND(R259*$C259/100,0)</f>
        <v>1190724</v>
      </c>
      <c r="U259" s="106"/>
      <c r="V259" s="211">
        <f>$V$171</f>
        <v>3.9071531526611052</v>
      </c>
      <c r="W259" s="226" t="s">
        <v>116</v>
      </c>
      <c r="X259" s="106">
        <f>ROUND(V259*$C259/100,0)</f>
        <v>4611308</v>
      </c>
      <c r="Y259" s="272"/>
      <c r="Z259" s="83"/>
      <c r="AA259" s="83"/>
      <c r="AB259" s="83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U259" s="114"/>
    </row>
    <row r="260" spans="1:47" ht="15.75">
      <c r="A260" s="179" t="s">
        <v>155</v>
      </c>
      <c r="B260" s="205"/>
      <c r="C260" s="218">
        <v>104260.76666666665</v>
      </c>
      <c r="D260" s="229">
        <v>56</v>
      </c>
      <c r="E260" s="220" t="s">
        <v>116</v>
      </c>
      <c r="F260" s="106">
        <f>ROUND(D260*$C260/100,0)</f>
        <v>58386</v>
      </c>
      <c r="G260" s="229">
        <v>56</v>
      </c>
      <c r="H260" s="226" t="s">
        <v>116</v>
      </c>
      <c r="I260" s="106">
        <f t="shared" si="80"/>
        <v>58386</v>
      </c>
      <c r="J260" s="229">
        <f>$J$172</f>
        <v>56</v>
      </c>
      <c r="K260" s="226" t="s">
        <v>116</v>
      </c>
      <c r="L260" s="106">
        <f>ROUND(J260*$C260/100,0)</f>
        <v>58386</v>
      </c>
      <c r="M260" s="106"/>
      <c r="N260" s="210"/>
      <c r="O260" s="226"/>
      <c r="P260" s="106"/>
      <c r="Q260" s="106"/>
      <c r="R260" s="229">
        <f ca="1">$R$172</f>
        <v>11</v>
      </c>
      <c r="S260" s="226" t="s">
        <v>116</v>
      </c>
      <c r="T260" s="106">
        <f ca="1">ROUND(R260*$C260/100,0)</f>
        <v>11469</v>
      </c>
      <c r="U260" s="106"/>
      <c r="V260" s="229">
        <f ca="1">$V$172</f>
        <v>45</v>
      </c>
      <c r="W260" s="226" t="s">
        <v>116</v>
      </c>
      <c r="X260" s="106">
        <f ca="1">ROUND(V260*$C260/100,0)</f>
        <v>46917</v>
      </c>
      <c r="Y260" s="82"/>
      <c r="Z260" s="83"/>
      <c r="AA260" s="83"/>
      <c r="AB260" s="83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U260" s="114"/>
    </row>
    <row r="261" spans="1:47" ht="15.75">
      <c r="A261" s="233" t="s">
        <v>156</v>
      </c>
      <c r="B261" s="205"/>
      <c r="C261" s="218"/>
      <c r="D261" s="234">
        <v>-0.01</v>
      </c>
      <c r="E261" s="220"/>
      <c r="F261" s="106"/>
      <c r="G261" s="234">
        <v>-0.01</v>
      </c>
      <c r="H261" s="226"/>
      <c r="I261" s="106"/>
      <c r="J261" s="234">
        <v>-0.01</v>
      </c>
      <c r="K261" s="226"/>
      <c r="L261" s="106"/>
      <c r="M261" s="106"/>
      <c r="N261" s="234">
        <v>-0.01</v>
      </c>
      <c r="O261" s="226"/>
      <c r="P261" s="106"/>
      <c r="Q261" s="106"/>
      <c r="R261" s="234">
        <v>-0.01</v>
      </c>
      <c r="S261" s="226"/>
      <c r="T261" s="106"/>
      <c r="U261" s="106"/>
      <c r="V261" s="234">
        <v>-0.01</v>
      </c>
      <c r="W261" s="226"/>
      <c r="X261" s="106"/>
      <c r="Y261" s="82"/>
      <c r="Z261" s="83"/>
      <c r="AA261" s="83"/>
      <c r="AB261" s="83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U261" s="114"/>
    </row>
    <row r="262" spans="1:47" ht="15.75">
      <c r="A262" s="179" t="s">
        <v>147</v>
      </c>
      <c r="B262" s="179"/>
      <c r="C262" s="218">
        <v>71.966666666666697</v>
      </c>
      <c r="D262" s="237">
        <v>8.7100000000000009</v>
      </c>
      <c r="E262" s="220"/>
      <c r="F262" s="106">
        <f>-ROUND(D262*$C262/100,0)</f>
        <v>-6</v>
      </c>
      <c r="G262" s="237">
        <v>8.7100000000000009</v>
      </c>
      <c r="H262" s="220"/>
      <c r="I262" s="106">
        <f>-ROUND(G262*$C262/100,0)</f>
        <v>-6</v>
      </c>
      <c r="J262" s="237">
        <f>J252</f>
        <v>8.7100000000000009</v>
      </c>
      <c r="K262" s="220"/>
      <c r="L262" s="106">
        <f>-ROUND(J262*$C262/100,0)</f>
        <v>-6</v>
      </c>
      <c r="M262" s="106"/>
      <c r="N262" s="237">
        <f>N252</f>
        <v>8.7100000000000009</v>
      </c>
      <c r="O262" s="220"/>
      <c r="P262" s="106">
        <f>-ROUND(N262*$C262/100,0)</f>
        <v>-6</v>
      </c>
      <c r="Q262" s="106"/>
      <c r="R262" s="237"/>
      <c r="S262" s="220"/>
      <c r="T262" s="106"/>
      <c r="U262" s="106"/>
      <c r="V262" s="237"/>
      <c r="W262" s="220"/>
      <c r="X262" s="106"/>
      <c r="Y262" s="82"/>
      <c r="Z262" s="83"/>
      <c r="AA262" s="83"/>
      <c r="AB262" s="83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U262" s="114"/>
    </row>
    <row r="263" spans="1:47" ht="15.75">
      <c r="A263" s="179" t="s">
        <v>148</v>
      </c>
      <c r="B263" s="179"/>
      <c r="C263" s="218">
        <v>27</v>
      </c>
      <c r="D263" s="237">
        <v>12.98</v>
      </c>
      <c r="E263" s="220"/>
      <c r="F263" s="106">
        <f>-ROUND(D263*$C263/100,0)</f>
        <v>-4</v>
      </c>
      <c r="G263" s="237">
        <v>12.98</v>
      </c>
      <c r="H263" s="220"/>
      <c r="I263" s="106">
        <f t="shared" ref="I263:I265" si="81">-ROUND(G263*$C263/100,0)</f>
        <v>-4</v>
      </c>
      <c r="J263" s="237">
        <f>J253</f>
        <v>12.98</v>
      </c>
      <c r="K263" s="220"/>
      <c r="L263" s="106">
        <f>-ROUND(J263*$C263/100,0)</f>
        <v>-4</v>
      </c>
      <c r="M263" s="106"/>
      <c r="N263" s="237">
        <f>N253</f>
        <v>12.98</v>
      </c>
      <c r="O263" s="220"/>
      <c r="P263" s="106">
        <f>-ROUND(N263*$C263/100,0)</f>
        <v>-4</v>
      </c>
      <c r="Q263" s="106"/>
      <c r="R263" s="237"/>
      <c r="S263" s="220"/>
      <c r="T263" s="106"/>
      <c r="U263" s="106"/>
      <c r="V263" s="237"/>
      <c r="W263" s="220"/>
      <c r="X263" s="106"/>
      <c r="Y263" s="82"/>
      <c r="Z263" s="83"/>
      <c r="AA263" s="83"/>
      <c r="AB263" s="83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U263" s="114"/>
    </row>
    <row r="264" spans="1:47" ht="15.75">
      <c r="A264" s="179" t="s">
        <v>157</v>
      </c>
      <c r="B264" s="179"/>
      <c r="C264" s="218">
        <v>936</v>
      </c>
      <c r="D264" s="237">
        <v>0.92</v>
      </c>
      <c r="E264" s="220"/>
      <c r="F264" s="106">
        <f>-ROUND(D264*$C264/100,0)</f>
        <v>-9</v>
      </c>
      <c r="G264" s="237">
        <v>0.92</v>
      </c>
      <c r="H264" s="220"/>
      <c r="I264" s="106">
        <f t="shared" si="81"/>
        <v>-9</v>
      </c>
      <c r="J264" s="237">
        <f>J254</f>
        <v>0.92</v>
      </c>
      <c r="K264" s="220"/>
      <c r="L264" s="106">
        <f>-ROUND(J264*$C264/100,0)</f>
        <v>-9</v>
      </c>
      <c r="M264" s="106"/>
      <c r="N264" s="237">
        <f>N254</f>
        <v>0.92</v>
      </c>
      <c r="O264" s="220"/>
      <c r="P264" s="106">
        <f>-ROUND(N264*$C264/100,0)</f>
        <v>-9</v>
      </c>
      <c r="Q264" s="106"/>
      <c r="R264" s="237"/>
      <c r="S264" s="220"/>
      <c r="T264" s="106"/>
      <c r="U264" s="106"/>
      <c r="V264" s="237"/>
      <c r="W264" s="220"/>
      <c r="X264" s="106"/>
      <c r="Y264" s="82"/>
      <c r="Z264" s="83"/>
      <c r="AA264" s="83"/>
      <c r="AB264" s="83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U264" s="114"/>
    </row>
    <row r="265" spans="1:47" ht="15.75">
      <c r="A265" s="179" t="s">
        <v>165</v>
      </c>
      <c r="B265" s="179"/>
      <c r="C265" s="218">
        <v>767</v>
      </c>
      <c r="D265" s="237">
        <v>3.4</v>
      </c>
      <c r="E265" s="226"/>
      <c r="F265" s="106">
        <f>-ROUND(D265*$C265/100,0)</f>
        <v>-26</v>
      </c>
      <c r="G265" s="237">
        <v>3.61</v>
      </c>
      <c r="H265" s="226"/>
      <c r="I265" s="106">
        <f t="shared" si="81"/>
        <v>-28</v>
      </c>
      <c r="J265" s="237">
        <f>J256</f>
        <v>3.61</v>
      </c>
      <c r="K265" s="226"/>
      <c r="L265" s="106">
        <f>-ROUND(J265*$C265/100,0)</f>
        <v>-28</v>
      </c>
      <c r="M265" s="106"/>
      <c r="N265" s="237">
        <f>N256</f>
        <v>0.73180556367242244</v>
      </c>
      <c r="O265" s="226"/>
      <c r="P265" s="106">
        <f>-ROUND(N265*$C265/100,0)</f>
        <v>-6</v>
      </c>
      <c r="Q265" s="106"/>
      <c r="R265" s="237">
        <f>R256</f>
        <v>0.59067856199955471</v>
      </c>
      <c r="S265" s="226"/>
      <c r="T265" s="106">
        <f>-ROUND(R265*$C265/100,0)</f>
        <v>-5</v>
      </c>
      <c r="U265" s="106"/>
      <c r="V265" s="237">
        <f>V256</f>
        <v>2.2875158743280228</v>
      </c>
      <c r="W265" s="226"/>
      <c r="X265" s="106">
        <f>-ROUND(V265*$C265/100,0)</f>
        <v>-18</v>
      </c>
      <c r="Y265" s="82"/>
      <c r="Z265" s="83"/>
      <c r="AA265" s="83"/>
      <c r="AB265" s="83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U265" s="114"/>
    </row>
    <row r="266" spans="1:47" ht="15.75">
      <c r="A266" s="179" t="s">
        <v>159</v>
      </c>
      <c r="B266" s="179"/>
      <c r="C266" s="218">
        <v>88042.333333333299</v>
      </c>
      <c r="D266" s="239">
        <v>9.766</v>
      </c>
      <c r="E266" s="226" t="s">
        <v>116</v>
      </c>
      <c r="F266" s="106">
        <f>ROUND(D266*$C266/100*D261,0)</f>
        <v>-86</v>
      </c>
      <c r="G266" s="239">
        <v>10.359</v>
      </c>
      <c r="H266" s="226" t="s">
        <v>116</v>
      </c>
      <c r="I266" s="106">
        <f>ROUND(G266*$C266/100*G261,0)</f>
        <v>-91</v>
      </c>
      <c r="J266" s="239">
        <f>J257</f>
        <v>10.359</v>
      </c>
      <c r="K266" s="226" t="s">
        <v>116</v>
      </c>
      <c r="L266" s="106">
        <f>ROUND(J266*$C266/100*J261,0)</f>
        <v>-91</v>
      </c>
      <c r="M266" s="106"/>
      <c r="N266" s="239">
        <f>N257</f>
        <v>2.0999373501613916</v>
      </c>
      <c r="O266" s="226" t="s">
        <v>116</v>
      </c>
      <c r="P266" s="106">
        <f>ROUND(N266*$C266/100*N261,0)</f>
        <v>-18</v>
      </c>
      <c r="Q266" s="106"/>
      <c r="R266" s="239">
        <f>R257</f>
        <v>1.69496931405911</v>
      </c>
      <c r="S266" s="226" t="s">
        <v>116</v>
      </c>
      <c r="T266" s="106">
        <f>ROUND(R266*$C266/100*R261,0)</f>
        <v>-15</v>
      </c>
      <c r="U266" s="106"/>
      <c r="V266" s="239">
        <f>V257</f>
        <v>6.5640933357794982</v>
      </c>
      <c r="W266" s="226" t="s">
        <v>116</v>
      </c>
      <c r="X266" s="106">
        <f>ROUND(V266*$C266/100*V261,0)</f>
        <v>-58</v>
      </c>
      <c r="Y266" s="82"/>
      <c r="Z266" s="83"/>
      <c r="AA266" s="83"/>
      <c r="AB266" s="83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U266" s="114"/>
    </row>
    <row r="267" spans="1:47" ht="15.75">
      <c r="A267" s="179" t="s">
        <v>153</v>
      </c>
      <c r="B267" s="179"/>
      <c r="C267" s="218">
        <v>435023.66666666698</v>
      </c>
      <c r="D267" s="239">
        <v>6.7460000000000004</v>
      </c>
      <c r="E267" s="226" t="s">
        <v>116</v>
      </c>
      <c r="F267" s="106">
        <f>ROUND(D267*$C267/100*D261,0)</f>
        <v>-293</v>
      </c>
      <c r="G267" s="239">
        <v>7.1559999999999997</v>
      </c>
      <c r="H267" s="226" t="s">
        <v>116</v>
      </c>
      <c r="I267" s="106">
        <f>ROUND(G267*$C267/100*G261,0)</f>
        <v>-311</v>
      </c>
      <c r="J267" s="239">
        <f>J258</f>
        <v>7.1559999999999997</v>
      </c>
      <c r="K267" s="226" t="s">
        <v>116</v>
      </c>
      <c r="L267" s="106">
        <f>ROUND(J267*$C267/100*J261,0)</f>
        <v>-311</v>
      </c>
      <c r="M267" s="106"/>
      <c r="N267" s="239">
        <f>N258</f>
        <v>1.4506372890969126</v>
      </c>
      <c r="O267" s="226" t="s">
        <v>116</v>
      </c>
      <c r="P267" s="106">
        <f>ROUND(N267*$C267/100*N261,0)</f>
        <v>-63</v>
      </c>
      <c r="Q267" s="106"/>
      <c r="R267" s="239">
        <f>R258</f>
        <v>1.1708852602960702</v>
      </c>
      <c r="S267" s="226" t="s">
        <v>116</v>
      </c>
      <c r="T267" s="106">
        <f>ROUND(R267*$C267/100*R261,0)</f>
        <v>-51</v>
      </c>
      <c r="U267" s="106"/>
      <c r="V267" s="239">
        <f>V258</f>
        <v>4.5344774506070165</v>
      </c>
      <c r="W267" s="226" t="s">
        <v>116</v>
      </c>
      <c r="X267" s="106">
        <f>ROUND(V267*$C267/100*V261,0)</f>
        <v>-197</v>
      </c>
      <c r="Y267" s="82"/>
      <c r="Z267" s="83"/>
      <c r="AA267" s="83"/>
      <c r="AB267" s="83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U267" s="114"/>
    </row>
    <row r="268" spans="1:47" ht="15.75">
      <c r="A268" s="179" t="s">
        <v>154</v>
      </c>
      <c r="B268" s="179"/>
      <c r="C268" s="218">
        <v>108979.99999999972</v>
      </c>
      <c r="D268" s="239">
        <v>5.8120000000000003</v>
      </c>
      <c r="E268" s="226" t="s">
        <v>116</v>
      </c>
      <c r="F268" s="106">
        <f>ROUND(D268*$C268/100*D261,0)</f>
        <v>-63</v>
      </c>
      <c r="G268" s="239">
        <v>6.1660000000000004</v>
      </c>
      <c r="H268" s="226" t="s">
        <v>116</v>
      </c>
      <c r="I268" s="106">
        <f>ROUND(G268*$C268/100*G261,0)</f>
        <v>-67</v>
      </c>
      <c r="J268" s="239">
        <f>J259</f>
        <v>6.1660000000000004</v>
      </c>
      <c r="K268" s="226" t="s">
        <v>116</v>
      </c>
      <c r="L268" s="106">
        <f>ROUND(J268*$C268/100*J261,0)</f>
        <v>-67</v>
      </c>
      <c r="M268" s="106"/>
      <c r="N268" s="239">
        <f>N259</f>
        <v>1.2499482286992125</v>
      </c>
      <c r="O268" s="226" t="s">
        <v>116</v>
      </c>
      <c r="P268" s="106">
        <f>ROUND(N268*$C268/100*N261,0)</f>
        <v>-14</v>
      </c>
      <c r="Q268" s="106"/>
      <c r="R268" s="239">
        <f>R259</f>
        <v>1.0088986186396827</v>
      </c>
      <c r="S268" s="226" t="s">
        <v>116</v>
      </c>
      <c r="T268" s="106">
        <f>ROUND(R268*$C268/100*R261,0)</f>
        <v>-11</v>
      </c>
      <c r="U268" s="106"/>
      <c r="V268" s="239">
        <f>V259</f>
        <v>3.9071531526611052</v>
      </c>
      <c r="W268" s="226" t="s">
        <v>116</v>
      </c>
      <c r="X268" s="106">
        <f>ROUND(V268*$C268/100*V261,0)</f>
        <v>-43</v>
      </c>
      <c r="Y268" s="82"/>
      <c r="Z268" s="83"/>
      <c r="AA268" s="83"/>
      <c r="AB268" s="83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U268" s="114"/>
    </row>
    <row r="269" spans="1:47" ht="15.75">
      <c r="A269" s="179" t="s">
        <v>155</v>
      </c>
      <c r="B269" s="179"/>
      <c r="C269" s="218">
        <v>1148.3</v>
      </c>
      <c r="D269" s="241">
        <v>56</v>
      </c>
      <c r="E269" s="226" t="s">
        <v>116</v>
      </c>
      <c r="F269" s="106">
        <f>ROUND(D269*$C269/100*D261,0)</f>
        <v>-6</v>
      </c>
      <c r="G269" s="241">
        <v>56</v>
      </c>
      <c r="H269" s="226" t="s">
        <v>116</v>
      </c>
      <c r="I269" s="106">
        <f>ROUND(G269*$C269/100*G261,0)</f>
        <v>-6</v>
      </c>
      <c r="J269" s="241">
        <f>J260</f>
        <v>56</v>
      </c>
      <c r="K269" s="226" t="s">
        <v>116</v>
      </c>
      <c r="L269" s="106">
        <f>ROUND(J269*$C269/100*J261,0)</f>
        <v>-6</v>
      </c>
      <c r="M269" s="106"/>
      <c r="N269" s="241">
        <f>N260</f>
        <v>0</v>
      </c>
      <c r="O269" s="226" t="s">
        <v>116</v>
      </c>
      <c r="P269" s="106">
        <f>ROUND(N269*$C269/100*N261,0)</f>
        <v>0</v>
      </c>
      <c r="Q269" s="106"/>
      <c r="R269" s="241">
        <f ca="1">R260</f>
        <v>11</v>
      </c>
      <c r="S269" s="226" t="s">
        <v>116</v>
      </c>
      <c r="T269" s="106">
        <f ca="1">ROUND(R269*$C269/100*R261,0)</f>
        <v>-1</v>
      </c>
      <c r="U269" s="106"/>
      <c r="V269" s="241">
        <f ca="1">V260</f>
        <v>45</v>
      </c>
      <c r="W269" s="226" t="s">
        <v>116</v>
      </c>
      <c r="X269" s="106">
        <f ca="1">ROUND(V269*$C269/100*V261,0)</f>
        <v>-5</v>
      </c>
      <c r="Y269" s="82"/>
      <c r="Z269" s="83"/>
      <c r="AA269" s="83"/>
      <c r="AB269" s="83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U269" s="114"/>
    </row>
    <row r="270" spans="1:47" ht="15.75">
      <c r="A270" s="179" t="s">
        <v>160</v>
      </c>
      <c r="B270" s="179"/>
      <c r="C270" s="218">
        <v>120.8666666666667</v>
      </c>
      <c r="D270" s="243">
        <v>60</v>
      </c>
      <c r="E270" s="220"/>
      <c r="F270" s="106">
        <f>ROUND(D270*$C270,0)</f>
        <v>7252</v>
      </c>
      <c r="G270" s="243">
        <v>60</v>
      </c>
      <c r="H270" s="226"/>
      <c r="I270" s="106">
        <f>ROUND(G270*C270,0)</f>
        <v>7252</v>
      </c>
      <c r="J270" s="243">
        <f>$J$182</f>
        <v>60</v>
      </c>
      <c r="K270" s="226"/>
      <c r="L270" s="106">
        <f>ROUND(J270*$C270,0)</f>
        <v>7252</v>
      </c>
      <c r="M270" s="106"/>
      <c r="N270" s="243" t="str">
        <f>$N$182</f>
        <v xml:space="preserve"> </v>
      </c>
      <c r="O270" s="226"/>
      <c r="P270" s="106"/>
      <c r="Q270" s="106"/>
      <c r="R270" s="243">
        <f>$R$182</f>
        <v>12.313523114579342</v>
      </c>
      <c r="S270" s="226"/>
      <c r="T270" s="106">
        <f>ROUND(R270*$C270,0)</f>
        <v>1488</v>
      </c>
      <c r="U270" s="106"/>
      <c r="V270" s="243">
        <f>$V$182</f>
        <v>47.68647688542066</v>
      </c>
      <c r="W270" s="226"/>
      <c r="X270" s="106">
        <f>ROUND(V270*$C270,0)</f>
        <v>5764</v>
      </c>
      <c r="Y270" s="82"/>
      <c r="Z270" s="83"/>
      <c r="AA270" s="83"/>
      <c r="AB270" s="83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U270" s="114"/>
    </row>
    <row r="271" spans="1:47" ht="15.75">
      <c r="A271" s="179" t="s">
        <v>161</v>
      </c>
      <c r="B271" s="179"/>
      <c r="C271" s="218">
        <v>936</v>
      </c>
      <c r="D271" s="244">
        <v>-30</v>
      </c>
      <c r="E271" s="220" t="s">
        <v>116</v>
      </c>
      <c r="F271" s="106">
        <f>ROUND(D271*$C271/100,0)</f>
        <v>-281</v>
      </c>
      <c r="G271" s="244">
        <v>-30</v>
      </c>
      <c r="H271" s="226" t="s">
        <v>116</v>
      </c>
      <c r="I271" s="106">
        <f>ROUND(G271*C271/100,0)</f>
        <v>-281</v>
      </c>
      <c r="J271" s="244">
        <f>$J$183</f>
        <v>-30</v>
      </c>
      <c r="K271" s="226" t="s">
        <v>116</v>
      </c>
      <c r="L271" s="106">
        <f>ROUND(J271*$C271/100,0)</f>
        <v>-281</v>
      </c>
      <c r="M271" s="106"/>
      <c r="N271" s="244">
        <f>$N$183</f>
        <v>-30</v>
      </c>
      <c r="O271" s="226" t="s">
        <v>116</v>
      </c>
      <c r="P271" s="106">
        <f>ROUND(N271*$C271/100,0)</f>
        <v>-281</v>
      </c>
      <c r="Q271" s="106"/>
      <c r="R271" s="244"/>
      <c r="S271" s="226"/>
      <c r="T271" s="106"/>
      <c r="U271" s="106"/>
      <c r="V271" s="244"/>
      <c r="W271" s="226"/>
      <c r="X271" s="106"/>
      <c r="Y271" s="82"/>
      <c r="Z271" s="83"/>
      <c r="AA271" s="83"/>
      <c r="AB271" s="83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U271" s="114"/>
    </row>
    <row r="272" spans="1:47" ht="15.75">
      <c r="A272" s="179" t="s">
        <v>134</v>
      </c>
      <c r="B272" s="196"/>
      <c r="C272" s="218">
        <f>SUM(C257:C259)</f>
        <v>517531476.59549809</v>
      </c>
      <c r="D272" s="229"/>
      <c r="E272" s="106"/>
      <c r="F272" s="106">
        <f>SUM(F252:F271)</f>
        <v>43403723</v>
      </c>
      <c r="G272" s="229"/>
      <c r="H272" s="226"/>
      <c r="I272" s="106">
        <f>SUM(I252:I271)</f>
        <v>45852343</v>
      </c>
      <c r="J272" s="229"/>
      <c r="K272" s="226"/>
      <c r="L272" s="106">
        <f>SUM(L252:L271)</f>
        <v>45852343</v>
      </c>
      <c r="M272" s="106"/>
      <c r="N272" s="229"/>
      <c r="O272" s="226"/>
      <c r="P272" s="106">
        <f>SUM(P252:P271)</f>
        <v>11751382</v>
      </c>
      <c r="Q272" s="106"/>
      <c r="R272" s="229"/>
      <c r="S272" s="226"/>
      <c r="T272" s="106">
        <f ca="1">SUM(T252:T271)</f>
        <v>6997867</v>
      </c>
      <c r="U272" s="106"/>
      <c r="V272" s="229"/>
      <c r="W272" s="226"/>
      <c r="X272" s="106">
        <f ca="1">SUM(X252:X271)</f>
        <v>27103089</v>
      </c>
      <c r="Y272" s="150"/>
      <c r="Z272" s="83"/>
      <c r="AA272" s="83"/>
      <c r="AB272" s="83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U272" s="114"/>
    </row>
    <row r="273" spans="1:47" ht="15.75">
      <c r="A273" s="179" t="s">
        <v>119</v>
      </c>
      <c r="B273" s="179"/>
      <c r="C273" s="273">
        <v>-1485757.4271905404</v>
      </c>
      <c r="D273" s="138"/>
      <c r="E273" s="138"/>
      <c r="F273" s="248">
        <f>I273</f>
        <v>-108790.9692585204</v>
      </c>
      <c r="G273" s="138"/>
      <c r="H273" s="138"/>
      <c r="I273" s="248">
        <v>-108790.9692585204</v>
      </c>
      <c r="J273" s="138"/>
      <c r="K273" s="138"/>
      <c r="L273" s="248">
        <f>I273</f>
        <v>-108790.9692585204</v>
      </c>
      <c r="M273" s="221"/>
      <c r="N273" s="138"/>
      <c r="O273" s="138"/>
      <c r="P273" s="248">
        <f>L273*AB192</f>
        <v>-22053.694343684405</v>
      </c>
      <c r="Q273" s="221"/>
      <c r="R273" s="138"/>
      <c r="S273" s="138"/>
      <c r="T273" s="248">
        <f>L273*AA192</f>
        <v>-17800.690659324264</v>
      </c>
      <c r="U273" s="221"/>
      <c r="V273" s="138"/>
      <c r="W273" s="138"/>
      <c r="X273" s="248">
        <f>L273*Z192</f>
        <v>-68936.584255511727</v>
      </c>
      <c r="Y273" s="443"/>
      <c r="Z273" s="168"/>
      <c r="AA273" s="83"/>
      <c r="AB273" s="83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U273" s="114"/>
    </row>
    <row r="274" spans="1:47" ht="16.5" thickBot="1">
      <c r="A274" s="179" t="s">
        <v>135</v>
      </c>
      <c r="B274" s="179"/>
      <c r="C274" s="199">
        <f>SUM(C272:C273)</f>
        <v>516045719.16830754</v>
      </c>
      <c r="D274" s="268"/>
      <c r="E274" s="250"/>
      <c r="F274" s="251">
        <f>F272+F273</f>
        <v>43294932.030741483</v>
      </c>
      <c r="G274" s="268"/>
      <c r="H274" s="269"/>
      <c r="I274" s="251">
        <f>I272+I273</f>
        <v>45743552.030741483</v>
      </c>
      <c r="J274" s="268"/>
      <c r="K274" s="269"/>
      <c r="L274" s="251">
        <f>L272+L273</f>
        <v>45743552.030741483</v>
      </c>
      <c r="M274" s="251"/>
      <c r="N274" s="268"/>
      <c r="O274" s="269"/>
      <c r="P274" s="251">
        <f>P272+P273</f>
        <v>11729328.305656316</v>
      </c>
      <c r="Q274" s="251"/>
      <c r="R274" s="268"/>
      <c r="S274" s="269"/>
      <c r="T274" s="251">
        <f ca="1">T272+T273</f>
        <v>6980066.3093406754</v>
      </c>
      <c r="U274" s="251"/>
      <c r="V274" s="268"/>
      <c r="W274" s="269"/>
      <c r="X274" s="251">
        <f ca="1">X272+X273</f>
        <v>27034152.415744487</v>
      </c>
      <c r="Y274" s="176"/>
      <c r="Z274" s="177"/>
      <c r="AA274" s="83"/>
      <c r="AB274" s="83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U274" s="114"/>
    </row>
    <row r="275" spans="1:47" ht="16.5" thickTop="1">
      <c r="A275" s="179"/>
      <c r="B275" s="179"/>
      <c r="C275" s="205"/>
      <c r="D275" s="243"/>
      <c r="E275" s="106"/>
      <c r="F275" s="106"/>
      <c r="G275" s="243"/>
      <c r="H275" s="179"/>
      <c r="I275" s="106"/>
      <c r="J275" s="243"/>
      <c r="K275" s="179"/>
      <c r="L275" s="106" t="s">
        <v>108</v>
      </c>
      <c r="M275" s="106"/>
      <c r="N275" s="243"/>
      <c r="O275" s="179"/>
      <c r="P275" s="106" t="s">
        <v>108</v>
      </c>
      <c r="Q275" s="106"/>
      <c r="R275" s="243"/>
      <c r="S275" s="179"/>
      <c r="T275" s="106" t="s">
        <v>108</v>
      </c>
      <c r="U275" s="106"/>
      <c r="V275" s="243"/>
      <c r="W275" s="179"/>
      <c r="X275" s="106" t="s">
        <v>108</v>
      </c>
      <c r="Y275" s="82"/>
      <c r="Z275" s="83"/>
      <c r="AA275" s="83"/>
      <c r="AB275" s="83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U275" s="114"/>
    </row>
    <row r="276" spans="1:47" ht="15.75">
      <c r="A276" s="178" t="s">
        <v>144</v>
      </c>
      <c r="B276" s="179"/>
      <c r="C276" s="179"/>
      <c r="D276" s="106"/>
      <c r="E276" s="106"/>
      <c r="F276" s="179" t="s">
        <v>108</v>
      </c>
      <c r="G276" s="106"/>
      <c r="H276" s="179"/>
      <c r="I276" s="179"/>
      <c r="J276" s="106"/>
      <c r="K276" s="179"/>
      <c r="L276" s="179"/>
      <c r="M276" s="179"/>
      <c r="N276" s="106"/>
      <c r="O276" s="179"/>
      <c r="P276" s="179"/>
      <c r="Q276" s="179"/>
      <c r="R276" s="106"/>
      <c r="S276" s="179"/>
      <c r="T276" s="179"/>
      <c r="U276" s="179"/>
      <c r="V276" s="106"/>
      <c r="W276" s="179"/>
      <c r="X276" s="179"/>
      <c r="Y276" s="82"/>
      <c r="Z276" s="83"/>
      <c r="AA276" s="83"/>
      <c r="AB276" s="83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U276" s="114"/>
    </row>
    <row r="277" spans="1:47" ht="15.75">
      <c r="A277" s="179" t="s">
        <v>168</v>
      </c>
      <c r="B277" s="179"/>
      <c r="C277" s="205"/>
      <c r="D277" s="106"/>
      <c r="E277" s="106"/>
      <c r="F277" s="179"/>
      <c r="G277" s="106"/>
      <c r="H277" s="179"/>
      <c r="I277" s="179"/>
      <c r="J277" s="106"/>
      <c r="K277" s="179"/>
      <c r="L277" s="179"/>
      <c r="M277" s="179"/>
      <c r="N277" s="106"/>
      <c r="O277" s="179"/>
      <c r="P277" s="179"/>
      <c r="Q277" s="179"/>
      <c r="R277" s="106"/>
      <c r="S277" s="179"/>
      <c r="T277" s="179"/>
      <c r="U277" s="179"/>
      <c r="V277" s="106"/>
      <c r="W277" s="179"/>
      <c r="X277" s="179"/>
      <c r="Y277" s="82"/>
      <c r="Z277" s="83"/>
      <c r="AA277" s="83"/>
      <c r="AB277" s="83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U277" s="114"/>
    </row>
    <row r="278" spans="1:47" ht="15.75">
      <c r="A278" s="179"/>
      <c r="B278" s="179"/>
      <c r="C278" s="179"/>
      <c r="D278" s="106"/>
      <c r="E278" s="106"/>
      <c r="F278" s="179"/>
      <c r="G278" s="106"/>
      <c r="H278" s="179"/>
      <c r="I278" s="179"/>
      <c r="J278" s="106"/>
      <c r="K278" s="179"/>
      <c r="L278" s="179"/>
      <c r="M278" s="179"/>
      <c r="N278" s="106"/>
      <c r="O278" s="179"/>
      <c r="P278" s="179"/>
      <c r="Q278" s="179"/>
      <c r="R278" s="106"/>
      <c r="S278" s="179"/>
      <c r="T278" s="179"/>
      <c r="U278" s="179"/>
      <c r="V278" s="106"/>
      <c r="W278" s="179"/>
      <c r="X278" s="179"/>
      <c r="Y278" s="82"/>
      <c r="Z278" s="83"/>
      <c r="AA278" s="83"/>
      <c r="AB278" s="83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U278" s="114"/>
    </row>
    <row r="279" spans="1:47" ht="15.75">
      <c r="A279" s="179" t="s">
        <v>11</v>
      </c>
      <c r="B279" s="179"/>
      <c r="C279" s="218"/>
      <c r="D279" s="106"/>
      <c r="E279" s="106"/>
      <c r="F279" s="179"/>
      <c r="G279" s="106"/>
      <c r="H279" s="179"/>
      <c r="I279" s="179"/>
      <c r="J279" s="106"/>
      <c r="K279" s="179"/>
      <c r="L279" s="179"/>
      <c r="M279" s="179"/>
      <c r="N279" s="106"/>
      <c r="O279" s="179"/>
      <c r="P279" s="179"/>
      <c r="Q279" s="179"/>
      <c r="R279" s="106"/>
      <c r="S279" s="179"/>
      <c r="T279" s="179"/>
      <c r="U279" s="179"/>
      <c r="V279" s="106"/>
      <c r="W279" s="179"/>
      <c r="X279" s="179"/>
      <c r="Y279" s="82"/>
      <c r="Z279" s="83"/>
      <c r="AA279" s="83"/>
      <c r="AB279" s="83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U279" s="114"/>
    </row>
    <row r="280" spans="1:47" ht="15.75">
      <c r="A280" s="179" t="s">
        <v>147</v>
      </c>
      <c r="B280" s="179"/>
      <c r="C280" s="218">
        <v>1861.099999999997</v>
      </c>
      <c r="D280" s="210">
        <v>8.7100000000000009</v>
      </c>
      <c r="E280" s="220"/>
      <c r="F280" s="106">
        <f>ROUND(D280*$C280,0)</f>
        <v>16210</v>
      </c>
      <c r="G280" s="210">
        <v>8.7100000000000009</v>
      </c>
      <c r="H280" s="226"/>
      <c r="I280" s="106">
        <f>ROUND(G280*$C280,0)</f>
        <v>16210</v>
      </c>
      <c r="J280" s="210">
        <f>$J$163</f>
        <v>8.7100000000000009</v>
      </c>
      <c r="K280" s="226"/>
      <c r="L280" s="106">
        <f>ROUND(J280*$C280,0)</f>
        <v>16210</v>
      </c>
      <c r="M280" s="106"/>
      <c r="N280" s="210">
        <f>N252</f>
        <v>8.7100000000000009</v>
      </c>
      <c r="O280" s="226"/>
      <c r="P280" s="106">
        <f>ROUND(N280*$C280,0)</f>
        <v>16210</v>
      </c>
      <c r="Q280" s="106"/>
      <c r="R280" s="210"/>
      <c r="S280" s="226"/>
      <c r="T280" s="106"/>
      <c r="U280" s="106"/>
      <c r="V280" s="210"/>
      <c r="W280" s="226"/>
      <c r="X280" s="106"/>
      <c r="Y280" s="82"/>
      <c r="Z280" s="83"/>
      <c r="AA280" s="83"/>
      <c r="AB280" s="83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U280" s="114"/>
    </row>
    <row r="281" spans="1:47" ht="15.75">
      <c r="A281" s="179" t="s">
        <v>148</v>
      </c>
      <c r="B281" s="179"/>
      <c r="C281" s="218">
        <v>2999.8999999999969</v>
      </c>
      <c r="D281" s="210">
        <v>12.98</v>
      </c>
      <c r="E281" s="222"/>
      <c r="F281" s="106">
        <f>ROUND(D281*$C281,0)</f>
        <v>38939</v>
      </c>
      <c r="G281" s="210">
        <v>12.98</v>
      </c>
      <c r="H281" s="265"/>
      <c r="I281" s="106">
        <f t="shared" ref="I281:I282" si="82">ROUND(G281*$C281,0)</f>
        <v>38939</v>
      </c>
      <c r="J281" s="210">
        <f>$J$164</f>
        <v>12.98</v>
      </c>
      <c r="K281" s="265"/>
      <c r="L281" s="106">
        <f>ROUND(J281*$C281,0)</f>
        <v>38939</v>
      </c>
      <c r="M281" s="106"/>
      <c r="N281" s="210">
        <f t="shared" ref="N281:N282" si="83">N253</f>
        <v>12.98</v>
      </c>
      <c r="O281" s="265"/>
      <c r="P281" s="106">
        <f>ROUND(N281*$C281,0)</f>
        <v>38939</v>
      </c>
      <c r="Q281" s="106"/>
      <c r="R281" s="210"/>
      <c r="S281" s="265"/>
      <c r="T281" s="106"/>
      <c r="U281" s="106"/>
      <c r="V281" s="210"/>
      <c r="W281" s="265"/>
      <c r="X281" s="106"/>
      <c r="Y281" s="82"/>
      <c r="Z281" s="83"/>
      <c r="AA281" s="83"/>
      <c r="AB281" s="83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U281" s="114"/>
    </row>
    <row r="282" spans="1:47" ht="15.75">
      <c r="A282" s="179" t="s">
        <v>149</v>
      </c>
      <c r="B282" s="179"/>
      <c r="C282" s="218">
        <v>60190</v>
      </c>
      <c r="D282" s="210">
        <v>0.92</v>
      </c>
      <c r="E282" s="222"/>
      <c r="F282" s="106">
        <f>ROUND(D282*$C282,0)</f>
        <v>55375</v>
      </c>
      <c r="G282" s="210">
        <v>0.92</v>
      </c>
      <c r="H282" s="265"/>
      <c r="I282" s="106">
        <f t="shared" si="82"/>
        <v>55375</v>
      </c>
      <c r="J282" s="210">
        <f>$J$165</f>
        <v>0.92</v>
      </c>
      <c r="K282" s="265"/>
      <c r="L282" s="106">
        <f>ROUND(J282*$C282,0)</f>
        <v>55375</v>
      </c>
      <c r="M282" s="106"/>
      <c r="N282" s="210">
        <f t="shared" si="83"/>
        <v>0.92</v>
      </c>
      <c r="O282" s="265"/>
      <c r="P282" s="106">
        <f>ROUND(N282*$C282,0)</f>
        <v>55375</v>
      </c>
      <c r="Q282" s="106"/>
      <c r="R282" s="210"/>
      <c r="S282" s="265"/>
      <c r="T282" s="106"/>
      <c r="U282" s="106"/>
      <c r="V282" s="210"/>
      <c r="W282" s="265"/>
      <c r="X282" s="106"/>
      <c r="Y282" s="82"/>
      <c r="Z282" s="83"/>
      <c r="AA282" s="83"/>
      <c r="AB282" s="83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U282" s="114"/>
    </row>
    <row r="283" spans="1:47" ht="15.75">
      <c r="A283" s="179" t="s">
        <v>150</v>
      </c>
      <c r="B283" s="179"/>
      <c r="C283" s="218">
        <f>SUM(C280:C281)</f>
        <v>4860.9999999999936</v>
      </c>
      <c r="D283" s="210"/>
      <c r="E283" s="220"/>
      <c r="F283" s="106"/>
      <c r="G283" s="210"/>
      <c r="H283" s="226"/>
      <c r="I283" s="106"/>
      <c r="J283" s="210"/>
      <c r="K283" s="226"/>
      <c r="L283" s="106"/>
      <c r="M283" s="106"/>
      <c r="N283" s="210"/>
      <c r="O283" s="226"/>
      <c r="P283" s="106"/>
      <c r="Q283" s="106"/>
      <c r="R283" s="210"/>
      <c r="S283" s="226"/>
      <c r="T283" s="106"/>
      <c r="U283" s="106"/>
      <c r="V283" s="210"/>
      <c r="W283" s="226"/>
      <c r="X283" s="106"/>
      <c r="Y283" s="82"/>
      <c r="Z283" s="83"/>
      <c r="AA283" s="83"/>
      <c r="AB283" s="83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U283" s="114"/>
    </row>
    <row r="284" spans="1:47" ht="15.75">
      <c r="A284" s="179" t="s">
        <v>151</v>
      </c>
      <c r="B284" s="179"/>
      <c r="C284" s="218">
        <v>40259</v>
      </c>
      <c r="D284" s="243">
        <v>3.4</v>
      </c>
      <c r="E284" s="226"/>
      <c r="F284" s="106">
        <f>ROUND(D284*$C284,0)</f>
        <v>136881</v>
      </c>
      <c r="G284" s="243">
        <v>3.61</v>
      </c>
      <c r="H284" s="226"/>
      <c r="I284" s="106">
        <f>ROUND(G284*C284,0)</f>
        <v>145335</v>
      </c>
      <c r="J284" s="243">
        <f>$J$168</f>
        <v>3.61</v>
      </c>
      <c r="K284" s="226"/>
      <c r="L284" s="106">
        <f>ROUND(J284*$C284,0)</f>
        <v>145335</v>
      </c>
      <c r="M284" s="106"/>
      <c r="N284" s="243">
        <f>N256</f>
        <v>0.73180556367242244</v>
      </c>
      <c r="O284" s="226"/>
      <c r="P284" s="106">
        <f>ROUND(N284*$C284,0)</f>
        <v>29462</v>
      </c>
      <c r="Q284" s="106"/>
      <c r="R284" s="243">
        <f>$R$168</f>
        <v>0.59067856199955471</v>
      </c>
      <c r="S284" s="226"/>
      <c r="T284" s="106">
        <f>ROUND(R284*$C284,0)</f>
        <v>23780</v>
      </c>
      <c r="U284" s="106"/>
      <c r="V284" s="243">
        <f>$V$168</f>
        <v>2.2875158743280228</v>
      </c>
      <c r="W284" s="226"/>
      <c r="X284" s="106">
        <f>ROUND(V284*$C284,0)</f>
        <v>92093</v>
      </c>
      <c r="Y284" s="82"/>
      <c r="Z284" s="83"/>
      <c r="AA284" s="83"/>
      <c r="AB284" s="83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U284" s="114"/>
    </row>
    <row r="285" spans="1:47" ht="15.75">
      <c r="A285" s="179" t="s">
        <v>152</v>
      </c>
      <c r="B285" s="179"/>
      <c r="C285" s="218">
        <v>3300267</v>
      </c>
      <c r="D285" s="211">
        <v>9.766</v>
      </c>
      <c r="E285" s="226" t="s">
        <v>116</v>
      </c>
      <c r="F285" s="106">
        <f>ROUND(D285*$C285/100,0)</f>
        <v>322304</v>
      </c>
      <c r="G285" s="211">
        <v>10.359</v>
      </c>
      <c r="H285" s="226" t="s">
        <v>116</v>
      </c>
      <c r="I285" s="106">
        <f>ROUND(G285*C285/100,0)</f>
        <v>341875</v>
      </c>
      <c r="J285" s="211">
        <f>$J$169</f>
        <v>10.359</v>
      </c>
      <c r="K285" s="226" t="s">
        <v>116</v>
      </c>
      <c r="L285" s="106">
        <f>ROUND(J285*$C285/100,0)</f>
        <v>341875</v>
      </c>
      <c r="M285" s="106"/>
      <c r="N285" s="243">
        <f t="shared" ref="N285:N287" si="84">N257</f>
        <v>2.0999373501613916</v>
      </c>
      <c r="O285" s="226" t="s">
        <v>116</v>
      </c>
      <c r="P285" s="106">
        <f>ROUND(N285*$C285/100,0)</f>
        <v>69304</v>
      </c>
      <c r="Q285" s="106"/>
      <c r="R285" s="211">
        <f>$R$169</f>
        <v>1.69496931405911</v>
      </c>
      <c r="S285" s="226" t="s">
        <v>116</v>
      </c>
      <c r="T285" s="106">
        <f>ROUND(R285*$C285/100,0)</f>
        <v>55939</v>
      </c>
      <c r="U285" s="106"/>
      <c r="V285" s="211">
        <f>$V$169</f>
        <v>6.5640933357794982</v>
      </c>
      <c r="W285" s="226" t="s">
        <v>116</v>
      </c>
      <c r="X285" s="106">
        <f>ROUND(V285*$C285/100,0)</f>
        <v>216633</v>
      </c>
      <c r="Y285" s="82"/>
      <c r="Z285" s="83"/>
      <c r="AA285" s="83"/>
      <c r="AB285" s="83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U285" s="114"/>
    </row>
    <row r="286" spans="1:47" ht="15.75">
      <c r="A286" s="179" t="s">
        <v>153</v>
      </c>
      <c r="B286" s="179"/>
      <c r="C286" s="218">
        <v>9927982.9999999963</v>
      </c>
      <c r="D286" s="211">
        <v>6.7460000000000004</v>
      </c>
      <c r="E286" s="226" t="s">
        <v>116</v>
      </c>
      <c r="F286" s="106">
        <f>ROUND(D286*$C286/100,0)</f>
        <v>669742</v>
      </c>
      <c r="G286" s="211">
        <v>7.1559999999999997</v>
      </c>
      <c r="H286" s="226" t="s">
        <v>116</v>
      </c>
      <c r="I286" s="106">
        <f t="shared" ref="I286:I288" si="85">ROUND(G286*C286/100,0)</f>
        <v>710446</v>
      </c>
      <c r="J286" s="211">
        <f>$J$170</f>
        <v>7.1559999999999997</v>
      </c>
      <c r="K286" s="226" t="s">
        <v>116</v>
      </c>
      <c r="L286" s="106">
        <f>ROUND(J286*$C286/100,0)</f>
        <v>710446</v>
      </c>
      <c r="M286" s="106"/>
      <c r="N286" s="243">
        <f t="shared" si="84"/>
        <v>1.4506372890969126</v>
      </c>
      <c r="O286" s="226" t="s">
        <v>116</v>
      </c>
      <c r="P286" s="106">
        <f>ROUND(N286*$C286/100,0)</f>
        <v>144019</v>
      </c>
      <c r="Q286" s="106"/>
      <c r="R286" s="211">
        <f>$R$170</f>
        <v>1.1708852602960702</v>
      </c>
      <c r="S286" s="226" t="s">
        <v>116</v>
      </c>
      <c r="T286" s="106">
        <f>ROUND(R286*$C286/100,0)</f>
        <v>116245</v>
      </c>
      <c r="U286" s="106"/>
      <c r="V286" s="211">
        <f>$V$170</f>
        <v>4.5344774506070165</v>
      </c>
      <c r="W286" s="226" t="s">
        <v>116</v>
      </c>
      <c r="X286" s="106">
        <f>ROUND(V286*$C286/100,0)</f>
        <v>450182</v>
      </c>
      <c r="Y286" s="82"/>
      <c r="Z286" s="83"/>
      <c r="AA286" s="83"/>
      <c r="AB286" s="83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U286" s="114"/>
    </row>
    <row r="287" spans="1:47" ht="15.75">
      <c r="A287" s="179" t="s">
        <v>154</v>
      </c>
      <c r="B287" s="179"/>
      <c r="C287" s="218">
        <v>5470687.0000000037</v>
      </c>
      <c r="D287" s="211">
        <v>5.8120000000000003</v>
      </c>
      <c r="E287" s="226" t="s">
        <v>116</v>
      </c>
      <c r="F287" s="106">
        <f>ROUND(D287*$C287/100,0)</f>
        <v>317956</v>
      </c>
      <c r="G287" s="211">
        <v>6.1660000000000004</v>
      </c>
      <c r="H287" s="226" t="s">
        <v>116</v>
      </c>
      <c r="I287" s="106">
        <f t="shared" si="85"/>
        <v>337323</v>
      </c>
      <c r="J287" s="211">
        <f>$J$171</f>
        <v>6.1660000000000004</v>
      </c>
      <c r="K287" s="226" t="s">
        <v>116</v>
      </c>
      <c r="L287" s="106">
        <f>ROUND(J287*$C287/100,0)</f>
        <v>337323</v>
      </c>
      <c r="M287" s="106"/>
      <c r="N287" s="243">
        <f t="shared" si="84"/>
        <v>1.2499482286992125</v>
      </c>
      <c r="O287" s="226" t="s">
        <v>116</v>
      </c>
      <c r="P287" s="106">
        <f>ROUND(N287*$C287/100,0)</f>
        <v>68381</v>
      </c>
      <c r="Q287" s="106"/>
      <c r="R287" s="211">
        <f>$R$171</f>
        <v>1.0088986186396827</v>
      </c>
      <c r="S287" s="226" t="s">
        <v>116</v>
      </c>
      <c r="T287" s="106">
        <f>ROUND(R287*$C287/100,0)</f>
        <v>55194</v>
      </c>
      <c r="U287" s="106"/>
      <c r="V287" s="211">
        <f>$V$171</f>
        <v>3.9071531526611052</v>
      </c>
      <c r="W287" s="226" t="s">
        <v>116</v>
      </c>
      <c r="X287" s="106">
        <f>ROUND(V287*$C287/100,0)</f>
        <v>213748</v>
      </c>
      <c r="Y287" s="82"/>
      <c r="Z287" s="83"/>
      <c r="AA287" s="83"/>
      <c r="AB287" s="83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U287" s="114"/>
    </row>
    <row r="288" spans="1:47" ht="15.75">
      <c r="A288" s="179" t="s">
        <v>155</v>
      </c>
      <c r="B288" s="179"/>
      <c r="C288" s="218">
        <v>13261.766666666701</v>
      </c>
      <c r="D288" s="229">
        <v>56</v>
      </c>
      <c r="E288" s="220" t="s">
        <v>116</v>
      </c>
      <c r="F288" s="106">
        <f>ROUND(D288*$C288/100,0)</f>
        <v>7427</v>
      </c>
      <c r="G288" s="229">
        <v>56</v>
      </c>
      <c r="H288" s="226" t="s">
        <v>116</v>
      </c>
      <c r="I288" s="106">
        <f t="shared" si="85"/>
        <v>7427</v>
      </c>
      <c r="J288" s="229">
        <f>$J$172</f>
        <v>56</v>
      </c>
      <c r="K288" s="226" t="s">
        <v>116</v>
      </c>
      <c r="L288" s="106">
        <f>ROUND(J288*$C288/100,0)</f>
        <v>7427</v>
      </c>
      <c r="M288" s="106"/>
      <c r="N288" s="243"/>
      <c r="O288" s="226"/>
      <c r="P288" s="106"/>
      <c r="Q288" s="106"/>
      <c r="R288" s="229">
        <f ca="1">$R$172</f>
        <v>11</v>
      </c>
      <c r="S288" s="226" t="s">
        <v>116</v>
      </c>
      <c r="T288" s="106">
        <f ca="1">ROUND(R288*$C288/100,0)</f>
        <v>1459</v>
      </c>
      <c r="U288" s="106"/>
      <c r="V288" s="229">
        <f ca="1">$V$172</f>
        <v>45</v>
      </c>
      <c r="W288" s="226" t="s">
        <v>116</v>
      </c>
      <c r="X288" s="106">
        <f ca="1">ROUND(V288*$C288/100,0)</f>
        <v>5968</v>
      </c>
      <c r="Y288" s="82"/>
      <c r="Z288" s="83"/>
      <c r="AA288" s="83"/>
      <c r="AB288" s="83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U288" s="114"/>
    </row>
    <row r="289" spans="1:47" ht="15.75">
      <c r="A289" s="233" t="s">
        <v>156</v>
      </c>
      <c r="B289" s="179"/>
      <c r="C289" s="218"/>
      <c r="D289" s="234">
        <v>-0.01</v>
      </c>
      <c r="E289" s="220"/>
      <c r="F289" s="106"/>
      <c r="G289" s="234">
        <v>-0.01</v>
      </c>
      <c r="H289" s="226"/>
      <c r="I289" s="106"/>
      <c r="J289" s="234">
        <v>-0.01</v>
      </c>
      <c r="K289" s="226"/>
      <c r="L289" s="106"/>
      <c r="M289" s="106"/>
      <c r="N289" s="234">
        <v>-0.01</v>
      </c>
      <c r="O289" s="226"/>
      <c r="P289" s="106"/>
      <c r="Q289" s="106"/>
      <c r="R289" s="234">
        <v>-0.01</v>
      </c>
      <c r="S289" s="226"/>
      <c r="T289" s="106"/>
      <c r="U289" s="106"/>
      <c r="V289" s="234">
        <v>-0.01</v>
      </c>
      <c r="W289" s="226"/>
      <c r="X289" s="106"/>
      <c r="Y289" s="82"/>
      <c r="Z289" s="83"/>
      <c r="AA289" s="83"/>
      <c r="AB289" s="83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U289" s="114"/>
    </row>
    <row r="290" spans="1:47" ht="15.75">
      <c r="A290" s="179" t="s">
        <v>147</v>
      </c>
      <c r="B290" s="179"/>
      <c r="C290" s="218">
        <v>0</v>
      </c>
      <c r="D290" s="237">
        <v>8.7100000000000009</v>
      </c>
      <c r="E290" s="220"/>
      <c r="F290" s="106">
        <f>-ROUND(D290*$C290/100,0)</f>
        <v>0</v>
      </c>
      <c r="G290" s="237">
        <v>8.7100000000000009</v>
      </c>
      <c r="H290" s="220"/>
      <c r="I290" s="106">
        <f>-ROUND(G290*$C290/100,0)</f>
        <v>0</v>
      </c>
      <c r="J290" s="237">
        <f>J280</f>
        <v>8.7100000000000009</v>
      </c>
      <c r="K290" s="220"/>
      <c r="L290" s="106">
        <f>-ROUND(J290*$C290/100,0)</f>
        <v>0</v>
      </c>
      <c r="M290" s="106"/>
      <c r="N290" s="237">
        <f>N280</f>
        <v>8.7100000000000009</v>
      </c>
      <c r="O290" s="220"/>
      <c r="P290" s="106"/>
      <c r="Q290" s="106"/>
      <c r="R290" s="237"/>
      <c r="S290" s="220"/>
      <c r="T290" s="106"/>
      <c r="U290" s="106"/>
      <c r="V290" s="237"/>
      <c r="W290" s="220"/>
      <c r="X290" s="106"/>
      <c r="Y290" s="82"/>
      <c r="Z290" s="83"/>
      <c r="AA290" s="83"/>
      <c r="AB290" s="83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U290" s="114"/>
    </row>
    <row r="291" spans="1:47" ht="15.75">
      <c r="A291" s="179" t="s">
        <v>148</v>
      </c>
      <c r="B291" s="179"/>
      <c r="C291" s="218">
        <v>2.6</v>
      </c>
      <c r="D291" s="237">
        <v>12.98</v>
      </c>
      <c r="E291" s="220"/>
      <c r="F291" s="106">
        <f>-ROUND(D291*$C291/100,0)</f>
        <v>0</v>
      </c>
      <c r="G291" s="237">
        <v>12.98</v>
      </c>
      <c r="H291" s="220"/>
      <c r="I291" s="106">
        <f t="shared" ref="I291:I293" si="86">-ROUND(G291*$C291/100,0)</f>
        <v>0</v>
      </c>
      <c r="J291" s="237">
        <f>J281</f>
        <v>12.98</v>
      </c>
      <c r="K291" s="220"/>
      <c r="L291" s="106">
        <f>-ROUND(J291*$C291/100,0)</f>
        <v>0</v>
      </c>
      <c r="M291" s="106"/>
      <c r="N291" s="237">
        <f>N281</f>
        <v>12.98</v>
      </c>
      <c r="O291" s="220"/>
      <c r="P291" s="106"/>
      <c r="Q291" s="106"/>
      <c r="R291" s="237"/>
      <c r="S291" s="220"/>
      <c r="T291" s="106"/>
      <c r="U291" s="106"/>
      <c r="V291" s="237"/>
      <c r="W291" s="220"/>
      <c r="X291" s="106"/>
      <c r="Y291" s="82"/>
      <c r="Z291" s="83"/>
      <c r="AA291" s="83"/>
      <c r="AB291" s="83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U291" s="114"/>
    </row>
    <row r="292" spans="1:47" ht="15.75">
      <c r="A292" s="179" t="s">
        <v>157</v>
      </c>
      <c r="B292" s="179"/>
      <c r="C292" s="218">
        <v>193</v>
      </c>
      <c r="D292" s="237">
        <v>0.92</v>
      </c>
      <c r="E292" s="220"/>
      <c r="F292" s="106">
        <f>-ROUND(D292*$C292/100,0)</f>
        <v>-2</v>
      </c>
      <c r="G292" s="237">
        <v>0.92</v>
      </c>
      <c r="H292" s="220"/>
      <c r="I292" s="106">
        <f t="shared" si="86"/>
        <v>-2</v>
      </c>
      <c r="J292" s="237">
        <f>J282</f>
        <v>0.92</v>
      </c>
      <c r="K292" s="220"/>
      <c r="L292" s="106">
        <f>-ROUND(J292*$C292/100,0)</f>
        <v>-2</v>
      </c>
      <c r="M292" s="106"/>
      <c r="N292" s="237">
        <f>N282</f>
        <v>0.92</v>
      </c>
      <c r="O292" s="220"/>
      <c r="P292" s="106">
        <f>-ROUND(N292*$C292/100,0)</f>
        <v>-2</v>
      </c>
      <c r="Q292" s="106"/>
      <c r="R292" s="237"/>
      <c r="S292" s="220"/>
      <c r="T292" s="106"/>
      <c r="U292" s="106"/>
      <c r="V292" s="237"/>
      <c r="W292" s="220"/>
      <c r="X292" s="106"/>
      <c r="Y292" s="82"/>
      <c r="Z292" s="83"/>
      <c r="AA292" s="83"/>
      <c r="AB292" s="83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U292" s="114"/>
    </row>
    <row r="293" spans="1:47" ht="15.75">
      <c r="A293" s="179" t="s">
        <v>158</v>
      </c>
      <c r="B293" s="179"/>
      <c r="C293" s="218">
        <v>181</v>
      </c>
      <c r="D293" s="237">
        <v>3.4</v>
      </c>
      <c r="E293" s="226"/>
      <c r="F293" s="106">
        <f>-ROUND(D293*$C293/100,0)</f>
        <v>-6</v>
      </c>
      <c r="G293" s="237">
        <v>3.61</v>
      </c>
      <c r="H293" s="226"/>
      <c r="I293" s="106">
        <f t="shared" si="86"/>
        <v>-7</v>
      </c>
      <c r="J293" s="237">
        <f>J284</f>
        <v>3.61</v>
      </c>
      <c r="K293" s="226"/>
      <c r="L293" s="106">
        <f>-ROUND(J293*$C293/100,0)</f>
        <v>-7</v>
      </c>
      <c r="M293" s="106"/>
      <c r="N293" s="237">
        <f>N284</f>
        <v>0.73180556367242244</v>
      </c>
      <c r="O293" s="226"/>
      <c r="P293" s="106">
        <f>-ROUND(N293*$C293/100,0)</f>
        <v>-1</v>
      </c>
      <c r="Q293" s="106"/>
      <c r="R293" s="237">
        <f>R284</f>
        <v>0.59067856199955471</v>
      </c>
      <c r="S293" s="226"/>
      <c r="T293" s="106">
        <f>-ROUND(R293*$C293/100,0)</f>
        <v>-1</v>
      </c>
      <c r="U293" s="106"/>
      <c r="V293" s="237">
        <f>V284</f>
        <v>2.2875158743280228</v>
      </c>
      <c r="W293" s="226"/>
      <c r="X293" s="106">
        <f>-ROUND(V293*$C293/100,0)</f>
        <v>-4</v>
      </c>
      <c r="Y293" s="82"/>
      <c r="Z293" s="83"/>
      <c r="AA293" s="83"/>
      <c r="AB293" s="83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U293" s="114"/>
    </row>
    <row r="294" spans="1:47" ht="15.75">
      <c r="A294" s="179" t="s">
        <v>159</v>
      </c>
      <c r="B294" s="179"/>
      <c r="C294" s="218">
        <v>2600</v>
      </c>
      <c r="D294" s="239">
        <v>9.766</v>
      </c>
      <c r="E294" s="226" t="s">
        <v>116</v>
      </c>
      <c r="F294" s="106">
        <f>ROUND(D294*$C294/100*D289,0)</f>
        <v>-3</v>
      </c>
      <c r="G294" s="239">
        <v>10.359</v>
      </c>
      <c r="H294" s="226" t="s">
        <v>116</v>
      </c>
      <c r="I294" s="106">
        <f>ROUND(G294*$C294/100*G289,0)</f>
        <v>-3</v>
      </c>
      <c r="J294" s="239">
        <f>J285</f>
        <v>10.359</v>
      </c>
      <c r="K294" s="226" t="s">
        <v>116</v>
      </c>
      <c r="L294" s="106">
        <f>ROUND(J294*$C294/100*J289,0)</f>
        <v>-3</v>
      </c>
      <c r="M294" s="106"/>
      <c r="N294" s="239">
        <f>N285</f>
        <v>2.0999373501613916</v>
      </c>
      <c r="O294" s="226" t="s">
        <v>116</v>
      </c>
      <c r="P294" s="106">
        <f>ROUND(N294*$C294/100*N289,0)</f>
        <v>-1</v>
      </c>
      <c r="Q294" s="106"/>
      <c r="R294" s="239">
        <f>R285</f>
        <v>1.69496931405911</v>
      </c>
      <c r="S294" s="226" t="s">
        <v>116</v>
      </c>
      <c r="T294" s="106">
        <f>ROUND(R294*$C294/100*R289,0)</f>
        <v>0</v>
      </c>
      <c r="U294" s="106"/>
      <c r="V294" s="239">
        <f>V285</f>
        <v>6.5640933357794982</v>
      </c>
      <c r="W294" s="226" t="s">
        <v>116</v>
      </c>
      <c r="X294" s="106">
        <f>ROUND(V294*$C294/100*V289,0)</f>
        <v>-2</v>
      </c>
      <c r="Y294" s="82"/>
      <c r="Z294" s="83"/>
      <c r="AA294" s="83"/>
      <c r="AB294" s="83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U294" s="114"/>
    </row>
    <row r="295" spans="1:47" ht="15.75">
      <c r="A295" s="179" t="s">
        <v>153</v>
      </c>
      <c r="B295" s="179"/>
      <c r="C295" s="218">
        <v>20800</v>
      </c>
      <c r="D295" s="239">
        <v>6.7460000000000004</v>
      </c>
      <c r="E295" s="226" t="s">
        <v>116</v>
      </c>
      <c r="F295" s="106">
        <f>ROUND(D295*$C295/100*D289,0)</f>
        <v>-14</v>
      </c>
      <c r="G295" s="239">
        <v>7.1559999999999997</v>
      </c>
      <c r="H295" s="226" t="s">
        <v>116</v>
      </c>
      <c r="I295" s="106">
        <f>ROUND(G295*$C295/100*G289,0)</f>
        <v>-15</v>
      </c>
      <c r="J295" s="239">
        <f>J286</f>
        <v>7.1559999999999997</v>
      </c>
      <c r="K295" s="226" t="s">
        <v>116</v>
      </c>
      <c r="L295" s="106">
        <f>ROUND(J295*$C295/100*J289,0)</f>
        <v>-15</v>
      </c>
      <c r="M295" s="106"/>
      <c r="N295" s="239">
        <f>N286</f>
        <v>1.4506372890969126</v>
      </c>
      <c r="O295" s="226" t="s">
        <v>116</v>
      </c>
      <c r="P295" s="106">
        <f>ROUND(N295*$C295/100*N289,0)</f>
        <v>-3</v>
      </c>
      <c r="Q295" s="106"/>
      <c r="R295" s="239">
        <f>R286</f>
        <v>1.1708852602960702</v>
      </c>
      <c r="S295" s="226" t="s">
        <v>116</v>
      </c>
      <c r="T295" s="106">
        <f>ROUND(R295*$C295/100*R289,0)</f>
        <v>-2</v>
      </c>
      <c r="U295" s="106"/>
      <c r="V295" s="239">
        <f>V286</f>
        <v>4.5344774506070165</v>
      </c>
      <c r="W295" s="226" t="s">
        <v>116</v>
      </c>
      <c r="X295" s="106">
        <f>ROUND(V295*$C295/100*V289,0)</f>
        <v>-9</v>
      </c>
      <c r="Y295" s="82"/>
      <c r="Z295" s="83"/>
      <c r="AA295" s="83"/>
      <c r="AB295" s="83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U295" s="114"/>
    </row>
    <row r="296" spans="1:47" ht="15.75">
      <c r="A296" s="179" t="s">
        <v>154</v>
      </c>
      <c r="B296" s="179"/>
      <c r="C296" s="218">
        <v>67800</v>
      </c>
      <c r="D296" s="239">
        <v>5.8120000000000003</v>
      </c>
      <c r="E296" s="226" t="s">
        <v>116</v>
      </c>
      <c r="F296" s="106">
        <f>ROUND(D296*$C296/100*D289,0)</f>
        <v>-39</v>
      </c>
      <c r="G296" s="239">
        <v>6.1660000000000004</v>
      </c>
      <c r="H296" s="226" t="s">
        <v>116</v>
      </c>
      <c r="I296" s="106">
        <f>ROUND(G296*$C296/100*G289,0)</f>
        <v>-42</v>
      </c>
      <c r="J296" s="239">
        <f>J287</f>
        <v>6.1660000000000004</v>
      </c>
      <c r="K296" s="226" t="s">
        <v>116</v>
      </c>
      <c r="L296" s="106">
        <f>ROUND(J296*$C296/100*J289,0)</f>
        <v>-42</v>
      </c>
      <c r="M296" s="106"/>
      <c r="N296" s="239">
        <f>N287</f>
        <v>1.2499482286992125</v>
      </c>
      <c r="O296" s="226" t="s">
        <v>116</v>
      </c>
      <c r="P296" s="106">
        <f>ROUND(N296*$C296/100*N289,0)</f>
        <v>-8</v>
      </c>
      <c r="Q296" s="106"/>
      <c r="R296" s="239">
        <f>R287</f>
        <v>1.0088986186396827</v>
      </c>
      <c r="S296" s="226" t="s">
        <v>116</v>
      </c>
      <c r="T296" s="106">
        <f>ROUND(R296*$C296/100*R289,0)</f>
        <v>-7</v>
      </c>
      <c r="U296" s="106"/>
      <c r="V296" s="239">
        <f>V287</f>
        <v>3.9071531526611052</v>
      </c>
      <c r="W296" s="226" t="s">
        <v>116</v>
      </c>
      <c r="X296" s="106">
        <f>ROUND(V296*$C296/100*V289,0)</f>
        <v>-26</v>
      </c>
      <c r="Y296" s="82"/>
      <c r="Z296" s="83"/>
      <c r="AA296" s="83"/>
      <c r="AB296" s="83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U296" s="114"/>
    </row>
    <row r="297" spans="1:47" ht="15.75">
      <c r="A297" s="179" t="s">
        <v>155</v>
      </c>
      <c r="B297" s="179"/>
      <c r="C297" s="218">
        <v>0</v>
      </c>
      <c r="D297" s="241">
        <v>56</v>
      </c>
      <c r="E297" s="226" t="s">
        <v>116</v>
      </c>
      <c r="F297" s="106">
        <f>ROUND(D297*$C297/100*D289,0)</f>
        <v>0</v>
      </c>
      <c r="G297" s="241">
        <v>56</v>
      </c>
      <c r="H297" s="226" t="s">
        <v>116</v>
      </c>
      <c r="I297" s="106">
        <f>ROUND(G297*$C297/100*G289,0)</f>
        <v>0</v>
      </c>
      <c r="J297" s="241">
        <f>J288</f>
        <v>56</v>
      </c>
      <c r="K297" s="226" t="s">
        <v>116</v>
      </c>
      <c r="L297" s="106">
        <f>ROUND(J297*$C297/100*J289,0)</f>
        <v>0</v>
      </c>
      <c r="M297" s="106"/>
      <c r="N297" s="241"/>
      <c r="O297" s="226"/>
      <c r="P297" s="106"/>
      <c r="Q297" s="106"/>
      <c r="R297" s="241">
        <f ca="1">R288</f>
        <v>11</v>
      </c>
      <c r="S297" s="226" t="s">
        <v>116</v>
      </c>
      <c r="T297" s="106">
        <f ca="1">ROUND(R297*$C297/100*R289,0)</f>
        <v>0</v>
      </c>
      <c r="U297" s="106"/>
      <c r="V297" s="241">
        <f ca="1">V288</f>
        <v>45</v>
      </c>
      <c r="W297" s="226" t="s">
        <v>116</v>
      </c>
      <c r="X297" s="106">
        <f ca="1">ROUND(V297*$C297/100*V289,0)</f>
        <v>0</v>
      </c>
      <c r="Y297" s="82"/>
      <c r="Z297" s="83"/>
      <c r="AA297" s="83"/>
      <c r="AB297" s="83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U297" s="114"/>
    </row>
    <row r="298" spans="1:47" ht="15.75">
      <c r="A298" s="179" t="s">
        <v>160</v>
      </c>
      <c r="B298" s="179"/>
      <c r="C298" s="218">
        <v>2.6</v>
      </c>
      <c r="D298" s="243">
        <v>60</v>
      </c>
      <c r="E298" s="220"/>
      <c r="F298" s="106">
        <f>ROUND(D298*$C298,0)</f>
        <v>156</v>
      </c>
      <c r="G298" s="243">
        <v>60</v>
      </c>
      <c r="H298" s="226"/>
      <c r="I298" s="106">
        <f>ROUND(G298*C298,0)</f>
        <v>156</v>
      </c>
      <c r="J298" s="243">
        <f>$J$182</f>
        <v>60</v>
      </c>
      <c r="K298" s="226"/>
      <c r="L298" s="106">
        <f>ROUND(J298*$C298,0)</f>
        <v>156</v>
      </c>
      <c r="M298" s="106"/>
      <c r="N298" s="243"/>
      <c r="O298" s="226"/>
      <c r="P298" s="106"/>
      <c r="Q298" s="106"/>
      <c r="R298" s="243">
        <f>$R$182</f>
        <v>12.313523114579342</v>
      </c>
      <c r="S298" s="226"/>
      <c r="T298" s="106">
        <f>ROUND(R298*$C298,0)</f>
        <v>32</v>
      </c>
      <c r="U298" s="106"/>
      <c r="V298" s="243">
        <f>$V$182</f>
        <v>47.68647688542066</v>
      </c>
      <c r="W298" s="226"/>
      <c r="X298" s="106">
        <f>ROUND(V298*$C298,0)</f>
        <v>124</v>
      </c>
      <c r="Y298" s="82"/>
      <c r="Z298" s="83"/>
      <c r="AA298" s="83"/>
      <c r="AB298" s="83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U298" s="114"/>
    </row>
    <row r="299" spans="1:47" ht="15.75">
      <c r="A299" s="179" t="s">
        <v>161</v>
      </c>
      <c r="B299" s="179"/>
      <c r="C299" s="218">
        <v>193</v>
      </c>
      <c r="D299" s="244">
        <v>-30</v>
      </c>
      <c r="E299" s="220" t="s">
        <v>116</v>
      </c>
      <c r="F299" s="106">
        <f>ROUND(D299*$C299/100,0)</f>
        <v>-58</v>
      </c>
      <c r="G299" s="244">
        <v>-30</v>
      </c>
      <c r="H299" s="226" t="s">
        <v>116</v>
      </c>
      <c r="I299" s="106">
        <f>ROUND(G299*C299/100,0)</f>
        <v>-58</v>
      </c>
      <c r="J299" s="244">
        <f>$J$183</f>
        <v>-30</v>
      </c>
      <c r="K299" s="226" t="s">
        <v>116</v>
      </c>
      <c r="L299" s="106">
        <f>ROUND(J299*$C299/100,0)</f>
        <v>-58</v>
      </c>
      <c r="M299" s="106"/>
      <c r="N299" s="244">
        <f>$N$183</f>
        <v>-30</v>
      </c>
      <c r="O299" s="226" t="s">
        <v>116</v>
      </c>
      <c r="P299" s="106">
        <f>ROUND(N299*$C299/100,0)</f>
        <v>-58</v>
      </c>
      <c r="Q299" s="106"/>
      <c r="R299" s="244"/>
      <c r="S299" s="226"/>
      <c r="T299" s="106"/>
      <c r="U299" s="106"/>
      <c r="V299" s="244"/>
      <c r="W299" s="226"/>
      <c r="X299" s="106"/>
      <c r="Y299" s="82"/>
      <c r="Z299" s="83"/>
      <c r="AA299" s="83"/>
      <c r="AB299" s="83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U299" s="114"/>
    </row>
    <row r="300" spans="1:47" ht="15.75">
      <c r="A300" s="179" t="s">
        <v>134</v>
      </c>
      <c r="B300" s="179"/>
      <c r="C300" s="218">
        <f>SUM(C285:C287)</f>
        <v>18698937</v>
      </c>
      <c r="D300" s="229"/>
      <c r="E300" s="106"/>
      <c r="F300" s="106">
        <f>SUM(F280:F299)</f>
        <v>1564868</v>
      </c>
      <c r="G300" s="229"/>
      <c r="H300" s="226"/>
      <c r="I300" s="106">
        <f>SUM(I280:I299)</f>
        <v>1652959</v>
      </c>
      <c r="J300" s="229"/>
      <c r="K300" s="226"/>
      <c r="L300" s="106">
        <f>SUM(L280:L299)</f>
        <v>1652959</v>
      </c>
      <c r="M300" s="106"/>
      <c r="N300" s="229"/>
      <c r="O300" s="226"/>
      <c r="P300" s="106">
        <f>SUM(P280:P299)</f>
        <v>421617</v>
      </c>
      <c r="Q300" s="106"/>
      <c r="R300" s="229"/>
      <c r="S300" s="226"/>
      <c r="T300" s="106">
        <f ca="1">SUM(T280:T299)</f>
        <v>252639</v>
      </c>
      <c r="U300" s="106"/>
      <c r="V300" s="229"/>
      <c r="W300" s="226"/>
      <c r="X300" s="106">
        <f ca="1">SUM(X280:X299)</f>
        <v>978707</v>
      </c>
      <c r="Y300" s="82"/>
      <c r="Z300" s="83"/>
      <c r="AA300" s="83"/>
      <c r="AB300" s="83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U300" s="114"/>
    </row>
    <row r="301" spans="1:47" ht="15.75">
      <c r="A301" s="179" t="s">
        <v>119</v>
      </c>
      <c r="B301" s="179"/>
      <c r="C301" s="273">
        <v>-299510.970415727</v>
      </c>
      <c r="D301" s="138"/>
      <c r="E301" s="138"/>
      <c r="F301" s="248">
        <f>I301</f>
        <v>-34132.350163578827</v>
      </c>
      <c r="G301" s="138"/>
      <c r="H301" s="138"/>
      <c r="I301" s="248">
        <v>-34132.350163578827</v>
      </c>
      <c r="J301" s="138"/>
      <c r="K301" s="138"/>
      <c r="L301" s="248">
        <f>I301</f>
        <v>-34132.350163578827</v>
      </c>
      <c r="M301" s="221"/>
      <c r="N301" s="138"/>
      <c r="O301" s="138"/>
      <c r="P301" s="248">
        <f>L301*AB192</f>
        <v>-6919.1810944383114</v>
      </c>
      <c r="Q301" s="221"/>
      <c r="R301" s="138"/>
      <c r="S301" s="138"/>
      <c r="T301" s="248">
        <f>L301*AA192</f>
        <v>-5584.8331058969552</v>
      </c>
      <c r="U301" s="221"/>
      <c r="V301" s="138"/>
      <c r="W301" s="138"/>
      <c r="X301" s="248">
        <f>L301*Z192</f>
        <v>-21628.33596324356</v>
      </c>
      <c r="Y301" s="443"/>
      <c r="Z301" s="168"/>
      <c r="AA301" s="83"/>
      <c r="AB301" s="83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U301" s="114"/>
    </row>
    <row r="302" spans="1:47" ht="16.5" thickBot="1">
      <c r="A302" s="179" t="s">
        <v>135</v>
      </c>
      <c r="B302" s="179"/>
      <c r="C302" s="199">
        <f>SUM(C300:C301)</f>
        <v>18399426.029584274</v>
      </c>
      <c r="D302" s="268"/>
      <c r="E302" s="250"/>
      <c r="F302" s="251">
        <f>F300+F301</f>
        <v>1530735.6498364212</v>
      </c>
      <c r="G302" s="268"/>
      <c r="H302" s="269"/>
      <c r="I302" s="251">
        <f>I300+I301</f>
        <v>1618826.6498364212</v>
      </c>
      <c r="J302" s="268"/>
      <c r="K302" s="269"/>
      <c r="L302" s="251">
        <f>L300+L301</f>
        <v>1618826.6498364212</v>
      </c>
      <c r="M302" s="251"/>
      <c r="N302" s="268"/>
      <c r="O302" s="269"/>
      <c r="P302" s="251">
        <f>P300+P301</f>
        <v>414697.8189055617</v>
      </c>
      <c r="Q302" s="251"/>
      <c r="R302" s="268"/>
      <c r="S302" s="269"/>
      <c r="T302" s="251">
        <f ca="1">T300+T301</f>
        <v>247054.16689410305</v>
      </c>
      <c r="U302" s="251"/>
      <c r="V302" s="268"/>
      <c r="W302" s="269"/>
      <c r="X302" s="251">
        <f ca="1">X300+X301</f>
        <v>957078.66403675638</v>
      </c>
      <c r="Y302" s="176"/>
      <c r="Z302" s="177"/>
      <c r="AA302" s="83"/>
      <c r="AB302" s="83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U302" s="114"/>
    </row>
    <row r="303" spans="1:47" ht="16.5" thickTop="1">
      <c r="A303" s="179"/>
      <c r="B303" s="179"/>
      <c r="C303" s="148"/>
      <c r="D303" s="274"/>
      <c r="E303" s="258"/>
      <c r="F303" s="221"/>
      <c r="G303" s="274"/>
      <c r="H303" s="259"/>
      <c r="I303" s="221"/>
      <c r="J303" s="274"/>
      <c r="K303" s="259"/>
      <c r="L303" s="221"/>
      <c r="M303" s="221"/>
      <c r="N303" s="274"/>
      <c r="O303" s="259"/>
      <c r="P303" s="221"/>
      <c r="Q303" s="221"/>
      <c r="R303" s="274"/>
      <c r="S303" s="259"/>
      <c r="T303" s="221"/>
      <c r="U303" s="221"/>
      <c r="V303" s="274"/>
      <c r="W303" s="259"/>
      <c r="X303" s="221"/>
      <c r="Y303" s="82"/>
      <c r="Z303" s="83"/>
      <c r="AA303" s="83"/>
      <c r="AB303" s="83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U303" s="114"/>
    </row>
    <row r="304" spans="1:47" ht="15.75">
      <c r="A304" s="178" t="s">
        <v>169</v>
      </c>
      <c r="B304" s="179"/>
      <c r="C304" s="179"/>
      <c r="D304" s="106"/>
      <c r="E304" s="106"/>
      <c r="F304" s="179" t="s">
        <v>108</v>
      </c>
      <c r="G304" s="106"/>
      <c r="H304" s="179"/>
      <c r="I304" s="179"/>
      <c r="J304" s="106"/>
      <c r="K304" s="179"/>
      <c r="L304" s="179"/>
      <c r="M304" s="179"/>
      <c r="N304" s="106"/>
      <c r="O304" s="179"/>
      <c r="P304" s="179"/>
      <c r="Q304" s="179"/>
      <c r="R304" s="106"/>
      <c r="S304" s="179"/>
      <c r="T304" s="179"/>
      <c r="U304" s="179"/>
      <c r="V304" s="106"/>
      <c r="W304" s="179"/>
      <c r="X304" s="179"/>
      <c r="Y304" s="82"/>
      <c r="Z304" s="83"/>
      <c r="AA304" s="83"/>
      <c r="AB304" s="83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U304" s="114"/>
    </row>
    <row r="305" spans="1:47" ht="15.75">
      <c r="A305" s="179" t="s">
        <v>163</v>
      </c>
      <c r="B305" s="179"/>
      <c r="C305" s="179"/>
      <c r="D305" s="106"/>
      <c r="E305" s="106"/>
      <c r="F305" s="179"/>
      <c r="G305" s="106"/>
      <c r="H305" s="179"/>
      <c r="I305" s="179"/>
      <c r="J305" s="106"/>
      <c r="K305" s="179"/>
      <c r="L305" s="179"/>
      <c r="M305" s="179"/>
      <c r="N305" s="106"/>
      <c r="O305" s="179"/>
      <c r="P305" s="179"/>
      <c r="Q305" s="179"/>
      <c r="R305" s="106"/>
      <c r="S305" s="179"/>
      <c r="T305" s="179"/>
      <c r="U305" s="179"/>
      <c r="V305" s="106"/>
      <c r="W305" s="179"/>
      <c r="X305" s="179"/>
      <c r="Y305" s="82"/>
      <c r="Z305" s="83"/>
      <c r="AA305" s="83"/>
      <c r="AB305" s="83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U305" s="114"/>
    </row>
    <row r="306" spans="1:47" ht="15.75">
      <c r="A306" s="179"/>
      <c r="B306" s="179"/>
      <c r="C306" s="179"/>
      <c r="D306" s="106"/>
      <c r="E306" s="106"/>
      <c r="F306" s="179"/>
      <c r="G306" s="106"/>
      <c r="H306" s="179"/>
      <c r="I306" s="179"/>
      <c r="J306" s="106"/>
      <c r="K306" s="179"/>
      <c r="L306" s="179"/>
      <c r="M306" s="179"/>
      <c r="N306" s="106"/>
      <c r="O306" s="179"/>
      <c r="P306" s="179"/>
      <c r="Q306" s="179"/>
      <c r="R306" s="106"/>
      <c r="S306" s="179"/>
      <c r="T306" s="179"/>
      <c r="U306" s="179"/>
      <c r="V306" s="106"/>
      <c r="W306" s="179"/>
      <c r="X306" s="179"/>
      <c r="Y306" s="82"/>
      <c r="Z306" s="83"/>
      <c r="AA306" s="83"/>
      <c r="AB306" s="83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U306" s="114"/>
    </row>
    <row r="307" spans="1:47" ht="15.75">
      <c r="A307" s="179" t="s">
        <v>11</v>
      </c>
      <c r="B307" s="179"/>
      <c r="C307" s="218"/>
      <c r="D307" s="106"/>
      <c r="E307" s="106"/>
      <c r="F307" s="179"/>
      <c r="G307" s="106"/>
      <c r="H307" s="179"/>
      <c r="I307" s="179"/>
      <c r="J307" s="106"/>
      <c r="K307" s="179"/>
      <c r="L307" s="179"/>
      <c r="M307" s="179"/>
      <c r="N307" s="106"/>
      <c r="O307" s="179"/>
      <c r="P307" s="179"/>
      <c r="Q307" s="179"/>
      <c r="R307" s="106"/>
      <c r="S307" s="179"/>
      <c r="T307" s="179"/>
      <c r="U307" s="179"/>
      <c r="V307" s="106"/>
      <c r="W307" s="179"/>
      <c r="X307" s="179"/>
      <c r="Y307" s="82"/>
      <c r="Z307" s="83"/>
      <c r="AA307" s="83"/>
      <c r="AB307" s="83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U307" s="114"/>
    </row>
    <row r="308" spans="1:47" ht="15.75">
      <c r="A308" s="179" t="s">
        <v>170</v>
      </c>
      <c r="B308" s="179"/>
      <c r="C308" s="218">
        <f>C337+C366</f>
        <v>4565.6865373805158</v>
      </c>
      <c r="D308" s="210">
        <v>8.7100000000000009</v>
      </c>
      <c r="E308" s="220"/>
      <c r="F308" s="106">
        <f>F337+F366</f>
        <v>39767</v>
      </c>
      <c r="G308" s="210">
        <v>8.7100000000000009</v>
      </c>
      <c r="H308" s="226"/>
      <c r="I308" s="106">
        <f>ROUND(G308*$C308,0)</f>
        <v>39767</v>
      </c>
      <c r="J308" s="210">
        <f>$J$163</f>
        <v>8.7100000000000009</v>
      </c>
      <c r="K308" s="226"/>
      <c r="L308" s="106">
        <f>L337+L366</f>
        <v>39767</v>
      </c>
      <c r="M308" s="106"/>
      <c r="N308" s="210">
        <f>N280</f>
        <v>8.7100000000000009</v>
      </c>
      <c r="O308" s="226"/>
      <c r="P308" s="106">
        <f>P337+P366</f>
        <v>39767</v>
      </c>
      <c r="Q308" s="106"/>
      <c r="R308" s="210"/>
      <c r="S308" s="226"/>
      <c r="T308" s="106"/>
      <c r="U308" s="106"/>
      <c r="V308" s="210"/>
      <c r="W308" s="226"/>
      <c r="X308" s="106"/>
      <c r="Y308" s="82"/>
      <c r="Z308" s="83"/>
      <c r="AA308" s="83"/>
      <c r="AB308" s="83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U308" s="114"/>
    </row>
    <row r="309" spans="1:47" ht="15.75">
      <c r="A309" s="179" t="s">
        <v>148</v>
      </c>
      <c r="B309" s="179"/>
      <c r="C309" s="218">
        <f>C338+C367</f>
        <v>0</v>
      </c>
      <c r="D309" s="210">
        <v>12.98</v>
      </c>
      <c r="E309" s="222"/>
      <c r="F309" s="106">
        <f>F338+F367</f>
        <v>0</v>
      </c>
      <c r="G309" s="210">
        <v>12.98</v>
      </c>
      <c r="H309" s="265"/>
      <c r="I309" s="106">
        <f t="shared" ref="I309:I310" si="87">ROUND(G309*$C309,0)</f>
        <v>0</v>
      </c>
      <c r="J309" s="210">
        <f>$J$164</f>
        <v>12.98</v>
      </c>
      <c r="K309" s="265"/>
      <c r="L309" s="106">
        <f>L338+L367</f>
        <v>0</v>
      </c>
      <c r="M309" s="106"/>
      <c r="N309" s="210">
        <f t="shared" ref="N309:N310" si="88">N281</f>
        <v>12.98</v>
      </c>
      <c r="O309" s="265"/>
      <c r="P309" s="106">
        <f>P338+P367</f>
        <v>0</v>
      </c>
      <c r="Q309" s="106"/>
      <c r="R309" s="210"/>
      <c r="S309" s="265"/>
      <c r="T309" s="106"/>
      <c r="U309" s="106"/>
      <c r="V309" s="210"/>
      <c r="W309" s="265"/>
      <c r="X309" s="106"/>
      <c r="Y309" s="82"/>
      <c r="Z309" s="83"/>
      <c r="AA309" s="83"/>
      <c r="AB309" s="83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U309" s="114"/>
    </row>
    <row r="310" spans="1:47" ht="15.75">
      <c r="A310" s="179" t="s">
        <v>149</v>
      </c>
      <c r="B310" s="179"/>
      <c r="C310" s="218">
        <f>C339+C368</f>
        <v>0</v>
      </c>
      <c r="D310" s="210">
        <v>0.92</v>
      </c>
      <c r="E310" s="222"/>
      <c r="F310" s="106">
        <f>F339+F368</f>
        <v>0</v>
      </c>
      <c r="G310" s="210">
        <v>0.92</v>
      </c>
      <c r="H310" s="265"/>
      <c r="I310" s="106">
        <f t="shared" si="87"/>
        <v>0</v>
      </c>
      <c r="J310" s="210">
        <f>$J$165</f>
        <v>0.92</v>
      </c>
      <c r="K310" s="265"/>
      <c r="L310" s="106">
        <f>L339+L368</f>
        <v>0</v>
      </c>
      <c r="M310" s="106"/>
      <c r="N310" s="210">
        <f t="shared" si="88"/>
        <v>0.92</v>
      </c>
      <c r="O310" s="265"/>
      <c r="P310" s="106">
        <f>P339+P368</f>
        <v>0</v>
      </c>
      <c r="Q310" s="106"/>
      <c r="R310" s="210"/>
      <c r="S310" s="265"/>
      <c r="T310" s="106"/>
      <c r="U310" s="106"/>
      <c r="V310" s="210"/>
      <c r="W310" s="265"/>
      <c r="X310" s="106"/>
      <c r="Y310" s="82"/>
      <c r="Z310" s="83"/>
      <c r="AA310" s="83"/>
      <c r="AB310" s="83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U310" s="114"/>
    </row>
    <row r="311" spans="1:47" ht="15.75">
      <c r="A311" s="179" t="s">
        <v>150</v>
      </c>
      <c r="B311" s="179"/>
      <c r="C311" s="218">
        <f>SUM(C308:C309)</f>
        <v>4565.6865373805158</v>
      </c>
      <c r="D311" s="210"/>
      <c r="E311" s="220"/>
      <c r="F311" s="106"/>
      <c r="G311" s="210"/>
      <c r="H311" s="226"/>
      <c r="I311" s="106"/>
      <c r="J311" s="210"/>
      <c r="K311" s="226"/>
      <c r="L311" s="106"/>
      <c r="M311" s="106"/>
      <c r="N311" s="210"/>
      <c r="O311" s="226"/>
      <c r="P311" s="106"/>
      <c r="Q311" s="106"/>
      <c r="R311" s="210"/>
      <c r="S311" s="226"/>
      <c r="T311" s="106"/>
      <c r="U311" s="106"/>
      <c r="V311" s="210"/>
      <c r="W311" s="226"/>
      <c r="X311" s="106"/>
      <c r="Y311" s="82"/>
      <c r="Z311" s="83"/>
      <c r="AA311" s="83"/>
      <c r="AB311" s="83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U311" s="114"/>
    </row>
    <row r="312" spans="1:47" ht="15.75">
      <c r="A312" s="179" t="s">
        <v>117</v>
      </c>
      <c r="B312" s="179"/>
      <c r="C312" s="218">
        <f t="shared" ref="C312:C317" si="89">C341+C370</f>
        <v>1452.6333333333369</v>
      </c>
      <c r="D312" s="210"/>
      <c r="E312" s="220"/>
      <c r="F312" s="106"/>
      <c r="G312" s="210"/>
      <c r="H312" s="226"/>
      <c r="I312" s="106"/>
      <c r="J312" s="210"/>
      <c r="K312" s="226"/>
      <c r="L312" s="106"/>
      <c r="M312" s="106"/>
      <c r="N312" s="210"/>
      <c r="O312" s="226"/>
      <c r="P312" s="106"/>
      <c r="Q312" s="106"/>
      <c r="R312" s="210"/>
      <c r="S312" s="226"/>
      <c r="T312" s="106"/>
      <c r="U312" s="106"/>
      <c r="V312" s="210"/>
      <c r="W312" s="226"/>
      <c r="X312" s="106"/>
      <c r="Y312" s="82"/>
      <c r="Z312" s="83"/>
      <c r="AA312" s="83"/>
      <c r="AB312" s="83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U312" s="114"/>
    </row>
    <row r="313" spans="1:47" ht="15.75">
      <c r="A313" s="179" t="s">
        <v>151</v>
      </c>
      <c r="B313" s="179"/>
      <c r="C313" s="218">
        <f t="shared" si="89"/>
        <v>0</v>
      </c>
      <c r="D313" s="243">
        <v>3.4</v>
      </c>
      <c r="E313" s="226"/>
      <c r="F313" s="106">
        <f>F342+F371</f>
        <v>0</v>
      </c>
      <c r="G313" s="243">
        <v>3.61</v>
      </c>
      <c r="H313" s="226"/>
      <c r="I313" s="106">
        <f>ROUND(G313*C313,0)</f>
        <v>0</v>
      </c>
      <c r="J313" s="243">
        <f>$J$168</f>
        <v>3.61</v>
      </c>
      <c r="K313" s="226"/>
      <c r="L313" s="106">
        <f>L342+L371</f>
        <v>0</v>
      </c>
      <c r="M313" s="106"/>
      <c r="N313" s="243">
        <f>N284</f>
        <v>0.73180556367242244</v>
      </c>
      <c r="O313" s="226"/>
      <c r="P313" s="106">
        <f>P342+P371</f>
        <v>0</v>
      </c>
      <c r="Q313" s="106"/>
      <c r="R313" s="243">
        <f>$R$168</f>
        <v>0.59067856199955471</v>
      </c>
      <c r="S313" s="226"/>
      <c r="T313" s="106">
        <f>T342+T371</f>
        <v>0</v>
      </c>
      <c r="U313" s="106"/>
      <c r="V313" s="243">
        <f>$V$168</f>
        <v>2.2875158743280228</v>
      </c>
      <c r="W313" s="226"/>
      <c r="X313" s="106">
        <f>X342+X371</f>
        <v>0</v>
      </c>
      <c r="Y313" s="82"/>
      <c r="Z313" s="83"/>
      <c r="AA313" s="83"/>
      <c r="AB313" s="83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U313" s="114"/>
    </row>
    <row r="314" spans="1:47" ht="15.75">
      <c r="A314" s="179" t="s">
        <v>152</v>
      </c>
      <c r="B314" s="179"/>
      <c r="C314" s="218">
        <f t="shared" si="89"/>
        <v>1237819.6605672329</v>
      </c>
      <c r="D314" s="211">
        <v>9.766</v>
      </c>
      <c r="E314" s="226" t="s">
        <v>116</v>
      </c>
      <c r="F314" s="106">
        <f>F343+F372</f>
        <v>120885</v>
      </c>
      <c r="G314" s="211">
        <v>10.359</v>
      </c>
      <c r="H314" s="226" t="s">
        <v>116</v>
      </c>
      <c r="I314" s="106">
        <f>ROUND(G314*C314/100,0)</f>
        <v>128226</v>
      </c>
      <c r="J314" s="211">
        <f>$J$169</f>
        <v>10.359</v>
      </c>
      <c r="K314" s="226" t="s">
        <v>116</v>
      </c>
      <c r="L314" s="106">
        <f>L343+L372</f>
        <v>128226</v>
      </c>
      <c r="M314" s="106"/>
      <c r="N314" s="243">
        <f t="shared" ref="N314:N317" si="90">N285</f>
        <v>2.0999373501613916</v>
      </c>
      <c r="O314" s="226" t="s">
        <v>116</v>
      </c>
      <c r="P314" s="106">
        <f>P343+P372</f>
        <v>25994</v>
      </c>
      <c r="Q314" s="106"/>
      <c r="R314" s="211">
        <f>$R$169</f>
        <v>1.69496931405911</v>
      </c>
      <c r="S314" s="226" t="s">
        <v>116</v>
      </c>
      <c r="T314" s="106">
        <f>T343+T372</f>
        <v>20981</v>
      </c>
      <c r="U314" s="106"/>
      <c r="V314" s="211">
        <f>$V$169</f>
        <v>6.5640933357794982</v>
      </c>
      <c r="W314" s="226" t="s">
        <v>116</v>
      </c>
      <c r="X314" s="106">
        <f>X343+X372</f>
        <v>81252</v>
      </c>
      <c r="Y314" s="82"/>
      <c r="Z314" s="83"/>
      <c r="AA314" s="83"/>
      <c r="AB314" s="83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U314" s="114"/>
    </row>
    <row r="315" spans="1:47" ht="15.75">
      <c r="A315" s="179" t="s">
        <v>153</v>
      </c>
      <c r="B315" s="179"/>
      <c r="C315" s="218">
        <f t="shared" si="89"/>
        <v>64812</v>
      </c>
      <c r="D315" s="211">
        <v>6.7460000000000004</v>
      </c>
      <c r="E315" s="226" t="s">
        <v>116</v>
      </c>
      <c r="F315" s="106">
        <f>F344+F373</f>
        <v>4372</v>
      </c>
      <c r="G315" s="211">
        <v>7.1559999999999997</v>
      </c>
      <c r="H315" s="226" t="s">
        <v>116</v>
      </c>
      <c r="I315" s="106">
        <f t="shared" ref="I315:I317" si="91">ROUND(G315*C315/100,0)</f>
        <v>4638</v>
      </c>
      <c r="J315" s="211">
        <f>$J$170</f>
        <v>7.1559999999999997</v>
      </c>
      <c r="K315" s="226" t="s">
        <v>116</v>
      </c>
      <c r="L315" s="106">
        <f>L344+L373</f>
        <v>4638</v>
      </c>
      <c r="M315" s="106"/>
      <c r="N315" s="243">
        <f t="shared" si="90"/>
        <v>1.4506372890969126</v>
      </c>
      <c r="O315" s="226" t="s">
        <v>116</v>
      </c>
      <c r="P315" s="106">
        <f>P344+P373</f>
        <v>940</v>
      </c>
      <c r="Q315" s="106"/>
      <c r="R315" s="211">
        <f>$R$170</f>
        <v>1.1708852602960702</v>
      </c>
      <c r="S315" s="226" t="s">
        <v>116</v>
      </c>
      <c r="T315" s="106">
        <f>T344+T373</f>
        <v>759</v>
      </c>
      <c r="U315" s="106"/>
      <c r="V315" s="211">
        <f>$V$170</f>
        <v>4.5344774506070165</v>
      </c>
      <c r="W315" s="226" t="s">
        <v>116</v>
      </c>
      <c r="X315" s="106">
        <f>X344+X373</f>
        <v>2939</v>
      </c>
      <c r="Y315" s="82"/>
      <c r="Z315" s="83"/>
      <c r="AA315" s="83"/>
      <c r="AB315" s="83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U315" s="114"/>
    </row>
    <row r="316" spans="1:47" ht="15.75">
      <c r="A316" s="179" t="s">
        <v>154</v>
      </c>
      <c r="B316" s="179"/>
      <c r="C316" s="218">
        <f t="shared" si="89"/>
        <v>0</v>
      </c>
      <c r="D316" s="211">
        <v>5.8120000000000003</v>
      </c>
      <c r="E316" s="226" t="s">
        <v>116</v>
      </c>
      <c r="F316" s="106">
        <f>F345+F374</f>
        <v>0</v>
      </c>
      <c r="G316" s="211">
        <v>6.1660000000000004</v>
      </c>
      <c r="H316" s="226" t="s">
        <v>116</v>
      </c>
      <c r="I316" s="106">
        <f t="shared" si="91"/>
        <v>0</v>
      </c>
      <c r="J316" s="211">
        <f>$J$171</f>
        <v>6.1660000000000004</v>
      </c>
      <c r="K316" s="226" t="s">
        <v>116</v>
      </c>
      <c r="L316" s="106">
        <f>L345+L374</f>
        <v>0</v>
      </c>
      <c r="M316" s="106"/>
      <c r="N316" s="243">
        <f t="shared" si="90"/>
        <v>1.2499482286992125</v>
      </c>
      <c r="O316" s="226" t="s">
        <v>116</v>
      </c>
      <c r="P316" s="106">
        <f>P345+P374</f>
        <v>0</v>
      </c>
      <c r="Q316" s="106"/>
      <c r="R316" s="211">
        <f>$R$171</f>
        <v>1.0088986186396827</v>
      </c>
      <c r="S316" s="226" t="s">
        <v>116</v>
      </c>
      <c r="T316" s="106">
        <f>T345+T374</f>
        <v>0</v>
      </c>
      <c r="U316" s="106"/>
      <c r="V316" s="211">
        <f>$V$171</f>
        <v>3.9071531526611052</v>
      </c>
      <c r="W316" s="226" t="s">
        <v>116</v>
      </c>
      <c r="X316" s="106">
        <f>X345+X374</f>
        <v>0</v>
      </c>
      <c r="Y316" s="82"/>
      <c r="Z316" s="83"/>
      <c r="AA316" s="83"/>
      <c r="AB316" s="83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U316" s="114"/>
    </row>
    <row r="317" spans="1:47" ht="15.75">
      <c r="A317" s="179" t="s">
        <v>155</v>
      </c>
      <c r="B317" s="179"/>
      <c r="C317" s="218">
        <f t="shared" si="89"/>
        <v>0</v>
      </c>
      <c r="D317" s="229">
        <v>56</v>
      </c>
      <c r="E317" s="220" t="s">
        <v>116</v>
      </c>
      <c r="F317" s="106">
        <f>F346+F375</f>
        <v>0</v>
      </c>
      <c r="G317" s="229">
        <v>56</v>
      </c>
      <c r="H317" s="226" t="s">
        <v>116</v>
      </c>
      <c r="I317" s="106">
        <f t="shared" si="91"/>
        <v>0</v>
      </c>
      <c r="J317" s="229">
        <f>$J$172</f>
        <v>56</v>
      </c>
      <c r="K317" s="226" t="s">
        <v>116</v>
      </c>
      <c r="L317" s="106">
        <f>L346+L375</f>
        <v>0</v>
      </c>
      <c r="M317" s="106"/>
      <c r="N317" s="243">
        <f t="shared" si="90"/>
        <v>0</v>
      </c>
      <c r="O317" s="226" t="s">
        <v>116</v>
      </c>
      <c r="P317" s="106">
        <f>P346+P375</f>
        <v>0</v>
      </c>
      <c r="Q317" s="106"/>
      <c r="R317" s="229">
        <f ca="1">$R$172</f>
        <v>11</v>
      </c>
      <c r="S317" s="226" t="s">
        <v>116</v>
      </c>
      <c r="T317" s="106">
        <f>T346+T375</f>
        <v>0</v>
      </c>
      <c r="U317" s="106"/>
      <c r="V317" s="229">
        <f ca="1">$V$172</f>
        <v>45</v>
      </c>
      <c r="W317" s="226" t="s">
        <v>116</v>
      </c>
      <c r="X317" s="106">
        <f>X346+X375</f>
        <v>0</v>
      </c>
      <c r="Y317" s="82"/>
      <c r="Z317" s="83"/>
      <c r="AA317" s="83"/>
      <c r="AB317" s="83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U317" s="114"/>
    </row>
    <row r="318" spans="1:47" ht="15.75">
      <c r="A318" s="233" t="s">
        <v>156</v>
      </c>
      <c r="B318" s="179"/>
      <c r="C318" s="218"/>
      <c r="D318" s="234">
        <v>-0.01</v>
      </c>
      <c r="E318" s="220"/>
      <c r="F318" s="106"/>
      <c r="G318" s="234">
        <v>-0.01</v>
      </c>
      <c r="H318" s="226"/>
      <c r="I318" s="106"/>
      <c r="J318" s="234">
        <v>-0.01</v>
      </c>
      <c r="K318" s="226"/>
      <c r="L318" s="106"/>
      <c r="M318" s="106"/>
      <c r="N318" s="234">
        <v>-0.01</v>
      </c>
      <c r="O318" s="226"/>
      <c r="P318" s="106"/>
      <c r="Q318" s="106"/>
      <c r="R318" s="234">
        <v>-0.01</v>
      </c>
      <c r="S318" s="226"/>
      <c r="T318" s="106"/>
      <c r="U318" s="106"/>
      <c r="V318" s="234">
        <v>-0.01</v>
      </c>
      <c r="W318" s="226"/>
      <c r="X318" s="106"/>
      <c r="Y318" s="82"/>
      <c r="Z318" s="83"/>
      <c r="AA318" s="83"/>
      <c r="AB318" s="83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U318" s="114"/>
    </row>
    <row r="319" spans="1:47" ht="15.75">
      <c r="A319" s="179" t="s">
        <v>147</v>
      </c>
      <c r="B319" s="179"/>
      <c r="C319" s="218">
        <v>0</v>
      </c>
      <c r="D319" s="237">
        <v>8.7100000000000009</v>
      </c>
      <c r="E319" s="220"/>
      <c r="F319" s="106">
        <f t="shared" ref="F319:F329" si="92">F348+F377</f>
        <v>0</v>
      </c>
      <c r="G319" s="237">
        <v>8.7100000000000009</v>
      </c>
      <c r="H319" s="220"/>
      <c r="I319" s="106">
        <f>-ROUND(G319*$C319/100,0)</f>
        <v>0</v>
      </c>
      <c r="J319" s="237">
        <f>J308</f>
        <v>8.7100000000000009</v>
      </c>
      <c r="K319" s="220"/>
      <c r="L319" s="106">
        <f t="shared" ref="L319:L329" si="93">L348+L377</f>
        <v>0</v>
      </c>
      <c r="M319" s="106"/>
      <c r="N319" s="237"/>
      <c r="O319" s="220"/>
      <c r="P319" s="106"/>
      <c r="Q319" s="106"/>
      <c r="R319" s="237"/>
      <c r="S319" s="220"/>
      <c r="T319" s="106"/>
      <c r="U319" s="106"/>
      <c r="V319" s="237"/>
      <c r="W319" s="220"/>
      <c r="X319" s="106"/>
      <c r="Y319" s="82"/>
      <c r="Z319" s="83"/>
      <c r="AA319" s="83"/>
      <c r="AB319" s="83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U319" s="114"/>
    </row>
    <row r="320" spans="1:47" ht="15.75">
      <c r="A320" s="179" t="s">
        <v>148</v>
      </c>
      <c r="B320" s="179"/>
      <c r="C320" s="218">
        <v>0</v>
      </c>
      <c r="D320" s="237">
        <v>12.98</v>
      </c>
      <c r="E320" s="220"/>
      <c r="F320" s="106">
        <f t="shared" si="92"/>
        <v>0</v>
      </c>
      <c r="G320" s="237">
        <v>12.98</v>
      </c>
      <c r="H320" s="220"/>
      <c r="I320" s="106">
        <f t="shared" ref="I320:I322" si="94">-ROUND(G320*$C320/100,0)</f>
        <v>0</v>
      </c>
      <c r="J320" s="237">
        <f>J309</f>
        <v>12.98</v>
      </c>
      <c r="K320" s="220"/>
      <c r="L320" s="106">
        <f t="shared" si="93"/>
        <v>0</v>
      </c>
      <c r="M320" s="106"/>
      <c r="N320" s="237"/>
      <c r="O320" s="220"/>
      <c r="P320" s="106"/>
      <c r="Q320" s="106"/>
      <c r="R320" s="237"/>
      <c r="S320" s="220"/>
      <c r="T320" s="106"/>
      <c r="U320" s="106"/>
      <c r="V320" s="237"/>
      <c r="W320" s="220"/>
      <c r="X320" s="106"/>
      <c r="Y320" s="82"/>
      <c r="Z320" s="83"/>
      <c r="AA320" s="83"/>
      <c r="AB320" s="83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U320" s="114"/>
    </row>
    <row r="321" spans="1:47" ht="15.75">
      <c r="A321" s="179" t="s">
        <v>157</v>
      </c>
      <c r="B321" s="179"/>
      <c r="C321" s="218">
        <v>0</v>
      </c>
      <c r="D321" s="237">
        <v>0.92</v>
      </c>
      <c r="E321" s="220"/>
      <c r="F321" s="106">
        <f t="shared" si="92"/>
        <v>0</v>
      </c>
      <c r="G321" s="237">
        <v>0.92</v>
      </c>
      <c r="H321" s="220"/>
      <c r="I321" s="106">
        <f t="shared" si="94"/>
        <v>0</v>
      </c>
      <c r="J321" s="237">
        <f>J310</f>
        <v>0.92</v>
      </c>
      <c r="K321" s="220"/>
      <c r="L321" s="106">
        <f t="shared" si="93"/>
        <v>0</v>
      </c>
      <c r="M321" s="106"/>
      <c r="N321" s="237"/>
      <c r="O321" s="220"/>
      <c r="P321" s="106"/>
      <c r="Q321" s="106"/>
      <c r="R321" s="237"/>
      <c r="S321" s="220"/>
      <c r="T321" s="106"/>
      <c r="U321" s="106"/>
      <c r="V321" s="237"/>
      <c r="W321" s="220"/>
      <c r="X321" s="106"/>
      <c r="Y321" s="82"/>
      <c r="Z321" s="83"/>
      <c r="AA321" s="83"/>
      <c r="AB321" s="83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U321" s="114"/>
    </row>
    <row r="322" spans="1:47" ht="15.75">
      <c r="A322" s="179" t="s">
        <v>158</v>
      </c>
      <c r="B322" s="179"/>
      <c r="C322" s="218">
        <v>0</v>
      </c>
      <c r="D322" s="237">
        <v>3.4</v>
      </c>
      <c r="E322" s="226"/>
      <c r="F322" s="106">
        <f t="shared" si="92"/>
        <v>0</v>
      </c>
      <c r="G322" s="237">
        <v>3.61</v>
      </c>
      <c r="H322" s="226"/>
      <c r="I322" s="106">
        <f t="shared" si="94"/>
        <v>0</v>
      </c>
      <c r="J322" s="237">
        <f>J313</f>
        <v>3.61</v>
      </c>
      <c r="K322" s="226"/>
      <c r="L322" s="106">
        <f t="shared" si="93"/>
        <v>0</v>
      </c>
      <c r="M322" s="106"/>
      <c r="N322" s="237"/>
      <c r="O322" s="226"/>
      <c r="P322" s="106"/>
      <c r="Q322" s="106"/>
      <c r="R322" s="237"/>
      <c r="S322" s="226"/>
      <c r="T322" s="106"/>
      <c r="U322" s="106"/>
      <c r="V322" s="237"/>
      <c r="W322" s="226"/>
      <c r="X322" s="106"/>
      <c r="Y322" s="82"/>
      <c r="Z322" s="83"/>
      <c r="AA322" s="83"/>
      <c r="AB322" s="83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U322" s="114"/>
    </row>
    <row r="323" spans="1:47" ht="15.75">
      <c r="A323" s="179" t="s">
        <v>159</v>
      </c>
      <c r="B323" s="179"/>
      <c r="C323" s="218">
        <v>0</v>
      </c>
      <c r="D323" s="239">
        <v>9.766</v>
      </c>
      <c r="E323" s="226" t="s">
        <v>116</v>
      </c>
      <c r="F323" s="106">
        <f t="shared" si="92"/>
        <v>0</v>
      </c>
      <c r="G323" s="239">
        <v>10.359</v>
      </c>
      <c r="H323" s="226" t="s">
        <v>116</v>
      </c>
      <c r="I323" s="106">
        <f>ROUND(G323*$C323/100*G318,0)</f>
        <v>0</v>
      </c>
      <c r="J323" s="239">
        <f>J314</f>
        <v>10.359</v>
      </c>
      <c r="K323" s="226" t="s">
        <v>116</v>
      </c>
      <c r="L323" s="106">
        <f t="shared" si="93"/>
        <v>0</v>
      </c>
      <c r="M323" s="106"/>
      <c r="N323" s="239"/>
      <c r="O323" s="226"/>
      <c r="P323" s="106"/>
      <c r="Q323" s="106"/>
      <c r="R323" s="239"/>
      <c r="S323" s="226"/>
      <c r="T323" s="106"/>
      <c r="U323" s="106"/>
      <c r="V323" s="239"/>
      <c r="W323" s="226"/>
      <c r="X323" s="106"/>
      <c r="Y323" s="82"/>
      <c r="Z323" s="83"/>
      <c r="AA323" s="83"/>
      <c r="AB323" s="83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U323" s="114"/>
    </row>
    <row r="324" spans="1:47" ht="15.75">
      <c r="A324" s="179" t="s">
        <v>153</v>
      </c>
      <c r="B324" s="179"/>
      <c r="C324" s="218">
        <v>0</v>
      </c>
      <c r="D324" s="239">
        <v>6.7460000000000004</v>
      </c>
      <c r="E324" s="226" t="s">
        <v>116</v>
      </c>
      <c r="F324" s="106">
        <f t="shared" si="92"/>
        <v>0</v>
      </c>
      <c r="G324" s="239">
        <v>7.1559999999999997</v>
      </c>
      <c r="H324" s="226" t="s">
        <v>116</v>
      </c>
      <c r="I324" s="106">
        <f>ROUND(G324*$C324/100*G318,0)</f>
        <v>0</v>
      </c>
      <c r="J324" s="239">
        <f>J315</f>
        <v>7.1559999999999997</v>
      </c>
      <c r="K324" s="226" t="s">
        <v>116</v>
      </c>
      <c r="L324" s="106">
        <f t="shared" si="93"/>
        <v>0</v>
      </c>
      <c r="M324" s="106"/>
      <c r="N324" s="239"/>
      <c r="O324" s="226"/>
      <c r="P324" s="106"/>
      <c r="Q324" s="106"/>
      <c r="R324" s="239"/>
      <c r="S324" s="226"/>
      <c r="T324" s="106"/>
      <c r="U324" s="106"/>
      <c r="V324" s="239"/>
      <c r="W324" s="226"/>
      <c r="X324" s="106"/>
      <c r="Y324" s="82"/>
      <c r="Z324" s="83"/>
      <c r="AA324" s="83"/>
      <c r="AB324" s="83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U324" s="114"/>
    </row>
    <row r="325" spans="1:47" ht="15.75">
      <c r="A325" s="179" t="s">
        <v>154</v>
      </c>
      <c r="B325" s="179"/>
      <c r="C325" s="218">
        <v>0</v>
      </c>
      <c r="D325" s="239">
        <v>5.8120000000000003</v>
      </c>
      <c r="E325" s="226" t="s">
        <v>116</v>
      </c>
      <c r="F325" s="106">
        <f t="shared" si="92"/>
        <v>0</v>
      </c>
      <c r="G325" s="239">
        <v>6.1660000000000004</v>
      </c>
      <c r="H325" s="226" t="s">
        <v>116</v>
      </c>
      <c r="I325" s="106">
        <f>ROUND(G325*$C325/100*G318,0)</f>
        <v>0</v>
      </c>
      <c r="J325" s="239">
        <f>J316</f>
        <v>6.1660000000000004</v>
      </c>
      <c r="K325" s="226" t="s">
        <v>116</v>
      </c>
      <c r="L325" s="106">
        <f t="shared" si="93"/>
        <v>0</v>
      </c>
      <c r="M325" s="106"/>
      <c r="N325" s="239"/>
      <c r="O325" s="226"/>
      <c r="P325" s="106"/>
      <c r="Q325" s="106"/>
      <c r="R325" s="239"/>
      <c r="S325" s="226"/>
      <c r="T325" s="106"/>
      <c r="U325" s="106"/>
      <c r="V325" s="239"/>
      <c r="W325" s="226"/>
      <c r="X325" s="106"/>
      <c r="Y325" s="82"/>
      <c r="Z325" s="83"/>
      <c r="AA325" s="83"/>
      <c r="AB325" s="83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U325" s="114"/>
    </row>
    <row r="326" spans="1:47" ht="15.75">
      <c r="A326" s="179" t="s">
        <v>155</v>
      </c>
      <c r="B326" s="179"/>
      <c r="C326" s="218">
        <v>0</v>
      </c>
      <c r="D326" s="241">
        <v>56</v>
      </c>
      <c r="E326" s="226" t="s">
        <v>116</v>
      </c>
      <c r="F326" s="106">
        <f t="shared" si="92"/>
        <v>0</v>
      </c>
      <c r="G326" s="241">
        <v>56</v>
      </c>
      <c r="H326" s="226" t="s">
        <v>116</v>
      </c>
      <c r="I326" s="106">
        <f>ROUND(G326*$C326/100*G318,0)</f>
        <v>0</v>
      </c>
      <c r="J326" s="241">
        <f>J317</f>
        <v>56</v>
      </c>
      <c r="K326" s="226" t="s">
        <v>116</v>
      </c>
      <c r="L326" s="106">
        <f t="shared" si="93"/>
        <v>0</v>
      </c>
      <c r="M326" s="106"/>
      <c r="N326" s="241"/>
      <c r="O326" s="226"/>
      <c r="P326" s="106"/>
      <c r="Q326" s="106"/>
      <c r="R326" s="241"/>
      <c r="S326" s="226"/>
      <c r="T326" s="106"/>
      <c r="U326" s="106"/>
      <c r="V326" s="241"/>
      <c r="W326" s="226"/>
      <c r="X326" s="106"/>
      <c r="Y326" s="82"/>
      <c r="Z326" s="83"/>
      <c r="AA326" s="83"/>
      <c r="AB326" s="83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U326" s="114"/>
    </row>
    <row r="327" spans="1:47" ht="15.75">
      <c r="A327" s="179" t="s">
        <v>160</v>
      </c>
      <c r="B327" s="179"/>
      <c r="C327" s="218">
        <v>0</v>
      </c>
      <c r="D327" s="243">
        <v>60</v>
      </c>
      <c r="E327" s="220"/>
      <c r="F327" s="106">
        <f t="shared" si="92"/>
        <v>0</v>
      </c>
      <c r="G327" s="243">
        <v>60</v>
      </c>
      <c r="H327" s="226"/>
      <c r="I327" s="106">
        <f>ROUND(G327*C327,0)</f>
        <v>0</v>
      </c>
      <c r="J327" s="243">
        <f>$J$182</f>
        <v>60</v>
      </c>
      <c r="K327" s="226"/>
      <c r="L327" s="106">
        <f t="shared" si="93"/>
        <v>0</v>
      </c>
      <c r="M327" s="106"/>
      <c r="N327" s="243" t="str">
        <f>$N$182</f>
        <v xml:space="preserve"> </v>
      </c>
      <c r="O327" s="226"/>
      <c r="P327" s="106"/>
      <c r="Q327" s="106"/>
      <c r="R327" s="243">
        <f>$R$182</f>
        <v>12.313523114579342</v>
      </c>
      <c r="S327" s="226"/>
      <c r="T327" s="106">
        <f>T356+T385</f>
        <v>0</v>
      </c>
      <c r="U327" s="106"/>
      <c r="V327" s="243">
        <f>$V$182</f>
        <v>47.68647688542066</v>
      </c>
      <c r="W327" s="226"/>
      <c r="X327" s="106">
        <f>X356+X385</f>
        <v>0</v>
      </c>
      <c r="Y327" s="82"/>
      <c r="Z327" s="83"/>
      <c r="AA327" s="83"/>
      <c r="AB327" s="83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U327" s="114"/>
    </row>
    <row r="328" spans="1:47" ht="15.75">
      <c r="A328" s="179" t="s">
        <v>161</v>
      </c>
      <c r="B328" s="179"/>
      <c r="C328" s="218">
        <v>0</v>
      </c>
      <c r="D328" s="244">
        <v>-30</v>
      </c>
      <c r="E328" s="220" t="s">
        <v>116</v>
      </c>
      <c r="F328" s="106">
        <f t="shared" si="92"/>
        <v>0</v>
      </c>
      <c r="G328" s="244">
        <v>-30</v>
      </c>
      <c r="H328" s="226" t="s">
        <v>116</v>
      </c>
      <c r="I328" s="106">
        <f>ROUND(G328*C328/100,0)</f>
        <v>0</v>
      </c>
      <c r="J328" s="244">
        <f>$J$183</f>
        <v>-30</v>
      </c>
      <c r="K328" s="226" t="s">
        <v>116</v>
      </c>
      <c r="L328" s="106">
        <f t="shared" si="93"/>
        <v>0</v>
      </c>
      <c r="M328" s="106"/>
      <c r="N328" s="244">
        <f>$N$183</f>
        <v>-30</v>
      </c>
      <c r="O328" s="226" t="s">
        <v>116</v>
      </c>
      <c r="P328" s="106">
        <f>P357+P386</f>
        <v>0</v>
      </c>
      <c r="Q328" s="106"/>
      <c r="R328" s="244">
        <f>$R$183</f>
        <v>0</v>
      </c>
      <c r="S328" s="226" t="s">
        <v>116</v>
      </c>
      <c r="T328" s="106">
        <f>T357+T386</f>
        <v>0</v>
      </c>
      <c r="U328" s="106"/>
      <c r="V328" s="244">
        <f>$V$183</f>
        <v>0</v>
      </c>
      <c r="W328" s="226" t="s">
        <v>116</v>
      </c>
      <c r="X328" s="106">
        <f>X357+X386</f>
        <v>0</v>
      </c>
      <c r="Y328" s="82"/>
      <c r="Z328" s="83"/>
      <c r="AA328" s="83"/>
      <c r="AB328" s="83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U328" s="114"/>
    </row>
    <row r="329" spans="1:47" ht="15.75">
      <c r="A329" s="179" t="s">
        <v>134</v>
      </c>
      <c r="B329" s="179"/>
      <c r="C329" s="218">
        <f>C358+C387</f>
        <v>1302631.6605672329</v>
      </c>
      <c r="D329" s="229"/>
      <c r="E329" s="106"/>
      <c r="F329" s="106">
        <f t="shared" si="92"/>
        <v>165024</v>
      </c>
      <c r="G329" s="229"/>
      <c r="H329" s="226"/>
      <c r="I329" s="106">
        <f>I358+I387</f>
        <v>172631</v>
      </c>
      <c r="J329" s="229"/>
      <c r="K329" s="226"/>
      <c r="L329" s="106">
        <f t="shared" si="93"/>
        <v>172631</v>
      </c>
      <c r="M329" s="106"/>
      <c r="N329" s="229"/>
      <c r="O329" s="226"/>
      <c r="P329" s="106">
        <f>P358+P387</f>
        <v>66701</v>
      </c>
      <c r="Q329" s="106"/>
      <c r="R329" s="229"/>
      <c r="S329" s="226"/>
      <c r="T329" s="106">
        <f>T358+T387</f>
        <v>21740</v>
      </c>
      <c r="U329" s="106"/>
      <c r="V329" s="229"/>
      <c r="W329" s="226"/>
      <c r="X329" s="106">
        <f>X358+X387</f>
        <v>84191</v>
      </c>
      <c r="Y329" s="82"/>
      <c r="Z329" s="83"/>
      <c r="AA329" s="83"/>
      <c r="AB329" s="83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U329" s="114"/>
    </row>
    <row r="330" spans="1:47" ht="15.75">
      <c r="A330" s="179" t="s">
        <v>119</v>
      </c>
      <c r="B330" s="179"/>
      <c r="C330" s="247">
        <f>C359+C388</f>
        <v>-4124.0649466890627</v>
      </c>
      <c r="D330" s="138"/>
      <c r="E330" s="138"/>
      <c r="F330" s="248">
        <f>I330</f>
        <v>-559.29858037992369</v>
      </c>
      <c r="G330" s="138"/>
      <c r="H330" s="138"/>
      <c r="I330" s="248">
        <f>I359+I388</f>
        <v>-559.29858037992369</v>
      </c>
      <c r="J330" s="138"/>
      <c r="K330" s="138"/>
      <c r="L330" s="248">
        <f>I330</f>
        <v>-559.29858037992369</v>
      </c>
      <c r="M330" s="221"/>
      <c r="N330" s="138"/>
      <c r="O330" s="138"/>
      <c r="P330" s="248">
        <f>P185/L185*L330</f>
        <v>-111.32618298999772</v>
      </c>
      <c r="Q330" s="221"/>
      <c r="R330" s="138"/>
      <c r="S330" s="138"/>
      <c r="T330" s="248">
        <f>T185/L185*L330</f>
        <v>-90.341286844225593</v>
      </c>
      <c r="U330" s="221"/>
      <c r="V330" s="138"/>
      <c r="W330" s="138"/>
      <c r="X330" s="248">
        <f>X185/L185*L330</f>
        <v>-357.63111054570049</v>
      </c>
      <c r="Y330" s="172"/>
      <c r="Z330" s="168"/>
      <c r="AA330" s="83"/>
      <c r="AB330" s="83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U330" s="114"/>
    </row>
    <row r="331" spans="1:47" ht="16.5" thickBot="1">
      <c r="A331" s="179" t="s">
        <v>135</v>
      </c>
      <c r="B331" s="179"/>
      <c r="C331" s="199">
        <f>SUM(C329:C330)</f>
        <v>1298507.5956205437</v>
      </c>
      <c r="D331" s="268"/>
      <c r="E331" s="250"/>
      <c r="F331" s="251">
        <f>F329+F330</f>
        <v>164464.70141962008</v>
      </c>
      <c r="G331" s="268"/>
      <c r="H331" s="269"/>
      <c r="I331" s="251">
        <f>I329+I330</f>
        <v>172071.70141962008</v>
      </c>
      <c r="J331" s="268"/>
      <c r="K331" s="269"/>
      <c r="L331" s="251">
        <f>L329+L330</f>
        <v>172071.70141962008</v>
      </c>
      <c r="M331" s="251"/>
      <c r="N331" s="268"/>
      <c r="O331" s="269"/>
      <c r="P331" s="251">
        <f>P329+P330</f>
        <v>66589.67381701</v>
      </c>
      <c r="Q331" s="251"/>
      <c r="R331" s="268"/>
      <c r="S331" s="269"/>
      <c r="T331" s="251">
        <f>T329+T330</f>
        <v>21649.658713155775</v>
      </c>
      <c r="U331" s="251"/>
      <c r="V331" s="268"/>
      <c r="W331" s="269"/>
      <c r="X331" s="251">
        <f>X329+X330</f>
        <v>83833.368889454301</v>
      </c>
      <c r="Y331" s="176"/>
      <c r="Z331" s="177"/>
      <c r="AA331" s="83"/>
      <c r="AB331" s="83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U331" s="114"/>
    </row>
    <row r="332" spans="1:47" ht="16.5" thickTop="1">
      <c r="A332" s="179"/>
      <c r="B332" s="179"/>
      <c r="C332" s="205"/>
      <c r="D332" s="243"/>
      <c r="E332" s="106"/>
      <c r="F332" s="106"/>
      <c r="G332" s="243"/>
      <c r="H332" s="179"/>
      <c r="I332" s="106"/>
      <c r="J332" s="243"/>
      <c r="K332" s="179"/>
      <c r="L332" s="106"/>
      <c r="M332" s="106"/>
      <c r="N332" s="243"/>
      <c r="O332" s="179"/>
      <c r="P332" s="106" t="s">
        <v>108</v>
      </c>
      <c r="Q332" s="106"/>
      <c r="R332" s="243"/>
      <c r="S332" s="179"/>
      <c r="T332" s="106" t="s">
        <v>108</v>
      </c>
      <c r="U332" s="106"/>
      <c r="V332" s="243"/>
      <c r="W332" s="179"/>
      <c r="X332" s="106" t="s">
        <v>108</v>
      </c>
      <c r="Y332" s="82"/>
      <c r="Z332" s="83"/>
      <c r="AA332" s="83"/>
      <c r="AB332" s="83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U332" s="114"/>
    </row>
    <row r="333" spans="1:47" ht="15.75">
      <c r="A333" s="178" t="s">
        <v>169</v>
      </c>
      <c r="B333" s="179"/>
      <c r="C333" s="179"/>
      <c r="D333" s="106"/>
      <c r="E333" s="106"/>
      <c r="F333" s="179" t="s">
        <v>108</v>
      </c>
      <c r="G333" s="106"/>
      <c r="H333" s="179"/>
      <c r="I333" s="179"/>
      <c r="J333" s="106"/>
      <c r="K333" s="179"/>
      <c r="L333" s="179"/>
      <c r="M333" s="179"/>
      <c r="N333" s="106"/>
      <c r="O333" s="179"/>
      <c r="P333" s="179"/>
      <c r="Q333" s="179"/>
      <c r="R333" s="106"/>
      <c r="S333" s="179"/>
      <c r="T333" s="179"/>
      <c r="U333" s="179"/>
      <c r="V333" s="106"/>
      <c r="W333" s="179"/>
      <c r="X333" s="179"/>
      <c r="Y333" s="82"/>
      <c r="Z333" s="83"/>
      <c r="AA333" s="83"/>
      <c r="AB333" s="83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U333" s="114"/>
    </row>
    <row r="334" spans="1:47" ht="15.75">
      <c r="A334" s="179" t="s">
        <v>166</v>
      </c>
      <c r="B334" s="179"/>
      <c r="C334" s="179"/>
      <c r="D334" s="106"/>
      <c r="E334" s="106"/>
      <c r="F334" s="179"/>
      <c r="G334" s="106"/>
      <c r="H334" s="179"/>
      <c r="I334" s="179"/>
      <c r="J334" s="106"/>
      <c r="K334" s="179"/>
      <c r="L334" s="179"/>
      <c r="M334" s="179"/>
      <c r="N334" s="106"/>
      <c r="O334" s="179"/>
      <c r="P334" s="179"/>
      <c r="Q334" s="179"/>
      <c r="R334" s="106"/>
      <c r="S334" s="179"/>
      <c r="T334" s="179"/>
      <c r="U334" s="179"/>
      <c r="V334" s="106"/>
      <c r="W334" s="179"/>
      <c r="X334" s="179"/>
      <c r="Y334" s="82"/>
      <c r="Z334" s="83"/>
      <c r="AA334" s="83"/>
      <c r="AB334" s="83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U334" s="114"/>
    </row>
    <row r="335" spans="1:47" ht="15.75">
      <c r="A335" s="179"/>
      <c r="B335" s="179"/>
      <c r="C335" s="179"/>
      <c r="D335" s="106"/>
      <c r="E335" s="106"/>
      <c r="F335" s="179"/>
      <c r="G335" s="106"/>
      <c r="H335" s="179"/>
      <c r="I335" s="179"/>
      <c r="J335" s="106"/>
      <c r="K335" s="179"/>
      <c r="L335" s="179"/>
      <c r="M335" s="179"/>
      <c r="N335" s="106"/>
      <c r="O335" s="179"/>
      <c r="P335" s="179"/>
      <c r="Q335" s="179"/>
      <c r="R335" s="106"/>
      <c r="S335" s="179"/>
      <c r="T335" s="179"/>
      <c r="U335" s="179"/>
      <c r="V335" s="106"/>
      <c r="W335" s="179"/>
      <c r="X335" s="179"/>
      <c r="Y335" s="82"/>
      <c r="Z335" s="83"/>
      <c r="AA335" s="83"/>
      <c r="AB335" s="83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U335" s="114"/>
    </row>
    <row r="336" spans="1:47" ht="15.75">
      <c r="A336" s="179" t="s">
        <v>11</v>
      </c>
      <c r="B336" s="179"/>
      <c r="C336" s="218"/>
      <c r="D336" s="106"/>
      <c r="E336" s="106"/>
      <c r="F336" s="179"/>
      <c r="G336" s="106"/>
      <c r="H336" s="179"/>
      <c r="I336" s="179"/>
      <c r="J336" s="106"/>
      <c r="K336" s="179"/>
      <c r="L336" s="179"/>
      <c r="M336" s="179"/>
      <c r="N336" s="106"/>
      <c r="O336" s="179"/>
      <c r="P336" s="179"/>
      <c r="Q336" s="179"/>
      <c r="R336" s="106"/>
      <c r="S336" s="179"/>
      <c r="T336" s="179"/>
      <c r="U336" s="179"/>
      <c r="V336" s="106"/>
      <c r="W336" s="179"/>
      <c r="X336" s="179"/>
      <c r="Y336" s="82"/>
      <c r="Z336" s="83"/>
      <c r="AA336" s="83"/>
      <c r="AB336" s="83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U336" s="114"/>
    </row>
    <row r="337" spans="1:47" ht="15.75">
      <c r="A337" s="179" t="s">
        <v>170</v>
      </c>
      <c r="B337" s="179"/>
      <c r="C337" s="218">
        <v>4043.0865373805159</v>
      </c>
      <c r="D337" s="210">
        <v>8.7100000000000009</v>
      </c>
      <c r="E337" s="220"/>
      <c r="F337" s="106">
        <f>ROUND(D337*$C337,0)</f>
        <v>35215</v>
      </c>
      <c r="G337" s="210">
        <v>8.7100000000000009</v>
      </c>
      <c r="H337" s="226"/>
      <c r="I337" s="106">
        <f>ROUND(G337*$C337,0)</f>
        <v>35215</v>
      </c>
      <c r="J337" s="210">
        <f>$J$163</f>
        <v>8.7100000000000009</v>
      </c>
      <c r="K337" s="226"/>
      <c r="L337" s="106">
        <f>ROUND(J337*$C337,0)</f>
        <v>35215</v>
      </c>
      <c r="M337" s="106"/>
      <c r="N337" s="210">
        <f>N308</f>
        <v>8.7100000000000009</v>
      </c>
      <c r="O337" s="226"/>
      <c r="P337" s="106">
        <f>ROUND(N337*$C337,0)</f>
        <v>35215</v>
      </c>
      <c r="Q337" s="106"/>
      <c r="R337" s="210"/>
      <c r="S337" s="226"/>
      <c r="T337" s="106"/>
      <c r="U337" s="106"/>
      <c r="V337" s="210"/>
      <c r="W337" s="226"/>
      <c r="X337" s="106"/>
      <c r="Y337" s="82"/>
      <c r="Z337" s="83"/>
      <c r="AA337" s="83"/>
      <c r="AB337" s="83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U337" s="114"/>
    </row>
    <row r="338" spans="1:47" ht="15.75">
      <c r="A338" s="179" t="s">
        <v>148</v>
      </c>
      <c r="B338" s="179"/>
      <c r="C338" s="218">
        <v>0</v>
      </c>
      <c r="D338" s="210">
        <v>12.98</v>
      </c>
      <c r="E338" s="222"/>
      <c r="F338" s="106">
        <f>ROUND(D338*$C338,0)</f>
        <v>0</v>
      </c>
      <c r="G338" s="210">
        <v>12.98</v>
      </c>
      <c r="H338" s="265"/>
      <c r="I338" s="106">
        <f t="shared" ref="I338:I339" si="95">ROUND(G338*$C338,0)</f>
        <v>0</v>
      </c>
      <c r="J338" s="210">
        <f>$J$164</f>
        <v>12.98</v>
      </c>
      <c r="K338" s="265"/>
      <c r="L338" s="106">
        <f>ROUND(J338*$C338,0)</f>
        <v>0</v>
      </c>
      <c r="M338" s="106"/>
      <c r="N338" s="210"/>
      <c r="O338" s="265"/>
      <c r="P338" s="106"/>
      <c r="Q338" s="106"/>
      <c r="R338" s="210"/>
      <c r="S338" s="265"/>
      <c r="T338" s="106"/>
      <c r="U338" s="106"/>
      <c r="V338" s="210"/>
      <c r="W338" s="265"/>
      <c r="X338" s="106"/>
      <c r="Y338" s="82"/>
      <c r="Z338" s="83"/>
      <c r="AA338" s="83"/>
      <c r="AB338" s="83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U338" s="114"/>
    </row>
    <row r="339" spans="1:47" ht="15.75">
      <c r="A339" s="179" t="s">
        <v>149</v>
      </c>
      <c r="B339" s="179"/>
      <c r="C339" s="218">
        <v>0</v>
      </c>
      <c r="D339" s="210">
        <v>0.92</v>
      </c>
      <c r="E339" s="222"/>
      <c r="F339" s="106">
        <f>ROUND(D339*$C339,0)</f>
        <v>0</v>
      </c>
      <c r="G339" s="210">
        <v>0.92</v>
      </c>
      <c r="H339" s="265"/>
      <c r="I339" s="106">
        <f t="shared" si="95"/>
        <v>0</v>
      </c>
      <c r="J339" s="210">
        <f>$J$165</f>
        <v>0.92</v>
      </c>
      <c r="K339" s="265"/>
      <c r="L339" s="106">
        <f>ROUND(J339*$C339,0)</f>
        <v>0</v>
      </c>
      <c r="M339" s="106"/>
      <c r="N339" s="210"/>
      <c r="O339" s="265"/>
      <c r="P339" s="106"/>
      <c r="Q339" s="106"/>
      <c r="R339" s="210"/>
      <c r="S339" s="265"/>
      <c r="T339" s="106"/>
      <c r="U339" s="106"/>
      <c r="V339" s="210"/>
      <c r="W339" s="265"/>
      <c r="X339" s="106"/>
      <c r="Y339" s="82"/>
      <c r="Z339" s="83"/>
      <c r="AA339" s="83"/>
      <c r="AB339" s="83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U339" s="114"/>
    </row>
    <row r="340" spans="1:47" ht="15.75">
      <c r="A340" s="179" t="s">
        <v>150</v>
      </c>
      <c r="B340" s="179"/>
      <c r="C340" s="218">
        <f>SUM(C337:C338)</f>
        <v>4043.0865373805159</v>
      </c>
      <c r="D340" s="210"/>
      <c r="E340" s="220"/>
      <c r="F340" s="106"/>
      <c r="G340" s="210"/>
      <c r="H340" s="226"/>
      <c r="I340" s="106"/>
      <c r="J340" s="210"/>
      <c r="K340" s="226"/>
      <c r="L340" s="106"/>
      <c r="M340" s="106"/>
      <c r="N340" s="210"/>
      <c r="O340" s="226"/>
      <c r="P340" s="106"/>
      <c r="Q340" s="106"/>
      <c r="R340" s="210"/>
      <c r="S340" s="226"/>
      <c r="T340" s="106"/>
      <c r="U340" s="106"/>
      <c r="V340" s="210"/>
      <c r="W340" s="226"/>
      <c r="X340" s="106"/>
      <c r="Y340" s="82"/>
      <c r="Z340" s="83"/>
      <c r="AA340" s="83"/>
      <c r="AB340" s="83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U340" s="114"/>
    </row>
    <row r="341" spans="1:47" ht="15.75">
      <c r="A341" s="179" t="s">
        <v>117</v>
      </c>
      <c r="B341" s="179"/>
      <c r="C341" s="218">
        <v>1404.6333333333369</v>
      </c>
      <c r="D341" s="210"/>
      <c r="E341" s="220"/>
      <c r="F341" s="106"/>
      <c r="G341" s="210"/>
      <c r="H341" s="226"/>
      <c r="I341" s="106"/>
      <c r="J341" s="210"/>
      <c r="K341" s="226"/>
      <c r="L341" s="106"/>
      <c r="M341" s="106"/>
      <c r="N341" s="210"/>
      <c r="O341" s="226"/>
      <c r="P341" s="106"/>
      <c r="Q341" s="106"/>
      <c r="R341" s="210"/>
      <c r="S341" s="226"/>
      <c r="T341" s="106"/>
      <c r="U341" s="106"/>
      <c r="V341" s="210"/>
      <c r="W341" s="226"/>
      <c r="X341" s="106"/>
      <c r="Y341" s="82"/>
      <c r="Z341" s="83"/>
      <c r="AA341" s="83"/>
      <c r="AB341" s="83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U341" s="114"/>
    </row>
    <row r="342" spans="1:47" ht="15.75">
      <c r="A342" s="179" t="s">
        <v>151</v>
      </c>
      <c r="B342" s="179"/>
      <c r="C342" s="218">
        <v>0</v>
      </c>
      <c r="D342" s="243">
        <v>3.4</v>
      </c>
      <c r="E342" s="226"/>
      <c r="F342" s="106">
        <f>ROUND(D342*$C342,0)</f>
        <v>0</v>
      </c>
      <c r="G342" s="243">
        <v>3.61</v>
      </c>
      <c r="H342" s="226"/>
      <c r="I342" s="106">
        <f>ROUND(G342*C342,0)</f>
        <v>0</v>
      </c>
      <c r="J342" s="243">
        <f>$J$168</f>
        <v>3.61</v>
      </c>
      <c r="K342" s="226"/>
      <c r="L342" s="106">
        <f>ROUND(J342*$C342,0)</f>
        <v>0</v>
      </c>
      <c r="M342" s="106"/>
      <c r="N342" s="243"/>
      <c r="O342" s="226"/>
      <c r="P342" s="106"/>
      <c r="Q342" s="106"/>
      <c r="R342" s="243"/>
      <c r="S342" s="226"/>
      <c r="T342" s="106"/>
      <c r="U342" s="106"/>
      <c r="V342" s="243"/>
      <c r="W342" s="226"/>
      <c r="X342" s="106"/>
      <c r="Y342" s="82"/>
      <c r="Z342" s="83"/>
      <c r="AA342" s="83"/>
      <c r="AB342" s="83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U342" s="114"/>
    </row>
    <row r="343" spans="1:47" ht="15.75">
      <c r="A343" s="179" t="s">
        <v>152</v>
      </c>
      <c r="B343" s="179"/>
      <c r="C343" s="218">
        <v>1204506.6605672329</v>
      </c>
      <c r="D343" s="211">
        <v>9.766</v>
      </c>
      <c r="E343" s="226" t="s">
        <v>116</v>
      </c>
      <c r="F343" s="106">
        <f>ROUND(D343*$C343/100,0)</f>
        <v>117632</v>
      </c>
      <c r="G343" s="211">
        <v>10.359</v>
      </c>
      <c r="H343" s="226" t="s">
        <v>116</v>
      </c>
      <c r="I343" s="106">
        <f>ROUND(G343*C343/100,0)</f>
        <v>124775</v>
      </c>
      <c r="J343" s="211">
        <f>$J$169</f>
        <v>10.359</v>
      </c>
      <c r="K343" s="226" t="s">
        <v>116</v>
      </c>
      <c r="L343" s="106">
        <f>ROUND(J343*$C343/100,0)</f>
        <v>124775</v>
      </c>
      <c r="M343" s="106"/>
      <c r="N343" s="243">
        <f t="shared" ref="N343:N344" si="96">N314</f>
        <v>2.0999373501613916</v>
      </c>
      <c r="O343" s="226" t="s">
        <v>116</v>
      </c>
      <c r="P343" s="106">
        <f>ROUND(N343*$C343/100,0)</f>
        <v>25294</v>
      </c>
      <c r="Q343" s="106"/>
      <c r="R343" s="211">
        <f>$R$169</f>
        <v>1.69496931405911</v>
      </c>
      <c r="S343" s="226" t="s">
        <v>116</v>
      </c>
      <c r="T343" s="106">
        <f>ROUND(R343*$C343/100,0)</f>
        <v>20416</v>
      </c>
      <c r="U343" s="106"/>
      <c r="V343" s="211">
        <f>$V$169</f>
        <v>6.5640933357794982</v>
      </c>
      <c r="W343" s="226" t="s">
        <v>116</v>
      </c>
      <c r="X343" s="106">
        <f>ROUND(V343*$C343/100,0)</f>
        <v>79065</v>
      </c>
      <c r="Y343" s="82"/>
      <c r="Z343" s="83"/>
      <c r="AA343" s="83"/>
      <c r="AB343" s="83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U343" s="114"/>
    </row>
    <row r="344" spans="1:47" ht="15.75">
      <c r="A344" s="179" t="s">
        <v>153</v>
      </c>
      <c r="B344" s="205"/>
      <c r="C344" s="218">
        <v>64812</v>
      </c>
      <c r="D344" s="211">
        <v>6.7460000000000004</v>
      </c>
      <c r="E344" s="226" t="s">
        <v>116</v>
      </c>
      <c r="F344" s="106">
        <f>ROUND(D344*$C344/100,0)</f>
        <v>4372</v>
      </c>
      <c r="G344" s="211">
        <v>7.1559999999999997</v>
      </c>
      <c r="H344" s="226" t="s">
        <v>116</v>
      </c>
      <c r="I344" s="106">
        <f t="shared" ref="I344:I346" si="97">ROUND(G344*C344/100,0)</f>
        <v>4638</v>
      </c>
      <c r="J344" s="211">
        <f>$J$170</f>
        <v>7.1559999999999997</v>
      </c>
      <c r="K344" s="226" t="s">
        <v>116</v>
      </c>
      <c r="L344" s="106">
        <f>ROUND(J344*$C344/100,0)</f>
        <v>4638</v>
      </c>
      <c r="M344" s="106"/>
      <c r="N344" s="243">
        <f t="shared" si="96"/>
        <v>1.4506372890969126</v>
      </c>
      <c r="O344" s="226" t="s">
        <v>116</v>
      </c>
      <c r="P344" s="106">
        <f>ROUND(N344*$C344/100,0)</f>
        <v>940</v>
      </c>
      <c r="Q344" s="106"/>
      <c r="R344" s="211">
        <f>$R$170</f>
        <v>1.1708852602960702</v>
      </c>
      <c r="S344" s="226" t="s">
        <v>116</v>
      </c>
      <c r="T344" s="106">
        <f>ROUND(R344*$C344/100,0)</f>
        <v>759</v>
      </c>
      <c r="U344" s="106"/>
      <c r="V344" s="211">
        <f>$V$170</f>
        <v>4.5344774506070165</v>
      </c>
      <c r="W344" s="226" t="s">
        <v>116</v>
      </c>
      <c r="X344" s="106">
        <f>ROUND(V344*$C344/100,0)</f>
        <v>2939</v>
      </c>
      <c r="Y344" s="82"/>
      <c r="Z344" s="83"/>
      <c r="AA344" s="83"/>
      <c r="AB344" s="83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U344" s="114"/>
    </row>
    <row r="345" spans="1:47" ht="15.75">
      <c r="A345" s="179" t="s">
        <v>154</v>
      </c>
      <c r="B345" s="179"/>
      <c r="C345" s="218">
        <f>0</f>
        <v>0</v>
      </c>
      <c r="D345" s="211">
        <v>5.8120000000000003</v>
      </c>
      <c r="E345" s="226" t="s">
        <v>116</v>
      </c>
      <c r="F345" s="106">
        <f>ROUND(D345*$C345/100,0)</f>
        <v>0</v>
      </c>
      <c r="G345" s="211">
        <v>6.1660000000000004</v>
      </c>
      <c r="H345" s="226" t="s">
        <v>116</v>
      </c>
      <c r="I345" s="106">
        <f t="shared" si="97"/>
        <v>0</v>
      </c>
      <c r="J345" s="211">
        <f>$J$171</f>
        <v>6.1660000000000004</v>
      </c>
      <c r="K345" s="226" t="s">
        <v>116</v>
      </c>
      <c r="L345" s="106">
        <f>ROUND(J345*$C345/100,0)</f>
        <v>0</v>
      </c>
      <c r="M345" s="106"/>
      <c r="N345" s="243"/>
      <c r="O345" s="226"/>
      <c r="P345" s="106"/>
      <c r="Q345" s="106"/>
      <c r="R345" s="211"/>
      <c r="S345" s="226"/>
      <c r="T345" s="106"/>
      <c r="U345" s="106"/>
      <c r="V345" s="211"/>
      <c r="W345" s="226"/>
      <c r="X345" s="106"/>
      <c r="Y345" s="82"/>
      <c r="Z345" s="83"/>
      <c r="AA345" s="83"/>
      <c r="AB345" s="83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U345" s="114"/>
    </row>
    <row r="346" spans="1:47" ht="15.75">
      <c r="A346" s="179" t="s">
        <v>155</v>
      </c>
      <c r="B346" s="179"/>
      <c r="C346" s="218">
        <v>0</v>
      </c>
      <c r="D346" s="229">
        <v>56</v>
      </c>
      <c r="E346" s="220" t="s">
        <v>116</v>
      </c>
      <c r="F346" s="106">
        <f>ROUND(D346*$C346/100,0)</f>
        <v>0</v>
      </c>
      <c r="G346" s="229">
        <v>56</v>
      </c>
      <c r="H346" s="226" t="s">
        <v>116</v>
      </c>
      <c r="I346" s="106">
        <f t="shared" si="97"/>
        <v>0</v>
      </c>
      <c r="J346" s="229">
        <f>$J$172</f>
        <v>56</v>
      </c>
      <c r="K346" s="226" t="s">
        <v>116</v>
      </c>
      <c r="L346" s="106">
        <f>ROUND(J346*$C346/100,0)</f>
        <v>0</v>
      </c>
      <c r="M346" s="106"/>
      <c r="N346" s="243"/>
      <c r="O346" s="226"/>
      <c r="P346" s="106"/>
      <c r="Q346" s="106"/>
      <c r="R346" s="229"/>
      <c r="S346" s="226"/>
      <c r="T346" s="106"/>
      <c r="U346" s="106"/>
      <c r="V346" s="229"/>
      <c r="W346" s="226"/>
      <c r="X346" s="106"/>
      <c r="Y346" s="82"/>
      <c r="Z346" s="83"/>
      <c r="AA346" s="83"/>
      <c r="AB346" s="83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U346" s="114"/>
    </row>
    <row r="347" spans="1:47" ht="15.75">
      <c r="A347" s="233" t="s">
        <v>156</v>
      </c>
      <c r="B347" s="179"/>
      <c r="C347" s="218"/>
      <c r="D347" s="234">
        <v>-0.01</v>
      </c>
      <c r="E347" s="220"/>
      <c r="F347" s="106"/>
      <c r="G347" s="234">
        <v>-0.01</v>
      </c>
      <c r="H347" s="226"/>
      <c r="I347" s="106"/>
      <c r="J347" s="234">
        <v>-0.01</v>
      </c>
      <c r="K347" s="226"/>
      <c r="L347" s="106"/>
      <c r="M347" s="106"/>
      <c r="N347" s="234">
        <v>-0.01</v>
      </c>
      <c r="O347" s="226"/>
      <c r="P347" s="106"/>
      <c r="Q347" s="106"/>
      <c r="R347" s="234">
        <v>-0.01</v>
      </c>
      <c r="S347" s="226"/>
      <c r="T347" s="106"/>
      <c r="U347" s="106"/>
      <c r="V347" s="234">
        <v>-0.01</v>
      </c>
      <c r="W347" s="226"/>
      <c r="X347" s="106"/>
      <c r="Y347" s="82"/>
      <c r="Z347" s="83"/>
      <c r="AA347" s="83"/>
      <c r="AB347" s="83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U347" s="114"/>
    </row>
    <row r="348" spans="1:47" ht="15.75">
      <c r="A348" s="179" t="s">
        <v>147</v>
      </c>
      <c r="B348" s="179"/>
      <c r="C348" s="218">
        <v>0</v>
      </c>
      <c r="D348" s="237">
        <v>8.7100000000000009</v>
      </c>
      <c r="E348" s="220"/>
      <c r="F348" s="106">
        <f>-ROUND(D348*$C348/100,0)</f>
        <v>0</v>
      </c>
      <c r="G348" s="237">
        <v>8.7100000000000009</v>
      </c>
      <c r="H348" s="220"/>
      <c r="I348" s="106">
        <f>-ROUND(G348*$C348/100,0)</f>
        <v>0</v>
      </c>
      <c r="J348" s="237">
        <f>J337</f>
        <v>8.7100000000000009</v>
      </c>
      <c r="K348" s="220"/>
      <c r="L348" s="106">
        <f>-ROUND(J348*$C348/100,0)</f>
        <v>0</v>
      </c>
      <c r="M348" s="106"/>
      <c r="N348" s="237"/>
      <c r="O348" s="220"/>
      <c r="P348" s="106"/>
      <c r="Q348" s="106"/>
      <c r="R348" s="237"/>
      <c r="S348" s="220"/>
      <c r="T348" s="106"/>
      <c r="U348" s="106"/>
      <c r="V348" s="237"/>
      <c r="W348" s="220"/>
      <c r="X348" s="106"/>
      <c r="Y348" s="82"/>
      <c r="Z348" s="83"/>
      <c r="AA348" s="83"/>
      <c r="AB348" s="83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U348" s="114"/>
    </row>
    <row r="349" spans="1:47" ht="15.75">
      <c r="A349" s="179" t="s">
        <v>148</v>
      </c>
      <c r="B349" s="179"/>
      <c r="C349" s="218">
        <v>0</v>
      </c>
      <c r="D349" s="237">
        <v>12.98</v>
      </c>
      <c r="E349" s="220"/>
      <c r="F349" s="106">
        <f>-ROUND(D349*$C349/100,0)</f>
        <v>0</v>
      </c>
      <c r="G349" s="237">
        <v>12.98</v>
      </c>
      <c r="H349" s="220"/>
      <c r="I349" s="106">
        <f t="shared" ref="I349:I351" si="98">-ROUND(G349*$C349/100,0)</f>
        <v>0</v>
      </c>
      <c r="J349" s="237">
        <f>J338</f>
        <v>12.98</v>
      </c>
      <c r="K349" s="220"/>
      <c r="L349" s="106">
        <f>-ROUND(J349*$C349/100,0)</f>
        <v>0</v>
      </c>
      <c r="M349" s="106"/>
      <c r="N349" s="237"/>
      <c r="O349" s="220"/>
      <c r="P349" s="106"/>
      <c r="Q349" s="106"/>
      <c r="R349" s="237"/>
      <c r="S349" s="220"/>
      <c r="T349" s="106"/>
      <c r="U349" s="106"/>
      <c r="V349" s="237"/>
      <c r="W349" s="220"/>
      <c r="X349" s="106"/>
      <c r="Y349" s="82"/>
      <c r="Z349" s="83"/>
      <c r="AA349" s="83"/>
      <c r="AB349" s="83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U349" s="114"/>
    </row>
    <row r="350" spans="1:47" ht="15.75">
      <c r="A350" s="179" t="s">
        <v>157</v>
      </c>
      <c r="B350" s="179"/>
      <c r="C350" s="218">
        <v>0</v>
      </c>
      <c r="D350" s="237">
        <v>0.92</v>
      </c>
      <c r="E350" s="220"/>
      <c r="F350" s="106">
        <f>-ROUND(D350*$C350/100,0)</f>
        <v>0</v>
      </c>
      <c r="G350" s="237">
        <v>0.92</v>
      </c>
      <c r="H350" s="220"/>
      <c r="I350" s="106">
        <f t="shared" si="98"/>
        <v>0</v>
      </c>
      <c r="J350" s="237">
        <f>J339</f>
        <v>0.92</v>
      </c>
      <c r="K350" s="220"/>
      <c r="L350" s="106">
        <f>-ROUND(J350*$C350/100,0)</f>
        <v>0</v>
      </c>
      <c r="M350" s="106"/>
      <c r="N350" s="237"/>
      <c r="O350" s="220"/>
      <c r="P350" s="106"/>
      <c r="Q350" s="106"/>
      <c r="R350" s="237"/>
      <c r="S350" s="220"/>
      <c r="T350" s="106"/>
      <c r="U350" s="106"/>
      <c r="V350" s="237"/>
      <c r="W350" s="220"/>
      <c r="X350" s="106"/>
      <c r="Y350" s="82"/>
      <c r="Z350" s="83"/>
      <c r="AA350" s="83"/>
      <c r="AB350" s="83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U350" s="114"/>
    </row>
    <row r="351" spans="1:47" ht="15.75">
      <c r="A351" s="179" t="s">
        <v>158</v>
      </c>
      <c r="B351" s="179"/>
      <c r="C351" s="218">
        <v>0</v>
      </c>
      <c r="D351" s="237">
        <v>3.4</v>
      </c>
      <c r="E351" s="226"/>
      <c r="F351" s="106">
        <f>-ROUND(D351*$C351/100,0)</f>
        <v>0</v>
      </c>
      <c r="G351" s="237">
        <v>3.61</v>
      </c>
      <c r="H351" s="226"/>
      <c r="I351" s="106">
        <f t="shared" si="98"/>
        <v>0</v>
      </c>
      <c r="J351" s="237">
        <f>J342</f>
        <v>3.61</v>
      </c>
      <c r="K351" s="226"/>
      <c r="L351" s="106">
        <f>-ROUND(J351*$C351/100,0)</f>
        <v>0</v>
      </c>
      <c r="M351" s="106"/>
      <c r="N351" s="237"/>
      <c r="O351" s="226"/>
      <c r="P351" s="106"/>
      <c r="Q351" s="106"/>
      <c r="R351" s="237"/>
      <c r="S351" s="226"/>
      <c r="T351" s="106"/>
      <c r="U351" s="106"/>
      <c r="V351" s="237"/>
      <c r="W351" s="226"/>
      <c r="X351" s="106"/>
      <c r="Y351" s="82"/>
      <c r="Z351" s="83"/>
      <c r="AA351" s="83"/>
      <c r="AB351" s="83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U351" s="114"/>
    </row>
    <row r="352" spans="1:47" ht="15.75">
      <c r="A352" s="179" t="s">
        <v>159</v>
      </c>
      <c r="B352" s="179"/>
      <c r="C352" s="218">
        <v>0</v>
      </c>
      <c r="D352" s="239">
        <v>9.766</v>
      </c>
      <c r="E352" s="226" t="s">
        <v>116</v>
      </c>
      <c r="F352" s="106">
        <f>ROUND(D352*$C352/100*D347,0)</f>
        <v>0</v>
      </c>
      <c r="G352" s="239">
        <v>10.359</v>
      </c>
      <c r="H352" s="226" t="s">
        <v>116</v>
      </c>
      <c r="I352" s="106">
        <f>ROUND(G352*$C352/100*G347,0)</f>
        <v>0</v>
      </c>
      <c r="J352" s="239">
        <f>J343</f>
        <v>10.359</v>
      </c>
      <c r="K352" s="226" t="s">
        <v>116</v>
      </c>
      <c r="L352" s="106">
        <f>ROUND(J352*$C352/100*J347,0)</f>
        <v>0</v>
      </c>
      <c r="M352" s="106"/>
      <c r="N352" s="239"/>
      <c r="O352" s="226"/>
      <c r="P352" s="106"/>
      <c r="Q352" s="106"/>
      <c r="R352" s="239"/>
      <c r="S352" s="226"/>
      <c r="T352" s="106"/>
      <c r="U352" s="106"/>
      <c r="V352" s="239"/>
      <c r="W352" s="226"/>
      <c r="X352" s="106"/>
      <c r="Y352" s="82"/>
      <c r="Z352" s="83"/>
      <c r="AA352" s="83"/>
      <c r="AB352" s="83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U352" s="114"/>
    </row>
    <row r="353" spans="1:47" ht="15.75">
      <c r="A353" s="179" t="s">
        <v>153</v>
      </c>
      <c r="B353" s="179"/>
      <c r="C353" s="218">
        <v>0</v>
      </c>
      <c r="D353" s="239">
        <v>6.7460000000000004</v>
      </c>
      <c r="E353" s="226" t="s">
        <v>116</v>
      </c>
      <c r="F353" s="106">
        <f>ROUND(D353*$C353/100*D347,0)</f>
        <v>0</v>
      </c>
      <c r="G353" s="239">
        <v>7.1559999999999997</v>
      </c>
      <c r="H353" s="226" t="s">
        <v>116</v>
      </c>
      <c r="I353" s="106">
        <f>ROUND(G353*$C353/100*G347,0)</f>
        <v>0</v>
      </c>
      <c r="J353" s="239">
        <f>J344</f>
        <v>7.1559999999999997</v>
      </c>
      <c r="K353" s="226" t="s">
        <v>116</v>
      </c>
      <c r="L353" s="106">
        <f>ROUND(J353*$C353/100*J347,0)</f>
        <v>0</v>
      </c>
      <c r="M353" s="106"/>
      <c r="N353" s="239"/>
      <c r="O353" s="226"/>
      <c r="P353" s="106"/>
      <c r="Q353" s="106"/>
      <c r="R353" s="239"/>
      <c r="S353" s="226"/>
      <c r="T353" s="106"/>
      <c r="U353" s="106"/>
      <c r="V353" s="239"/>
      <c r="W353" s="226"/>
      <c r="X353" s="106"/>
      <c r="Y353" s="82"/>
      <c r="Z353" s="83"/>
      <c r="AA353" s="83"/>
      <c r="AB353" s="83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U353" s="114"/>
    </row>
    <row r="354" spans="1:47" ht="15.75">
      <c r="A354" s="179" t="s">
        <v>154</v>
      </c>
      <c r="B354" s="179"/>
      <c r="C354" s="218">
        <v>0</v>
      </c>
      <c r="D354" s="239">
        <v>5.8120000000000003</v>
      </c>
      <c r="E354" s="226" t="s">
        <v>116</v>
      </c>
      <c r="F354" s="106">
        <f>ROUND(D354*$C354/100*D347,0)</f>
        <v>0</v>
      </c>
      <c r="G354" s="239">
        <v>6.1660000000000004</v>
      </c>
      <c r="H354" s="226" t="s">
        <v>116</v>
      </c>
      <c r="I354" s="106">
        <f>ROUND(G354*$C354/100*G347,0)</f>
        <v>0</v>
      </c>
      <c r="J354" s="239">
        <f>J345</f>
        <v>6.1660000000000004</v>
      </c>
      <c r="K354" s="226" t="s">
        <v>116</v>
      </c>
      <c r="L354" s="106">
        <f>ROUND(J354*$C354/100*J347,0)</f>
        <v>0</v>
      </c>
      <c r="M354" s="106"/>
      <c r="N354" s="239"/>
      <c r="O354" s="226"/>
      <c r="P354" s="106"/>
      <c r="Q354" s="106"/>
      <c r="R354" s="239"/>
      <c r="S354" s="226"/>
      <c r="T354" s="106"/>
      <c r="U354" s="106"/>
      <c r="V354" s="239"/>
      <c r="W354" s="226"/>
      <c r="X354" s="106"/>
      <c r="Y354" s="82"/>
      <c r="Z354" s="83"/>
      <c r="AA354" s="83"/>
      <c r="AB354" s="83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U354" s="114"/>
    </row>
    <row r="355" spans="1:47" ht="15.75">
      <c r="A355" s="179" t="s">
        <v>155</v>
      </c>
      <c r="B355" s="179"/>
      <c r="C355" s="218">
        <v>0</v>
      </c>
      <c r="D355" s="241">
        <v>56</v>
      </c>
      <c r="E355" s="226" t="s">
        <v>116</v>
      </c>
      <c r="F355" s="106">
        <f>ROUND(D355*$C355/100*D347,0)</f>
        <v>0</v>
      </c>
      <c r="G355" s="241">
        <v>56</v>
      </c>
      <c r="H355" s="226" t="s">
        <v>116</v>
      </c>
      <c r="I355" s="106">
        <f>ROUND(G355*$C355/100*G347,0)</f>
        <v>0</v>
      </c>
      <c r="J355" s="241">
        <f>J346</f>
        <v>56</v>
      </c>
      <c r="K355" s="226" t="s">
        <v>116</v>
      </c>
      <c r="L355" s="106">
        <f>ROUND(J355*$C355/100*J347,0)</f>
        <v>0</v>
      </c>
      <c r="M355" s="106"/>
      <c r="N355" s="241"/>
      <c r="O355" s="226"/>
      <c r="P355" s="106"/>
      <c r="Q355" s="106"/>
      <c r="R355" s="241"/>
      <c r="S355" s="226"/>
      <c r="T355" s="106"/>
      <c r="U355" s="106"/>
      <c r="V355" s="241"/>
      <c r="W355" s="226"/>
      <c r="X355" s="106"/>
      <c r="Y355" s="82"/>
      <c r="Z355" s="83"/>
      <c r="AA355" s="83"/>
      <c r="AB355" s="83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U355" s="114"/>
    </row>
    <row r="356" spans="1:47" ht="15.75">
      <c r="A356" s="179" t="s">
        <v>160</v>
      </c>
      <c r="B356" s="179"/>
      <c r="C356" s="218">
        <v>0</v>
      </c>
      <c r="D356" s="243">
        <v>60</v>
      </c>
      <c r="E356" s="220"/>
      <c r="F356" s="106">
        <f>ROUND(D356*$C356,0)</f>
        <v>0</v>
      </c>
      <c r="G356" s="243">
        <v>60</v>
      </c>
      <c r="H356" s="226"/>
      <c r="I356" s="106">
        <f>ROUND(G356*C356,0)</f>
        <v>0</v>
      </c>
      <c r="J356" s="243">
        <f>$J$182</f>
        <v>60</v>
      </c>
      <c r="K356" s="226"/>
      <c r="L356" s="106">
        <f>ROUND(J356*$C356,0)</f>
        <v>0</v>
      </c>
      <c r="M356" s="106"/>
      <c r="N356" s="243"/>
      <c r="O356" s="226"/>
      <c r="P356" s="106"/>
      <c r="Q356" s="106"/>
      <c r="R356" s="243"/>
      <c r="S356" s="226"/>
      <c r="T356" s="106"/>
      <c r="U356" s="106"/>
      <c r="V356" s="243"/>
      <c r="W356" s="226"/>
      <c r="X356" s="106"/>
      <c r="Y356" s="82"/>
      <c r="Z356" s="83"/>
      <c r="AA356" s="83"/>
      <c r="AB356" s="83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U356" s="114"/>
    </row>
    <row r="357" spans="1:47" ht="15.75">
      <c r="A357" s="179" t="s">
        <v>161</v>
      </c>
      <c r="B357" s="179"/>
      <c r="C357" s="218">
        <v>0</v>
      </c>
      <c r="D357" s="244">
        <v>-30</v>
      </c>
      <c r="E357" s="220" t="s">
        <v>116</v>
      </c>
      <c r="F357" s="106">
        <f>ROUND(D357*$C357/100,0)</f>
        <v>0</v>
      </c>
      <c r="G357" s="244">
        <v>-30</v>
      </c>
      <c r="H357" s="226" t="s">
        <v>116</v>
      </c>
      <c r="I357" s="106">
        <f>ROUND(G357*C357/100,0)</f>
        <v>0</v>
      </c>
      <c r="J357" s="244">
        <f>$J$183</f>
        <v>-30</v>
      </c>
      <c r="K357" s="226" t="s">
        <v>116</v>
      </c>
      <c r="L357" s="106">
        <f>ROUND(J357*$C357/100,0)</f>
        <v>0</v>
      </c>
      <c r="M357" s="106"/>
      <c r="N357" s="244"/>
      <c r="O357" s="226"/>
      <c r="P357" s="106"/>
      <c r="Q357" s="106"/>
      <c r="R357" s="244"/>
      <c r="S357" s="226"/>
      <c r="T357" s="106"/>
      <c r="U357" s="106"/>
      <c r="V357" s="244"/>
      <c r="W357" s="226"/>
      <c r="X357" s="106"/>
      <c r="Y357" s="82"/>
      <c r="Z357" s="83"/>
      <c r="AA357" s="83"/>
      <c r="AB357" s="83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U357" s="114"/>
    </row>
    <row r="358" spans="1:47" ht="15.75">
      <c r="A358" s="179" t="s">
        <v>134</v>
      </c>
      <c r="B358" s="179"/>
      <c r="C358" s="218">
        <f>SUM(C343:C345)</f>
        <v>1269318.6605672329</v>
      </c>
      <c r="D358" s="229"/>
      <c r="E358" s="106"/>
      <c r="F358" s="106">
        <f>SUM(F337:F357)</f>
        <v>157219</v>
      </c>
      <c r="G358" s="229"/>
      <c r="H358" s="226"/>
      <c r="I358" s="106">
        <f>SUM(I337:I357)</f>
        <v>164628</v>
      </c>
      <c r="J358" s="229"/>
      <c r="K358" s="226"/>
      <c r="L358" s="106">
        <f>SUM(L337:L357)</f>
        <v>164628</v>
      </c>
      <c r="M358" s="106"/>
      <c r="N358" s="229"/>
      <c r="O358" s="226"/>
      <c r="P358" s="106">
        <f>SUM(P337:P357)</f>
        <v>61449</v>
      </c>
      <c r="Q358" s="106"/>
      <c r="R358" s="229"/>
      <c r="S358" s="226"/>
      <c r="T358" s="106">
        <f>SUM(T337:T357)</f>
        <v>21175</v>
      </c>
      <c r="U358" s="106"/>
      <c r="V358" s="229"/>
      <c r="W358" s="226"/>
      <c r="X358" s="106">
        <f>SUM(X337:X357)</f>
        <v>82004</v>
      </c>
      <c r="Y358" s="82"/>
      <c r="Z358" s="83"/>
      <c r="AA358" s="83"/>
      <c r="AB358" s="83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U358" s="114"/>
    </row>
    <row r="359" spans="1:47" ht="15.75">
      <c r="A359" s="179" t="s">
        <v>119</v>
      </c>
      <c r="B359" s="179"/>
      <c r="C359" s="273">
        <v>-3590.4726383423845</v>
      </c>
      <c r="D359" s="138"/>
      <c r="E359" s="138"/>
      <c r="F359" s="248">
        <f>I359</f>
        <v>-389.05432115663655</v>
      </c>
      <c r="G359" s="138"/>
      <c r="H359" s="138"/>
      <c r="I359" s="248">
        <v>-389.05432115663655</v>
      </c>
      <c r="J359" s="138"/>
      <c r="K359" s="138"/>
      <c r="L359" s="248">
        <f>I359</f>
        <v>-389.05432115663655</v>
      </c>
      <c r="M359" s="221"/>
      <c r="N359" s="138"/>
      <c r="O359" s="138"/>
      <c r="P359" s="248">
        <f>L359*AB192</f>
        <v>-78.867622380394479</v>
      </c>
      <c r="Q359" s="221"/>
      <c r="R359" s="138"/>
      <c r="S359" s="138"/>
      <c r="T359" s="248">
        <f>L359*AA192</f>
        <v>-63.658184753605269</v>
      </c>
      <c r="U359" s="221"/>
      <c r="V359" s="138"/>
      <c r="W359" s="138"/>
      <c r="X359" s="248">
        <f>L359*Z192</f>
        <v>-246.52851402263678</v>
      </c>
      <c r="Y359" s="443"/>
      <c r="Z359" s="168"/>
      <c r="AA359" s="83"/>
      <c r="AB359" s="83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U359" s="114"/>
    </row>
    <row r="360" spans="1:47" ht="16.5" thickBot="1">
      <c r="A360" s="179" t="s">
        <v>135</v>
      </c>
      <c r="B360" s="179"/>
      <c r="C360" s="199">
        <f>SUM(C358:C359)</f>
        <v>1265728.1879288906</v>
      </c>
      <c r="D360" s="268"/>
      <c r="E360" s="250"/>
      <c r="F360" s="251">
        <f>F358+F359</f>
        <v>156829.94567884336</v>
      </c>
      <c r="G360" s="268"/>
      <c r="H360" s="269"/>
      <c r="I360" s="251">
        <f>I358+I359</f>
        <v>164238.94567884336</v>
      </c>
      <c r="J360" s="268"/>
      <c r="K360" s="269"/>
      <c r="L360" s="251">
        <f>L358+L359</f>
        <v>164238.94567884336</v>
      </c>
      <c r="M360" s="251"/>
      <c r="N360" s="268"/>
      <c r="O360" s="269"/>
      <c r="P360" s="251">
        <f>P358+P359</f>
        <v>61370.132377619608</v>
      </c>
      <c r="Q360" s="251"/>
      <c r="R360" s="268"/>
      <c r="S360" s="269"/>
      <c r="T360" s="251">
        <f>T358+T359</f>
        <v>21111.341815246396</v>
      </c>
      <c r="U360" s="251"/>
      <c r="V360" s="268"/>
      <c r="W360" s="269"/>
      <c r="X360" s="251">
        <f>X358+X359</f>
        <v>81757.471485977367</v>
      </c>
      <c r="Y360" s="176"/>
      <c r="Z360" s="177"/>
      <c r="AA360" s="83"/>
      <c r="AB360" s="83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U360" s="114"/>
    </row>
    <row r="361" spans="1:47" ht="16.5" thickTop="1">
      <c r="A361" s="179"/>
      <c r="B361" s="179"/>
      <c r="C361" s="205"/>
      <c r="D361" s="243"/>
      <c r="E361" s="106"/>
      <c r="F361" s="106"/>
      <c r="G361" s="243"/>
      <c r="H361" s="179"/>
      <c r="I361" s="106"/>
      <c r="J361" s="243"/>
      <c r="K361" s="179"/>
      <c r="L361" s="106" t="s">
        <v>108</v>
      </c>
      <c r="M361" s="106"/>
      <c r="N361" s="243"/>
      <c r="O361" s="179"/>
      <c r="P361" s="106" t="s">
        <v>108</v>
      </c>
      <c r="Q361" s="106"/>
      <c r="R361" s="243"/>
      <c r="S361" s="179"/>
      <c r="T361" s="106" t="s">
        <v>108</v>
      </c>
      <c r="U361" s="106"/>
      <c r="V361" s="243"/>
      <c r="W361" s="179"/>
      <c r="X361" s="106" t="s">
        <v>108</v>
      </c>
      <c r="Y361" s="82"/>
      <c r="Z361" s="83"/>
      <c r="AA361" s="83"/>
      <c r="AB361" s="83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U361" s="114"/>
    </row>
    <row r="362" spans="1:47" ht="15.75">
      <c r="A362" s="178" t="s">
        <v>169</v>
      </c>
      <c r="B362" s="179"/>
      <c r="C362" s="179"/>
      <c r="D362" s="106"/>
      <c r="E362" s="106"/>
      <c r="F362" s="179" t="s">
        <v>108</v>
      </c>
      <c r="G362" s="106"/>
      <c r="H362" s="179"/>
      <c r="I362" s="179"/>
      <c r="J362" s="106"/>
      <c r="K362" s="179"/>
      <c r="L362" s="179"/>
      <c r="M362" s="179"/>
      <c r="N362" s="106"/>
      <c r="O362" s="179"/>
      <c r="P362" s="179"/>
      <c r="Q362" s="179"/>
      <c r="R362" s="106"/>
      <c r="S362" s="179"/>
      <c r="T362" s="179"/>
      <c r="U362" s="179"/>
      <c r="V362" s="106"/>
      <c r="W362" s="179"/>
      <c r="X362" s="179"/>
      <c r="Y362" s="82"/>
      <c r="Z362" s="83"/>
      <c r="AA362" s="83"/>
      <c r="AB362" s="83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U362" s="114"/>
    </row>
    <row r="363" spans="1:47" ht="15.75">
      <c r="A363" s="179" t="s">
        <v>168</v>
      </c>
      <c r="B363" s="179"/>
      <c r="C363" s="179"/>
      <c r="D363" s="106"/>
      <c r="E363" s="106"/>
      <c r="F363" s="179"/>
      <c r="G363" s="106"/>
      <c r="H363" s="179"/>
      <c r="I363" s="179"/>
      <c r="J363" s="106"/>
      <c r="K363" s="179"/>
      <c r="L363" s="179"/>
      <c r="M363" s="179"/>
      <c r="N363" s="106"/>
      <c r="O363" s="179"/>
      <c r="P363" s="179"/>
      <c r="Q363" s="179"/>
      <c r="R363" s="106"/>
      <c r="S363" s="179"/>
      <c r="T363" s="179"/>
      <c r="U363" s="179"/>
      <c r="V363" s="106"/>
      <c r="W363" s="179"/>
      <c r="X363" s="179"/>
      <c r="Y363" s="82"/>
      <c r="Z363" s="83"/>
      <c r="AA363" s="83"/>
      <c r="AB363" s="83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U363" s="114"/>
    </row>
    <row r="364" spans="1:47" ht="15.75">
      <c r="A364" s="179"/>
      <c r="B364" s="179"/>
      <c r="C364" s="179"/>
      <c r="D364" s="106"/>
      <c r="E364" s="106"/>
      <c r="F364" s="179"/>
      <c r="G364" s="106"/>
      <c r="H364" s="179"/>
      <c r="I364" s="179"/>
      <c r="J364" s="106"/>
      <c r="K364" s="179"/>
      <c r="L364" s="179"/>
      <c r="M364" s="179"/>
      <c r="N364" s="106"/>
      <c r="O364" s="179"/>
      <c r="P364" s="179"/>
      <c r="Q364" s="179"/>
      <c r="R364" s="106"/>
      <c r="S364" s="179"/>
      <c r="T364" s="179"/>
      <c r="U364" s="179"/>
      <c r="V364" s="106"/>
      <c r="W364" s="179"/>
      <c r="X364" s="179"/>
      <c r="Y364" s="82"/>
      <c r="Z364" s="83"/>
      <c r="AA364" s="83"/>
      <c r="AB364" s="83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U364" s="114"/>
    </row>
    <row r="365" spans="1:47" ht="15.75">
      <c r="A365" s="179" t="s">
        <v>11</v>
      </c>
      <c r="B365" s="179"/>
      <c r="C365" s="218"/>
      <c r="D365" s="106"/>
      <c r="E365" s="106"/>
      <c r="F365" s="179"/>
      <c r="G365" s="106"/>
      <c r="H365" s="179"/>
      <c r="I365" s="179"/>
      <c r="J365" s="106"/>
      <c r="K365" s="179"/>
      <c r="L365" s="179"/>
      <c r="M365" s="179"/>
      <c r="N365" s="106"/>
      <c r="O365" s="179"/>
      <c r="P365" s="179"/>
      <c r="Q365" s="179"/>
      <c r="R365" s="106"/>
      <c r="S365" s="179"/>
      <c r="T365" s="179"/>
      <c r="U365" s="179"/>
      <c r="V365" s="106"/>
      <c r="W365" s="179"/>
      <c r="X365" s="179"/>
      <c r="Y365" s="82"/>
      <c r="Z365" s="83"/>
      <c r="AA365" s="83"/>
      <c r="AB365" s="83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U365" s="114"/>
    </row>
    <row r="366" spans="1:47" ht="15.75">
      <c r="A366" s="179" t="s">
        <v>170</v>
      </c>
      <c r="B366" s="179"/>
      <c r="C366" s="218">
        <v>522.6</v>
      </c>
      <c r="D366" s="210">
        <v>8.7100000000000009</v>
      </c>
      <c r="E366" s="220"/>
      <c r="F366" s="106">
        <f>ROUND(D366*$C366,0)</f>
        <v>4552</v>
      </c>
      <c r="G366" s="210">
        <v>8.7100000000000009</v>
      </c>
      <c r="H366" s="226"/>
      <c r="I366" s="106">
        <f>ROUND(G366*$C366,0)</f>
        <v>4552</v>
      </c>
      <c r="J366" s="210">
        <f>$J$163</f>
        <v>8.7100000000000009</v>
      </c>
      <c r="K366" s="226"/>
      <c r="L366" s="106">
        <f>ROUND(J366*$C366,0)</f>
        <v>4552</v>
      </c>
      <c r="M366" s="106"/>
      <c r="N366" s="210">
        <f>$N$163</f>
        <v>8.7100000000000009</v>
      </c>
      <c r="O366" s="226"/>
      <c r="P366" s="106">
        <f>ROUND(N366*$C366,0)</f>
        <v>4552</v>
      </c>
      <c r="Q366" s="106"/>
      <c r="R366" s="210"/>
      <c r="S366" s="226"/>
      <c r="T366" s="106"/>
      <c r="U366" s="106"/>
      <c r="V366" s="210"/>
      <c r="W366" s="226"/>
      <c r="X366" s="106"/>
      <c r="Y366" s="82"/>
      <c r="Z366" s="83"/>
      <c r="AA366" s="83"/>
      <c r="AB366" s="83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U366" s="114"/>
    </row>
    <row r="367" spans="1:47" ht="15.75">
      <c r="A367" s="179" t="s">
        <v>148</v>
      </c>
      <c r="B367" s="179"/>
      <c r="C367" s="218">
        <v>0</v>
      </c>
      <c r="D367" s="210">
        <v>12.98</v>
      </c>
      <c r="E367" s="222"/>
      <c r="F367" s="106">
        <f>ROUND(D367*$C367,0)</f>
        <v>0</v>
      </c>
      <c r="G367" s="210">
        <v>12.98</v>
      </c>
      <c r="H367" s="265"/>
      <c r="I367" s="106">
        <f t="shared" ref="I367:I368" si="99">ROUND(G367*$C367,0)</f>
        <v>0</v>
      </c>
      <c r="J367" s="210">
        <f>$J$164</f>
        <v>12.98</v>
      </c>
      <c r="K367" s="265"/>
      <c r="L367" s="106">
        <f>ROUND(J367*$C367,0)</f>
        <v>0</v>
      </c>
      <c r="M367" s="106"/>
      <c r="N367" s="210">
        <f>$N$164</f>
        <v>12.98</v>
      </c>
      <c r="O367" s="265"/>
      <c r="P367" s="106">
        <f>ROUND(N367*$C367,0)</f>
        <v>0</v>
      </c>
      <c r="Q367" s="106"/>
      <c r="R367" s="210"/>
      <c r="S367" s="265"/>
      <c r="T367" s="106"/>
      <c r="U367" s="106"/>
      <c r="V367" s="210"/>
      <c r="W367" s="265"/>
      <c r="X367" s="106"/>
      <c r="Y367" s="82"/>
      <c r="Z367" s="83"/>
      <c r="AA367" s="83"/>
      <c r="AB367" s="83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U367" s="114"/>
    </row>
    <row r="368" spans="1:47" ht="15.75">
      <c r="A368" s="179" t="s">
        <v>149</v>
      </c>
      <c r="B368" s="179"/>
      <c r="C368" s="218">
        <v>0</v>
      </c>
      <c r="D368" s="210">
        <v>0.92</v>
      </c>
      <c r="E368" s="222"/>
      <c r="F368" s="106">
        <f>ROUND(D368*$C368,0)</f>
        <v>0</v>
      </c>
      <c r="G368" s="210">
        <v>0.92</v>
      </c>
      <c r="H368" s="265"/>
      <c r="I368" s="106">
        <f t="shared" si="99"/>
        <v>0</v>
      </c>
      <c r="J368" s="210">
        <f>$J$165</f>
        <v>0.92</v>
      </c>
      <c r="K368" s="265"/>
      <c r="L368" s="106">
        <f>ROUND(J368*$C368,0)</f>
        <v>0</v>
      </c>
      <c r="M368" s="106"/>
      <c r="N368" s="210">
        <f>$N$165</f>
        <v>0.92</v>
      </c>
      <c r="O368" s="265"/>
      <c r="P368" s="106">
        <f>ROUND(N368*$C368,0)</f>
        <v>0</v>
      </c>
      <c r="Q368" s="106"/>
      <c r="R368" s="210"/>
      <c r="S368" s="265"/>
      <c r="T368" s="106"/>
      <c r="U368" s="106"/>
      <c r="V368" s="210"/>
      <c r="W368" s="265"/>
      <c r="X368" s="106"/>
      <c r="Y368" s="82"/>
      <c r="Z368" s="83"/>
      <c r="AA368" s="83"/>
      <c r="AB368" s="83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U368" s="114"/>
    </row>
    <row r="369" spans="1:47" ht="15.75">
      <c r="A369" s="179" t="s">
        <v>150</v>
      </c>
      <c r="B369" s="179"/>
      <c r="C369" s="218">
        <f>SUM(C366:C367)</f>
        <v>522.6</v>
      </c>
      <c r="D369" s="210"/>
      <c r="E369" s="220"/>
      <c r="F369" s="106"/>
      <c r="G369" s="210"/>
      <c r="H369" s="226"/>
      <c r="I369" s="106"/>
      <c r="J369" s="210"/>
      <c r="K369" s="226"/>
      <c r="L369" s="106"/>
      <c r="M369" s="106"/>
      <c r="N369" s="210"/>
      <c r="O369" s="226"/>
      <c r="P369" s="106"/>
      <c r="Q369" s="106"/>
      <c r="R369" s="210"/>
      <c r="S369" s="226"/>
      <c r="T369" s="106"/>
      <c r="U369" s="106"/>
      <c r="V369" s="210"/>
      <c r="W369" s="226"/>
      <c r="X369" s="106"/>
      <c r="Y369" s="82"/>
      <c r="Z369" s="83"/>
      <c r="AA369" s="83"/>
      <c r="AB369" s="83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U369" s="114"/>
    </row>
    <row r="370" spans="1:47" ht="15.75">
      <c r="A370" s="179" t="s">
        <v>117</v>
      </c>
      <c r="B370" s="179"/>
      <c r="C370" s="218">
        <v>48</v>
      </c>
      <c r="D370" s="210"/>
      <c r="E370" s="220"/>
      <c r="F370" s="106"/>
      <c r="G370" s="210"/>
      <c r="H370" s="226"/>
      <c r="I370" s="106"/>
      <c r="J370" s="210"/>
      <c r="K370" s="226"/>
      <c r="L370" s="106"/>
      <c r="M370" s="106"/>
      <c r="N370" s="210"/>
      <c r="O370" s="226"/>
      <c r="P370" s="106"/>
      <c r="Q370" s="106"/>
      <c r="R370" s="210"/>
      <c r="S370" s="226"/>
      <c r="T370" s="106"/>
      <c r="U370" s="106"/>
      <c r="V370" s="210"/>
      <c r="W370" s="226"/>
      <c r="X370" s="106"/>
      <c r="Y370" s="82"/>
      <c r="Z370" s="83"/>
      <c r="AA370" s="83"/>
      <c r="AB370" s="83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U370" s="114"/>
    </row>
    <row r="371" spans="1:47" ht="15.75">
      <c r="A371" s="179" t="s">
        <v>151</v>
      </c>
      <c r="B371" s="179"/>
      <c r="C371" s="218">
        <v>0</v>
      </c>
      <c r="D371" s="243">
        <v>3.4</v>
      </c>
      <c r="E371" s="226"/>
      <c r="F371" s="106">
        <f>ROUND(D371*$C371,0)</f>
        <v>0</v>
      </c>
      <c r="G371" s="243">
        <v>3.61</v>
      </c>
      <c r="H371" s="226"/>
      <c r="I371" s="106">
        <f>ROUND(G371*C371,0)</f>
        <v>0</v>
      </c>
      <c r="J371" s="243">
        <f>$J$168</f>
        <v>3.61</v>
      </c>
      <c r="K371" s="226"/>
      <c r="L371" s="106">
        <f>ROUND(J371*$C371,0)</f>
        <v>0</v>
      </c>
      <c r="M371" s="106"/>
      <c r="N371" s="243"/>
      <c r="O371" s="226"/>
      <c r="P371" s="106"/>
      <c r="Q371" s="106"/>
      <c r="R371" s="243"/>
      <c r="S371" s="226"/>
      <c r="T371" s="106"/>
      <c r="U371" s="106"/>
      <c r="V371" s="243"/>
      <c r="W371" s="226"/>
      <c r="X371" s="106"/>
      <c r="Y371" s="82"/>
      <c r="Z371" s="83"/>
      <c r="AA371" s="83"/>
      <c r="AB371" s="83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U371" s="114"/>
    </row>
    <row r="372" spans="1:47" ht="15.75">
      <c r="A372" s="179" t="s">
        <v>152</v>
      </c>
      <c r="B372" s="179"/>
      <c r="C372" s="218">
        <v>33313</v>
      </c>
      <c r="D372" s="211">
        <v>9.766</v>
      </c>
      <c r="E372" s="226" t="s">
        <v>116</v>
      </c>
      <c r="F372" s="106">
        <f>ROUND(D372*$C372/100,0)</f>
        <v>3253</v>
      </c>
      <c r="G372" s="211">
        <v>10.359</v>
      </c>
      <c r="H372" s="226" t="s">
        <v>116</v>
      </c>
      <c r="I372" s="106">
        <f>ROUND(G372*C372/100,0)</f>
        <v>3451</v>
      </c>
      <c r="J372" s="211">
        <f>$J$169</f>
        <v>10.359</v>
      </c>
      <c r="K372" s="226" t="s">
        <v>116</v>
      </c>
      <c r="L372" s="106">
        <f>ROUND(J372*$C372/100,0)</f>
        <v>3451</v>
      </c>
      <c r="M372" s="106"/>
      <c r="N372" s="211">
        <f>$N$169</f>
        <v>2.0999373501613916</v>
      </c>
      <c r="O372" s="226" t="s">
        <v>116</v>
      </c>
      <c r="P372" s="106">
        <f>ROUND(N372*$C372/100,0)</f>
        <v>700</v>
      </c>
      <c r="Q372" s="106"/>
      <c r="R372" s="211">
        <f>$R$169</f>
        <v>1.69496931405911</v>
      </c>
      <c r="S372" s="226" t="s">
        <v>116</v>
      </c>
      <c r="T372" s="106">
        <f>ROUND(R372*$C372/100,0)</f>
        <v>565</v>
      </c>
      <c r="U372" s="106"/>
      <c r="V372" s="211">
        <f>$V$169</f>
        <v>6.5640933357794982</v>
      </c>
      <c r="W372" s="226" t="s">
        <v>116</v>
      </c>
      <c r="X372" s="106">
        <f>ROUND(V372*$C372/100,0)</f>
        <v>2187</v>
      </c>
      <c r="Y372" s="82"/>
      <c r="Z372" s="83"/>
      <c r="AA372" s="83"/>
      <c r="AB372" s="83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U372" s="114"/>
    </row>
    <row r="373" spans="1:47" ht="15.75">
      <c r="A373" s="179" t="s">
        <v>153</v>
      </c>
      <c r="B373" s="179"/>
      <c r="C373" s="218">
        <v>0</v>
      </c>
      <c r="D373" s="211">
        <v>6.7460000000000004</v>
      </c>
      <c r="E373" s="226" t="s">
        <v>116</v>
      </c>
      <c r="F373" s="106">
        <f>ROUND(D373*$C373/100,0)</f>
        <v>0</v>
      </c>
      <c r="G373" s="211">
        <v>7.1559999999999997</v>
      </c>
      <c r="H373" s="226" t="s">
        <v>116</v>
      </c>
      <c r="I373" s="106">
        <f t="shared" ref="I373:I375" si="100">ROUND(G373*C373/100,0)</f>
        <v>0</v>
      </c>
      <c r="J373" s="211">
        <f>$J$170</f>
        <v>7.1559999999999997</v>
      </c>
      <c r="K373" s="226" t="s">
        <v>116</v>
      </c>
      <c r="L373" s="106">
        <f>ROUND(J373*$C373/100,0)</f>
        <v>0</v>
      </c>
      <c r="M373" s="106"/>
      <c r="N373" s="211"/>
      <c r="O373" s="226"/>
      <c r="P373" s="106"/>
      <c r="Q373" s="106"/>
      <c r="R373" s="211"/>
      <c r="S373" s="226"/>
      <c r="T373" s="106"/>
      <c r="U373" s="106"/>
      <c r="V373" s="211"/>
      <c r="W373" s="226"/>
      <c r="X373" s="106"/>
      <c r="Y373" s="82"/>
      <c r="Z373" s="83"/>
      <c r="AA373" s="83"/>
      <c r="AB373" s="83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U373" s="114"/>
    </row>
    <row r="374" spans="1:47" ht="15.75">
      <c r="A374" s="179" t="s">
        <v>154</v>
      </c>
      <c r="B374" s="179"/>
      <c r="C374" s="218">
        <v>0</v>
      </c>
      <c r="D374" s="211">
        <v>5.8120000000000003</v>
      </c>
      <c r="E374" s="226" t="s">
        <v>116</v>
      </c>
      <c r="F374" s="106">
        <f>ROUND(D374*$C374/100,0)</f>
        <v>0</v>
      </c>
      <c r="G374" s="211">
        <v>6.1660000000000004</v>
      </c>
      <c r="H374" s="226" t="s">
        <v>116</v>
      </c>
      <c r="I374" s="106">
        <f t="shared" si="100"/>
        <v>0</v>
      </c>
      <c r="J374" s="211">
        <f>$J$171</f>
        <v>6.1660000000000004</v>
      </c>
      <c r="K374" s="226" t="s">
        <v>116</v>
      </c>
      <c r="L374" s="106">
        <f>ROUND(J374*$C374/100,0)</f>
        <v>0</v>
      </c>
      <c r="M374" s="106"/>
      <c r="N374" s="211"/>
      <c r="O374" s="226"/>
      <c r="P374" s="106"/>
      <c r="Q374" s="106"/>
      <c r="R374" s="211"/>
      <c r="S374" s="226"/>
      <c r="T374" s="106"/>
      <c r="U374" s="106"/>
      <c r="V374" s="211"/>
      <c r="W374" s="226"/>
      <c r="X374" s="106"/>
      <c r="Y374" s="82"/>
      <c r="Z374" s="83"/>
      <c r="AA374" s="83"/>
      <c r="AB374" s="83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U374" s="114"/>
    </row>
    <row r="375" spans="1:47" ht="15.75">
      <c r="A375" s="179" t="s">
        <v>155</v>
      </c>
      <c r="B375" s="179"/>
      <c r="C375" s="218">
        <v>0</v>
      </c>
      <c r="D375" s="229">
        <v>56</v>
      </c>
      <c r="E375" s="220" t="s">
        <v>116</v>
      </c>
      <c r="F375" s="106">
        <f>ROUND(D375*$C375/100,0)</f>
        <v>0</v>
      </c>
      <c r="G375" s="229">
        <v>56</v>
      </c>
      <c r="H375" s="226" t="s">
        <v>116</v>
      </c>
      <c r="I375" s="106">
        <f t="shared" si="100"/>
        <v>0</v>
      </c>
      <c r="J375" s="229">
        <f>$J$172</f>
        <v>56</v>
      </c>
      <c r="K375" s="226" t="s">
        <v>116</v>
      </c>
      <c r="L375" s="106">
        <f>ROUND(J375*$C375/100,0)</f>
        <v>0</v>
      </c>
      <c r="M375" s="106"/>
      <c r="N375" s="229"/>
      <c r="O375" s="226"/>
      <c r="P375" s="106"/>
      <c r="Q375" s="106"/>
      <c r="R375" s="229"/>
      <c r="S375" s="226"/>
      <c r="T375" s="106"/>
      <c r="U375" s="106"/>
      <c r="V375" s="229"/>
      <c r="W375" s="226"/>
      <c r="X375" s="106"/>
      <c r="Y375" s="82"/>
      <c r="Z375" s="83"/>
      <c r="AA375" s="83"/>
      <c r="AB375" s="83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U375" s="114"/>
    </row>
    <row r="376" spans="1:47" ht="15.75">
      <c r="A376" s="233" t="s">
        <v>156</v>
      </c>
      <c r="B376" s="179"/>
      <c r="C376" s="218"/>
      <c r="D376" s="234">
        <v>-0.01</v>
      </c>
      <c r="E376" s="220"/>
      <c r="F376" s="106"/>
      <c r="G376" s="234">
        <v>-0.01</v>
      </c>
      <c r="H376" s="226"/>
      <c r="I376" s="106"/>
      <c r="J376" s="234">
        <v>-0.01</v>
      </c>
      <c r="K376" s="226"/>
      <c r="L376" s="106"/>
      <c r="M376" s="106"/>
      <c r="N376" s="234"/>
      <c r="O376" s="226"/>
      <c r="P376" s="106"/>
      <c r="Q376" s="106"/>
      <c r="R376" s="234"/>
      <c r="S376" s="226"/>
      <c r="T376" s="106"/>
      <c r="U376" s="106"/>
      <c r="V376" s="234"/>
      <c r="W376" s="226"/>
      <c r="X376" s="106"/>
      <c r="Y376" s="82"/>
      <c r="Z376" s="83"/>
      <c r="AA376" s="83"/>
      <c r="AB376" s="83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U376" s="114"/>
    </row>
    <row r="377" spans="1:47" ht="15.75">
      <c r="A377" s="179" t="s">
        <v>147</v>
      </c>
      <c r="B377" s="179"/>
      <c r="C377" s="218">
        <v>0</v>
      </c>
      <c r="D377" s="237">
        <v>8.7100000000000009</v>
      </c>
      <c r="E377" s="220"/>
      <c r="F377" s="106">
        <f>-ROUND(D377*$C377/100,0)</f>
        <v>0</v>
      </c>
      <c r="G377" s="237">
        <v>8.7100000000000009</v>
      </c>
      <c r="H377" s="220"/>
      <c r="I377" s="106">
        <f>-ROUND(G377*$C377/100,0)</f>
        <v>0</v>
      </c>
      <c r="J377" s="237">
        <f>J366</f>
        <v>8.7100000000000009</v>
      </c>
      <c r="K377" s="220"/>
      <c r="L377" s="106">
        <f>-ROUND(J377*$C377/100,0)</f>
        <v>0</v>
      </c>
      <c r="M377" s="106"/>
      <c r="N377" s="237"/>
      <c r="O377" s="220"/>
      <c r="P377" s="106"/>
      <c r="Q377" s="106"/>
      <c r="R377" s="237"/>
      <c r="S377" s="220"/>
      <c r="T377" s="106"/>
      <c r="U377" s="106"/>
      <c r="V377" s="237"/>
      <c r="W377" s="220"/>
      <c r="X377" s="106"/>
      <c r="Y377" s="82"/>
      <c r="Z377" s="83"/>
      <c r="AA377" s="83"/>
      <c r="AB377" s="83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U377" s="114"/>
    </row>
    <row r="378" spans="1:47" ht="15.75">
      <c r="A378" s="179" t="s">
        <v>148</v>
      </c>
      <c r="B378" s="179"/>
      <c r="C378" s="218">
        <v>0</v>
      </c>
      <c r="D378" s="237">
        <v>12.98</v>
      </c>
      <c r="E378" s="220"/>
      <c r="F378" s="106">
        <f>-ROUND(D378*$C378/100,0)</f>
        <v>0</v>
      </c>
      <c r="G378" s="237">
        <v>12.98</v>
      </c>
      <c r="H378" s="220"/>
      <c r="I378" s="106">
        <f t="shared" ref="I378:I380" si="101">-ROUND(G378*$C378/100,0)</f>
        <v>0</v>
      </c>
      <c r="J378" s="237">
        <f>J367</f>
        <v>12.98</v>
      </c>
      <c r="K378" s="220"/>
      <c r="L378" s="106">
        <f>-ROUND(J378*$C378/100,0)</f>
        <v>0</v>
      </c>
      <c r="M378" s="106"/>
      <c r="N378" s="237"/>
      <c r="O378" s="220"/>
      <c r="P378" s="106"/>
      <c r="Q378" s="106"/>
      <c r="R378" s="237"/>
      <c r="S378" s="220"/>
      <c r="T378" s="106"/>
      <c r="U378" s="106"/>
      <c r="V378" s="237"/>
      <c r="W378" s="220"/>
      <c r="X378" s="106"/>
      <c r="Y378" s="82"/>
      <c r="Z378" s="83"/>
      <c r="AA378" s="83"/>
      <c r="AB378" s="83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U378" s="114"/>
    </row>
    <row r="379" spans="1:47" ht="15.75">
      <c r="A379" s="179" t="s">
        <v>157</v>
      </c>
      <c r="B379" s="179"/>
      <c r="C379" s="218">
        <v>0</v>
      </c>
      <c r="D379" s="237">
        <v>0.92</v>
      </c>
      <c r="E379" s="220"/>
      <c r="F379" s="106">
        <f>-ROUND(D379*$C379/100,0)</f>
        <v>0</v>
      </c>
      <c r="G379" s="237">
        <v>0.92</v>
      </c>
      <c r="H379" s="220"/>
      <c r="I379" s="106">
        <f t="shared" si="101"/>
        <v>0</v>
      </c>
      <c r="J379" s="237">
        <f>J368</f>
        <v>0.92</v>
      </c>
      <c r="K379" s="220"/>
      <c r="L379" s="106">
        <f>-ROUND(J379*$C379/100,0)</f>
        <v>0</v>
      </c>
      <c r="M379" s="106"/>
      <c r="N379" s="237"/>
      <c r="O379" s="220"/>
      <c r="P379" s="106"/>
      <c r="Q379" s="106"/>
      <c r="R379" s="237"/>
      <c r="S379" s="220"/>
      <c r="T379" s="106"/>
      <c r="U379" s="106"/>
      <c r="V379" s="237"/>
      <c r="W379" s="220"/>
      <c r="X379" s="106"/>
      <c r="Y379" s="82"/>
      <c r="Z379" s="83"/>
      <c r="AA379" s="83"/>
      <c r="AB379" s="83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U379" s="114"/>
    </row>
    <row r="380" spans="1:47" ht="15.75">
      <c r="A380" s="179" t="s">
        <v>158</v>
      </c>
      <c r="B380" s="179"/>
      <c r="C380" s="218">
        <v>0</v>
      </c>
      <c r="D380" s="237">
        <v>3.4</v>
      </c>
      <c r="E380" s="226"/>
      <c r="F380" s="106">
        <f>-ROUND(D380*$C380/100,0)</f>
        <v>0</v>
      </c>
      <c r="G380" s="237">
        <v>3.61</v>
      </c>
      <c r="H380" s="226"/>
      <c r="I380" s="106">
        <f t="shared" si="101"/>
        <v>0</v>
      </c>
      <c r="J380" s="237">
        <f>J371</f>
        <v>3.61</v>
      </c>
      <c r="K380" s="226"/>
      <c r="L380" s="106">
        <f>-ROUND(J380*$C380/100,0)</f>
        <v>0</v>
      </c>
      <c r="M380" s="106"/>
      <c r="N380" s="237"/>
      <c r="O380" s="226"/>
      <c r="P380" s="106"/>
      <c r="Q380" s="106"/>
      <c r="R380" s="237"/>
      <c r="S380" s="226"/>
      <c r="T380" s="106"/>
      <c r="U380" s="106"/>
      <c r="V380" s="237"/>
      <c r="W380" s="226"/>
      <c r="X380" s="106"/>
      <c r="Y380" s="82"/>
      <c r="Z380" s="83"/>
      <c r="AA380" s="83"/>
      <c r="AB380" s="83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U380" s="114"/>
    </row>
    <row r="381" spans="1:47" ht="15.75">
      <c r="A381" s="179" t="s">
        <v>159</v>
      </c>
      <c r="B381" s="179"/>
      <c r="C381" s="218">
        <v>0</v>
      </c>
      <c r="D381" s="239">
        <v>9.766</v>
      </c>
      <c r="E381" s="226" t="s">
        <v>116</v>
      </c>
      <c r="F381" s="106">
        <f>ROUND(D381*$C381/100*D376,0)</f>
        <v>0</v>
      </c>
      <c r="G381" s="239">
        <v>10.359</v>
      </c>
      <c r="H381" s="226" t="s">
        <v>116</v>
      </c>
      <c r="I381" s="106">
        <f>ROUND(G381*$C381/100*G376,0)</f>
        <v>0</v>
      </c>
      <c r="J381" s="239">
        <f>J372</f>
        <v>10.359</v>
      </c>
      <c r="K381" s="226" t="s">
        <v>116</v>
      </c>
      <c r="L381" s="106">
        <f>ROUND(J381*$C381/100*J376,0)</f>
        <v>0</v>
      </c>
      <c r="M381" s="106"/>
      <c r="N381" s="239"/>
      <c r="O381" s="226"/>
      <c r="P381" s="106"/>
      <c r="Q381" s="106"/>
      <c r="R381" s="239"/>
      <c r="S381" s="226"/>
      <c r="T381" s="106"/>
      <c r="U381" s="106"/>
      <c r="V381" s="239"/>
      <c r="W381" s="226"/>
      <c r="X381" s="106"/>
      <c r="Y381" s="82"/>
      <c r="Z381" s="83"/>
      <c r="AA381" s="83"/>
      <c r="AB381" s="83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U381" s="114"/>
    </row>
    <row r="382" spans="1:47" ht="15.75">
      <c r="A382" s="179" t="s">
        <v>153</v>
      </c>
      <c r="B382" s="179"/>
      <c r="C382" s="218">
        <v>0</v>
      </c>
      <c r="D382" s="239">
        <v>6.7460000000000004</v>
      </c>
      <c r="E382" s="226" t="s">
        <v>116</v>
      </c>
      <c r="F382" s="106">
        <f>ROUND(D382*$C382/100*D376,0)</f>
        <v>0</v>
      </c>
      <c r="G382" s="239">
        <v>7.1559999999999997</v>
      </c>
      <c r="H382" s="226" t="s">
        <v>116</v>
      </c>
      <c r="I382" s="106">
        <f>ROUND(G382*$C382/100*G376,0)</f>
        <v>0</v>
      </c>
      <c r="J382" s="239">
        <f>J373</f>
        <v>7.1559999999999997</v>
      </c>
      <c r="K382" s="226" t="s">
        <v>116</v>
      </c>
      <c r="L382" s="106">
        <f>ROUND(J382*$C382/100*J376,0)</f>
        <v>0</v>
      </c>
      <c r="M382" s="106"/>
      <c r="N382" s="239"/>
      <c r="O382" s="226"/>
      <c r="P382" s="106"/>
      <c r="Q382" s="106"/>
      <c r="R382" s="239"/>
      <c r="S382" s="226"/>
      <c r="T382" s="106"/>
      <c r="U382" s="106"/>
      <c r="V382" s="239"/>
      <c r="W382" s="226"/>
      <c r="X382" s="106"/>
      <c r="Y382" s="82"/>
      <c r="Z382" s="83"/>
      <c r="AA382" s="83"/>
      <c r="AB382" s="83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U382" s="114"/>
    </row>
    <row r="383" spans="1:47" ht="15.75">
      <c r="A383" s="179" t="s">
        <v>154</v>
      </c>
      <c r="B383" s="179"/>
      <c r="C383" s="218">
        <v>0</v>
      </c>
      <c r="D383" s="239">
        <v>5.8120000000000003</v>
      </c>
      <c r="E383" s="226" t="s">
        <v>116</v>
      </c>
      <c r="F383" s="106">
        <f>ROUND(D383*$C383/100*D376,0)</f>
        <v>0</v>
      </c>
      <c r="G383" s="239">
        <v>6.1660000000000004</v>
      </c>
      <c r="H383" s="226" t="s">
        <v>116</v>
      </c>
      <c r="I383" s="106">
        <f>ROUND(G383*$C383/100*G376,0)</f>
        <v>0</v>
      </c>
      <c r="J383" s="239">
        <f>J374</f>
        <v>6.1660000000000004</v>
      </c>
      <c r="K383" s="226" t="s">
        <v>116</v>
      </c>
      <c r="L383" s="106">
        <f>ROUND(J383*$C383/100*J376,0)</f>
        <v>0</v>
      </c>
      <c r="M383" s="106"/>
      <c r="N383" s="239"/>
      <c r="O383" s="226"/>
      <c r="P383" s="106"/>
      <c r="Q383" s="106"/>
      <c r="R383" s="239"/>
      <c r="S383" s="226"/>
      <c r="T383" s="106"/>
      <c r="U383" s="106"/>
      <c r="V383" s="239"/>
      <c r="W383" s="226"/>
      <c r="X383" s="106"/>
      <c r="Y383" s="82"/>
      <c r="Z383" s="83"/>
      <c r="AA383" s="83"/>
      <c r="AB383" s="83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U383" s="114"/>
    </row>
    <row r="384" spans="1:47" ht="15.75">
      <c r="A384" s="179" t="s">
        <v>155</v>
      </c>
      <c r="B384" s="179"/>
      <c r="C384" s="218">
        <v>0</v>
      </c>
      <c r="D384" s="241">
        <v>56</v>
      </c>
      <c r="E384" s="226" t="s">
        <v>116</v>
      </c>
      <c r="F384" s="106">
        <f>ROUND(D384*$C384/100*D376,0)</f>
        <v>0</v>
      </c>
      <c r="G384" s="241">
        <v>56</v>
      </c>
      <c r="H384" s="226" t="s">
        <v>116</v>
      </c>
      <c r="I384" s="106">
        <f>ROUND(G384*$C384/100*G376,0)</f>
        <v>0</v>
      </c>
      <c r="J384" s="241">
        <f>J375</f>
        <v>56</v>
      </c>
      <c r="K384" s="226" t="s">
        <v>116</v>
      </c>
      <c r="L384" s="106">
        <f>ROUND(J384*$C384/100*J376,0)</f>
        <v>0</v>
      </c>
      <c r="M384" s="106"/>
      <c r="N384" s="241"/>
      <c r="O384" s="226"/>
      <c r="P384" s="106"/>
      <c r="Q384" s="106"/>
      <c r="R384" s="241"/>
      <c r="S384" s="226"/>
      <c r="T384" s="106"/>
      <c r="U384" s="106"/>
      <c r="V384" s="241"/>
      <c r="W384" s="226"/>
      <c r="X384" s="106"/>
      <c r="Y384" s="82"/>
      <c r="Z384" s="83"/>
      <c r="AA384" s="83"/>
      <c r="AB384" s="83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U384" s="114"/>
    </row>
    <row r="385" spans="1:47" ht="15.75">
      <c r="A385" s="179" t="s">
        <v>160</v>
      </c>
      <c r="B385" s="179"/>
      <c r="C385" s="218">
        <v>0</v>
      </c>
      <c r="D385" s="243">
        <v>60</v>
      </c>
      <c r="E385" s="220"/>
      <c r="F385" s="106">
        <f>ROUND(D385*$C385,0)</f>
        <v>0</v>
      </c>
      <c r="G385" s="243">
        <v>60</v>
      </c>
      <c r="H385" s="226"/>
      <c r="I385" s="106">
        <f>ROUND(G385*C385,0)</f>
        <v>0</v>
      </c>
      <c r="J385" s="243">
        <f>$J$182</f>
        <v>60</v>
      </c>
      <c r="K385" s="226"/>
      <c r="L385" s="106">
        <f>ROUND(J385*$C385,0)</f>
        <v>0</v>
      </c>
      <c r="M385" s="106"/>
      <c r="N385" s="243"/>
      <c r="O385" s="226"/>
      <c r="P385" s="106"/>
      <c r="Q385" s="106"/>
      <c r="R385" s="243"/>
      <c r="S385" s="226"/>
      <c r="T385" s="106"/>
      <c r="U385" s="106"/>
      <c r="V385" s="243"/>
      <c r="W385" s="226"/>
      <c r="X385" s="106"/>
      <c r="Y385" s="82"/>
      <c r="Z385" s="83"/>
      <c r="AA385" s="83"/>
      <c r="AB385" s="83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U385" s="114"/>
    </row>
    <row r="386" spans="1:47" ht="15.75">
      <c r="A386" s="179" t="s">
        <v>161</v>
      </c>
      <c r="B386" s="179"/>
      <c r="C386" s="218">
        <v>0</v>
      </c>
      <c r="D386" s="244">
        <v>-30</v>
      </c>
      <c r="E386" s="220" t="s">
        <v>116</v>
      </c>
      <c r="F386" s="106">
        <f>ROUND(D386*$C386/100,0)</f>
        <v>0</v>
      </c>
      <c r="G386" s="244">
        <v>-30</v>
      </c>
      <c r="H386" s="226" t="s">
        <v>116</v>
      </c>
      <c r="I386" s="106">
        <f>ROUND(G386*C386/100,0)</f>
        <v>0</v>
      </c>
      <c r="J386" s="244">
        <f>$J$183</f>
        <v>-30</v>
      </c>
      <c r="K386" s="226" t="s">
        <v>116</v>
      </c>
      <c r="L386" s="106">
        <f>ROUND(J386*$C386/100,0)</f>
        <v>0</v>
      </c>
      <c r="M386" s="106"/>
      <c r="N386" s="244"/>
      <c r="O386" s="226"/>
      <c r="P386" s="106"/>
      <c r="Q386" s="106"/>
      <c r="R386" s="244"/>
      <c r="S386" s="226"/>
      <c r="T386" s="106"/>
      <c r="U386" s="106"/>
      <c r="V386" s="244"/>
      <c r="W386" s="226"/>
      <c r="X386" s="106"/>
      <c r="Y386" s="82"/>
      <c r="Z386" s="83"/>
      <c r="AA386" s="83"/>
      <c r="AB386" s="83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U386" s="114"/>
    </row>
    <row r="387" spans="1:47" ht="15.75">
      <c r="A387" s="179" t="s">
        <v>134</v>
      </c>
      <c r="B387" s="179"/>
      <c r="C387" s="218">
        <f>SUM(C372:C374)</f>
        <v>33313</v>
      </c>
      <c r="D387" s="229"/>
      <c r="E387" s="106"/>
      <c r="F387" s="106">
        <f>SUM(F366:F386)</f>
        <v>7805</v>
      </c>
      <c r="G387" s="229"/>
      <c r="H387" s="226"/>
      <c r="I387" s="106">
        <f>SUM(I366:I386)</f>
        <v>8003</v>
      </c>
      <c r="J387" s="229"/>
      <c r="K387" s="226"/>
      <c r="L387" s="106">
        <f>SUM(L366:L386)</f>
        <v>8003</v>
      </c>
      <c r="M387" s="106"/>
      <c r="N387" s="229"/>
      <c r="O387" s="226"/>
      <c r="P387" s="106">
        <f>SUM(P366:P386)</f>
        <v>5252</v>
      </c>
      <c r="Q387" s="106"/>
      <c r="R387" s="229"/>
      <c r="S387" s="226"/>
      <c r="T387" s="106">
        <f>SUM(T366:T386)</f>
        <v>565</v>
      </c>
      <c r="U387" s="106"/>
      <c r="V387" s="229"/>
      <c r="W387" s="226"/>
      <c r="X387" s="106">
        <f>SUM(X366:X386)</f>
        <v>2187</v>
      </c>
      <c r="Y387" s="82"/>
      <c r="Z387" s="83"/>
      <c r="AA387" s="83"/>
      <c r="AB387" s="83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U387" s="114"/>
    </row>
    <row r="388" spans="1:47" ht="15.75">
      <c r="A388" s="179" t="s">
        <v>119</v>
      </c>
      <c r="B388" s="179"/>
      <c r="C388" s="273">
        <v>-533.59230834667824</v>
      </c>
      <c r="D388" s="138"/>
      <c r="E388" s="138"/>
      <c r="F388" s="248">
        <f>I388</f>
        <v>-170.24425922328714</v>
      </c>
      <c r="G388" s="138"/>
      <c r="H388" s="138"/>
      <c r="I388" s="248">
        <v>-170.24425922328714</v>
      </c>
      <c r="J388" s="138"/>
      <c r="K388" s="138"/>
      <c r="L388" s="248">
        <f>I388</f>
        <v>-170.24425922328714</v>
      </c>
      <c r="M388" s="221"/>
      <c r="N388" s="138"/>
      <c r="O388" s="138"/>
      <c r="P388" s="248">
        <f>L388*AB192</f>
        <v>-34.511273153155585</v>
      </c>
      <c r="Q388" s="221"/>
      <c r="R388" s="138"/>
      <c r="S388" s="138"/>
      <c r="T388" s="248">
        <f>L388*AA192</f>
        <v>-27.855854356424011</v>
      </c>
      <c r="U388" s="221"/>
      <c r="V388" s="138"/>
      <c r="W388" s="138"/>
      <c r="X388" s="248">
        <f>L388*Z192</f>
        <v>-107.87713171370756</v>
      </c>
      <c r="Y388" s="172"/>
      <c r="Z388" s="168"/>
      <c r="AA388" s="83"/>
      <c r="AB388" s="83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U388" s="114"/>
    </row>
    <row r="389" spans="1:47" ht="16.5" thickBot="1">
      <c r="A389" s="179" t="s">
        <v>135</v>
      </c>
      <c r="B389" s="179"/>
      <c r="C389" s="199">
        <f>SUM(C387:C388)</f>
        <v>32779.407691653323</v>
      </c>
      <c r="D389" s="268"/>
      <c r="E389" s="250"/>
      <c r="F389" s="251">
        <f>F387+F388</f>
        <v>7634.7557407767126</v>
      </c>
      <c r="G389" s="268"/>
      <c r="H389" s="269"/>
      <c r="I389" s="251">
        <f>I387+I388</f>
        <v>7832.7557407767126</v>
      </c>
      <c r="J389" s="268"/>
      <c r="K389" s="269"/>
      <c r="L389" s="251">
        <f>L387+L388</f>
        <v>7832.7557407767126</v>
      </c>
      <c r="M389" s="251"/>
      <c r="N389" s="268"/>
      <c r="O389" s="269"/>
      <c r="P389" s="251">
        <f>P387+P388</f>
        <v>5217.4887268468447</v>
      </c>
      <c r="Q389" s="251"/>
      <c r="R389" s="268"/>
      <c r="S389" s="269"/>
      <c r="T389" s="251">
        <f>T387+T388</f>
        <v>537.14414564357594</v>
      </c>
      <c r="U389" s="251"/>
      <c r="V389" s="268"/>
      <c r="W389" s="269"/>
      <c r="X389" s="251">
        <f>X387+X388</f>
        <v>2079.1228682862925</v>
      </c>
      <c r="Y389" s="176"/>
      <c r="Z389" s="177"/>
      <c r="AA389" s="83"/>
      <c r="AB389" s="83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U389" s="114"/>
    </row>
    <row r="390" spans="1:47" ht="16.5" thickTop="1">
      <c r="A390" s="179"/>
      <c r="B390" s="179"/>
      <c r="C390" s="205"/>
      <c r="D390" s="243" t="s">
        <v>108</v>
      </c>
      <c r="E390" s="106"/>
      <c r="F390" s="106"/>
      <c r="G390" s="243" t="s">
        <v>108</v>
      </c>
      <c r="H390" s="179"/>
      <c r="I390" s="106"/>
      <c r="J390" s="275" t="s">
        <v>108</v>
      </c>
      <c r="K390" s="179"/>
      <c r="L390" s="106" t="s">
        <v>108</v>
      </c>
      <c r="M390" s="106"/>
      <c r="N390" s="275" t="s">
        <v>108</v>
      </c>
      <c r="O390" s="179"/>
      <c r="P390" s="106" t="s">
        <v>108</v>
      </c>
      <c r="Q390" s="106"/>
      <c r="R390" s="275" t="s">
        <v>108</v>
      </c>
      <c r="S390" s="179"/>
      <c r="T390" s="106" t="s">
        <v>108</v>
      </c>
      <c r="U390" s="106"/>
      <c r="V390" s="275" t="s">
        <v>108</v>
      </c>
      <c r="W390" s="179"/>
      <c r="X390" s="106" t="s">
        <v>108</v>
      </c>
      <c r="Y390" s="82"/>
      <c r="Z390" s="83"/>
      <c r="AA390" s="83"/>
      <c r="AB390" s="83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U390" s="114"/>
    </row>
    <row r="391" spans="1:47" ht="15.75">
      <c r="A391" s="179"/>
      <c r="B391" s="179"/>
      <c r="C391" s="205"/>
      <c r="D391" s="243" t="s">
        <v>108</v>
      </c>
      <c r="E391" s="106"/>
      <c r="F391" s="106"/>
      <c r="G391" s="243" t="s">
        <v>108</v>
      </c>
      <c r="H391" s="179"/>
      <c r="I391" s="106"/>
      <c r="J391" s="275" t="s">
        <v>108</v>
      </c>
      <c r="K391" s="179"/>
      <c r="L391" s="106" t="s">
        <v>108</v>
      </c>
      <c r="M391" s="106"/>
      <c r="N391" s="275" t="s">
        <v>108</v>
      </c>
      <c r="O391" s="179"/>
      <c r="P391" s="106" t="s">
        <v>108</v>
      </c>
      <c r="Q391" s="106"/>
      <c r="R391" s="275" t="s">
        <v>108</v>
      </c>
      <c r="S391" s="179"/>
      <c r="T391" s="106" t="s">
        <v>108</v>
      </c>
      <c r="U391" s="106"/>
      <c r="V391" s="275" t="s">
        <v>108</v>
      </c>
      <c r="W391" s="179"/>
      <c r="X391" s="106" t="s">
        <v>108</v>
      </c>
      <c r="Y391" s="82"/>
      <c r="Z391" s="83"/>
      <c r="AA391" s="83"/>
      <c r="AB391" s="83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U391" s="114"/>
    </row>
    <row r="392" spans="1:47" ht="15.75">
      <c r="A392" s="178" t="s">
        <v>171</v>
      </c>
      <c r="B392" s="179"/>
      <c r="C392" s="179"/>
      <c r="D392" s="106"/>
      <c r="E392" s="106"/>
      <c r="F392" s="179" t="s">
        <v>108</v>
      </c>
      <c r="G392" s="106"/>
      <c r="H392" s="179"/>
      <c r="I392" s="179"/>
      <c r="J392" s="106"/>
      <c r="K392" s="179"/>
      <c r="L392" s="179"/>
      <c r="M392" s="179"/>
      <c r="N392" s="106"/>
      <c r="O392" s="179"/>
      <c r="P392" s="179"/>
      <c r="Q392" s="179"/>
      <c r="R392" s="106"/>
      <c r="S392" s="179"/>
      <c r="T392" s="179"/>
      <c r="U392" s="179"/>
      <c r="V392" s="106"/>
      <c r="W392" s="179"/>
      <c r="X392" s="179"/>
      <c r="Y392" s="82"/>
      <c r="Z392" s="83"/>
      <c r="AA392" s="83"/>
      <c r="AB392" s="83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U392" s="114"/>
    </row>
    <row r="393" spans="1:47" ht="15.75">
      <c r="A393" s="179" t="s">
        <v>163</v>
      </c>
      <c r="B393" s="179"/>
      <c r="C393" s="179"/>
      <c r="D393" s="106"/>
      <c r="E393" s="106"/>
      <c r="F393" s="179"/>
      <c r="G393" s="106"/>
      <c r="H393" s="179"/>
      <c r="I393" s="179"/>
      <c r="J393" s="106"/>
      <c r="K393" s="179"/>
      <c r="L393" s="179"/>
      <c r="M393" s="179"/>
      <c r="N393" s="106"/>
      <c r="O393" s="179"/>
      <c r="P393" s="179"/>
      <c r="Q393" s="179"/>
      <c r="R393" s="106"/>
      <c r="S393" s="179"/>
      <c r="T393" s="179"/>
      <c r="U393" s="179"/>
      <c r="V393" s="106"/>
      <c r="W393" s="179"/>
      <c r="X393" s="179"/>
      <c r="Y393" s="82"/>
      <c r="Z393" s="83"/>
      <c r="AA393" s="83"/>
      <c r="AB393" s="83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</row>
    <row r="394" spans="1:47" ht="15.75">
      <c r="A394" s="179" t="s">
        <v>172</v>
      </c>
      <c r="B394" s="179"/>
      <c r="C394" s="179"/>
      <c r="D394" s="106"/>
      <c r="E394" s="106"/>
      <c r="F394" s="179"/>
      <c r="G394" s="106"/>
      <c r="H394" s="179"/>
      <c r="I394" s="179"/>
      <c r="J394" s="106"/>
      <c r="K394" s="179"/>
      <c r="L394" s="179"/>
      <c r="M394" s="179"/>
      <c r="N394" s="106"/>
      <c r="O394" s="179"/>
      <c r="P394" s="179"/>
      <c r="Q394" s="179"/>
      <c r="R394" s="106"/>
      <c r="S394" s="179"/>
      <c r="T394" s="179"/>
      <c r="U394" s="179"/>
      <c r="V394" s="106"/>
      <c r="W394" s="179"/>
      <c r="X394" s="179"/>
      <c r="Y394" s="82"/>
      <c r="Z394" s="83"/>
      <c r="AA394" s="83"/>
      <c r="AB394" s="83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</row>
    <row r="395" spans="1:47" ht="15.75">
      <c r="A395" s="179" t="s">
        <v>11</v>
      </c>
      <c r="B395" s="179"/>
      <c r="C395" s="218"/>
      <c r="D395" s="106"/>
      <c r="E395" s="106"/>
      <c r="F395" s="179"/>
      <c r="G395" s="106"/>
      <c r="H395" s="179"/>
      <c r="I395" s="179"/>
      <c r="J395" s="106"/>
      <c r="K395" s="179"/>
      <c r="L395" s="179"/>
      <c r="M395" s="179"/>
      <c r="N395" s="106"/>
      <c r="O395" s="179"/>
      <c r="P395" s="179"/>
      <c r="Q395" s="179"/>
      <c r="R395" s="106"/>
      <c r="S395" s="179"/>
      <c r="T395" s="179"/>
      <c r="U395" s="179"/>
      <c r="V395" s="106"/>
      <c r="W395" s="179"/>
      <c r="X395" s="179"/>
      <c r="Y395" s="82"/>
      <c r="Z395" s="83"/>
      <c r="AA395" s="83"/>
      <c r="AB395" s="83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</row>
    <row r="396" spans="1:47" ht="15.75">
      <c r="A396" s="179" t="s">
        <v>147</v>
      </c>
      <c r="B396" s="179"/>
      <c r="C396" s="218">
        <f t="shared" ref="C396:C405" si="102">C425+C454</f>
        <v>1</v>
      </c>
      <c r="D396" s="210">
        <v>104.52000000000001</v>
      </c>
      <c r="E396" s="220"/>
      <c r="F396" s="106">
        <f>F425+F454</f>
        <v>105</v>
      </c>
      <c r="G396" s="210">
        <v>104.52000000000001</v>
      </c>
      <c r="H396" s="226"/>
      <c r="I396" s="106">
        <f>I425+I454</f>
        <v>105</v>
      </c>
      <c r="J396" s="210">
        <f>$J$159</f>
        <v>104.52000000000001</v>
      </c>
      <c r="K396" s="226"/>
      <c r="L396" s="106">
        <f>L425+L454</f>
        <v>105</v>
      </c>
      <c r="M396" s="106"/>
      <c r="N396" s="210">
        <f>$N$159</f>
        <v>105</v>
      </c>
      <c r="O396" s="226"/>
      <c r="P396" s="106">
        <f>P425+P454</f>
        <v>105</v>
      </c>
      <c r="Q396" s="106"/>
      <c r="R396" s="210"/>
      <c r="S396" s="226"/>
      <c r="T396" s="106"/>
      <c r="U396" s="106"/>
      <c r="V396" s="210"/>
      <c r="W396" s="226"/>
      <c r="X396" s="106"/>
      <c r="Y396" s="82"/>
      <c r="Z396" s="83"/>
      <c r="AA396" s="83"/>
      <c r="AB396" s="83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</row>
    <row r="397" spans="1:47" ht="15.75">
      <c r="A397" s="179" t="s">
        <v>148</v>
      </c>
      <c r="B397" s="179"/>
      <c r="C397" s="218">
        <f t="shared" si="102"/>
        <v>86.216438356164403</v>
      </c>
      <c r="D397" s="210">
        <v>155.76</v>
      </c>
      <c r="E397" s="222"/>
      <c r="F397" s="106">
        <f>F426+F455</f>
        <v>13429</v>
      </c>
      <c r="G397" s="210">
        <v>155.76</v>
      </c>
      <c r="H397" s="265"/>
      <c r="I397" s="106">
        <f>I426+I455</f>
        <v>13429</v>
      </c>
      <c r="J397" s="210">
        <f>$J$160</f>
        <v>155.76</v>
      </c>
      <c r="K397" s="265"/>
      <c r="L397" s="106">
        <f>L426+L455</f>
        <v>13429</v>
      </c>
      <c r="M397" s="106"/>
      <c r="N397" s="210">
        <f>$N$160</f>
        <v>155.76</v>
      </c>
      <c r="O397" s="265"/>
      <c r="P397" s="106">
        <f>P426+P455</f>
        <v>13273</v>
      </c>
      <c r="Q397" s="106"/>
      <c r="R397" s="210"/>
      <c r="S397" s="265"/>
      <c r="T397" s="106"/>
      <c r="U397" s="106"/>
      <c r="V397" s="210"/>
      <c r="W397" s="265"/>
      <c r="X397" s="106"/>
      <c r="Y397" s="82"/>
      <c r="Z397" s="83"/>
      <c r="AA397" s="83"/>
      <c r="AB397" s="83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</row>
    <row r="398" spans="1:47" ht="15.75">
      <c r="A398" s="179" t="s">
        <v>149</v>
      </c>
      <c r="B398" s="179"/>
      <c r="C398" s="218">
        <f t="shared" si="102"/>
        <v>3360.78082191781</v>
      </c>
      <c r="D398" s="210">
        <v>11.040000000000001</v>
      </c>
      <c r="E398" s="222"/>
      <c r="F398" s="106">
        <f>F427+F456</f>
        <v>37103</v>
      </c>
      <c r="G398" s="210">
        <v>11.040000000000001</v>
      </c>
      <c r="H398" s="265"/>
      <c r="I398" s="106">
        <f>I427+I456</f>
        <v>37103</v>
      </c>
      <c r="J398" s="210">
        <f>$J$161</f>
        <v>11.040000000000001</v>
      </c>
      <c r="K398" s="265"/>
      <c r="L398" s="106">
        <f>L427+L456</f>
        <v>37103</v>
      </c>
      <c r="M398" s="106"/>
      <c r="N398" s="210">
        <f>$N$161</f>
        <v>11.04</v>
      </c>
      <c r="O398" s="265"/>
      <c r="P398" s="106">
        <f>P427+P456</f>
        <v>36275</v>
      </c>
      <c r="Q398" s="106"/>
      <c r="R398" s="210"/>
      <c r="S398" s="265"/>
      <c r="T398" s="106"/>
      <c r="U398" s="106"/>
      <c r="V398" s="210"/>
      <c r="W398" s="265"/>
      <c r="X398" s="106"/>
      <c r="Y398" s="82"/>
      <c r="Z398" s="83"/>
      <c r="AA398" s="83"/>
      <c r="AB398" s="83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</row>
    <row r="399" spans="1:47" ht="15.75">
      <c r="A399" s="179" t="s">
        <v>150</v>
      </c>
      <c r="B399" s="179"/>
      <c r="C399" s="218">
        <f t="shared" si="102"/>
        <v>87.216438356164403</v>
      </c>
      <c r="D399" s="210"/>
      <c r="E399" s="220"/>
      <c r="F399" s="106"/>
      <c r="G399" s="210"/>
      <c r="H399" s="226"/>
      <c r="I399" s="106"/>
      <c r="J399" s="210"/>
      <c r="K399" s="226"/>
      <c r="L399" s="106"/>
      <c r="M399" s="106"/>
      <c r="N399" s="210"/>
      <c r="O399" s="226"/>
      <c r="P399" s="106"/>
      <c r="Q399" s="106"/>
      <c r="R399" s="210"/>
      <c r="S399" s="226"/>
      <c r="T399" s="106"/>
      <c r="U399" s="106"/>
      <c r="V399" s="210"/>
      <c r="W399" s="226"/>
      <c r="X399" s="106"/>
      <c r="Y399" s="82"/>
      <c r="Z399" s="83"/>
      <c r="AA399" s="83"/>
      <c r="AB399" s="83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</row>
    <row r="400" spans="1:47" ht="15.75">
      <c r="A400" s="179" t="s">
        <v>173</v>
      </c>
      <c r="B400" s="179"/>
      <c r="C400" s="218">
        <f t="shared" si="102"/>
        <v>1020.2583333333331</v>
      </c>
      <c r="D400" s="210"/>
      <c r="E400" s="220"/>
      <c r="F400" s="106"/>
      <c r="G400" s="210"/>
      <c r="H400" s="226"/>
      <c r="I400" s="106"/>
      <c r="J400" s="210"/>
      <c r="K400" s="226"/>
      <c r="L400" s="106"/>
      <c r="M400" s="106"/>
      <c r="N400" s="210"/>
      <c r="O400" s="226"/>
      <c r="P400" s="106"/>
      <c r="Q400" s="106"/>
      <c r="R400" s="210"/>
      <c r="S400" s="226"/>
      <c r="T400" s="106"/>
      <c r="U400" s="106"/>
      <c r="V400" s="210"/>
      <c r="W400" s="226"/>
      <c r="X400" s="106"/>
      <c r="Y400" s="82"/>
      <c r="Z400" s="83"/>
      <c r="AA400" s="83"/>
      <c r="AB400" s="83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</row>
    <row r="401" spans="1:45" ht="15.75">
      <c r="A401" s="179" t="s">
        <v>151</v>
      </c>
      <c r="B401" s="179"/>
      <c r="C401" s="218">
        <f t="shared" si="102"/>
        <v>9001.8205882352995</v>
      </c>
      <c r="D401" s="243">
        <v>3.4</v>
      </c>
      <c r="E401" s="226"/>
      <c r="F401" s="106">
        <f>F430+F459</f>
        <v>30606</v>
      </c>
      <c r="G401" s="243">
        <v>3.61</v>
      </c>
      <c r="H401" s="226"/>
      <c r="I401" s="106">
        <f>I430+I459</f>
        <v>32497</v>
      </c>
      <c r="J401" s="243">
        <f>$J$168</f>
        <v>3.61</v>
      </c>
      <c r="K401" s="226"/>
      <c r="L401" s="106">
        <f>L430+L459</f>
        <v>32497</v>
      </c>
      <c r="M401" s="106"/>
      <c r="N401" s="243">
        <f>$N$168</f>
        <v>0.73180556367242244</v>
      </c>
      <c r="O401" s="226"/>
      <c r="P401" s="106">
        <f>P430+P459</f>
        <v>6587</v>
      </c>
      <c r="Q401" s="106"/>
      <c r="R401" s="243">
        <f>$R$168</f>
        <v>0.59067856199955471</v>
      </c>
      <c r="S401" s="226"/>
      <c r="T401" s="106">
        <f>T430+T459</f>
        <v>5317</v>
      </c>
      <c r="U401" s="106"/>
      <c r="V401" s="243">
        <f>$V$168</f>
        <v>2.2875158743280228</v>
      </c>
      <c r="W401" s="226"/>
      <c r="X401" s="106">
        <f>X430+X459</f>
        <v>20592</v>
      </c>
      <c r="Y401" s="82"/>
      <c r="Z401" s="83"/>
      <c r="AA401" s="83"/>
      <c r="AB401" s="83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</row>
    <row r="402" spans="1:45" ht="15.75">
      <c r="A402" s="179" t="s">
        <v>152</v>
      </c>
      <c r="B402" s="179"/>
      <c r="C402" s="218">
        <f t="shared" si="102"/>
        <v>153159</v>
      </c>
      <c r="D402" s="211">
        <v>9.766</v>
      </c>
      <c r="E402" s="226" t="s">
        <v>116</v>
      </c>
      <c r="F402" s="106">
        <f>F431+F460</f>
        <v>14958</v>
      </c>
      <c r="G402" s="211">
        <v>10.359</v>
      </c>
      <c r="H402" s="226" t="s">
        <v>116</v>
      </c>
      <c r="I402" s="106">
        <f>I431+I460</f>
        <v>15866</v>
      </c>
      <c r="J402" s="211">
        <f>$J$169</f>
        <v>10.359</v>
      </c>
      <c r="K402" s="226" t="s">
        <v>116</v>
      </c>
      <c r="L402" s="106">
        <f>L431+L460</f>
        <v>15866</v>
      </c>
      <c r="M402" s="106"/>
      <c r="N402" s="211">
        <f>$N$169</f>
        <v>2.0999373501613916</v>
      </c>
      <c r="O402" s="226" t="s">
        <v>116</v>
      </c>
      <c r="P402" s="106">
        <f>P431+P460</f>
        <v>3216</v>
      </c>
      <c r="Q402" s="106"/>
      <c r="R402" s="211">
        <f>$R$169</f>
        <v>1.69496931405911</v>
      </c>
      <c r="S402" s="226" t="s">
        <v>116</v>
      </c>
      <c r="T402" s="106">
        <f>T431+T460</f>
        <v>2596</v>
      </c>
      <c r="U402" s="106"/>
      <c r="V402" s="211">
        <f>$V$169</f>
        <v>6.5640933357794982</v>
      </c>
      <c r="W402" s="226" t="s">
        <v>116</v>
      </c>
      <c r="X402" s="106">
        <f>X431+X460</f>
        <v>10053</v>
      </c>
      <c r="Y402" s="82"/>
      <c r="Z402" s="83"/>
      <c r="AA402" s="83"/>
      <c r="AB402" s="83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</row>
    <row r="403" spans="1:45" ht="15.75">
      <c r="A403" s="179" t="s">
        <v>153</v>
      </c>
      <c r="B403" s="179"/>
      <c r="C403" s="218">
        <f t="shared" si="102"/>
        <v>143166</v>
      </c>
      <c r="D403" s="211">
        <v>6.7460000000000004</v>
      </c>
      <c r="E403" s="226" t="s">
        <v>116</v>
      </c>
      <c r="F403" s="106">
        <f>F432+F461</f>
        <v>9658</v>
      </c>
      <c r="G403" s="211">
        <v>7.1559999999999997</v>
      </c>
      <c r="H403" s="226" t="s">
        <v>116</v>
      </c>
      <c r="I403" s="106">
        <f>I432+I461</f>
        <v>10245</v>
      </c>
      <c r="J403" s="211">
        <f>$J$170</f>
        <v>7.1559999999999997</v>
      </c>
      <c r="K403" s="226" t="s">
        <v>116</v>
      </c>
      <c r="L403" s="106">
        <f>L432+L461</f>
        <v>10245</v>
      </c>
      <c r="M403" s="106"/>
      <c r="N403" s="211">
        <f>$N$170</f>
        <v>1.4506372890969126</v>
      </c>
      <c r="O403" s="226" t="s">
        <v>116</v>
      </c>
      <c r="P403" s="106">
        <f>P432+P461</f>
        <v>2077</v>
      </c>
      <c r="Q403" s="106"/>
      <c r="R403" s="211">
        <f>$R$170</f>
        <v>1.1708852602960702</v>
      </c>
      <c r="S403" s="226" t="s">
        <v>116</v>
      </c>
      <c r="T403" s="106">
        <f>T432+T461</f>
        <v>1676</v>
      </c>
      <c r="U403" s="106"/>
      <c r="V403" s="211">
        <f>$V$170</f>
        <v>4.5344774506070165</v>
      </c>
      <c r="W403" s="226" t="s">
        <v>116</v>
      </c>
      <c r="X403" s="106">
        <f>X432+X461</f>
        <v>6491</v>
      </c>
      <c r="Y403" s="82"/>
      <c r="Z403" s="83"/>
      <c r="AA403" s="83"/>
      <c r="AB403" s="83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</row>
    <row r="404" spans="1:45" ht="15.75">
      <c r="A404" s="179" t="s">
        <v>154</v>
      </c>
      <c r="B404" s="179"/>
      <c r="C404" s="218">
        <f t="shared" si="102"/>
        <v>173680</v>
      </c>
      <c r="D404" s="211">
        <v>5.8120000000000003</v>
      </c>
      <c r="E404" s="226" t="s">
        <v>116</v>
      </c>
      <c r="F404" s="106">
        <f>F433+F462</f>
        <v>10094</v>
      </c>
      <c r="G404" s="211">
        <v>6.1660000000000004</v>
      </c>
      <c r="H404" s="226" t="s">
        <v>116</v>
      </c>
      <c r="I404" s="106">
        <f>I433+I462</f>
        <v>10709</v>
      </c>
      <c r="J404" s="211">
        <f>$J$171</f>
        <v>6.1660000000000004</v>
      </c>
      <c r="K404" s="226" t="s">
        <v>116</v>
      </c>
      <c r="L404" s="106">
        <f>L433+L462</f>
        <v>10709</v>
      </c>
      <c r="M404" s="106"/>
      <c r="N404" s="211">
        <f>$N$171</f>
        <v>1.2499482286992125</v>
      </c>
      <c r="O404" s="226" t="s">
        <v>116</v>
      </c>
      <c r="P404" s="106">
        <f>P433+P462</f>
        <v>2171</v>
      </c>
      <c r="Q404" s="106"/>
      <c r="R404" s="211">
        <f>$R$171</f>
        <v>1.0088986186396827</v>
      </c>
      <c r="S404" s="226" t="s">
        <v>116</v>
      </c>
      <c r="T404" s="106">
        <f>T433+T462</f>
        <v>1752</v>
      </c>
      <c r="U404" s="106"/>
      <c r="V404" s="211">
        <f>$V$171</f>
        <v>3.9071531526611052</v>
      </c>
      <c r="W404" s="226" t="s">
        <v>116</v>
      </c>
      <c r="X404" s="106">
        <f>X433+X462</f>
        <v>6786</v>
      </c>
      <c r="Y404" s="82"/>
      <c r="Z404" s="83"/>
      <c r="AA404" s="83"/>
      <c r="AB404" s="83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</row>
    <row r="405" spans="1:45" ht="15.75">
      <c r="A405" s="179" t="s">
        <v>155</v>
      </c>
      <c r="B405" s="179"/>
      <c r="C405" s="218">
        <f t="shared" si="102"/>
        <v>1100.8816666666701</v>
      </c>
      <c r="D405" s="229">
        <v>56</v>
      </c>
      <c r="E405" s="220" t="s">
        <v>116</v>
      </c>
      <c r="F405" s="106">
        <f>F434+F463</f>
        <v>616</v>
      </c>
      <c r="G405" s="229">
        <v>56</v>
      </c>
      <c r="H405" s="226" t="s">
        <v>116</v>
      </c>
      <c r="I405" s="106">
        <f>I434+I463</f>
        <v>616</v>
      </c>
      <c r="J405" s="229">
        <f>$J$172</f>
        <v>56</v>
      </c>
      <c r="K405" s="226" t="s">
        <v>116</v>
      </c>
      <c r="L405" s="106">
        <f>L434+L463</f>
        <v>616</v>
      </c>
      <c r="M405" s="106"/>
      <c r="N405" s="229">
        <f>$N$172</f>
        <v>0</v>
      </c>
      <c r="O405" s="226" t="s">
        <v>116</v>
      </c>
      <c r="P405" s="106">
        <f>P434+P463</f>
        <v>0</v>
      </c>
      <c r="Q405" s="106"/>
      <c r="R405" s="229">
        <f ca="1">$R$172</f>
        <v>11</v>
      </c>
      <c r="S405" s="226" t="s">
        <v>116</v>
      </c>
      <c r="T405" s="106">
        <f ca="1">T434+T463</f>
        <v>121</v>
      </c>
      <c r="U405" s="106"/>
      <c r="V405" s="229">
        <f ca="1">$V$172</f>
        <v>45</v>
      </c>
      <c r="W405" s="226" t="s">
        <v>116</v>
      </c>
      <c r="X405" s="106">
        <f ca="1">X434+X463</f>
        <v>495</v>
      </c>
      <c r="Y405" s="82"/>
      <c r="Z405" s="83"/>
      <c r="AA405" s="83"/>
      <c r="AB405" s="83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</row>
    <row r="406" spans="1:45" ht="15.75">
      <c r="A406" s="233" t="s">
        <v>156</v>
      </c>
      <c r="B406" s="179"/>
      <c r="C406" s="218"/>
      <c r="D406" s="234">
        <v>-0.01</v>
      </c>
      <c r="E406" s="220"/>
      <c r="F406" s="106"/>
      <c r="G406" s="234">
        <v>-0.01</v>
      </c>
      <c r="H406" s="226"/>
      <c r="I406" s="106"/>
      <c r="J406" s="234">
        <v>-0.01</v>
      </c>
      <c r="K406" s="226"/>
      <c r="L406" s="106"/>
      <c r="M406" s="106"/>
      <c r="N406" s="234">
        <v>-0.01</v>
      </c>
      <c r="O406" s="226"/>
      <c r="P406" s="106"/>
      <c r="Q406" s="106"/>
      <c r="R406" s="234">
        <v>-0.01</v>
      </c>
      <c r="S406" s="226"/>
      <c r="T406" s="106"/>
      <c r="U406" s="106"/>
      <c r="V406" s="234">
        <v>-0.01</v>
      </c>
      <c r="W406" s="226"/>
      <c r="X406" s="106"/>
      <c r="Y406" s="82"/>
      <c r="Z406" s="83"/>
      <c r="AA406" s="83"/>
      <c r="AB406" s="83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</row>
    <row r="407" spans="1:45" ht="15.75">
      <c r="A407" s="179" t="s">
        <v>147</v>
      </c>
      <c r="B407" s="179"/>
      <c r="C407" s="218">
        <v>0</v>
      </c>
      <c r="D407" s="237">
        <v>104.52000000000001</v>
      </c>
      <c r="E407" s="220"/>
      <c r="F407" s="106">
        <f t="shared" ref="F407:F417" si="103">F436+F465</f>
        <v>0</v>
      </c>
      <c r="G407" s="237">
        <v>104.52000000000001</v>
      </c>
      <c r="H407" s="220"/>
      <c r="I407" s="106">
        <f t="shared" ref="I407:I418" si="104">I436+I465</f>
        <v>0</v>
      </c>
      <c r="J407" s="237">
        <f>J396</f>
        <v>104.52000000000001</v>
      </c>
      <c r="K407" s="220"/>
      <c r="L407" s="106">
        <f t="shared" ref="L407:L417" si="105">L436+L465</f>
        <v>0</v>
      </c>
      <c r="M407" s="106"/>
      <c r="N407" s="237">
        <f>N396</f>
        <v>105</v>
      </c>
      <c r="O407" s="220"/>
      <c r="P407" s="106"/>
      <c r="Q407" s="106"/>
      <c r="R407" s="237"/>
      <c r="S407" s="220"/>
      <c r="T407" s="106"/>
      <c r="U407" s="106"/>
      <c r="V407" s="237"/>
      <c r="W407" s="220"/>
      <c r="X407" s="106"/>
      <c r="Y407" s="82"/>
      <c r="Z407" s="83"/>
      <c r="AA407" s="83"/>
      <c r="AB407" s="83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</row>
    <row r="408" spans="1:45" ht="15.75">
      <c r="A408" s="179" t="s">
        <v>148</v>
      </c>
      <c r="B408" s="179"/>
      <c r="C408" s="218">
        <v>0</v>
      </c>
      <c r="D408" s="237">
        <v>155.76</v>
      </c>
      <c r="E408" s="220"/>
      <c r="F408" s="106">
        <f t="shared" si="103"/>
        <v>0</v>
      </c>
      <c r="G408" s="237">
        <v>155.76</v>
      </c>
      <c r="H408" s="220"/>
      <c r="I408" s="106">
        <f t="shared" si="104"/>
        <v>0</v>
      </c>
      <c r="J408" s="237">
        <f>J397</f>
        <v>155.76</v>
      </c>
      <c r="K408" s="220"/>
      <c r="L408" s="106">
        <f t="shared" si="105"/>
        <v>0</v>
      </c>
      <c r="M408" s="106"/>
      <c r="N408" s="237">
        <f>N397</f>
        <v>155.76</v>
      </c>
      <c r="O408" s="220"/>
      <c r="P408" s="106"/>
      <c r="Q408" s="106"/>
      <c r="R408" s="237"/>
      <c r="S408" s="220"/>
      <c r="T408" s="106"/>
      <c r="U408" s="106"/>
      <c r="V408" s="237"/>
      <c r="W408" s="220"/>
      <c r="X408" s="106"/>
      <c r="Y408" s="82"/>
      <c r="Z408" s="83"/>
      <c r="AA408" s="266" t="s">
        <v>108</v>
      </c>
      <c r="AB408" s="83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</row>
    <row r="409" spans="1:45" ht="15.75">
      <c r="A409" s="179" t="s">
        <v>157</v>
      </c>
      <c r="B409" s="179"/>
      <c r="C409" s="218">
        <v>0</v>
      </c>
      <c r="D409" s="237">
        <v>11.040000000000001</v>
      </c>
      <c r="E409" s="220"/>
      <c r="F409" s="106">
        <f t="shared" si="103"/>
        <v>0</v>
      </c>
      <c r="G409" s="237">
        <v>11.040000000000001</v>
      </c>
      <c r="H409" s="220"/>
      <c r="I409" s="106">
        <f t="shared" si="104"/>
        <v>0</v>
      </c>
      <c r="J409" s="237">
        <f>J398</f>
        <v>11.040000000000001</v>
      </c>
      <c r="K409" s="220"/>
      <c r="L409" s="106">
        <f t="shared" si="105"/>
        <v>0</v>
      </c>
      <c r="M409" s="106"/>
      <c r="N409" s="237">
        <f>N398</f>
        <v>11.04</v>
      </c>
      <c r="O409" s="220"/>
      <c r="P409" s="106"/>
      <c r="Q409" s="106"/>
      <c r="R409" s="237"/>
      <c r="S409" s="220"/>
      <c r="T409" s="106"/>
      <c r="U409" s="106"/>
      <c r="V409" s="237"/>
      <c r="W409" s="220"/>
      <c r="X409" s="106"/>
      <c r="Y409" s="82"/>
      <c r="Z409" s="83"/>
      <c r="AA409" s="83"/>
      <c r="AB409" s="83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</row>
    <row r="410" spans="1:45" ht="15.75">
      <c r="A410" s="179" t="s">
        <v>158</v>
      </c>
      <c r="B410" s="179"/>
      <c r="C410" s="218">
        <v>0</v>
      </c>
      <c r="D410" s="237">
        <v>3.4</v>
      </c>
      <c r="E410" s="226"/>
      <c r="F410" s="106">
        <f t="shared" si="103"/>
        <v>0</v>
      </c>
      <c r="G410" s="237">
        <v>3.61</v>
      </c>
      <c r="H410" s="226"/>
      <c r="I410" s="106">
        <f t="shared" si="104"/>
        <v>0</v>
      </c>
      <c r="J410" s="237">
        <f>J401</f>
        <v>3.61</v>
      </c>
      <c r="K410" s="226"/>
      <c r="L410" s="106">
        <f t="shared" si="105"/>
        <v>0</v>
      </c>
      <c r="M410" s="106"/>
      <c r="N410" s="237">
        <f>N401</f>
        <v>0.73180556367242244</v>
      </c>
      <c r="O410" s="226"/>
      <c r="P410" s="106"/>
      <c r="Q410" s="106"/>
      <c r="R410" s="237"/>
      <c r="S410" s="226"/>
      <c r="T410" s="106"/>
      <c r="U410" s="106"/>
      <c r="V410" s="237"/>
      <c r="W410" s="226"/>
      <c r="X410" s="106"/>
      <c r="Y410" s="82"/>
      <c r="Z410" s="83"/>
      <c r="AA410" s="83"/>
      <c r="AB410" s="83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</row>
    <row r="411" spans="1:45" ht="15.75">
      <c r="A411" s="179" t="s">
        <v>159</v>
      </c>
      <c r="B411" s="179"/>
      <c r="C411" s="218">
        <v>0</v>
      </c>
      <c r="D411" s="239">
        <v>9.766</v>
      </c>
      <c r="E411" s="226" t="s">
        <v>116</v>
      </c>
      <c r="F411" s="106">
        <f t="shared" si="103"/>
        <v>0</v>
      </c>
      <c r="G411" s="239">
        <v>10.359</v>
      </c>
      <c r="H411" s="226" t="s">
        <v>116</v>
      </c>
      <c r="I411" s="106">
        <f t="shared" si="104"/>
        <v>0</v>
      </c>
      <c r="J411" s="239">
        <f>J402</f>
        <v>10.359</v>
      </c>
      <c r="K411" s="226" t="s">
        <v>116</v>
      </c>
      <c r="L411" s="106">
        <f t="shared" si="105"/>
        <v>0</v>
      </c>
      <c r="M411" s="106"/>
      <c r="N411" s="239">
        <f>N402</f>
        <v>2.0999373501613916</v>
      </c>
      <c r="O411" s="226" t="s">
        <v>116</v>
      </c>
      <c r="P411" s="106"/>
      <c r="Q411" s="106"/>
      <c r="R411" s="239"/>
      <c r="S411" s="226"/>
      <c r="T411" s="106"/>
      <c r="U411" s="106"/>
      <c r="V411" s="239"/>
      <c r="W411" s="226"/>
      <c r="X411" s="106"/>
      <c r="Y411" s="82"/>
      <c r="Z411" s="83"/>
      <c r="AA411" s="83"/>
      <c r="AB411" s="83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</row>
    <row r="412" spans="1:45" ht="15.75">
      <c r="A412" s="179" t="s">
        <v>153</v>
      </c>
      <c r="B412" s="179"/>
      <c r="C412" s="218">
        <v>0</v>
      </c>
      <c r="D412" s="239">
        <v>6.7460000000000004</v>
      </c>
      <c r="E412" s="226" t="s">
        <v>116</v>
      </c>
      <c r="F412" s="106">
        <f t="shared" si="103"/>
        <v>0</v>
      </c>
      <c r="G412" s="239">
        <v>7.1559999999999997</v>
      </c>
      <c r="H412" s="226" t="s">
        <v>116</v>
      </c>
      <c r="I412" s="106">
        <f t="shared" si="104"/>
        <v>0</v>
      </c>
      <c r="J412" s="239">
        <f>J403</f>
        <v>7.1559999999999997</v>
      </c>
      <c r="K412" s="226" t="s">
        <v>116</v>
      </c>
      <c r="L412" s="106">
        <f t="shared" si="105"/>
        <v>0</v>
      </c>
      <c r="M412" s="106"/>
      <c r="N412" s="239">
        <f>N403</f>
        <v>1.4506372890969126</v>
      </c>
      <c r="O412" s="226" t="s">
        <v>116</v>
      </c>
      <c r="P412" s="106"/>
      <c r="Q412" s="106"/>
      <c r="R412" s="239"/>
      <c r="S412" s="226"/>
      <c r="T412" s="106"/>
      <c r="U412" s="106"/>
      <c r="V412" s="239"/>
      <c r="W412" s="226"/>
      <c r="X412" s="106"/>
      <c r="Y412" s="82"/>
      <c r="Z412" s="83"/>
      <c r="AA412" s="83"/>
      <c r="AB412" s="83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</row>
    <row r="413" spans="1:45" ht="15.75">
      <c r="A413" s="179" t="s">
        <v>154</v>
      </c>
      <c r="B413" s="179"/>
      <c r="C413" s="218">
        <v>0</v>
      </c>
      <c r="D413" s="239">
        <v>5.8120000000000003</v>
      </c>
      <c r="E413" s="226" t="s">
        <v>116</v>
      </c>
      <c r="F413" s="106">
        <f t="shared" si="103"/>
        <v>0</v>
      </c>
      <c r="G413" s="239">
        <v>6.1660000000000004</v>
      </c>
      <c r="H413" s="226" t="s">
        <v>116</v>
      </c>
      <c r="I413" s="106">
        <f t="shared" si="104"/>
        <v>0</v>
      </c>
      <c r="J413" s="239">
        <f>J404</f>
        <v>6.1660000000000004</v>
      </c>
      <c r="K413" s="226" t="s">
        <v>116</v>
      </c>
      <c r="L413" s="106">
        <f t="shared" si="105"/>
        <v>0</v>
      </c>
      <c r="M413" s="106"/>
      <c r="N413" s="239">
        <f>N404</f>
        <v>1.2499482286992125</v>
      </c>
      <c r="O413" s="226" t="s">
        <v>116</v>
      </c>
      <c r="P413" s="106"/>
      <c r="Q413" s="106"/>
      <c r="R413" s="239"/>
      <c r="S413" s="226"/>
      <c r="T413" s="106"/>
      <c r="U413" s="106"/>
      <c r="V413" s="239"/>
      <c r="W413" s="226"/>
      <c r="X413" s="106"/>
      <c r="Y413" s="82"/>
      <c r="Z413" s="83"/>
      <c r="AA413" s="83"/>
      <c r="AB413" s="83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</row>
    <row r="414" spans="1:45" ht="15.75">
      <c r="A414" s="179" t="s">
        <v>155</v>
      </c>
      <c r="B414" s="179"/>
      <c r="C414" s="218">
        <v>0</v>
      </c>
      <c r="D414" s="241">
        <v>56</v>
      </c>
      <c r="E414" s="226" t="s">
        <v>116</v>
      </c>
      <c r="F414" s="106">
        <f t="shared" si="103"/>
        <v>0</v>
      </c>
      <c r="G414" s="241">
        <v>56</v>
      </c>
      <c r="H414" s="226" t="s">
        <v>116</v>
      </c>
      <c r="I414" s="106">
        <f t="shared" si="104"/>
        <v>0</v>
      </c>
      <c r="J414" s="241">
        <f>J405</f>
        <v>56</v>
      </c>
      <c r="K414" s="226" t="s">
        <v>116</v>
      </c>
      <c r="L414" s="106">
        <f t="shared" si="105"/>
        <v>0</v>
      </c>
      <c r="M414" s="106"/>
      <c r="N414" s="241">
        <f>N405</f>
        <v>0</v>
      </c>
      <c r="O414" s="226" t="s">
        <v>116</v>
      </c>
      <c r="P414" s="106"/>
      <c r="Q414" s="106"/>
      <c r="R414" s="241"/>
      <c r="S414" s="226"/>
      <c r="T414" s="106"/>
      <c r="U414" s="106"/>
      <c r="V414" s="241"/>
      <c r="W414" s="226"/>
      <c r="X414" s="106"/>
      <c r="Y414" s="82"/>
      <c r="Z414" s="83"/>
      <c r="AA414" s="83"/>
      <c r="AB414" s="83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</row>
    <row r="415" spans="1:45" ht="15.75">
      <c r="A415" s="179" t="s">
        <v>160</v>
      </c>
      <c r="B415" s="179"/>
      <c r="C415" s="218">
        <v>0</v>
      </c>
      <c r="D415" s="243">
        <v>60</v>
      </c>
      <c r="E415" s="220"/>
      <c r="F415" s="106">
        <f t="shared" si="103"/>
        <v>0</v>
      </c>
      <c r="G415" s="243">
        <v>60</v>
      </c>
      <c r="H415" s="226"/>
      <c r="I415" s="106">
        <f t="shared" si="104"/>
        <v>0</v>
      </c>
      <c r="J415" s="243">
        <f>$J$182</f>
        <v>60</v>
      </c>
      <c r="K415" s="226"/>
      <c r="L415" s="106">
        <f t="shared" si="105"/>
        <v>0</v>
      </c>
      <c r="M415" s="106"/>
      <c r="N415" s="243" t="str">
        <f>$N$182</f>
        <v xml:space="preserve"> </v>
      </c>
      <c r="O415" s="226"/>
      <c r="P415" s="106"/>
      <c r="Q415" s="106"/>
      <c r="R415" s="243"/>
      <c r="S415" s="226"/>
      <c r="T415" s="106"/>
      <c r="U415" s="106"/>
      <c r="V415" s="243"/>
      <c r="W415" s="226"/>
      <c r="X415" s="106"/>
      <c r="Y415" s="82"/>
      <c r="Z415" s="83"/>
      <c r="AA415" s="83"/>
      <c r="AB415" s="83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</row>
    <row r="416" spans="1:45" ht="15.75">
      <c r="A416" s="179" t="s">
        <v>161</v>
      </c>
      <c r="B416" s="179"/>
      <c r="C416" s="218">
        <v>0</v>
      </c>
      <c r="D416" s="244">
        <v>-30</v>
      </c>
      <c r="E416" s="220" t="s">
        <v>116</v>
      </c>
      <c r="F416" s="106">
        <f t="shared" si="103"/>
        <v>0</v>
      </c>
      <c r="G416" s="244">
        <v>-30</v>
      </c>
      <c r="H416" s="226" t="s">
        <v>116</v>
      </c>
      <c r="I416" s="106">
        <f t="shared" si="104"/>
        <v>0</v>
      </c>
      <c r="J416" s="244">
        <f>$J$183</f>
        <v>-30</v>
      </c>
      <c r="K416" s="226" t="s">
        <v>116</v>
      </c>
      <c r="L416" s="106">
        <f t="shared" si="105"/>
        <v>0</v>
      </c>
      <c r="M416" s="106"/>
      <c r="N416" s="244">
        <f>$N$183</f>
        <v>-30</v>
      </c>
      <c r="O416" s="226" t="s">
        <v>116</v>
      </c>
      <c r="P416" s="106"/>
      <c r="Q416" s="106"/>
      <c r="R416" s="244"/>
      <c r="S416" s="226"/>
      <c r="T416" s="106"/>
      <c r="U416" s="106"/>
      <c r="V416" s="244"/>
      <c r="W416" s="226"/>
      <c r="X416" s="106"/>
      <c r="Y416" s="82"/>
      <c r="Z416" s="83"/>
      <c r="AA416" s="83"/>
      <c r="AB416" s="83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</row>
    <row r="417" spans="1:45" ht="15.75">
      <c r="A417" s="179" t="s">
        <v>134</v>
      </c>
      <c r="B417" s="179"/>
      <c r="C417" s="218">
        <f>C446+C475</f>
        <v>470005</v>
      </c>
      <c r="D417" s="222"/>
      <c r="E417" s="106"/>
      <c r="F417" s="106">
        <f t="shared" si="103"/>
        <v>116569</v>
      </c>
      <c r="G417" s="222"/>
      <c r="H417" s="226"/>
      <c r="I417" s="106">
        <f t="shared" si="104"/>
        <v>120570</v>
      </c>
      <c r="J417" s="106"/>
      <c r="K417" s="226"/>
      <c r="L417" s="106">
        <f t="shared" si="105"/>
        <v>120570</v>
      </c>
      <c r="M417" s="106"/>
      <c r="N417" s="106"/>
      <c r="O417" s="226"/>
      <c r="P417" s="106">
        <f>P446+P475</f>
        <v>63704</v>
      </c>
      <c r="Q417" s="106"/>
      <c r="R417" s="106"/>
      <c r="S417" s="226"/>
      <c r="T417" s="106">
        <f ca="1">T446+T475</f>
        <v>11462</v>
      </c>
      <c r="U417" s="106"/>
      <c r="V417" s="106"/>
      <c r="W417" s="226"/>
      <c r="X417" s="106">
        <f ca="1">X446+X475</f>
        <v>44417</v>
      </c>
      <c r="Y417" s="82"/>
      <c r="Z417" s="83"/>
      <c r="AA417" s="83"/>
      <c r="AB417" s="83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</row>
    <row r="418" spans="1:45" ht="15.75">
      <c r="A418" s="179" t="s">
        <v>119</v>
      </c>
      <c r="B418" s="179"/>
      <c r="C418" s="247">
        <f>C447+C476</f>
        <v>-1455.4651470486108</v>
      </c>
      <c r="D418" s="138"/>
      <c r="E418" s="138"/>
      <c r="F418" s="248">
        <f>I418</f>
        <v>-342.84775965875946</v>
      </c>
      <c r="G418" s="138"/>
      <c r="H418" s="138"/>
      <c r="I418" s="248">
        <f t="shared" si="104"/>
        <v>-342.84775965875946</v>
      </c>
      <c r="J418" s="138"/>
      <c r="K418" s="138"/>
      <c r="L418" s="248">
        <f>I418</f>
        <v>-342.84775965875946</v>
      </c>
      <c r="M418" s="221"/>
      <c r="N418" s="138"/>
      <c r="O418" s="138"/>
      <c r="P418" s="248">
        <f>L418*AB192</f>
        <v>-69.50080277310407</v>
      </c>
      <c r="Q418" s="221"/>
      <c r="R418" s="138"/>
      <c r="S418" s="138"/>
      <c r="T418" s="248">
        <f>L418*AA192</f>
        <v>-56.097734531857334</v>
      </c>
      <c r="U418" s="221"/>
      <c r="V418" s="138"/>
      <c r="W418" s="138"/>
      <c r="X418" s="248">
        <f>L418*Z192</f>
        <v>-217.24922235379805</v>
      </c>
      <c r="Y418" s="443"/>
      <c r="Z418" s="168"/>
      <c r="AA418" s="83"/>
      <c r="AB418" s="83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</row>
    <row r="419" spans="1:45" ht="16.5" thickBot="1">
      <c r="A419" s="179" t="s">
        <v>135</v>
      </c>
      <c r="B419" s="179"/>
      <c r="C419" s="199">
        <f>SUM(C417:C418)</f>
        <v>468549.53485295142</v>
      </c>
      <c r="D419" s="268"/>
      <c r="E419" s="250"/>
      <c r="F419" s="251">
        <f>F417+F418</f>
        <v>116226.15224034124</v>
      </c>
      <c r="G419" s="268"/>
      <c r="H419" s="269"/>
      <c r="I419" s="251">
        <f>I417+I418</f>
        <v>120227.15224034124</v>
      </c>
      <c r="J419" s="268"/>
      <c r="K419" s="269"/>
      <c r="L419" s="251">
        <f>L417+L418</f>
        <v>120227.15224034124</v>
      </c>
      <c r="M419" s="251"/>
      <c r="N419" s="268"/>
      <c r="O419" s="269"/>
      <c r="P419" s="251">
        <f>P417+P418</f>
        <v>63634.499197226898</v>
      </c>
      <c r="Q419" s="251"/>
      <c r="R419" s="268"/>
      <c r="S419" s="269"/>
      <c r="T419" s="251">
        <f ca="1">T417+T418</f>
        <v>11405.902265468143</v>
      </c>
      <c r="U419" s="251"/>
      <c r="V419" s="268"/>
      <c r="W419" s="269"/>
      <c r="X419" s="251">
        <f ca="1">X417+X418</f>
        <v>44199.750777646201</v>
      </c>
      <c r="Y419" s="176"/>
      <c r="Z419" s="177"/>
      <c r="AA419" s="83"/>
      <c r="AB419" s="83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</row>
    <row r="420" spans="1:45" ht="16.5" thickTop="1">
      <c r="A420" s="179"/>
      <c r="B420" s="179"/>
      <c r="C420" s="205"/>
      <c r="D420" s="243" t="s">
        <v>108</v>
      </c>
      <c r="E420" s="106"/>
      <c r="F420" s="106"/>
      <c r="G420" s="243" t="s">
        <v>108</v>
      </c>
      <c r="H420" s="179"/>
      <c r="I420" s="106"/>
      <c r="J420" s="275" t="s">
        <v>108</v>
      </c>
      <c r="K420" s="179"/>
      <c r="L420" s="106"/>
      <c r="M420" s="106"/>
      <c r="N420" s="275" t="s">
        <v>108</v>
      </c>
      <c r="O420" s="179"/>
      <c r="P420" s="106" t="s">
        <v>108</v>
      </c>
      <c r="Q420" s="106"/>
      <c r="R420" s="275" t="s">
        <v>108</v>
      </c>
      <c r="S420" s="179"/>
      <c r="T420" s="106" t="s">
        <v>108</v>
      </c>
      <c r="U420" s="106"/>
      <c r="V420" s="275" t="s">
        <v>108</v>
      </c>
      <c r="W420" s="179"/>
      <c r="X420" s="106" t="s">
        <v>108</v>
      </c>
      <c r="Y420" s="82"/>
      <c r="Z420" s="83"/>
      <c r="AA420" s="83"/>
      <c r="AB420" s="83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</row>
    <row r="421" spans="1:45" ht="15.75">
      <c r="A421" s="178" t="s">
        <v>171</v>
      </c>
      <c r="B421" s="179"/>
      <c r="C421" s="179"/>
      <c r="D421" s="106"/>
      <c r="E421" s="106"/>
      <c r="F421" s="179" t="s">
        <v>108</v>
      </c>
      <c r="G421" s="106"/>
      <c r="H421" s="179"/>
      <c r="I421" s="179"/>
      <c r="J421" s="106"/>
      <c r="K421" s="179"/>
      <c r="L421" s="179"/>
      <c r="M421" s="179"/>
      <c r="N421" s="106"/>
      <c r="O421" s="179"/>
      <c r="P421" s="179"/>
      <c r="Q421" s="179"/>
      <c r="R421" s="106"/>
      <c r="S421" s="179"/>
      <c r="T421" s="179"/>
      <c r="U421" s="179"/>
      <c r="V421" s="106"/>
      <c r="W421" s="179"/>
      <c r="X421" s="179"/>
      <c r="Y421" s="82"/>
      <c r="Z421" s="83"/>
      <c r="AA421" s="83"/>
      <c r="AB421" s="83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</row>
    <row r="422" spans="1:45" ht="15.75">
      <c r="A422" s="179" t="s">
        <v>166</v>
      </c>
      <c r="B422" s="179"/>
      <c r="C422" s="179"/>
      <c r="D422" s="106"/>
      <c r="E422" s="106"/>
      <c r="F422" s="179"/>
      <c r="G422" s="106"/>
      <c r="H422" s="179"/>
      <c r="I422" s="179"/>
      <c r="J422" s="106"/>
      <c r="K422" s="179"/>
      <c r="L422" s="179"/>
      <c r="M422" s="179"/>
      <c r="N422" s="106"/>
      <c r="O422" s="179"/>
      <c r="P422" s="179"/>
      <c r="Q422" s="179"/>
      <c r="R422" s="106"/>
      <c r="S422" s="179"/>
      <c r="T422" s="179"/>
      <c r="U422" s="179"/>
      <c r="V422" s="106"/>
      <c r="W422" s="179"/>
      <c r="X422" s="179"/>
      <c r="Y422" s="82"/>
      <c r="Z422" s="83"/>
      <c r="AA422" s="83"/>
      <c r="AB422" s="83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</row>
    <row r="423" spans="1:45" ht="15.75">
      <c r="A423" s="179" t="s">
        <v>172</v>
      </c>
      <c r="B423" s="179"/>
      <c r="C423" s="179"/>
      <c r="D423" s="106"/>
      <c r="E423" s="106"/>
      <c r="F423" s="179"/>
      <c r="G423" s="106"/>
      <c r="H423" s="179"/>
      <c r="I423" s="179"/>
      <c r="J423" s="106"/>
      <c r="K423" s="179"/>
      <c r="L423" s="179"/>
      <c r="M423" s="179"/>
      <c r="N423" s="106"/>
      <c r="O423" s="179"/>
      <c r="P423" s="179"/>
      <c r="Q423" s="179"/>
      <c r="R423" s="106"/>
      <c r="S423" s="179"/>
      <c r="T423" s="179"/>
      <c r="U423" s="179"/>
      <c r="V423" s="106"/>
      <c r="W423" s="179"/>
      <c r="X423" s="179"/>
      <c r="Y423" s="82"/>
      <c r="Z423" s="83"/>
      <c r="AA423" s="83"/>
      <c r="AB423" s="83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</row>
    <row r="424" spans="1:45" ht="15.75">
      <c r="A424" s="179" t="s">
        <v>11</v>
      </c>
      <c r="B424" s="179"/>
      <c r="C424" s="218"/>
      <c r="D424" s="106"/>
      <c r="E424" s="106"/>
      <c r="F424" s="179"/>
      <c r="G424" s="106"/>
      <c r="H424" s="179"/>
      <c r="I424" s="179"/>
      <c r="J424" s="106"/>
      <c r="K424" s="179"/>
      <c r="L424" s="179"/>
      <c r="M424" s="179"/>
      <c r="N424" s="106"/>
      <c r="O424" s="179"/>
      <c r="P424" s="179"/>
      <c r="Q424" s="179"/>
      <c r="R424" s="106"/>
      <c r="S424" s="179"/>
      <c r="T424" s="179"/>
      <c r="U424" s="179"/>
      <c r="V424" s="106"/>
      <c r="W424" s="179"/>
      <c r="X424" s="179"/>
      <c r="Y424" s="82"/>
      <c r="Z424" s="83"/>
      <c r="AA424" s="83"/>
      <c r="AB424" s="83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</row>
    <row r="425" spans="1:45" ht="15.75">
      <c r="A425" s="179" t="s">
        <v>147</v>
      </c>
      <c r="B425" s="179"/>
      <c r="C425" s="218">
        <v>1</v>
      </c>
      <c r="D425" s="210">
        <v>104.52000000000001</v>
      </c>
      <c r="E425" s="220"/>
      <c r="F425" s="106">
        <f>ROUND(D425*$C425,0)</f>
        <v>105</v>
      </c>
      <c r="G425" s="210">
        <v>104.52000000000001</v>
      </c>
      <c r="H425" s="226"/>
      <c r="I425" s="106">
        <f>ROUND(G425*$C425,0)</f>
        <v>105</v>
      </c>
      <c r="J425" s="210">
        <f>$J$159</f>
        <v>104.52000000000001</v>
      </c>
      <c r="K425" s="226"/>
      <c r="L425" s="106">
        <f>ROUND(J425*$C425,0)</f>
        <v>105</v>
      </c>
      <c r="M425" s="106"/>
      <c r="N425" s="210">
        <f>$N$159</f>
        <v>105</v>
      </c>
      <c r="O425" s="226"/>
      <c r="P425" s="106">
        <f>ROUND(N425*$C425,0)</f>
        <v>105</v>
      </c>
      <c r="Q425" s="106"/>
      <c r="R425" s="210"/>
      <c r="S425" s="226"/>
      <c r="T425" s="106"/>
      <c r="U425" s="106"/>
      <c r="V425" s="210"/>
      <c r="W425" s="226"/>
      <c r="X425" s="106"/>
      <c r="Y425" s="82"/>
      <c r="Z425" s="83"/>
      <c r="AA425" s="83"/>
      <c r="AB425" s="83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</row>
    <row r="426" spans="1:45" ht="15.75">
      <c r="A426" s="179" t="s">
        <v>148</v>
      </c>
      <c r="B426" s="179"/>
      <c r="C426" s="218">
        <v>85.216438356164403</v>
      </c>
      <c r="D426" s="210">
        <v>155.76</v>
      </c>
      <c r="E426" s="222"/>
      <c r="F426" s="106">
        <f>ROUND(D426*$C426,0)</f>
        <v>13273</v>
      </c>
      <c r="G426" s="210">
        <v>155.76</v>
      </c>
      <c r="H426" s="265"/>
      <c r="I426" s="106">
        <f t="shared" ref="I426:I427" si="106">ROUND(G426*$C426,0)</f>
        <v>13273</v>
      </c>
      <c r="J426" s="210">
        <f>$J$160</f>
        <v>155.76</v>
      </c>
      <c r="K426" s="265"/>
      <c r="L426" s="106">
        <f>ROUND(J426*$C426,0)</f>
        <v>13273</v>
      </c>
      <c r="M426" s="106"/>
      <c r="N426" s="210">
        <f>$N$160</f>
        <v>155.76</v>
      </c>
      <c r="O426" s="265"/>
      <c r="P426" s="106">
        <f>ROUND(N426*$C426,0)</f>
        <v>13273</v>
      </c>
      <c r="Q426" s="106"/>
      <c r="R426" s="210"/>
      <c r="S426" s="265"/>
      <c r="T426" s="106"/>
      <c r="U426" s="106"/>
      <c r="V426" s="210"/>
      <c r="W426" s="265"/>
      <c r="X426" s="106"/>
      <c r="Y426" s="82"/>
      <c r="Z426" s="83"/>
      <c r="AA426" s="83"/>
      <c r="AB426" s="83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</row>
    <row r="427" spans="1:45" ht="15.75">
      <c r="A427" s="179" t="s">
        <v>149</v>
      </c>
      <c r="B427" s="179"/>
      <c r="C427" s="218">
        <v>3285.78082191781</v>
      </c>
      <c r="D427" s="210">
        <v>11.040000000000001</v>
      </c>
      <c r="E427" s="222"/>
      <c r="F427" s="106">
        <f>ROUND(D427*$C427,0)</f>
        <v>36275</v>
      </c>
      <c r="G427" s="210">
        <v>11.040000000000001</v>
      </c>
      <c r="H427" s="265"/>
      <c r="I427" s="106">
        <f t="shared" si="106"/>
        <v>36275</v>
      </c>
      <c r="J427" s="210">
        <f>$J$161</f>
        <v>11.040000000000001</v>
      </c>
      <c r="K427" s="265"/>
      <c r="L427" s="106">
        <f>ROUND(J427*$C427,0)</f>
        <v>36275</v>
      </c>
      <c r="M427" s="106"/>
      <c r="N427" s="210">
        <f>$N$161</f>
        <v>11.04</v>
      </c>
      <c r="O427" s="265"/>
      <c r="P427" s="106">
        <f>ROUND(N427*$C427,0)</f>
        <v>36275</v>
      </c>
      <c r="Q427" s="106"/>
      <c r="R427" s="210"/>
      <c r="S427" s="265"/>
      <c r="T427" s="106"/>
      <c r="U427" s="106"/>
      <c r="V427" s="210"/>
      <c r="W427" s="265"/>
      <c r="X427" s="106"/>
      <c r="Y427" s="82"/>
      <c r="Z427" s="83"/>
      <c r="AA427" s="83"/>
      <c r="AB427" s="83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</row>
    <row r="428" spans="1:45" ht="15.75">
      <c r="A428" s="179" t="s">
        <v>150</v>
      </c>
      <c r="B428" s="179"/>
      <c r="C428" s="218">
        <f>SUM(C425:C426)</f>
        <v>86.216438356164403</v>
      </c>
      <c r="D428" s="210"/>
      <c r="E428" s="220"/>
      <c r="F428" s="106"/>
      <c r="G428" s="210"/>
      <c r="H428" s="226"/>
      <c r="I428" s="106"/>
      <c r="J428" s="210"/>
      <c r="K428" s="226"/>
      <c r="L428" s="106"/>
      <c r="M428" s="106"/>
      <c r="N428" s="210"/>
      <c r="O428" s="226"/>
      <c r="P428" s="106"/>
      <c r="Q428" s="106"/>
      <c r="R428" s="210"/>
      <c r="S428" s="226"/>
      <c r="T428" s="106"/>
      <c r="U428" s="106"/>
      <c r="V428" s="210"/>
      <c r="W428" s="226"/>
      <c r="X428" s="106"/>
      <c r="Y428" s="82"/>
      <c r="Z428" s="83"/>
      <c r="AA428" s="83"/>
      <c r="AB428" s="83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</row>
    <row r="429" spans="1:45" ht="15.75">
      <c r="A429" s="179" t="s">
        <v>173</v>
      </c>
      <c r="B429" s="179"/>
      <c r="C429" s="218">
        <v>1009.0816666666664</v>
      </c>
      <c r="D429" s="210"/>
      <c r="E429" s="220"/>
      <c r="F429" s="106"/>
      <c r="G429" s="210"/>
      <c r="H429" s="226"/>
      <c r="I429" s="106"/>
      <c r="J429" s="210"/>
      <c r="K429" s="226"/>
      <c r="L429" s="106"/>
      <c r="M429" s="106"/>
      <c r="N429" s="210"/>
      <c r="O429" s="226"/>
      <c r="P429" s="106"/>
      <c r="Q429" s="106"/>
      <c r="R429" s="210"/>
      <c r="S429" s="226"/>
      <c r="T429" s="106"/>
      <c r="U429" s="106"/>
      <c r="V429" s="210"/>
      <c r="W429" s="226"/>
      <c r="X429" s="106"/>
      <c r="Y429" s="82"/>
      <c r="Z429" s="83"/>
      <c r="AA429" s="83"/>
      <c r="AB429" s="83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</row>
    <row r="430" spans="1:45" ht="15.75">
      <c r="A430" s="179" t="s">
        <v>151</v>
      </c>
      <c r="B430" s="179"/>
      <c r="C430" s="218">
        <v>8708.8205882352995</v>
      </c>
      <c r="D430" s="243">
        <v>3.4</v>
      </c>
      <c r="E430" s="226"/>
      <c r="F430" s="106">
        <f>ROUND(D430*$C430,0)</f>
        <v>29610</v>
      </c>
      <c r="G430" s="243">
        <v>3.61</v>
      </c>
      <c r="H430" s="226"/>
      <c r="I430" s="106">
        <f>ROUND(G430*C430,0)</f>
        <v>31439</v>
      </c>
      <c r="J430" s="243">
        <f>$J$168</f>
        <v>3.61</v>
      </c>
      <c r="K430" s="226"/>
      <c r="L430" s="106">
        <f>ROUND(J430*$C430,0)</f>
        <v>31439</v>
      </c>
      <c r="M430" s="106"/>
      <c r="N430" s="243">
        <f>$N$168</f>
        <v>0.73180556367242244</v>
      </c>
      <c r="O430" s="226"/>
      <c r="P430" s="106">
        <f>ROUND(N430*$C430,0)</f>
        <v>6373</v>
      </c>
      <c r="Q430" s="106"/>
      <c r="R430" s="243">
        <f>$R$168</f>
        <v>0.59067856199955471</v>
      </c>
      <c r="S430" s="226"/>
      <c r="T430" s="106">
        <f>ROUND(R430*$C430,0)</f>
        <v>5144</v>
      </c>
      <c r="U430" s="106"/>
      <c r="V430" s="243">
        <f>$V$168</f>
        <v>2.2875158743280228</v>
      </c>
      <c r="W430" s="226"/>
      <c r="X430" s="106">
        <f>ROUND(V430*$C430,0)</f>
        <v>19922</v>
      </c>
      <c r="Y430" s="82"/>
      <c r="Z430" s="83"/>
      <c r="AA430" s="83"/>
      <c r="AB430" s="83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</row>
    <row r="431" spans="1:45" ht="15.75">
      <c r="A431" s="179" t="s">
        <v>152</v>
      </c>
      <c r="B431" s="179"/>
      <c r="C431" s="218">
        <v>146926</v>
      </c>
      <c r="D431" s="211">
        <v>9.766</v>
      </c>
      <c r="E431" s="226" t="s">
        <v>116</v>
      </c>
      <c r="F431" s="106">
        <f>ROUND(D431*$C431/100,0)</f>
        <v>14349</v>
      </c>
      <c r="G431" s="211">
        <v>10.359</v>
      </c>
      <c r="H431" s="226" t="s">
        <v>116</v>
      </c>
      <c r="I431" s="106">
        <f>ROUND(G431*C431/100,0)</f>
        <v>15220</v>
      </c>
      <c r="J431" s="211">
        <f>$J$169</f>
        <v>10.359</v>
      </c>
      <c r="K431" s="226" t="s">
        <v>116</v>
      </c>
      <c r="L431" s="106">
        <f>ROUND(J431*$C431/100,0)</f>
        <v>15220</v>
      </c>
      <c r="M431" s="106"/>
      <c r="N431" s="211">
        <f>$N$169</f>
        <v>2.0999373501613916</v>
      </c>
      <c r="O431" s="226" t="s">
        <v>116</v>
      </c>
      <c r="P431" s="106">
        <f>ROUND(N431*$C431/100,0)</f>
        <v>3085</v>
      </c>
      <c r="Q431" s="106"/>
      <c r="R431" s="211">
        <f>$R$169</f>
        <v>1.69496931405911</v>
      </c>
      <c r="S431" s="226" t="s">
        <v>116</v>
      </c>
      <c r="T431" s="106">
        <f>ROUND(R431*$C431/100,0)</f>
        <v>2490</v>
      </c>
      <c r="U431" s="106"/>
      <c r="V431" s="211">
        <f>$V$169</f>
        <v>6.5640933357794982</v>
      </c>
      <c r="W431" s="226" t="s">
        <v>116</v>
      </c>
      <c r="X431" s="106">
        <f>ROUND(V431*$C431/100,0)</f>
        <v>9644</v>
      </c>
      <c r="Y431" s="82"/>
      <c r="Z431" s="83"/>
      <c r="AA431" s="83"/>
      <c r="AB431" s="83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</row>
    <row r="432" spans="1:45" ht="15.75">
      <c r="A432" s="179" t="s">
        <v>153</v>
      </c>
      <c r="B432" s="179"/>
      <c r="C432" s="218">
        <v>139847</v>
      </c>
      <c r="D432" s="211">
        <v>6.7460000000000004</v>
      </c>
      <c r="E432" s="226" t="s">
        <v>116</v>
      </c>
      <c r="F432" s="106">
        <f>ROUND(D432*$C432/100,0)</f>
        <v>9434</v>
      </c>
      <c r="G432" s="211">
        <v>7.1559999999999997</v>
      </c>
      <c r="H432" s="226" t="s">
        <v>116</v>
      </c>
      <c r="I432" s="106">
        <f t="shared" ref="I432:I434" si="107">ROUND(G432*C432/100,0)</f>
        <v>10007</v>
      </c>
      <c r="J432" s="211">
        <f>$J$170</f>
        <v>7.1559999999999997</v>
      </c>
      <c r="K432" s="226" t="s">
        <v>116</v>
      </c>
      <c r="L432" s="106">
        <f>ROUND(J432*$C432/100,0)</f>
        <v>10007</v>
      </c>
      <c r="M432" s="106"/>
      <c r="N432" s="211">
        <f>$N$170</f>
        <v>1.4506372890969126</v>
      </c>
      <c r="O432" s="226" t="s">
        <v>116</v>
      </c>
      <c r="P432" s="106">
        <f>ROUND(N432*$C432/100,0)</f>
        <v>2029</v>
      </c>
      <c r="Q432" s="106"/>
      <c r="R432" s="211">
        <f>$R$170</f>
        <v>1.1708852602960702</v>
      </c>
      <c r="S432" s="226" t="s">
        <v>116</v>
      </c>
      <c r="T432" s="106">
        <f>ROUND(R432*$C432/100,0)</f>
        <v>1637</v>
      </c>
      <c r="U432" s="106"/>
      <c r="V432" s="211">
        <f>$V$170</f>
        <v>4.5344774506070165</v>
      </c>
      <c r="W432" s="226" t="s">
        <v>116</v>
      </c>
      <c r="X432" s="106">
        <f>ROUND(V432*$C432/100,0)</f>
        <v>6341</v>
      </c>
      <c r="Y432" s="82"/>
      <c r="Z432" s="83"/>
      <c r="AA432" s="83"/>
      <c r="AB432" s="83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</row>
    <row r="433" spans="1:45" ht="15.75">
      <c r="A433" s="179" t="s">
        <v>154</v>
      </c>
      <c r="B433" s="179"/>
      <c r="C433" s="218">
        <v>173680</v>
      </c>
      <c r="D433" s="211">
        <v>5.8120000000000003</v>
      </c>
      <c r="E433" s="226" t="s">
        <v>116</v>
      </c>
      <c r="F433" s="106">
        <f>ROUND(D433*$C433/100,0)</f>
        <v>10094</v>
      </c>
      <c r="G433" s="211">
        <v>6.1660000000000004</v>
      </c>
      <c r="H433" s="226" t="s">
        <v>116</v>
      </c>
      <c r="I433" s="106">
        <f t="shared" si="107"/>
        <v>10709</v>
      </c>
      <c r="J433" s="211">
        <f>$J$171</f>
        <v>6.1660000000000004</v>
      </c>
      <c r="K433" s="226" t="s">
        <v>116</v>
      </c>
      <c r="L433" s="106">
        <f>ROUND(J433*$C433/100,0)</f>
        <v>10709</v>
      </c>
      <c r="M433" s="106"/>
      <c r="N433" s="211">
        <f>$N$171</f>
        <v>1.2499482286992125</v>
      </c>
      <c r="O433" s="226" t="s">
        <v>116</v>
      </c>
      <c r="P433" s="106">
        <f>ROUND(N433*$C433/100,0)</f>
        <v>2171</v>
      </c>
      <c r="Q433" s="106"/>
      <c r="R433" s="211">
        <f>$R$171</f>
        <v>1.0088986186396827</v>
      </c>
      <c r="S433" s="226" t="s">
        <v>116</v>
      </c>
      <c r="T433" s="106">
        <f>ROUND(R433*$C433/100,0)</f>
        <v>1752</v>
      </c>
      <c r="U433" s="106"/>
      <c r="V433" s="211">
        <f>$V$171</f>
        <v>3.9071531526611052</v>
      </c>
      <c r="W433" s="226" t="s">
        <v>116</v>
      </c>
      <c r="X433" s="106">
        <f>ROUND(V433*$C433/100,0)</f>
        <v>6786</v>
      </c>
      <c r="Y433" s="82"/>
      <c r="Z433" s="83"/>
      <c r="AA433" s="83"/>
      <c r="AB433" s="83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</row>
    <row r="434" spans="1:45" ht="15.75">
      <c r="A434" s="179" t="s">
        <v>155</v>
      </c>
      <c r="B434" s="179"/>
      <c r="C434" s="218">
        <v>1100.8816666666701</v>
      </c>
      <c r="D434" s="229">
        <v>56</v>
      </c>
      <c r="E434" s="220" t="s">
        <v>116</v>
      </c>
      <c r="F434" s="106">
        <f>ROUND(D434*$C434/100,0)</f>
        <v>616</v>
      </c>
      <c r="G434" s="229">
        <v>56</v>
      </c>
      <c r="H434" s="226" t="s">
        <v>116</v>
      </c>
      <c r="I434" s="106">
        <f t="shared" si="107"/>
        <v>616</v>
      </c>
      <c r="J434" s="229">
        <f>$J$172</f>
        <v>56</v>
      </c>
      <c r="K434" s="226" t="s">
        <v>116</v>
      </c>
      <c r="L434" s="106">
        <f>ROUND(J434*$C434/100,0)</f>
        <v>616</v>
      </c>
      <c r="M434" s="106"/>
      <c r="N434" s="229">
        <f>$N$172</f>
        <v>0</v>
      </c>
      <c r="O434" s="226" t="s">
        <v>116</v>
      </c>
      <c r="P434" s="106">
        <f>ROUND(N434*$C434/100,0)</f>
        <v>0</v>
      </c>
      <c r="Q434" s="106"/>
      <c r="R434" s="229">
        <f ca="1">$R$172</f>
        <v>11</v>
      </c>
      <c r="S434" s="226" t="s">
        <v>116</v>
      </c>
      <c r="T434" s="106">
        <f ca="1">ROUND(R434*$C434/100,0)</f>
        <v>121</v>
      </c>
      <c r="U434" s="106"/>
      <c r="V434" s="229">
        <f ca="1">$V$172</f>
        <v>45</v>
      </c>
      <c r="W434" s="226" t="s">
        <v>116</v>
      </c>
      <c r="X434" s="106">
        <f ca="1">ROUND(V434*$C434/100,0)</f>
        <v>495</v>
      </c>
      <c r="Y434" s="82"/>
      <c r="Z434" s="83"/>
      <c r="AA434" s="83"/>
      <c r="AB434" s="83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</row>
    <row r="435" spans="1:45" ht="15.75">
      <c r="A435" s="233" t="s">
        <v>156</v>
      </c>
      <c r="B435" s="179"/>
      <c r="C435" s="218"/>
      <c r="D435" s="234">
        <v>-0.01</v>
      </c>
      <c r="E435" s="220"/>
      <c r="F435" s="106"/>
      <c r="G435" s="234">
        <v>-0.01</v>
      </c>
      <c r="H435" s="226"/>
      <c r="I435" s="106"/>
      <c r="J435" s="234">
        <v>-0.01</v>
      </c>
      <c r="K435" s="226"/>
      <c r="L435" s="106"/>
      <c r="M435" s="106"/>
      <c r="N435" s="234">
        <v>-0.01</v>
      </c>
      <c r="O435" s="226"/>
      <c r="P435" s="106"/>
      <c r="Q435" s="106"/>
      <c r="R435" s="234">
        <v>-0.01</v>
      </c>
      <c r="S435" s="226"/>
      <c r="T435" s="106"/>
      <c r="U435" s="106"/>
      <c r="V435" s="234">
        <v>-0.01</v>
      </c>
      <c r="W435" s="226"/>
      <c r="X435" s="106"/>
      <c r="Y435" s="82"/>
      <c r="Z435" s="83"/>
      <c r="AA435" s="83"/>
      <c r="AB435" s="83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</row>
    <row r="436" spans="1:45" ht="15.75">
      <c r="A436" s="179" t="s">
        <v>147</v>
      </c>
      <c r="B436" s="179"/>
      <c r="C436" s="218">
        <v>0</v>
      </c>
      <c r="D436" s="237">
        <v>104.52000000000001</v>
      </c>
      <c r="E436" s="220"/>
      <c r="F436" s="106">
        <f>-ROUND(D436*$C436/100,0)</f>
        <v>0</v>
      </c>
      <c r="G436" s="237">
        <v>104.52000000000001</v>
      </c>
      <c r="H436" s="220"/>
      <c r="I436" s="106">
        <f>-ROUND(G436*$C436/100,0)</f>
        <v>0</v>
      </c>
      <c r="J436" s="237">
        <f>J425</f>
        <v>104.52000000000001</v>
      </c>
      <c r="K436" s="220"/>
      <c r="L436" s="106">
        <f>-ROUND(J436*$C436/100,0)</f>
        <v>0</v>
      </c>
      <c r="M436" s="106"/>
      <c r="N436" s="237"/>
      <c r="O436" s="220"/>
      <c r="P436" s="106"/>
      <c r="Q436" s="106"/>
      <c r="R436" s="237"/>
      <c r="S436" s="220"/>
      <c r="T436" s="106"/>
      <c r="U436" s="106"/>
      <c r="V436" s="237"/>
      <c r="W436" s="220"/>
      <c r="X436" s="106"/>
      <c r="Y436" s="82"/>
      <c r="Z436" s="83"/>
      <c r="AA436" s="83"/>
      <c r="AB436" s="83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</row>
    <row r="437" spans="1:45" ht="15.75">
      <c r="A437" s="179" t="s">
        <v>148</v>
      </c>
      <c r="B437" s="179"/>
      <c r="C437" s="218">
        <v>0</v>
      </c>
      <c r="D437" s="237">
        <v>155.76</v>
      </c>
      <c r="E437" s="220"/>
      <c r="F437" s="106">
        <f>-ROUND(D437*$C437/100,0)</f>
        <v>0</v>
      </c>
      <c r="G437" s="237">
        <v>155.76</v>
      </c>
      <c r="H437" s="220"/>
      <c r="I437" s="106">
        <f t="shared" ref="I437:I439" si="108">-ROUND(G437*$C437/100,0)</f>
        <v>0</v>
      </c>
      <c r="J437" s="237">
        <f>J426</f>
        <v>155.76</v>
      </c>
      <c r="K437" s="220"/>
      <c r="L437" s="106">
        <f>-ROUND(J437*$C437/100,0)</f>
        <v>0</v>
      </c>
      <c r="M437" s="106"/>
      <c r="N437" s="237"/>
      <c r="O437" s="220"/>
      <c r="P437" s="106"/>
      <c r="Q437" s="106"/>
      <c r="R437" s="237"/>
      <c r="S437" s="220"/>
      <c r="T437" s="106"/>
      <c r="U437" s="106"/>
      <c r="V437" s="237"/>
      <c r="W437" s="220"/>
      <c r="X437" s="106"/>
      <c r="Y437" s="82"/>
      <c r="Z437" s="83"/>
      <c r="AA437" s="83"/>
      <c r="AB437" s="83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</row>
    <row r="438" spans="1:45" ht="15.75">
      <c r="A438" s="179" t="s">
        <v>157</v>
      </c>
      <c r="B438" s="179"/>
      <c r="C438" s="218">
        <v>0</v>
      </c>
      <c r="D438" s="237">
        <v>11.040000000000001</v>
      </c>
      <c r="E438" s="220"/>
      <c r="F438" s="106">
        <f>-ROUND(D438*$C438/100,0)</f>
        <v>0</v>
      </c>
      <c r="G438" s="237">
        <v>11.040000000000001</v>
      </c>
      <c r="H438" s="220"/>
      <c r="I438" s="106">
        <f t="shared" si="108"/>
        <v>0</v>
      </c>
      <c r="J438" s="237">
        <f>J427</f>
        <v>11.040000000000001</v>
      </c>
      <c r="K438" s="220"/>
      <c r="L438" s="106">
        <f>-ROUND(J438*$C438/100,0)</f>
        <v>0</v>
      </c>
      <c r="M438" s="106"/>
      <c r="N438" s="237"/>
      <c r="O438" s="220"/>
      <c r="P438" s="106"/>
      <c r="Q438" s="106"/>
      <c r="R438" s="237"/>
      <c r="S438" s="220"/>
      <c r="T438" s="106"/>
      <c r="U438" s="106"/>
      <c r="V438" s="237"/>
      <c r="W438" s="220"/>
      <c r="X438" s="106"/>
      <c r="Y438" s="82"/>
      <c r="Z438" s="83"/>
      <c r="AA438" s="83"/>
      <c r="AB438" s="83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</row>
    <row r="439" spans="1:45" ht="15.75">
      <c r="A439" s="179" t="s">
        <v>158</v>
      </c>
      <c r="B439" s="179"/>
      <c r="C439" s="218">
        <v>0</v>
      </c>
      <c r="D439" s="237">
        <v>3.4</v>
      </c>
      <c r="E439" s="226"/>
      <c r="F439" s="106">
        <f>-ROUND(D439*$C439/100,0)</f>
        <v>0</v>
      </c>
      <c r="G439" s="237">
        <v>3.61</v>
      </c>
      <c r="H439" s="226"/>
      <c r="I439" s="106">
        <f t="shared" si="108"/>
        <v>0</v>
      </c>
      <c r="J439" s="237">
        <f>J430</f>
        <v>3.61</v>
      </c>
      <c r="K439" s="226"/>
      <c r="L439" s="106">
        <f>-ROUND(J439*$C439/100,0)</f>
        <v>0</v>
      </c>
      <c r="M439" s="106"/>
      <c r="N439" s="237"/>
      <c r="O439" s="226"/>
      <c r="P439" s="106"/>
      <c r="Q439" s="106"/>
      <c r="R439" s="237"/>
      <c r="S439" s="226"/>
      <c r="T439" s="106"/>
      <c r="U439" s="106"/>
      <c r="V439" s="237"/>
      <c r="W439" s="226"/>
      <c r="X439" s="106"/>
      <c r="Y439" s="82"/>
      <c r="Z439" s="83"/>
      <c r="AA439" s="83"/>
      <c r="AB439" s="83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</row>
    <row r="440" spans="1:45" ht="15.75">
      <c r="A440" s="179" t="s">
        <v>159</v>
      </c>
      <c r="B440" s="179"/>
      <c r="C440" s="218">
        <v>0</v>
      </c>
      <c r="D440" s="239">
        <v>9.766</v>
      </c>
      <c r="E440" s="226" t="s">
        <v>116</v>
      </c>
      <c r="F440" s="106">
        <f>ROUND(D440*$C440/100*D435,0)</f>
        <v>0</v>
      </c>
      <c r="G440" s="239">
        <v>10.359</v>
      </c>
      <c r="H440" s="226" t="s">
        <v>116</v>
      </c>
      <c r="I440" s="106">
        <f>ROUND(G440*$C440/100*G435,0)</f>
        <v>0</v>
      </c>
      <c r="J440" s="239">
        <f>J431</f>
        <v>10.359</v>
      </c>
      <c r="K440" s="226" t="s">
        <v>116</v>
      </c>
      <c r="L440" s="106">
        <f>ROUND(J440*$C440/100*J435,0)</f>
        <v>0</v>
      </c>
      <c r="M440" s="106"/>
      <c r="N440" s="239"/>
      <c r="O440" s="226"/>
      <c r="P440" s="106"/>
      <c r="Q440" s="106"/>
      <c r="R440" s="239"/>
      <c r="S440" s="226"/>
      <c r="T440" s="106"/>
      <c r="U440" s="106"/>
      <c r="V440" s="239"/>
      <c r="W440" s="226"/>
      <c r="X440" s="106"/>
      <c r="Y440" s="82"/>
      <c r="Z440" s="83"/>
      <c r="AA440" s="83"/>
      <c r="AB440" s="83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</row>
    <row r="441" spans="1:45" ht="15.75">
      <c r="A441" s="179" t="s">
        <v>153</v>
      </c>
      <c r="B441" s="179"/>
      <c r="C441" s="218">
        <v>0</v>
      </c>
      <c r="D441" s="239">
        <v>6.7460000000000004</v>
      </c>
      <c r="E441" s="226" t="s">
        <v>116</v>
      </c>
      <c r="F441" s="106">
        <f>ROUND(D441*$C441/100*D435,0)</f>
        <v>0</v>
      </c>
      <c r="G441" s="239">
        <v>7.1559999999999997</v>
      </c>
      <c r="H441" s="226" t="s">
        <v>116</v>
      </c>
      <c r="I441" s="106">
        <f>ROUND(G441*$C441/100*G435,0)</f>
        <v>0</v>
      </c>
      <c r="J441" s="239">
        <f>J432</f>
        <v>7.1559999999999997</v>
      </c>
      <c r="K441" s="226" t="s">
        <v>116</v>
      </c>
      <c r="L441" s="106">
        <f>ROUND(J441*$C441/100*J435,0)</f>
        <v>0</v>
      </c>
      <c r="M441" s="106"/>
      <c r="N441" s="239"/>
      <c r="O441" s="226"/>
      <c r="P441" s="106"/>
      <c r="Q441" s="106"/>
      <c r="R441" s="239"/>
      <c r="S441" s="226"/>
      <c r="T441" s="106"/>
      <c r="U441" s="106"/>
      <c r="V441" s="239"/>
      <c r="W441" s="226"/>
      <c r="X441" s="106"/>
      <c r="Y441" s="82"/>
      <c r="Z441" s="83"/>
      <c r="AA441" s="83"/>
      <c r="AB441" s="83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</row>
    <row r="442" spans="1:45" ht="15.75">
      <c r="A442" s="179" t="s">
        <v>154</v>
      </c>
      <c r="B442" s="179"/>
      <c r="C442" s="218">
        <v>0</v>
      </c>
      <c r="D442" s="239">
        <v>5.8120000000000003</v>
      </c>
      <c r="E442" s="226" t="s">
        <v>116</v>
      </c>
      <c r="F442" s="106">
        <f>ROUND(D442*$C442/100*D435,0)</f>
        <v>0</v>
      </c>
      <c r="G442" s="239">
        <v>6.1660000000000004</v>
      </c>
      <c r="H442" s="226" t="s">
        <v>116</v>
      </c>
      <c r="I442" s="106">
        <f>ROUND(G442*$C442/100*G435,0)</f>
        <v>0</v>
      </c>
      <c r="J442" s="239">
        <f>J433</f>
        <v>6.1660000000000004</v>
      </c>
      <c r="K442" s="226" t="s">
        <v>116</v>
      </c>
      <c r="L442" s="106">
        <f>ROUND(J442*$C442/100*J435,0)</f>
        <v>0</v>
      </c>
      <c r="M442" s="106"/>
      <c r="N442" s="239"/>
      <c r="O442" s="226"/>
      <c r="P442" s="106"/>
      <c r="Q442" s="106"/>
      <c r="R442" s="239"/>
      <c r="S442" s="226"/>
      <c r="T442" s="106"/>
      <c r="U442" s="106"/>
      <c r="V442" s="239"/>
      <c r="W442" s="226"/>
      <c r="X442" s="106"/>
      <c r="Y442" s="82"/>
      <c r="Z442" s="83"/>
      <c r="AA442" s="83"/>
      <c r="AB442" s="83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</row>
    <row r="443" spans="1:45" ht="15.75">
      <c r="A443" s="179" t="s">
        <v>155</v>
      </c>
      <c r="B443" s="179"/>
      <c r="C443" s="218">
        <v>0</v>
      </c>
      <c r="D443" s="241">
        <v>56</v>
      </c>
      <c r="E443" s="226" t="s">
        <v>116</v>
      </c>
      <c r="F443" s="106">
        <f>ROUND(D443*$C443/100*D435,0)</f>
        <v>0</v>
      </c>
      <c r="G443" s="241">
        <v>56</v>
      </c>
      <c r="H443" s="226" t="s">
        <v>116</v>
      </c>
      <c r="I443" s="106">
        <f>ROUND(G443*$C443/100*G435,0)</f>
        <v>0</v>
      </c>
      <c r="J443" s="241">
        <f>J434</f>
        <v>56</v>
      </c>
      <c r="K443" s="226" t="s">
        <v>116</v>
      </c>
      <c r="L443" s="106">
        <f>ROUND(J443*$C443/100*J435,0)</f>
        <v>0</v>
      </c>
      <c r="M443" s="106"/>
      <c r="N443" s="241"/>
      <c r="O443" s="226"/>
      <c r="P443" s="106"/>
      <c r="Q443" s="106"/>
      <c r="R443" s="241"/>
      <c r="S443" s="226"/>
      <c r="T443" s="106"/>
      <c r="U443" s="106"/>
      <c r="V443" s="241"/>
      <c r="W443" s="226"/>
      <c r="X443" s="106"/>
      <c r="Y443" s="82"/>
      <c r="Z443" s="83"/>
      <c r="AA443" s="83"/>
      <c r="AB443" s="83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</row>
    <row r="444" spans="1:45" ht="15.75">
      <c r="A444" s="179" t="s">
        <v>160</v>
      </c>
      <c r="B444" s="179"/>
      <c r="C444" s="218">
        <v>0</v>
      </c>
      <c r="D444" s="243">
        <v>60</v>
      </c>
      <c r="E444" s="220"/>
      <c r="F444" s="106">
        <f>ROUND(D444*$C444,0)</f>
        <v>0</v>
      </c>
      <c r="G444" s="243">
        <v>60</v>
      </c>
      <c r="H444" s="226"/>
      <c r="I444" s="106">
        <f>ROUND(G444*C444,0)</f>
        <v>0</v>
      </c>
      <c r="J444" s="243">
        <f>$J$182</f>
        <v>60</v>
      </c>
      <c r="K444" s="226"/>
      <c r="L444" s="106">
        <f>ROUND(J444*$C444,0)</f>
        <v>0</v>
      </c>
      <c r="M444" s="106"/>
      <c r="N444" s="243"/>
      <c r="O444" s="226"/>
      <c r="P444" s="106"/>
      <c r="Q444" s="106"/>
      <c r="R444" s="243"/>
      <c r="S444" s="226"/>
      <c r="T444" s="106"/>
      <c r="U444" s="106"/>
      <c r="V444" s="243"/>
      <c r="W444" s="226"/>
      <c r="X444" s="106"/>
      <c r="Y444" s="82"/>
      <c r="Z444" s="83"/>
      <c r="AA444" s="83"/>
      <c r="AB444" s="83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</row>
    <row r="445" spans="1:45" ht="15.75">
      <c r="A445" s="179" t="s">
        <v>161</v>
      </c>
      <c r="B445" s="179"/>
      <c r="C445" s="218">
        <v>0</v>
      </c>
      <c r="D445" s="244">
        <v>-30</v>
      </c>
      <c r="E445" s="220" t="s">
        <v>116</v>
      </c>
      <c r="F445" s="106">
        <f>ROUND(D445*$C445/100,0)</f>
        <v>0</v>
      </c>
      <c r="G445" s="244">
        <v>-30</v>
      </c>
      <c r="H445" s="226" t="s">
        <v>116</v>
      </c>
      <c r="I445" s="106">
        <f>ROUND(G445*C445/100,0)</f>
        <v>0</v>
      </c>
      <c r="J445" s="244">
        <f>$J$183</f>
        <v>-30</v>
      </c>
      <c r="K445" s="226" t="s">
        <v>116</v>
      </c>
      <c r="L445" s="106">
        <f>ROUND(J445*$C445/100,0)</f>
        <v>0</v>
      </c>
      <c r="M445" s="106"/>
      <c r="N445" s="244"/>
      <c r="O445" s="226"/>
      <c r="P445" s="106"/>
      <c r="Q445" s="106"/>
      <c r="R445" s="244"/>
      <c r="S445" s="226"/>
      <c r="T445" s="106"/>
      <c r="U445" s="106"/>
      <c r="V445" s="244"/>
      <c r="W445" s="226"/>
      <c r="X445" s="106"/>
      <c r="Y445" s="82"/>
      <c r="Z445" s="83"/>
      <c r="AA445" s="83"/>
      <c r="AB445" s="83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</row>
    <row r="446" spans="1:45" ht="15.75">
      <c r="A446" s="179" t="s">
        <v>134</v>
      </c>
      <c r="B446" s="179"/>
      <c r="C446" s="218">
        <f>SUM(C431:C433)</f>
        <v>460453</v>
      </c>
      <c r="D446" s="229"/>
      <c r="E446" s="106"/>
      <c r="F446" s="106">
        <f>SUM(F425:F445)</f>
        <v>113756</v>
      </c>
      <c r="G446" s="229"/>
      <c r="H446" s="226"/>
      <c r="I446" s="106">
        <f>SUM(I425:I445)</f>
        <v>117644</v>
      </c>
      <c r="J446" s="229"/>
      <c r="K446" s="226"/>
      <c r="L446" s="106">
        <f>SUM(L425:L445)</f>
        <v>117644</v>
      </c>
      <c r="M446" s="106"/>
      <c r="N446" s="229"/>
      <c r="O446" s="226"/>
      <c r="P446" s="106">
        <f>SUM(P425:P445)</f>
        <v>63311</v>
      </c>
      <c r="Q446" s="106"/>
      <c r="R446" s="229"/>
      <c r="S446" s="226"/>
      <c r="T446" s="106">
        <f ca="1">SUM(T425:T445)</f>
        <v>11144</v>
      </c>
      <c r="U446" s="106"/>
      <c r="V446" s="229"/>
      <c r="W446" s="226"/>
      <c r="X446" s="106">
        <f ca="1">SUM(X425:X445)</f>
        <v>43188</v>
      </c>
      <c r="Y446" s="82"/>
      <c r="Z446" s="83"/>
      <c r="AA446" s="83"/>
      <c r="AB446" s="83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</row>
    <row r="447" spans="1:45" ht="15.75">
      <c r="A447" s="179" t="s">
        <v>119</v>
      </c>
      <c r="B447" s="179"/>
      <c r="C447" s="273">
        <v>-1302.4656054484105</v>
      </c>
      <c r="D447" s="138"/>
      <c r="E447" s="138"/>
      <c r="F447" s="248">
        <f>I447</f>
        <v>-281.50082946927245</v>
      </c>
      <c r="G447" s="138"/>
      <c r="H447" s="138"/>
      <c r="I447" s="248">
        <v>-281.50082946927245</v>
      </c>
      <c r="J447" s="138"/>
      <c r="K447" s="138"/>
      <c r="L447" s="248">
        <f>I447</f>
        <v>-281.50082946927245</v>
      </c>
      <c r="M447" s="221"/>
      <c r="N447" s="138"/>
      <c r="O447" s="138"/>
      <c r="P447" s="248">
        <f>L447*AB192</f>
        <v>-57.064784815516731</v>
      </c>
      <c r="Q447" s="221"/>
      <c r="R447" s="138"/>
      <c r="S447" s="138"/>
      <c r="T447" s="248">
        <f>L447*AA192</f>
        <v>-46.059973726479704</v>
      </c>
      <c r="U447" s="221"/>
      <c r="V447" s="138"/>
      <c r="W447" s="138"/>
      <c r="X447" s="248">
        <f>L447*Z192</f>
        <v>-178.376070927276</v>
      </c>
      <c r="Y447" s="172"/>
      <c r="Z447" s="168"/>
      <c r="AA447" s="83"/>
      <c r="AB447" s="83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</row>
    <row r="448" spans="1:45" ht="16.5" thickBot="1">
      <c r="A448" s="179" t="s">
        <v>135</v>
      </c>
      <c r="B448" s="179"/>
      <c r="C448" s="199">
        <f>SUM(C446:C447)</f>
        <v>459150.53439455159</v>
      </c>
      <c r="D448" s="268"/>
      <c r="E448" s="250"/>
      <c r="F448" s="251">
        <f>F446+F447</f>
        <v>113474.49917053073</v>
      </c>
      <c r="G448" s="268"/>
      <c r="H448" s="269"/>
      <c r="I448" s="251">
        <f>I446+I447</f>
        <v>117362.49917053073</v>
      </c>
      <c r="J448" s="268"/>
      <c r="K448" s="269"/>
      <c r="L448" s="251">
        <f>L446+L447</f>
        <v>117362.49917053073</v>
      </c>
      <c r="M448" s="251"/>
      <c r="N448" s="268"/>
      <c r="O448" s="269"/>
      <c r="P448" s="251">
        <f>P446+P447</f>
        <v>63253.935215184487</v>
      </c>
      <c r="Q448" s="251"/>
      <c r="R448" s="268"/>
      <c r="S448" s="269"/>
      <c r="T448" s="251">
        <f ca="1">T446+T447</f>
        <v>11097.94002627352</v>
      </c>
      <c r="U448" s="251"/>
      <c r="V448" s="268"/>
      <c r="W448" s="269"/>
      <c r="X448" s="251">
        <f ca="1">X446+X447</f>
        <v>43009.623929072724</v>
      </c>
      <c r="Y448" s="176"/>
      <c r="Z448" s="177"/>
      <c r="AA448" s="83"/>
      <c r="AB448" s="83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</row>
    <row r="449" spans="1:45" ht="16.5" thickTop="1">
      <c r="A449" s="179"/>
      <c r="B449" s="179"/>
      <c r="C449" s="205"/>
      <c r="D449" s="243" t="s">
        <v>108</v>
      </c>
      <c r="E449" s="106"/>
      <c r="F449" s="106"/>
      <c r="G449" s="243" t="s">
        <v>108</v>
      </c>
      <c r="H449" s="179"/>
      <c r="I449" s="106"/>
      <c r="J449" s="275" t="s">
        <v>108</v>
      </c>
      <c r="K449" s="179"/>
      <c r="L449" s="106" t="s">
        <v>108</v>
      </c>
      <c r="M449" s="106"/>
      <c r="N449" s="275" t="s">
        <v>108</v>
      </c>
      <c r="O449" s="179"/>
      <c r="P449" s="106" t="s">
        <v>108</v>
      </c>
      <c r="Q449" s="106"/>
      <c r="R449" s="275" t="s">
        <v>108</v>
      </c>
      <c r="S449" s="179"/>
      <c r="T449" s="106" t="s">
        <v>108</v>
      </c>
      <c r="U449" s="106"/>
      <c r="V449" s="275" t="s">
        <v>108</v>
      </c>
      <c r="W449" s="179"/>
      <c r="X449" s="106" t="s">
        <v>108</v>
      </c>
      <c r="Y449" s="82"/>
      <c r="Z449" s="83"/>
      <c r="AA449" s="83"/>
      <c r="AB449" s="83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</row>
    <row r="450" spans="1:45" ht="15.75">
      <c r="A450" s="178" t="s">
        <v>171</v>
      </c>
      <c r="B450" s="179"/>
      <c r="C450" s="179"/>
      <c r="D450" s="106"/>
      <c r="E450" s="106"/>
      <c r="F450" s="179" t="s">
        <v>108</v>
      </c>
      <c r="G450" s="106"/>
      <c r="H450" s="179"/>
      <c r="I450" s="179"/>
      <c r="J450" s="106"/>
      <c r="K450" s="179"/>
      <c r="L450" s="179"/>
      <c r="M450" s="179"/>
      <c r="N450" s="106"/>
      <c r="O450" s="179"/>
      <c r="P450" s="179"/>
      <c r="Q450" s="179"/>
      <c r="R450" s="106"/>
      <c r="S450" s="179"/>
      <c r="T450" s="179"/>
      <c r="U450" s="179"/>
      <c r="V450" s="106"/>
      <c r="W450" s="179"/>
      <c r="X450" s="179"/>
      <c r="Y450" s="82"/>
      <c r="Z450" s="83"/>
      <c r="AA450" s="83"/>
      <c r="AB450" s="83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</row>
    <row r="451" spans="1:45" ht="15.75">
      <c r="A451" s="179" t="s">
        <v>168</v>
      </c>
      <c r="B451" s="179"/>
      <c r="C451" s="179"/>
      <c r="D451" s="106"/>
      <c r="E451" s="106"/>
      <c r="F451" s="179"/>
      <c r="G451" s="106"/>
      <c r="H451" s="179"/>
      <c r="I451" s="179"/>
      <c r="J451" s="106"/>
      <c r="K451" s="179"/>
      <c r="L451" s="179"/>
      <c r="M451" s="179"/>
      <c r="N451" s="106"/>
      <c r="O451" s="179"/>
      <c r="P451" s="179"/>
      <c r="Q451" s="179"/>
      <c r="R451" s="106"/>
      <c r="S451" s="179"/>
      <c r="T451" s="179"/>
      <c r="U451" s="179"/>
      <c r="V451" s="106"/>
      <c r="W451" s="179"/>
      <c r="X451" s="179"/>
      <c r="Y451" s="82"/>
      <c r="Z451" s="83"/>
      <c r="AA451" s="83"/>
      <c r="AB451" s="83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</row>
    <row r="452" spans="1:45" ht="15.75">
      <c r="A452" s="179" t="s">
        <v>172</v>
      </c>
      <c r="B452" s="179"/>
      <c r="C452" s="179"/>
      <c r="D452" s="106"/>
      <c r="E452" s="106"/>
      <c r="F452" s="179"/>
      <c r="G452" s="106"/>
      <c r="H452" s="179"/>
      <c r="I452" s="179"/>
      <c r="J452" s="106"/>
      <c r="K452" s="179"/>
      <c r="L452" s="179"/>
      <c r="M452" s="179"/>
      <c r="N452" s="106"/>
      <c r="O452" s="179"/>
      <c r="P452" s="179"/>
      <c r="Q452" s="179"/>
      <c r="R452" s="106"/>
      <c r="S452" s="179"/>
      <c r="T452" s="179"/>
      <c r="U452" s="179"/>
      <c r="V452" s="106"/>
      <c r="W452" s="179"/>
      <c r="X452" s="179"/>
      <c r="Y452" s="82"/>
      <c r="Z452" s="83"/>
      <c r="AA452" s="83"/>
      <c r="AB452" s="83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</row>
    <row r="453" spans="1:45" ht="15.75">
      <c r="A453" s="179" t="s">
        <v>11</v>
      </c>
      <c r="B453" s="179"/>
      <c r="C453" s="218"/>
      <c r="D453" s="106"/>
      <c r="E453" s="106"/>
      <c r="F453" s="179"/>
      <c r="G453" s="106"/>
      <c r="H453" s="179"/>
      <c r="I453" s="179"/>
      <c r="J453" s="106"/>
      <c r="K453" s="179"/>
      <c r="L453" s="179"/>
      <c r="M453" s="179"/>
      <c r="N453" s="106"/>
      <c r="O453" s="179"/>
      <c r="P453" s="179"/>
      <c r="Q453" s="179"/>
      <c r="R453" s="106"/>
      <c r="S453" s="179"/>
      <c r="T453" s="179"/>
      <c r="U453" s="179"/>
      <c r="V453" s="106"/>
      <c r="W453" s="179"/>
      <c r="X453" s="179"/>
      <c r="Y453" s="82"/>
      <c r="Z453" s="83"/>
      <c r="AA453" s="83"/>
      <c r="AB453" s="83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</row>
    <row r="454" spans="1:45" ht="15.75">
      <c r="A454" s="179" t="s">
        <v>147</v>
      </c>
      <c r="B454" s="179"/>
      <c r="C454" s="218">
        <v>0</v>
      </c>
      <c r="D454" s="210">
        <v>104.52000000000001</v>
      </c>
      <c r="E454" s="220"/>
      <c r="F454" s="106">
        <f>ROUND(D454*$C454,0)</f>
        <v>0</v>
      </c>
      <c r="G454" s="210">
        <v>104.52000000000001</v>
      </c>
      <c r="H454" s="226"/>
      <c r="I454" s="106">
        <f>ROUND(G454*$C454,0)</f>
        <v>0</v>
      </c>
      <c r="J454" s="210">
        <f>$J$159</f>
        <v>104.52000000000001</v>
      </c>
      <c r="K454" s="226"/>
      <c r="L454" s="106">
        <f>ROUND(J454*$C454,0)</f>
        <v>0</v>
      </c>
      <c r="M454" s="106"/>
      <c r="N454" s="210">
        <f>$N$159</f>
        <v>105</v>
      </c>
      <c r="O454" s="226"/>
      <c r="P454" s="106"/>
      <c r="Q454" s="106"/>
      <c r="R454" s="210"/>
      <c r="S454" s="226"/>
      <c r="T454" s="106"/>
      <c r="U454" s="106"/>
      <c r="V454" s="210"/>
      <c r="W454" s="226"/>
      <c r="X454" s="106"/>
      <c r="Y454" s="82"/>
      <c r="Z454" s="83"/>
      <c r="AA454" s="83"/>
      <c r="AB454" s="83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</row>
    <row r="455" spans="1:45" ht="15.75">
      <c r="A455" s="179" t="s">
        <v>148</v>
      </c>
      <c r="B455" s="179"/>
      <c r="C455" s="218">
        <v>1</v>
      </c>
      <c r="D455" s="210">
        <v>155.76</v>
      </c>
      <c r="E455" s="222"/>
      <c r="F455" s="106">
        <f>ROUND(D455*$C455,0)</f>
        <v>156</v>
      </c>
      <c r="G455" s="210">
        <v>155.76</v>
      </c>
      <c r="H455" s="265"/>
      <c r="I455" s="106">
        <f t="shared" ref="I455:I456" si="109">ROUND(G455*$C455,0)</f>
        <v>156</v>
      </c>
      <c r="J455" s="210">
        <f>$J$160</f>
        <v>155.76</v>
      </c>
      <c r="K455" s="265"/>
      <c r="L455" s="106">
        <f>ROUND(J455*$C455,0)</f>
        <v>156</v>
      </c>
      <c r="M455" s="106"/>
      <c r="N455" s="210">
        <f>$N$160</f>
        <v>155.76</v>
      </c>
      <c r="O455" s="265"/>
      <c r="P455" s="106"/>
      <c r="Q455" s="106"/>
      <c r="R455" s="210"/>
      <c r="S455" s="265"/>
      <c r="T455" s="106"/>
      <c r="U455" s="106"/>
      <c r="V455" s="210"/>
      <c r="W455" s="265"/>
      <c r="X455" s="106"/>
      <c r="Y455" s="82"/>
      <c r="Z455" s="83"/>
      <c r="AA455" s="83"/>
      <c r="AB455" s="83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</row>
    <row r="456" spans="1:45" ht="15.75">
      <c r="A456" s="179" t="s">
        <v>149</v>
      </c>
      <c r="B456" s="179"/>
      <c r="C456" s="218">
        <v>75</v>
      </c>
      <c r="D456" s="210">
        <v>11.040000000000001</v>
      </c>
      <c r="E456" s="222"/>
      <c r="F456" s="106">
        <f>ROUND(D456*$C456,0)</f>
        <v>828</v>
      </c>
      <c r="G456" s="210">
        <v>11.040000000000001</v>
      </c>
      <c r="H456" s="265"/>
      <c r="I456" s="106">
        <f t="shared" si="109"/>
        <v>828</v>
      </c>
      <c r="J456" s="210">
        <f>$J$161</f>
        <v>11.040000000000001</v>
      </c>
      <c r="K456" s="265"/>
      <c r="L456" s="106">
        <f>ROUND(J456*$C456,0)</f>
        <v>828</v>
      </c>
      <c r="M456" s="106"/>
      <c r="N456" s="210">
        <f>$N$161</f>
        <v>11.04</v>
      </c>
      <c r="O456" s="265"/>
      <c r="P456" s="106"/>
      <c r="Q456" s="106"/>
      <c r="R456" s="210"/>
      <c r="S456" s="265"/>
      <c r="T456" s="106"/>
      <c r="U456" s="106"/>
      <c r="V456" s="210"/>
      <c r="W456" s="265"/>
      <c r="X456" s="106"/>
      <c r="Y456" s="82"/>
      <c r="Z456" s="83"/>
      <c r="AA456" s="83"/>
      <c r="AB456" s="83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</row>
    <row r="457" spans="1:45" ht="15.75">
      <c r="A457" s="179" t="s">
        <v>150</v>
      </c>
      <c r="B457" s="179"/>
      <c r="C457" s="218">
        <f>SUM(C454:C455)</f>
        <v>1</v>
      </c>
      <c r="D457" s="210"/>
      <c r="E457" s="220"/>
      <c r="F457" s="106"/>
      <c r="G457" s="210"/>
      <c r="H457" s="226"/>
      <c r="I457" s="106"/>
      <c r="J457" s="210"/>
      <c r="K457" s="226"/>
      <c r="L457" s="106"/>
      <c r="M457" s="106"/>
      <c r="N457" s="210"/>
      <c r="O457" s="226"/>
      <c r="P457" s="106"/>
      <c r="Q457" s="106"/>
      <c r="R457" s="210"/>
      <c r="S457" s="226"/>
      <c r="T457" s="106"/>
      <c r="U457" s="106"/>
      <c r="V457" s="210"/>
      <c r="W457" s="226"/>
      <c r="X457" s="106"/>
      <c r="Y457" s="82"/>
      <c r="Z457" s="83"/>
      <c r="AA457" s="83"/>
      <c r="AB457" s="83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</row>
    <row r="458" spans="1:45" ht="15.75">
      <c r="A458" s="179" t="s">
        <v>173</v>
      </c>
      <c r="B458" s="179"/>
      <c r="C458" s="218">
        <v>11.1766666666667</v>
      </c>
      <c r="D458" s="210"/>
      <c r="E458" s="220"/>
      <c r="F458" s="106"/>
      <c r="G458" s="210"/>
      <c r="H458" s="226"/>
      <c r="I458" s="106"/>
      <c r="J458" s="210"/>
      <c r="K458" s="226"/>
      <c r="L458" s="106"/>
      <c r="M458" s="106"/>
      <c r="N458" s="210"/>
      <c r="O458" s="226"/>
      <c r="P458" s="106"/>
      <c r="Q458" s="106"/>
      <c r="R458" s="210"/>
      <c r="S458" s="226"/>
      <c r="T458" s="106"/>
      <c r="U458" s="106"/>
      <c r="V458" s="210"/>
      <c r="W458" s="226"/>
      <c r="X458" s="106"/>
      <c r="Y458" s="82"/>
      <c r="Z458" s="83"/>
      <c r="AA458" s="83"/>
      <c r="AB458" s="83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</row>
    <row r="459" spans="1:45" ht="15.75">
      <c r="A459" s="179" t="s">
        <v>151</v>
      </c>
      <c r="B459" s="179"/>
      <c r="C459" s="218">
        <v>293</v>
      </c>
      <c r="D459" s="243">
        <v>3.4</v>
      </c>
      <c r="E459" s="226"/>
      <c r="F459" s="106">
        <f>ROUND(D459*$C459,0)</f>
        <v>996</v>
      </c>
      <c r="G459" s="243">
        <v>3.61</v>
      </c>
      <c r="H459" s="226"/>
      <c r="I459" s="106">
        <f>ROUND(G459*C459,0)</f>
        <v>1058</v>
      </c>
      <c r="J459" s="243">
        <f>$J$168</f>
        <v>3.61</v>
      </c>
      <c r="K459" s="226"/>
      <c r="L459" s="106">
        <f>ROUND(J459*$C459,0)</f>
        <v>1058</v>
      </c>
      <c r="M459" s="106"/>
      <c r="N459" s="243">
        <f>$N$168</f>
        <v>0.73180556367242244</v>
      </c>
      <c r="O459" s="226"/>
      <c r="P459" s="106">
        <f>ROUND(N459*$C459,0)</f>
        <v>214</v>
      </c>
      <c r="Q459" s="106"/>
      <c r="R459" s="243">
        <f>$R$168</f>
        <v>0.59067856199955471</v>
      </c>
      <c r="S459" s="226"/>
      <c r="T459" s="106">
        <f>ROUND(R459*$C459,0)</f>
        <v>173</v>
      </c>
      <c r="U459" s="106"/>
      <c r="V459" s="243">
        <f>$V$168</f>
        <v>2.2875158743280228</v>
      </c>
      <c r="W459" s="226"/>
      <c r="X459" s="106">
        <f>ROUND(V459*$C459,0)</f>
        <v>670</v>
      </c>
      <c r="Y459" s="82"/>
      <c r="Z459" s="83"/>
      <c r="AA459" s="83"/>
      <c r="AB459" s="83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</row>
    <row r="460" spans="1:45" ht="15.75">
      <c r="A460" s="179" t="s">
        <v>152</v>
      </c>
      <c r="B460" s="179"/>
      <c r="C460" s="218">
        <v>6233</v>
      </c>
      <c r="D460" s="211">
        <v>9.766</v>
      </c>
      <c r="E460" s="226" t="s">
        <v>116</v>
      </c>
      <c r="F460" s="106">
        <f>ROUND(D460*$C460/100,0)</f>
        <v>609</v>
      </c>
      <c r="G460" s="211">
        <v>10.359</v>
      </c>
      <c r="H460" s="226" t="s">
        <v>116</v>
      </c>
      <c r="I460" s="106">
        <f>ROUND(G460*C460/100,0)</f>
        <v>646</v>
      </c>
      <c r="J460" s="211">
        <f>$J$169</f>
        <v>10.359</v>
      </c>
      <c r="K460" s="226" t="s">
        <v>116</v>
      </c>
      <c r="L460" s="106">
        <f>ROUND(J460*$C460/100,0)</f>
        <v>646</v>
      </c>
      <c r="M460" s="106"/>
      <c r="N460" s="211">
        <f>$N$169</f>
        <v>2.0999373501613916</v>
      </c>
      <c r="O460" s="226" t="s">
        <v>116</v>
      </c>
      <c r="P460" s="106">
        <f>ROUND(N460*$C460/100,0)</f>
        <v>131</v>
      </c>
      <c r="Q460" s="106"/>
      <c r="R460" s="211">
        <f>$R$169</f>
        <v>1.69496931405911</v>
      </c>
      <c r="S460" s="226" t="s">
        <v>116</v>
      </c>
      <c r="T460" s="106">
        <f>ROUND(R460*$C460/100,0)</f>
        <v>106</v>
      </c>
      <c r="U460" s="106"/>
      <c r="V460" s="211">
        <f>$V$169</f>
        <v>6.5640933357794982</v>
      </c>
      <c r="W460" s="226" t="s">
        <v>116</v>
      </c>
      <c r="X460" s="106">
        <f>ROUND(V460*$C460/100,0)</f>
        <v>409</v>
      </c>
      <c r="Y460" s="82"/>
      <c r="Z460" s="83"/>
      <c r="AA460" s="83"/>
      <c r="AB460" s="83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</row>
    <row r="461" spans="1:45" ht="15.75">
      <c r="A461" s="179" t="s">
        <v>153</v>
      </c>
      <c r="B461" s="179"/>
      <c r="C461" s="218">
        <v>3319</v>
      </c>
      <c r="D461" s="211">
        <v>6.7460000000000004</v>
      </c>
      <c r="E461" s="226" t="s">
        <v>116</v>
      </c>
      <c r="F461" s="106">
        <f>ROUND(D461*$C461/100,0)</f>
        <v>224</v>
      </c>
      <c r="G461" s="211">
        <v>7.1559999999999997</v>
      </c>
      <c r="H461" s="226" t="s">
        <v>116</v>
      </c>
      <c r="I461" s="106">
        <f t="shared" ref="I461:I463" si="110">ROUND(G461*C461/100,0)</f>
        <v>238</v>
      </c>
      <c r="J461" s="211">
        <f>$J$170</f>
        <v>7.1559999999999997</v>
      </c>
      <c r="K461" s="226" t="s">
        <v>116</v>
      </c>
      <c r="L461" s="106">
        <f>ROUND(J461*$C461/100,0)</f>
        <v>238</v>
      </c>
      <c r="M461" s="106"/>
      <c r="N461" s="211">
        <f>$N$170</f>
        <v>1.4506372890969126</v>
      </c>
      <c r="O461" s="226" t="s">
        <v>116</v>
      </c>
      <c r="P461" s="106">
        <f>ROUND(N461*$C461/100,0)</f>
        <v>48</v>
      </c>
      <c r="Q461" s="106"/>
      <c r="R461" s="211">
        <f>$R$170</f>
        <v>1.1708852602960702</v>
      </c>
      <c r="S461" s="226" t="s">
        <v>116</v>
      </c>
      <c r="T461" s="106">
        <f>ROUND(R461*$C461/100,0)</f>
        <v>39</v>
      </c>
      <c r="U461" s="106"/>
      <c r="V461" s="211">
        <f>$V$170</f>
        <v>4.5344774506070165</v>
      </c>
      <c r="W461" s="226" t="s">
        <v>116</v>
      </c>
      <c r="X461" s="106">
        <f>ROUND(V461*$C461/100,0)</f>
        <v>150</v>
      </c>
      <c r="Y461" s="82"/>
      <c r="Z461" s="83"/>
      <c r="AA461" s="83"/>
      <c r="AB461" s="83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</row>
    <row r="462" spans="1:45" ht="15.75">
      <c r="A462" s="179" t="s">
        <v>154</v>
      </c>
      <c r="B462" s="179"/>
      <c r="C462" s="218">
        <v>0</v>
      </c>
      <c r="D462" s="211">
        <v>5.8120000000000003</v>
      </c>
      <c r="E462" s="226" t="s">
        <v>116</v>
      </c>
      <c r="F462" s="106">
        <f>ROUND(D462*$C462/100,0)</f>
        <v>0</v>
      </c>
      <c r="G462" s="211">
        <v>6.1660000000000004</v>
      </c>
      <c r="H462" s="226" t="s">
        <v>116</v>
      </c>
      <c r="I462" s="106">
        <f t="shared" si="110"/>
        <v>0</v>
      </c>
      <c r="J462" s="211">
        <f>$J$171</f>
        <v>6.1660000000000004</v>
      </c>
      <c r="K462" s="226" t="s">
        <v>116</v>
      </c>
      <c r="L462" s="106">
        <f>ROUND(J462*$C462/100,0)</f>
        <v>0</v>
      </c>
      <c r="M462" s="106"/>
      <c r="N462" s="211"/>
      <c r="O462" s="226"/>
      <c r="P462" s="106"/>
      <c r="Q462" s="106"/>
      <c r="R462" s="211"/>
      <c r="S462" s="226"/>
      <c r="T462" s="106"/>
      <c r="U462" s="106"/>
      <c r="V462" s="211"/>
      <c r="W462" s="226"/>
      <c r="X462" s="106"/>
      <c r="Y462" s="82"/>
      <c r="Z462" s="83"/>
      <c r="AA462" s="83"/>
      <c r="AB462" s="83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</row>
    <row r="463" spans="1:45" ht="15.75">
      <c r="A463" s="179" t="s">
        <v>155</v>
      </c>
      <c r="B463" s="179"/>
      <c r="C463" s="218">
        <v>0</v>
      </c>
      <c r="D463" s="229">
        <v>56</v>
      </c>
      <c r="E463" s="220" t="s">
        <v>116</v>
      </c>
      <c r="F463" s="106">
        <f>ROUND(D463*$C463/100,0)</f>
        <v>0</v>
      </c>
      <c r="G463" s="229">
        <v>56</v>
      </c>
      <c r="H463" s="226" t="s">
        <v>116</v>
      </c>
      <c r="I463" s="106">
        <f t="shared" si="110"/>
        <v>0</v>
      </c>
      <c r="J463" s="229">
        <f>$J$172</f>
        <v>56</v>
      </c>
      <c r="K463" s="226" t="s">
        <v>116</v>
      </c>
      <c r="L463" s="106">
        <f>ROUND(J463*$C463/100,0)</f>
        <v>0</v>
      </c>
      <c r="M463" s="106"/>
      <c r="N463" s="229"/>
      <c r="O463" s="226"/>
      <c r="P463" s="106"/>
      <c r="Q463" s="106"/>
      <c r="R463" s="229"/>
      <c r="S463" s="226"/>
      <c r="T463" s="106"/>
      <c r="U463" s="106"/>
      <c r="V463" s="229"/>
      <c r="W463" s="226"/>
      <c r="X463" s="106"/>
      <c r="Y463" s="82"/>
      <c r="Z463" s="83"/>
      <c r="AA463" s="83"/>
      <c r="AB463" s="83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</row>
    <row r="464" spans="1:45" ht="15.75">
      <c r="A464" s="233" t="s">
        <v>156</v>
      </c>
      <c r="B464" s="179"/>
      <c r="C464" s="218"/>
      <c r="D464" s="234">
        <v>-0.01</v>
      </c>
      <c r="E464" s="220"/>
      <c r="F464" s="106"/>
      <c r="G464" s="234">
        <v>-0.01</v>
      </c>
      <c r="H464" s="226"/>
      <c r="I464" s="106"/>
      <c r="J464" s="234">
        <v>-0.01</v>
      </c>
      <c r="K464" s="226"/>
      <c r="L464" s="106"/>
      <c r="M464" s="106"/>
      <c r="N464" s="234"/>
      <c r="O464" s="226"/>
      <c r="P464" s="106"/>
      <c r="Q464" s="106"/>
      <c r="R464" s="234"/>
      <c r="S464" s="226"/>
      <c r="T464" s="106"/>
      <c r="U464" s="106"/>
      <c r="V464" s="234"/>
      <c r="W464" s="226"/>
      <c r="X464" s="106"/>
      <c r="Y464" s="82"/>
      <c r="Z464" s="83"/>
      <c r="AA464" s="83"/>
      <c r="AB464" s="83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</row>
    <row r="465" spans="1:45" ht="15.75">
      <c r="A465" s="179" t="s">
        <v>147</v>
      </c>
      <c r="B465" s="179"/>
      <c r="C465" s="218">
        <v>0</v>
      </c>
      <c r="D465" s="237">
        <v>104.52000000000001</v>
      </c>
      <c r="E465" s="220"/>
      <c r="F465" s="106">
        <f>-ROUND(D465*$C465/100,0)</f>
        <v>0</v>
      </c>
      <c r="G465" s="237">
        <v>104.52000000000001</v>
      </c>
      <c r="H465" s="220"/>
      <c r="I465" s="106">
        <f>-ROUND(G465*$C465/100,0)</f>
        <v>0</v>
      </c>
      <c r="J465" s="237">
        <f>J454</f>
        <v>104.52000000000001</v>
      </c>
      <c r="K465" s="220"/>
      <c r="L465" s="106">
        <f>-ROUND(J465*$C465/100,0)</f>
        <v>0</v>
      </c>
      <c r="M465" s="106"/>
      <c r="N465" s="237"/>
      <c r="O465" s="220"/>
      <c r="P465" s="106"/>
      <c r="Q465" s="106"/>
      <c r="R465" s="237"/>
      <c r="S465" s="220"/>
      <c r="T465" s="106"/>
      <c r="U465" s="106"/>
      <c r="V465" s="237"/>
      <c r="W465" s="220"/>
      <c r="X465" s="106"/>
      <c r="Y465" s="82"/>
      <c r="Z465" s="83"/>
      <c r="AA465" s="83"/>
      <c r="AB465" s="83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</row>
    <row r="466" spans="1:45" ht="15.75">
      <c r="A466" s="179" t="s">
        <v>148</v>
      </c>
      <c r="B466" s="179"/>
      <c r="C466" s="218">
        <v>0</v>
      </c>
      <c r="D466" s="237">
        <v>155.76</v>
      </c>
      <c r="E466" s="220"/>
      <c r="F466" s="106">
        <f>-ROUND(D466*$C466/100,0)</f>
        <v>0</v>
      </c>
      <c r="G466" s="237">
        <v>155.76</v>
      </c>
      <c r="H466" s="220"/>
      <c r="I466" s="106">
        <f t="shared" ref="I466:I468" si="111">-ROUND(G466*$C466/100,0)</f>
        <v>0</v>
      </c>
      <c r="J466" s="237">
        <f>J455</f>
        <v>155.76</v>
      </c>
      <c r="K466" s="220"/>
      <c r="L466" s="106">
        <f>-ROUND(J466*$C466/100,0)</f>
        <v>0</v>
      </c>
      <c r="M466" s="106"/>
      <c r="N466" s="237"/>
      <c r="O466" s="220"/>
      <c r="P466" s="106"/>
      <c r="Q466" s="106"/>
      <c r="R466" s="237"/>
      <c r="S466" s="220"/>
      <c r="T466" s="106"/>
      <c r="U466" s="106"/>
      <c r="V466" s="237"/>
      <c r="W466" s="220"/>
      <c r="X466" s="106"/>
      <c r="Y466" s="82"/>
      <c r="Z466" s="83"/>
      <c r="AA466" s="83"/>
      <c r="AB466" s="83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</row>
    <row r="467" spans="1:45" ht="15.75">
      <c r="A467" s="179" t="s">
        <v>157</v>
      </c>
      <c r="B467" s="179"/>
      <c r="C467" s="218">
        <v>0</v>
      </c>
      <c r="D467" s="237">
        <v>11.040000000000001</v>
      </c>
      <c r="E467" s="220"/>
      <c r="F467" s="106">
        <f>-ROUND(D467*$C467/100,0)</f>
        <v>0</v>
      </c>
      <c r="G467" s="237">
        <v>11.040000000000001</v>
      </c>
      <c r="H467" s="220"/>
      <c r="I467" s="106">
        <f t="shared" si="111"/>
        <v>0</v>
      </c>
      <c r="J467" s="237">
        <f>J456</f>
        <v>11.040000000000001</v>
      </c>
      <c r="K467" s="220"/>
      <c r="L467" s="106">
        <f>-ROUND(J467*$C467/100,0)</f>
        <v>0</v>
      </c>
      <c r="M467" s="106"/>
      <c r="N467" s="237"/>
      <c r="O467" s="220"/>
      <c r="P467" s="106"/>
      <c r="Q467" s="106"/>
      <c r="R467" s="237"/>
      <c r="S467" s="220"/>
      <c r="T467" s="106"/>
      <c r="U467" s="106"/>
      <c r="V467" s="237"/>
      <c r="W467" s="220"/>
      <c r="X467" s="106"/>
      <c r="Y467" s="82"/>
      <c r="Z467" s="83"/>
      <c r="AA467" s="83"/>
      <c r="AB467" s="83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</row>
    <row r="468" spans="1:45" ht="15.75">
      <c r="A468" s="179" t="s">
        <v>158</v>
      </c>
      <c r="B468" s="179"/>
      <c r="C468" s="218">
        <v>0</v>
      </c>
      <c r="D468" s="237">
        <v>3.4</v>
      </c>
      <c r="E468" s="226"/>
      <c r="F468" s="106">
        <f>-ROUND(D468*$C468/100,0)</f>
        <v>0</v>
      </c>
      <c r="G468" s="237">
        <v>3.61</v>
      </c>
      <c r="H468" s="226"/>
      <c r="I468" s="106">
        <f t="shared" si="111"/>
        <v>0</v>
      </c>
      <c r="J468" s="237">
        <f>J459</f>
        <v>3.61</v>
      </c>
      <c r="K468" s="226"/>
      <c r="L468" s="106">
        <f>-ROUND(J468*$C468/100,0)</f>
        <v>0</v>
      </c>
      <c r="M468" s="106"/>
      <c r="N468" s="237"/>
      <c r="O468" s="226"/>
      <c r="P468" s="106"/>
      <c r="Q468" s="106"/>
      <c r="R468" s="237"/>
      <c r="S468" s="226"/>
      <c r="T468" s="106"/>
      <c r="U468" s="106"/>
      <c r="V468" s="237"/>
      <c r="W468" s="226"/>
      <c r="X468" s="106"/>
      <c r="Y468" s="82"/>
      <c r="Z468" s="83"/>
      <c r="AA468" s="83"/>
      <c r="AB468" s="83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</row>
    <row r="469" spans="1:45" ht="15.75">
      <c r="A469" s="179" t="s">
        <v>159</v>
      </c>
      <c r="B469" s="179"/>
      <c r="C469" s="218">
        <v>0</v>
      </c>
      <c r="D469" s="239">
        <v>9.766</v>
      </c>
      <c r="E469" s="226" t="s">
        <v>116</v>
      </c>
      <c r="F469" s="106">
        <f>ROUND(D469*$C469/100*D464,0)</f>
        <v>0</v>
      </c>
      <c r="G469" s="239">
        <v>10.359</v>
      </c>
      <c r="H469" s="226" t="s">
        <v>116</v>
      </c>
      <c r="I469" s="106">
        <f>ROUND(G469*$C469/100*G464,0)</f>
        <v>0</v>
      </c>
      <c r="J469" s="239">
        <f>J460</f>
        <v>10.359</v>
      </c>
      <c r="K469" s="226" t="s">
        <v>116</v>
      </c>
      <c r="L469" s="106">
        <f>ROUND(J469*$C469/100*J464,0)</f>
        <v>0</v>
      </c>
      <c r="M469" s="106"/>
      <c r="N469" s="239"/>
      <c r="O469" s="226"/>
      <c r="P469" s="106"/>
      <c r="Q469" s="106"/>
      <c r="R469" s="239"/>
      <c r="S469" s="226"/>
      <c r="T469" s="106"/>
      <c r="U469" s="106"/>
      <c r="V469" s="239"/>
      <c r="W469" s="226"/>
      <c r="X469" s="106"/>
      <c r="Y469" s="82"/>
      <c r="Z469" s="83"/>
      <c r="AA469" s="83"/>
      <c r="AB469" s="83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</row>
    <row r="470" spans="1:45" ht="15.75">
      <c r="A470" s="179" t="s">
        <v>153</v>
      </c>
      <c r="B470" s="179"/>
      <c r="C470" s="218">
        <v>0</v>
      </c>
      <c r="D470" s="239">
        <v>6.7460000000000004</v>
      </c>
      <c r="E470" s="226" t="s">
        <v>116</v>
      </c>
      <c r="F470" s="106">
        <f>ROUND(D470*$C470/100*D464,0)</f>
        <v>0</v>
      </c>
      <c r="G470" s="239">
        <v>7.1559999999999997</v>
      </c>
      <c r="H470" s="226" t="s">
        <v>116</v>
      </c>
      <c r="I470" s="106">
        <f>ROUND(G470*$C470/100*G464,0)</f>
        <v>0</v>
      </c>
      <c r="J470" s="239">
        <f>J461</f>
        <v>7.1559999999999997</v>
      </c>
      <c r="K470" s="226" t="s">
        <v>116</v>
      </c>
      <c r="L470" s="106">
        <f>ROUND(J470*$C470/100*J464,0)</f>
        <v>0</v>
      </c>
      <c r="M470" s="106"/>
      <c r="N470" s="239"/>
      <c r="O470" s="226"/>
      <c r="P470" s="106"/>
      <c r="Q470" s="106"/>
      <c r="R470" s="239"/>
      <c r="S470" s="226"/>
      <c r="T470" s="106"/>
      <c r="U470" s="106"/>
      <c r="V470" s="239"/>
      <c r="W470" s="226"/>
      <c r="X470" s="106"/>
      <c r="Y470" s="82"/>
      <c r="Z470" s="83"/>
      <c r="AA470" s="83"/>
      <c r="AB470" s="83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</row>
    <row r="471" spans="1:45" ht="15.75">
      <c r="A471" s="179" t="s">
        <v>154</v>
      </c>
      <c r="B471" s="179"/>
      <c r="C471" s="218">
        <v>0</v>
      </c>
      <c r="D471" s="239">
        <v>5.8120000000000003</v>
      </c>
      <c r="E471" s="226" t="s">
        <v>116</v>
      </c>
      <c r="F471" s="106">
        <f>ROUND(D471*$C471/100*D464,0)</f>
        <v>0</v>
      </c>
      <c r="G471" s="239">
        <v>6.1660000000000004</v>
      </c>
      <c r="H471" s="226" t="s">
        <v>116</v>
      </c>
      <c r="I471" s="106">
        <f>ROUND(G471*$C471/100*G464,0)</f>
        <v>0</v>
      </c>
      <c r="J471" s="239">
        <f>J462</f>
        <v>6.1660000000000004</v>
      </c>
      <c r="K471" s="226" t="s">
        <v>116</v>
      </c>
      <c r="L471" s="106">
        <f>ROUND(J471*$C471/100*J464,0)</f>
        <v>0</v>
      </c>
      <c r="M471" s="106"/>
      <c r="N471" s="239"/>
      <c r="O471" s="226"/>
      <c r="P471" s="106"/>
      <c r="Q471" s="106"/>
      <c r="R471" s="239"/>
      <c r="S471" s="226"/>
      <c r="T471" s="106"/>
      <c r="U471" s="106"/>
      <c r="V471" s="239"/>
      <c r="W471" s="226"/>
      <c r="X471" s="106"/>
      <c r="Y471" s="82"/>
      <c r="Z471" s="83"/>
      <c r="AA471" s="83"/>
      <c r="AB471" s="83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</row>
    <row r="472" spans="1:45" ht="15.75">
      <c r="A472" s="179" t="s">
        <v>155</v>
      </c>
      <c r="B472" s="179"/>
      <c r="C472" s="218">
        <v>0</v>
      </c>
      <c r="D472" s="241">
        <v>56</v>
      </c>
      <c r="E472" s="226" t="s">
        <v>116</v>
      </c>
      <c r="F472" s="106">
        <f>ROUND(D472*$C472/100*D464,0)</f>
        <v>0</v>
      </c>
      <c r="G472" s="241">
        <v>56</v>
      </c>
      <c r="H472" s="226" t="s">
        <v>116</v>
      </c>
      <c r="I472" s="106">
        <f>ROUND(G472*$C472/100*G464,0)</f>
        <v>0</v>
      </c>
      <c r="J472" s="241">
        <f>J463</f>
        <v>56</v>
      </c>
      <c r="K472" s="226" t="s">
        <v>116</v>
      </c>
      <c r="L472" s="106">
        <f>ROUND(J472*$C472/100*J464,0)</f>
        <v>0</v>
      </c>
      <c r="M472" s="106"/>
      <c r="N472" s="241"/>
      <c r="O472" s="226"/>
      <c r="P472" s="106"/>
      <c r="Q472" s="106"/>
      <c r="R472" s="241"/>
      <c r="S472" s="226"/>
      <c r="T472" s="106"/>
      <c r="U472" s="106"/>
      <c r="V472" s="241"/>
      <c r="W472" s="226"/>
      <c r="X472" s="106"/>
      <c r="Y472" s="82"/>
      <c r="Z472" s="83"/>
      <c r="AA472" s="83"/>
      <c r="AB472" s="83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</row>
    <row r="473" spans="1:45" ht="15.75">
      <c r="A473" s="179" t="s">
        <v>160</v>
      </c>
      <c r="B473" s="179"/>
      <c r="C473" s="218">
        <v>0</v>
      </c>
      <c r="D473" s="243">
        <v>60</v>
      </c>
      <c r="E473" s="220"/>
      <c r="F473" s="106">
        <f>ROUND(D473*$C473,0)</f>
        <v>0</v>
      </c>
      <c r="G473" s="243">
        <v>60</v>
      </c>
      <c r="H473" s="226"/>
      <c r="I473" s="106">
        <f>ROUND(G473*C473,0)</f>
        <v>0</v>
      </c>
      <c r="J473" s="243">
        <f>$J$182</f>
        <v>60</v>
      </c>
      <c r="K473" s="226"/>
      <c r="L473" s="106">
        <f>ROUND(J473*$C473,0)</f>
        <v>0</v>
      </c>
      <c r="M473" s="106"/>
      <c r="N473" s="243"/>
      <c r="O473" s="226"/>
      <c r="P473" s="106"/>
      <c r="Q473" s="106"/>
      <c r="R473" s="243"/>
      <c r="S473" s="226"/>
      <c r="T473" s="106"/>
      <c r="U473" s="106"/>
      <c r="V473" s="243"/>
      <c r="W473" s="226"/>
      <c r="X473" s="106"/>
      <c r="Y473" s="82"/>
      <c r="Z473" s="83"/>
      <c r="AA473" s="83"/>
      <c r="AB473" s="83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</row>
    <row r="474" spans="1:45" ht="15.75">
      <c r="A474" s="179" t="s">
        <v>161</v>
      </c>
      <c r="B474" s="179"/>
      <c r="C474" s="218">
        <v>0</v>
      </c>
      <c r="D474" s="244">
        <v>-30</v>
      </c>
      <c r="E474" s="220" t="s">
        <v>116</v>
      </c>
      <c r="F474" s="106">
        <f>ROUND(D474*$C474/100,0)</f>
        <v>0</v>
      </c>
      <c r="G474" s="244">
        <v>-30</v>
      </c>
      <c r="H474" s="226" t="s">
        <v>116</v>
      </c>
      <c r="I474" s="106">
        <f>ROUND(G474*C474/100,0)</f>
        <v>0</v>
      </c>
      <c r="J474" s="244">
        <f>$J$183</f>
        <v>-30</v>
      </c>
      <c r="K474" s="226" t="s">
        <v>116</v>
      </c>
      <c r="L474" s="106">
        <f>ROUND(J474*$C474/100,0)</f>
        <v>0</v>
      </c>
      <c r="M474" s="106"/>
      <c r="N474" s="244"/>
      <c r="O474" s="226"/>
      <c r="P474" s="106"/>
      <c r="Q474" s="106"/>
      <c r="R474" s="244"/>
      <c r="S474" s="226"/>
      <c r="T474" s="106"/>
      <c r="U474" s="106"/>
      <c r="V474" s="244"/>
      <c r="W474" s="226"/>
      <c r="X474" s="106"/>
      <c r="Y474" s="82"/>
      <c r="Z474" s="83"/>
      <c r="AA474" s="83"/>
      <c r="AB474" s="83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</row>
    <row r="475" spans="1:45" ht="15.75">
      <c r="A475" s="179" t="s">
        <v>134</v>
      </c>
      <c r="B475" s="179"/>
      <c r="C475" s="218">
        <f>SUM(C460:C462)</f>
        <v>9552</v>
      </c>
      <c r="D475" s="229"/>
      <c r="E475" s="106"/>
      <c r="F475" s="106">
        <f>SUM(F454:F474)</f>
        <v>2813</v>
      </c>
      <c r="G475" s="229"/>
      <c r="H475" s="226"/>
      <c r="I475" s="106">
        <f>SUM(I454:I474)</f>
        <v>2926</v>
      </c>
      <c r="J475" s="229"/>
      <c r="K475" s="226"/>
      <c r="L475" s="106">
        <f>SUM(L454:L474)</f>
        <v>2926</v>
      </c>
      <c r="M475" s="106"/>
      <c r="N475" s="229"/>
      <c r="O475" s="226"/>
      <c r="P475" s="106">
        <f>SUM(P454:P474)</f>
        <v>393</v>
      </c>
      <c r="Q475" s="106"/>
      <c r="R475" s="229"/>
      <c r="S475" s="226"/>
      <c r="T475" s="106">
        <f>SUM(T454:T474)</f>
        <v>318</v>
      </c>
      <c r="U475" s="106"/>
      <c r="V475" s="229"/>
      <c r="W475" s="226"/>
      <c r="X475" s="106">
        <f>SUM(X454:X474)</f>
        <v>1229</v>
      </c>
      <c r="Y475" s="82"/>
      <c r="Z475" s="83"/>
      <c r="AA475" s="83"/>
      <c r="AB475" s="83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</row>
    <row r="476" spans="1:45" ht="15.75">
      <c r="A476" s="179" t="s">
        <v>119</v>
      </c>
      <c r="B476" s="179"/>
      <c r="C476" s="273">
        <v>-152.99954160020027</v>
      </c>
      <c r="D476" s="138"/>
      <c r="E476" s="138"/>
      <c r="F476" s="248">
        <f>I476</f>
        <v>-61.346930189487033</v>
      </c>
      <c r="G476" s="138"/>
      <c r="H476" s="138"/>
      <c r="I476" s="248">
        <v>-61.346930189487033</v>
      </c>
      <c r="J476" s="138"/>
      <c r="K476" s="138"/>
      <c r="L476" s="248">
        <f>I476</f>
        <v>-61.346930189487033</v>
      </c>
      <c r="M476" s="221"/>
      <c r="N476" s="138"/>
      <c r="O476" s="138"/>
      <c r="P476" s="248">
        <f>P185/L185*L476</f>
        <v>-12.210865208186746</v>
      </c>
      <c r="Q476" s="221"/>
      <c r="R476" s="138"/>
      <c r="S476" s="138"/>
      <c r="T476" s="248">
        <f>T185/L185*L476</f>
        <v>-9.9091269166040412</v>
      </c>
      <c r="U476" s="221"/>
      <c r="V476" s="138"/>
      <c r="W476" s="138"/>
      <c r="X476" s="248">
        <f>X185/L185*L476</f>
        <v>-39.226938064696256</v>
      </c>
      <c r="Y476" s="172"/>
      <c r="Z476" s="168"/>
      <c r="AA476" s="83"/>
      <c r="AB476" s="83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</row>
    <row r="477" spans="1:45" ht="16.5" thickBot="1">
      <c r="A477" s="179" t="s">
        <v>135</v>
      </c>
      <c r="B477" s="179"/>
      <c r="C477" s="199">
        <f>SUM(C475:C476)</f>
        <v>9399.0004583997998</v>
      </c>
      <c r="D477" s="268"/>
      <c r="E477" s="250"/>
      <c r="F477" s="251">
        <f>F475+F476</f>
        <v>2751.653069810513</v>
      </c>
      <c r="G477" s="268"/>
      <c r="H477" s="269"/>
      <c r="I477" s="251">
        <f>I475+I476</f>
        <v>2864.653069810513</v>
      </c>
      <c r="J477" s="268"/>
      <c r="K477" s="269"/>
      <c r="L477" s="251">
        <f>L475+L476</f>
        <v>2864.653069810513</v>
      </c>
      <c r="M477" s="251"/>
      <c r="N477" s="268"/>
      <c r="O477" s="269"/>
      <c r="P477" s="251">
        <f>P475+P476</f>
        <v>380.78913479181324</v>
      </c>
      <c r="Q477" s="251"/>
      <c r="R477" s="268"/>
      <c r="S477" s="269"/>
      <c r="T477" s="251">
        <f>T475+T476</f>
        <v>308.09087308339593</v>
      </c>
      <c r="U477" s="251"/>
      <c r="V477" s="268"/>
      <c r="W477" s="269"/>
      <c r="X477" s="251">
        <f>X475+X476</f>
        <v>1189.7730619353038</v>
      </c>
      <c r="Y477" s="176"/>
      <c r="Z477" s="177"/>
      <c r="AA477" s="83"/>
      <c r="AB477" s="83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</row>
    <row r="478" spans="1:45" ht="16.5" thickTop="1">
      <c r="A478" s="179"/>
      <c r="B478" s="179"/>
      <c r="C478" s="205"/>
      <c r="D478" s="243" t="s">
        <v>108</v>
      </c>
      <c r="E478" s="106"/>
      <c r="F478" s="106"/>
      <c r="G478" s="243" t="s">
        <v>108</v>
      </c>
      <c r="H478" s="179"/>
      <c r="I478" s="106"/>
      <c r="J478" s="275" t="s">
        <v>108</v>
      </c>
      <c r="K478" s="179"/>
      <c r="L478" s="106" t="s">
        <v>108</v>
      </c>
      <c r="M478" s="106"/>
      <c r="N478" s="275" t="s">
        <v>108</v>
      </c>
      <c r="O478" s="179"/>
      <c r="P478" s="106" t="s">
        <v>108</v>
      </c>
      <c r="Q478" s="106"/>
      <c r="R478" s="275" t="s">
        <v>108</v>
      </c>
      <c r="S478" s="179"/>
      <c r="T478" s="106" t="s">
        <v>108</v>
      </c>
      <c r="U478" s="106"/>
      <c r="V478" s="275" t="s">
        <v>108</v>
      </c>
      <c r="W478" s="179"/>
      <c r="X478" s="106" t="s">
        <v>108</v>
      </c>
      <c r="Y478" s="82"/>
      <c r="Z478" s="83"/>
      <c r="AA478" s="83"/>
      <c r="AB478" s="83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</row>
    <row r="479" spans="1:45" ht="15.75">
      <c r="A479" s="178" t="s">
        <v>174</v>
      </c>
      <c r="B479" s="179"/>
      <c r="C479" s="276"/>
      <c r="D479" s="106"/>
      <c r="E479" s="106"/>
      <c r="F479" s="179"/>
      <c r="G479" s="106"/>
      <c r="H479" s="179"/>
      <c r="I479" s="179"/>
      <c r="J479" s="106"/>
      <c r="K479" s="179"/>
      <c r="L479" s="106" t="s">
        <v>108</v>
      </c>
      <c r="M479" s="106"/>
      <c r="N479" s="106"/>
      <c r="O479" s="179"/>
      <c r="P479" s="106" t="s">
        <v>108</v>
      </c>
      <c r="Q479" s="106"/>
      <c r="R479" s="106"/>
      <c r="S479" s="179"/>
      <c r="T479" s="106" t="s">
        <v>108</v>
      </c>
      <c r="U479" s="106"/>
      <c r="V479" s="106"/>
      <c r="W479" s="179"/>
      <c r="X479" s="106" t="s">
        <v>108</v>
      </c>
      <c r="Y479" s="82"/>
      <c r="Z479" s="83"/>
      <c r="AA479" s="83"/>
      <c r="AB479" s="83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</row>
    <row r="480" spans="1:45" ht="15.75">
      <c r="A480" s="226" t="s">
        <v>175</v>
      </c>
      <c r="B480" s="179"/>
      <c r="C480" s="179" t="s">
        <v>108</v>
      </c>
      <c r="D480" s="106"/>
      <c r="E480" s="106"/>
      <c r="F480" s="179"/>
      <c r="G480" s="106"/>
      <c r="H480" s="179"/>
      <c r="I480" s="179"/>
      <c r="J480" s="106"/>
      <c r="K480" s="179"/>
      <c r="L480" s="179"/>
      <c r="M480" s="179"/>
      <c r="N480" s="106"/>
      <c r="O480" s="179"/>
      <c r="P480" s="179"/>
      <c r="Q480" s="179"/>
      <c r="R480" s="106"/>
      <c r="S480" s="179"/>
      <c r="T480" s="179"/>
      <c r="U480" s="179"/>
      <c r="V480" s="106"/>
      <c r="W480" s="179"/>
      <c r="X480" s="179"/>
      <c r="Y480" s="82"/>
      <c r="Z480" s="83"/>
      <c r="AA480" s="83"/>
      <c r="AB480" s="83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</row>
    <row r="481" spans="1:47" ht="15.75">
      <c r="A481" s="226"/>
      <c r="B481" s="179"/>
      <c r="C481" s="179"/>
      <c r="D481" s="106"/>
      <c r="E481" s="106"/>
      <c r="F481" s="179"/>
      <c r="G481" s="106"/>
      <c r="H481" s="179"/>
      <c r="I481" s="179"/>
      <c r="J481" s="106"/>
      <c r="K481" s="179"/>
      <c r="L481" s="179"/>
      <c r="M481" s="179"/>
      <c r="N481" s="106"/>
      <c r="O481" s="179"/>
      <c r="P481" s="179"/>
      <c r="Q481" s="179"/>
      <c r="R481" s="106"/>
      <c r="S481" s="179"/>
      <c r="T481" s="179"/>
      <c r="U481" s="179"/>
      <c r="V481" s="106"/>
      <c r="W481" s="179"/>
      <c r="X481" s="179"/>
      <c r="Y481" s="82"/>
      <c r="Z481" s="83"/>
      <c r="AA481" s="83"/>
      <c r="AB481" s="83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</row>
    <row r="482" spans="1:47" ht="15.75">
      <c r="A482" s="226" t="s">
        <v>11</v>
      </c>
      <c r="B482" s="179"/>
      <c r="C482" s="218"/>
      <c r="D482" s="106"/>
      <c r="E482" s="106"/>
      <c r="F482" s="179"/>
      <c r="G482" s="106"/>
      <c r="H482" s="179"/>
      <c r="I482" s="179"/>
      <c r="J482" s="106"/>
      <c r="K482" s="179"/>
      <c r="L482" s="179"/>
      <c r="M482" s="179"/>
      <c r="N482" s="106"/>
      <c r="O482" s="179"/>
      <c r="P482" s="179"/>
      <c r="Q482" s="179"/>
      <c r="R482" s="106"/>
      <c r="S482" s="179"/>
      <c r="T482" s="179"/>
      <c r="U482" s="179"/>
      <c r="V482" s="106"/>
      <c r="W482" s="179"/>
      <c r="X482" s="179"/>
      <c r="Y482" s="82"/>
      <c r="Z482" s="83"/>
      <c r="AA482" s="83"/>
      <c r="AB482" s="83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</row>
    <row r="483" spans="1:47" ht="15.75">
      <c r="A483" s="226" t="s">
        <v>176</v>
      </c>
      <c r="B483" s="179"/>
      <c r="C483" s="218">
        <v>0</v>
      </c>
      <c r="D483" s="212">
        <v>259</v>
      </c>
      <c r="E483" s="226"/>
      <c r="F483" s="220">
        <f t="shared" ref="F483:F485" si="112">ROUND(D483*$C483,0)</f>
        <v>0</v>
      </c>
      <c r="G483" s="212">
        <v>259</v>
      </c>
      <c r="H483" s="226"/>
      <c r="I483" s="220">
        <f>ROUND(E483*$C483,0)</f>
        <v>0</v>
      </c>
      <c r="J483" s="212">
        <v>259</v>
      </c>
      <c r="K483" s="226"/>
      <c r="L483" s="220">
        <f>ROUND(J483*$C483,0)</f>
        <v>0</v>
      </c>
      <c r="M483" s="220"/>
      <c r="N483" s="212"/>
      <c r="O483" s="226"/>
      <c r="P483" s="220"/>
      <c r="Q483" s="220"/>
      <c r="R483" s="212"/>
      <c r="S483" s="226"/>
      <c r="T483" s="220"/>
      <c r="U483" s="220"/>
      <c r="V483" s="212"/>
      <c r="W483" s="226"/>
      <c r="X483" s="220"/>
      <c r="Y483" s="82"/>
      <c r="Z483" s="83"/>
      <c r="AA483" s="83"/>
      <c r="AB483" s="83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</row>
    <row r="484" spans="1:47" ht="15.75">
      <c r="A484" s="226" t="s">
        <v>177</v>
      </c>
      <c r="B484" s="179"/>
      <c r="C484" s="218">
        <v>0</v>
      </c>
      <c r="D484" s="212">
        <v>96</v>
      </c>
      <c r="E484" s="226"/>
      <c r="F484" s="220">
        <f t="shared" si="112"/>
        <v>0</v>
      </c>
      <c r="G484" s="212">
        <v>96</v>
      </c>
      <c r="H484" s="226"/>
      <c r="I484" s="220">
        <f>ROUND(E484*$C484,0)</f>
        <v>0</v>
      </c>
      <c r="J484" s="212">
        <v>96</v>
      </c>
      <c r="K484" s="226"/>
      <c r="L484" s="220">
        <f>ROUND(J484*$C484,0)</f>
        <v>0</v>
      </c>
      <c r="M484" s="220"/>
      <c r="N484" s="212"/>
      <c r="O484" s="226"/>
      <c r="P484" s="220"/>
      <c r="Q484" s="220"/>
      <c r="R484" s="212"/>
      <c r="S484" s="226"/>
      <c r="T484" s="220"/>
      <c r="U484" s="220"/>
      <c r="V484" s="212"/>
      <c r="W484" s="226"/>
      <c r="X484" s="220"/>
      <c r="Y484" s="82"/>
      <c r="Z484" s="83"/>
      <c r="AA484" s="83"/>
      <c r="AB484" s="83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</row>
    <row r="485" spans="1:47" ht="15.75">
      <c r="A485" s="226" t="s">
        <v>178</v>
      </c>
      <c r="B485" s="179"/>
      <c r="C485" s="218">
        <v>0</v>
      </c>
      <c r="D485" s="212">
        <v>192</v>
      </c>
      <c r="E485" s="265"/>
      <c r="F485" s="220">
        <f t="shared" si="112"/>
        <v>0</v>
      </c>
      <c r="G485" s="212">
        <v>192</v>
      </c>
      <c r="H485" s="265"/>
      <c r="I485" s="220">
        <f>ROUND(E485*$C485,0)</f>
        <v>0</v>
      </c>
      <c r="J485" s="212">
        <v>192</v>
      </c>
      <c r="K485" s="265"/>
      <c r="L485" s="220">
        <f>ROUND(J485*$C485,0)</f>
        <v>0</v>
      </c>
      <c r="M485" s="220"/>
      <c r="N485" s="212"/>
      <c r="O485" s="265"/>
      <c r="P485" s="220"/>
      <c r="Q485" s="220"/>
      <c r="R485" s="212"/>
      <c r="S485" s="265"/>
      <c r="T485" s="220"/>
      <c r="U485" s="220"/>
      <c r="V485" s="212"/>
      <c r="W485" s="265"/>
      <c r="X485" s="220"/>
      <c r="Y485" s="82"/>
      <c r="Z485" s="83"/>
      <c r="AA485" s="83"/>
      <c r="AB485" s="83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</row>
    <row r="486" spans="1:47" ht="15.75">
      <c r="A486" s="226" t="s">
        <v>150</v>
      </c>
      <c r="B486" s="179"/>
      <c r="C486" s="218">
        <f>SUM(C483:C485)</f>
        <v>0</v>
      </c>
      <c r="D486" s="212"/>
      <c r="E486" s="226"/>
      <c r="F486" s="220"/>
      <c r="G486" s="212"/>
      <c r="H486" s="226"/>
      <c r="I486" s="220"/>
      <c r="J486" s="212"/>
      <c r="K486" s="226"/>
      <c r="L486" s="220"/>
      <c r="M486" s="220"/>
      <c r="N486" s="212"/>
      <c r="O486" s="226"/>
      <c r="P486" s="220"/>
      <c r="Q486" s="220"/>
      <c r="R486" s="212"/>
      <c r="S486" s="226"/>
      <c r="T486" s="220"/>
      <c r="U486" s="220"/>
      <c r="V486" s="212"/>
      <c r="W486" s="226"/>
      <c r="X486" s="220"/>
      <c r="Y486" s="82"/>
      <c r="Z486" s="83"/>
      <c r="AA486" s="83"/>
      <c r="AB486" s="83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</row>
    <row r="487" spans="1:47" ht="15.75">
      <c r="A487" s="226" t="s">
        <v>177</v>
      </c>
      <c r="B487" s="179"/>
      <c r="C487" s="218">
        <v>0</v>
      </c>
      <c r="D487" s="212">
        <v>1.7</v>
      </c>
      <c r="E487" s="226" t="s">
        <v>108</v>
      </c>
      <c r="F487" s="220">
        <f>ROUND(D487*$C487,0)</f>
        <v>0</v>
      </c>
      <c r="G487" s="212">
        <v>1.7</v>
      </c>
      <c r="H487" s="226" t="s">
        <v>108</v>
      </c>
      <c r="I487" s="220">
        <f>G487*C487</f>
        <v>0</v>
      </c>
      <c r="J487" s="212">
        <v>1.86</v>
      </c>
      <c r="K487" s="226" t="s">
        <v>108</v>
      </c>
      <c r="L487" s="220">
        <f>ROUND(J487*$C487,0)</f>
        <v>0</v>
      </c>
      <c r="M487" s="220"/>
      <c r="N487" s="212"/>
      <c r="O487" s="226"/>
      <c r="P487" s="220"/>
      <c r="Q487" s="220"/>
      <c r="R487" s="212"/>
      <c r="S487" s="226"/>
      <c r="T487" s="220"/>
      <c r="U487" s="220"/>
      <c r="V487" s="212"/>
      <c r="W487" s="226"/>
      <c r="X487" s="220"/>
      <c r="Y487" s="82"/>
      <c r="Z487" s="83"/>
      <c r="AA487" s="83"/>
      <c r="AB487" s="83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</row>
    <row r="488" spans="1:47" ht="15.75">
      <c r="A488" s="226" t="s">
        <v>178</v>
      </c>
      <c r="B488" s="179"/>
      <c r="C488" s="218">
        <v>0</v>
      </c>
      <c r="D488" s="212">
        <v>1.39</v>
      </c>
      <c r="E488" s="226" t="s">
        <v>108</v>
      </c>
      <c r="F488" s="220">
        <f>ROUND(D488*$C488,0)</f>
        <v>0</v>
      </c>
      <c r="G488" s="212">
        <v>1.39</v>
      </c>
      <c r="H488" s="226" t="s">
        <v>108</v>
      </c>
      <c r="I488" s="220">
        <f t="shared" ref="I488:I514" si="113">G488*C488</f>
        <v>0</v>
      </c>
      <c r="J488" s="212">
        <v>1.52</v>
      </c>
      <c r="K488" s="226" t="s">
        <v>108</v>
      </c>
      <c r="L488" s="220">
        <f>ROUND(J488*$C488,0)</f>
        <v>0</v>
      </c>
      <c r="M488" s="220"/>
      <c r="N488" s="212"/>
      <c r="O488" s="226"/>
      <c r="P488" s="220"/>
      <c r="Q488" s="220"/>
      <c r="R488" s="212"/>
      <c r="S488" s="226"/>
      <c r="T488" s="220"/>
      <c r="U488" s="220"/>
      <c r="V488" s="212"/>
      <c r="W488" s="226"/>
      <c r="X488" s="220"/>
      <c r="Y488" s="82"/>
      <c r="Z488" s="83"/>
      <c r="AA488" s="83"/>
      <c r="AB488" s="83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</row>
    <row r="489" spans="1:47" ht="15.75">
      <c r="A489" s="138" t="s">
        <v>179</v>
      </c>
      <c r="B489" s="179"/>
      <c r="C489" s="218"/>
      <c r="D489" s="212"/>
      <c r="E489" s="226"/>
      <c r="F489" s="220"/>
      <c r="G489" s="212"/>
      <c r="H489" s="226"/>
      <c r="I489" s="220"/>
      <c r="J489" s="212"/>
      <c r="K489" s="226"/>
      <c r="L489" s="220"/>
      <c r="M489" s="220"/>
      <c r="N489" s="212"/>
      <c r="O489" s="226"/>
      <c r="P489" s="220"/>
      <c r="Q489" s="220"/>
      <c r="R489" s="212"/>
      <c r="S489" s="226"/>
      <c r="T489" s="220"/>
      <c r="U489" s="220"/>
      <c r="V489" s="212"/>
      <c r="W489" s="226"/>
      <c r="X489" s="220"/>
      <c r="Y489" s="82"/>
      <c r="Z489" s="83"/>
      <c r="AA489" s="83"/>
      <c r="AB489" s="83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</row>
    <row r="490" spans="1:47" ht="15.75">
      <c r="A490" s="138" t="s">
        <v>180</v>
      </c>
      <c r="B490" s="179"/>
      <c r="C490" s="218">
        <v>0</v>
      </c>
      <c r="D490" s="212">
        <v>4.4400000000000004</v>
      </c>
      <c r="E490" s="226"/>
      <c r="F490" s="220">
        <f>ROUND(D490*$C490,0)</f>
        <v>0</v>
      </c>
      <c r="G490" s="186">
        <v>4.72</v>
      </c>
      <c r="H490" s="153"/>
      <c r="I490" s="220">
        <f t="shared" si="113"/>
        <v>0</v>
      </c>
      <c r="J490" s="186">
        <v>5.21</v>
      </c>
      <c r="K490" s="153"/>
      <c r="L490" s="109">
        <f>ROUND(J490*$C490,0)</f>
        <v>0</v>
      </c>
      <c r="M490" s="109"/>
      <c r="N490" s="186"/>
      <c r="O490" s="153"/>
      <c r="P490" s="109"/>
      <c r="Q490" s="109"/>
      <c r="R490" s="186"/>
      <c r="S490" s="153"/>
      <c r="T490" s="109"/>
      <c r="U490" s="109"/>
      <c r="V490" s="186"/>
      <c r="W490" s="153"/>
      <c r="X490" s="109"/>
      <c r="Y490" s="82"/>
      <c r="Z490" s="83"/>
      <c r="AA490" s="83"/>
      <c r="AB490" s="83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</row>
    <row r="491" spans="1:47" ht="15.75">
      <c r="A491" s="226" t="s">
        <v>181</v>
      </c>
      <c r="B491" s="179"/>
      <c r="C491" s="218"/>
      <c r="D491" s="277"/>
      <c r="E491" s="220"/>
      <c r="F491" s="220"/>
      <c r="G491" s="238"/>
      <c r="H491" s="109"/>
      <c r="I491" s="220"/>
      <c r="J491" s="238"/>
      <c r="K491" s="109"/>
      <c r="L491" s="109"/>
      <c r="M491" s="109"/>
      <c r="N491" s="238"/>
      <c r="O491" s="109"/>
      <c r="P491" s="109"/>
      <c r="Q491" s="109"/>
      <c r="R491" s="238"/>
      <c r="S491" s="109"/>
      <c r="T491" s="109"/>
      <c r="U491" s="109"/>
      <c r="V491" s="238"/>
      <c r="W491" s="109"/>
      <c r="X491" s="109"/>
      <c r="Y491" s="82"/>
      <c r="Z491" s="83"/>
      <c r="AA491" s="83"/>
      <c r="AB491" s="83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</row>
    <row r="492" spans="1:47" ht="15.75">
      <c r="A492" s="226" t="s">
        <v>182</v>
      </c>
      <c r="B492" s="179"/>
      <c r="C492" s="218">
        <v>0</v>
      </c>
      <c r="D492" s="239">
        <v>5.2939999999999996</v>
      </c>
      <c r="E492" s="220" t="s">
        <v>116</v>
      </c>
      <c r="F492" s="220">
        <f>ROUND($C492*D492/100,0)</f>
        <v>0</v>
      </c>
      <c r="G492" s="240">
        <v>5.6289999999999996</v>
      </c>
      <c r="H492" s="109" t="s">
        <v>116</v>
      </c>
      <c r="I492" s="220">
        <f t="shared" si="113"/>
        <v>0</v>
      </c>
      <c r="J492" s="240">
        <v>6.1669999999999998</v>
      </c>
      <c r="K492" s="109" t="s">
        <v>116</v>
      </c>
      <c r="L492" s="109">
        <f>ROUND($C492*J492/100,0)</f>
        <v>0</v>
      </c>
      <c r="M492" s="109"/>
      <c r="N492" s="240"/>
      <c r="O492" s="109"/>
      <c r="P492" s="109"/>
      <c r="Q492" s="109"/>
      <c r="R492" s="240"/>
      <c r="S492" s="109"/>
      <c r="T492" s="109"/>
      <c r="U492" s="109"/>
      <c r="V492" s="240"/>
      <c r="W492" s="109"/>
      <c r="X492" s="109"/>
      <c r="Y492" s="82"/>
      <c r="Z492" s="83"/>
      <c r="AA492" s="83"/>
      <c r="AB492" s="83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</row>
    <row r="493" spans="1:47" ht="15.75">
      <c r="A493" s="226" t="s">
        <v>154</v>
      </c>
      <c r="B493" s="179"/>
      <c r="C493" s="218">
        <v>0</v>
      </c>
      <c r="D493" s="239">
        <v>4.8520000000000003</v>
      </c>
      <c r="E493" s="220" t="s">
        <v>116</v>
      </c>
      <c r="F493" s="220">
        <f>ROUND($C493*D493/100,0)</f>
        <v>0</v>
      </c>
      <c r="G493" s="240">
        <v>5.157</v>
      </c>
      <c r="H493" s="109" t="s">
        <v>116</v>
      </c>
      <c r="I493" s="220">
        <f t="shared" si="113"/>
        <v>0</v>
      </c>
      <c r="J493" s="240">
        <v>5.6550000000000002</v>
      </c>
      <c r="K493" s="109" t="s">
        <v>116</v>
      </c>
      <c r="L493" s="109">
        <f>ROUND($C493*J493/100,0)</f>
        <v>0</v>
      </c>
      <c r="M493" s="109"/>
      <c r="N493" s="240"/>
      <c r="O493" s="109"/>
      <c r="P493" s="109"/>
      <c r="Q493" s="109"/>
      <c r="R493" s="240"/>
      <c r="S493" s="109"/>
      <c r="T493" s="109"/>
      <c r="U493" s="109"/>
      <c r="V493" s="240"/>
      <c r="W493" s="109"/>
      <c r="X493" s="109"/>
      <c r="Y493" s="82"/>
      <c r="Z493" s="83"/>
      <c r="AA493" s="83"/>
      <c r="AB493" s="83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</row>
    <row r="494" spans="1:47" ht="15.75">
      <c r="A494" s="226" t="s">
        <v>155</v>
      </c>
      <c r="B494" s="179"/>
      <c r="C494" s="218">
        <v>0</v>
      </c>
      <c r="D494" s="241">
        <v>56</v>
      </c>
      <c r="E494" s="220" t="s">
        <v>116</v>
      </c>
      <c r="F494" s="220">
        <f>ROUND(D494*$C494/100,0)</f>
        <v>0</v>
      </c>
      <c r="G494" s="278">
        <v>56</v>
      </c>
      <c r="H494" s="109" t="s">
        <v>116</v>
      </c>
      <c r="I494" s="220">
        <f t="shared" si="113"/>
        <v>0</v>
      </c>
      <c r="J494" s="278">
        <v>56</v>
      </c>
      <c r="K494" s="109" t="s">
        <v>116</v>
      </c>
      <c r="L494" s="109">
        <f>ROUND(J494*$C494,0)</f>
        <v>0</v>
      </c>
      <c r="M494" s="109"/>
      <c r="N494" s="278"/>
      <c r="O494" s="109"/>
      <c r="P494" s="109"/>
      <c r="Q494" s="109"/>
      <c r="R494" s="278"/>
      <c r="S494" s="109"/>
      <c r="T494" s="109"/>
      <c r="U494" s="109"/>
      <c r="V494" s="278"/>
      <c r="W494" s="109"/>
      <c r="X494" s="109"/>
      <c r="Y494" s="82"/>
      <c r="Z494" s="83"/>
      <c r="AA494" s="83"/>
      <c r="AB494" s="83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</row>
    <row r="495" spans="1:47" ht="15.75">
      <c r="A495" s="226" t="s">
        <v>183</v>
      </c>
      <c r="B495" s="179"/>
      <c r="C495" s="218">
        <v>0</v>
      </c>
      <c r="D495" s="279">
        <v>56</v>
      </c>
      <c r="E495" s="220"/>
      <c r="F495" s="220">
        <f>ROUND($C495*D495/100,0)</f>
        <v>0</v>
      </c>
      <c r="G495" s="280">
        <v>0.06</v>
      </c>
      <c r="H495" s="109" t="s">
        <v>116</v>
      </c>
      <c r="I495" s="220">
        <f t="shared" si="113"/>
        <v>0</v>
      </c>
      <c r="J495" s="242">
        <v>0.06</v>
      </c>
      <c r="K495" s="109" t="s">
        <v>116</v>
      </c>
      <c r="L495" s="109">
        <f>ROUND($C495*J495/100,0)</f>
        <v>0</v>
      </c>
      <c r="M495" s="109"/>
      <c r="N495" s="242"/>
      <c r="O495" s="109"/>
      <c r="P495" s="109"/>
      <c r="Q495" s="109"/>
      <c r="R495" s="242"/>
      <c r="S495" s="109"/>
      <c r="T495" s="109"/>
      <c r="U495" s="109"/>
      <c r="V495" s="242"/>
      <c r="W495" s="109"/>
      <c r="X495" s="109"/>
      <c r="Y495" s="82"/>
      <c r="Z495" s="83"/>
      <c r="AA495" s="83"/>
      <c r="AB495" s="83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</row>
    <row r="496" spans="1:47" s="123" customFormat="1" ht="15.75">
      <c r="A496" s="122" t="s">
        <v>184</v>
      </c>
      <c r="C496" s="124">
        <f>C492+C493</f>
        <v>0</v>
      </c>
      <c r="D496" s="118"/>
      <c r="E496" s="125"/>
      <c r="F496" s="126"/>
      <c r="G496" s="119"/>
      <c r="H496" s="127"/>
      <c r="I496" s="220">
        <f t="shared" si="113"/>
        <v>0</v>
      </c>
      <c r="J496" s="240">
        <v>0</v>
      </c>
      <c r="K496" s="128" t="s">
        <v>116</v>
      </c>
      <c r="L496" s="128">
        <f t="shared" ref="L496:L497" si="114">ROUND($C496*J496/100,0)</f>
        <v>0</v>
      </c>
      <c r="M496" s="128"/>
      <c r="N496" s="240"/>
      <c r="O496" s="128"/>
      <c r="P496" s="128"/>
      <c r="Q496" s="128"/>
      <c r="R496" s="240"/>
      <c r="S496" s="128"/>
      <c r="T496" s="128"/>
      <c r="U496" s="128"/>
      <c r="V496" s="240"/>
      <c r="W496" s="128"/>
      <c r="X496" s="128"/>
      <c r="Z496" s="111"/>
      <c r="AC496" s="132"/>
      <c r="AD496" s="132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U496" s="131"/>
    </row>
    <row r="497" spans="1:47" s="123" customFormat="1" ht="15.75">
      <c r="A497" s="122" t="s">
        <v>185</v>
      </c>
      <c r="C497" s="124">
        <f>C493+C494</f>
        <v>0</v>
      </c>
      <c r="D497" s="118"/>
      <c r="E497" s="125"/>
      <c r="F497" s="126"/>
      <c r="G497" s="119"/>
      <c r="H497" s="127"/>
      <c r="I497" s="220">
        <f t="shared" si="113"/>
        <v>0</v>
      </c>
      <c r="J497" s="240">
        <v>0</v>
      </c>
      <c r="K497" s="127"/>
      <c r="L497" s="128">
        <f t="shared" si="114"/>
        <v>0</v>
      </c>
      <c r="M497" s="128"/>
      <c r="N497" s="240"/>
      <c r="O497" s="127"/>
      <c r="P497" s="128"/>
      <c r="Q497" s="128"/>
      <c r="R497" s="240"/>
      <c r="S497" s="127"/>
      <c r="T497" s="128"/>
      <c r="U497" s="128"/>
      <c r="V497" s="240"/>
      <c r="W497" s="127"/>
      <c r="X497" s="128"/>
      <c r="Z497" s="111"/>
      <c r="AC497" s="132"/>
      <c r="AD497" s="132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U497" s="131"/>
    </row>
    <row r="498" spans="1:47" ht="15.75">
      <c r="A498" s="281" t="s">
        <v>156</v>
      </c>
      <c r="B498" s="179" t="s">
        <v>108</v>
      </c>
      <c r="C498" s="218"/>
      <c r="D498" s="234">
        <v>-0.01</v>
      </c>
      <c r="E498" s="282"/>
      <c r="F498" s="282"/>
      <c r="G498" s="235">
        <v>-0.01</v>
      </c>
      <c r="H498" s="109"/>
      <c r="I498" s="220"/>
      <c r="J498" s="235">
        <v>-0.01</v>
      </c>
      <c r="K498" s="109"/>
      <c r="L498" s="109"/>
      <c r="M498" s="109"/>
      <c r="N498" s="235"/>
      <c r="O498" s="109"/>
      <c r="P498" s="109"/>
      <c r="Q498" s="109"/>
      <c r="R498" s="235"/>
      <c r="S498" s="109"/>
      <c r="T498" s="109"/>
      <c r="U498" s="109"/>
      <c r="V498" s="235"/>
      <c r="W498" s="109"/>
      <c r="X498" s="109"/>
      <c r="Y498" s="82"/>
      <c r="Z498" s="83"/>
      <c r="AA498" s="83"/>
      <c r="AB498" s="83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</row>
    <row r="499" spans="1:47" ht="15.75">
      <c r="A499" s="226" t="s">
        <v>176</v>
      </c>
      <c r="B499" s="179"/>
      <c r="C499" s="218">
        <v>0</v>
      </c>
      <c r="D499" s="212">
        <v>259</v>
      </c>
      <c r="E499" s="226"/>
      <c r="F499" s="220">
        <f t="shared" ref="F499:F504" si="115">ROUND(D499*$C499*$D$498,0)</f>
        <v>0</v>
      </c>
      <c r="G499" s="186">
        <v>259</v>
      </c>
      <c r="H499" s="153"/>
      <c r="I499" s="220">
        <f t="shared" si="113"/>
        <v>0</v>
      </c>
      <c r="J499" s="186">
        <f>J483</f>
        <v>259</v>
      </c>
      <c r="K499" s="153"/>
      <c r="L499" s="109">
        <f t="shared" ref="L499:L504" si="116">ROUND(J499*$C499*$D$498,0)</f>
        <v>0</v>
      </c>
      <c r="M499" s="109"/>
      <c r="N499" s="186"/>
      <c r="O499" s="153"/>
      <c r="P499" s="109"/>
      <c r="Q499" s="109"/>
      <c r="R499" s="186"/>
      <c r="S499" s="153"/>
      <c r="T499" s="109"/>
      <c r="U499" s="109"/>
      <c r="V499" s="186"/>
      <c r="W499" s="153"/>
      <c r="X499" s="109"/>
      <c r="Y499" s="82"/>
      <c r="Z499" s="83"/>
      <c r="AA499" s="83"/>
      <c r="AB499" s="83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</row>
    <row r="500" spans="1:47" ht="15.75">
      <c r="A500" s="226" t="s">
        <v>177</v>
      </c>
      <c r="B500" s="179"/>
      <c r="C500" s="218">
        <v>0</v>
      </c>
      <c r="D500" s="212">
        <v>96</v>
      </c>
      <c r="E500" s="226"/>
      <c r="F500" s="220">
        <f t="shared" si="115"/>
        <v>0</v>
      </c>
      <c r="G500" s="186">
        <v>96</v>
      </c>
      <c r="H500" s="153"/>
      <c r="I500" s="220">
        <f t="shared" si="113"/>
        <v>0</v>
      </c>
      <c r="J500" s="186">
        <f>J484</f>
        <v>96</v>
      </c>
      <c r="K500" s="153"/>
      <c r="L500" s="109">
        <f t="shared" si="116"/>
        <v>0</v>
      </c>
      <c r="M500" s="109"/>
      <c r="N500" s="186"/>
      <c r="O500" s="153"/>
      <c r="P500" s="109"/>
      <c r="Q500" s="109"/>
      <c r="R500" s="186"/>
      <c r="S500" s="153"/>
      <c r="T500" s="109"/>
      <c r="U500" s="109"/>
      <c r="V500" s="186"/>
      <c r="W500" s="153"/>
      <c r="X500" s="109"/>
      <c r="Y500" s="82"/>
      <c r="Z500" s="83"/>
      <c r="AA500" s="83"/>
      <c r="AB500" s="83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</row>
    <row r="501" spans="1:47" ht="15.75">
      <c r="A501" s="226" t="s">
        <v>178</v>
      </c>
      <c r="B501" s="179"/>
      <c r="C501" s="218">
        <v>0</v>
      </c>
      <c r="D501" s="212">
        <v>192</v>
      </c>
      <c r="E501" s="265"/>
      <c r="F501" s="220">
        <f t="shared" si="115"/>
        <v>0</v>
      </c>
      <c r="G501" s="186">
        <v>192</v>
      </c>
      <c r="H501" s="223"/>
      <c r="I501" s="220">
        <f t="shared" si="113"/>
        <v>0</v>
      </c>
      <c r="J501" s="186">
        <f>J485</f>
        <v>192</v>
      </c>
      <c r="K501" s="223"/>
      <c r="L501" s="109">
        <f t="shared" si="116"/>
        <v>0</v>
      </c>
      <c r="M501" s="109"/>
      <c r="N501" s="186"/>
      <c r="O501" s="223"/>
      <c r="P501" s="109"/>
      <c r="Q501" s="109"/>
      <c r="R501" s="186"/>
      <c r="S501" s="223"/>
      <c r="T501" s="109"/>
      <c r="U501" s="109"/>
      <c r="V501" s="186"/>
      <c r="W501" s="223"/>
      <c r="X501" s="109"/>
      <c r="Y501" s="82"/>
      <c r="Z501" s="83"/>
      <c r="AA501" s="83"/>
      <c r="AB501" s="83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</row>
    <row r="502" spans="1:47" ht="15.75">
      <c r="A502" s="226" t="s">
        <v>177</v>
      </c>
      <c r="B502" s="179"/>
      <c r="C502" s="218">
        <v>0</v>
      </c>
      <c r="D502" s="212">
        <v>1.7</v>
      </c>
      <c r="E502" s="226" t="s">
        <v>108</v>
      </c>
      <c r="F502" s="220">
        <f t="shared" si="115"/>
        <v>0</v>
      </c>
      <c r="G502" s="186">
        <v>1.7</v>
      </c>
      <c r="H502" s="153" t="s">
        <v>108</v>
      </c>
      <c r="I502" s="220">
        <f t="shared" si="113"/>
        <v>0</v>
      </c>
      <c r="J502" s="186">
        <f>J487</f>
        <v>1.86</v>
      </c>
      <c r="K502" s="153" t="s">
        <v>108</v>
      </c>
      <c r="L502" s="109">
        <f t="shared" si="116"/>
        <v>0</v>
      </c>
      <c r="M502" s="109"/>
      <c r="N502" s="186"/>
      <c r="O502" s="153"/>
      <c r="P502" s="109"/>
      <c r="Q502" s="109"/>
      <c r="R502" s="186"/>
      <c r="S502" s="153"/>
      <c r="T502" s="109"/>
      <c r="U502" s="109"/>
      <c r="V502" s="186"/>
      <c r="W502" s="153"/>
      <c r="X502" s="109"/>
      <c r="Y502" s="82"/>
      <c r="Z502" s="83"/>
      <c r="AA502" s="83"/>
      <c r="AB502" s="83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</row>
    <row r="503" spans="1:47" ht="15.75">
      <c r="A503" s="226" t="s">
        <v>178</v>
      </c>
      <c r="B503" s="179"/>
      <c r="C503" s="218">
        <v>0</v>
      </c>
      <c r="D503" s="212">
        <v>1.39</v>
      </c>
      <c r="E503" s="226" t="s">
        <v>108</v>
      </c>
      <c r="F503" s="220">
        <f t="shared" si="115"/>
        <v>0</v>
      </c>
      <c r="G503" s="186">
        <v>1.39</v>
      </c>
      <c r="H503" s="153" t="s">
        <v>108</v>
      </c>
      <c r="I503" s="220">
        <f t="shared" si="113"/>
        <v>0</v>
      </c>
      <c r="J503" s="186">
        <f>J488</f>
        <v>1.52</v>
      </c>
      <c r="K503" s="153" t="s">
        <v>108</v>
      </c>
      <c r="L503" s="109">
        <f t="shared" si="116"/>
        <v>0</v>
      </c>
      <c r="M503" s="109"/>
      <c r="N503" s="186"/>
      <c r="O503" s="153"/>
      <c r="P503" s="109"/>
      <c r="Q503" s="109"/>
      <c r="R503" s="186"/>
      <c r="S503" s="153"/>
      <c r="T503" s="109"/>
      <c r="U503" s="109"/>
      <c r="V503" s="186"/>
      <c r="W503" s="153"/>
      <c r="X503" s="109"/>
      <c r="Y503" s="82"/>
      <c r="Z503" s="83"/>
      <c r="AA503" s="83"/>
      <c r="AB503" s="83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</row>
    <row r="504" spans="1:47" ht="15.75">
      <c r="A504" s="138" t="s">
        <v>180</v>
      </c>
      <c r="B504" s="179"/>
      <c r="C504" s="218">
        <v>0</v>
      </c>
      <c r="D504" s="212">
        <v>4.4400000000000004</v>
      </c>
      <c r="E504" s="226"/>
      <c r="F504" s="220">
        <f t="shared" si="115"/>
        <v>0</v>
      </c>
      <c r="G504" s="186">
        <v>4.72</v>
      </c>
      <c r="H504" s="153"/>
      <c r="I504" s="220">
        <f t="shared" si="113"/>
        <v>0</v>
      </c>
      <c r="J504" s="186">
        <f>J490</f>
        <v>5.21</v>
      </c>
      <c r="K504" s="153"/>
      <c r="L504" s="109">
        <f t="shared" si="116"/>
        <v>0</v>
      </c>
      <c r="M504" s="109"/>
      <c r="N504" s="186"/>
      <c r="O504" s="153"/>
      <c r="P504" s="109"/>
      <c r="Q504" s="109"/>
      <c r="R504" s="186"/>
      <c r="S504" s="153"/>
      <c r="T504" s="109"/>
      <c r="U504" s="109"/>
      <c r="V504" s="186"/>
      <c r="W504" s="153"/>
      <c r="X504" s="109"/>
      <c r="Y504" s="82"/>
      <c r="Z504" s="83"/>
      <c r="AA504" s="83"/>
      <c r="AB504" s="83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</row>
    <row r="505" spans="1:47" ht="15.75">
      <c r="A505" s="226" t="s">
        <v>182</v>
      </c>
      <c r="B505" s="179"/>
      <c r="C505" s="218">
        <v>0</v>
      </c>
      <c r="D505" s="237">
        <v>0</v>
      </c>
      <c r="E505" s="220" t="s">
        <v>116</v>
      </c>
      <c r="F505" s="220">
        <f>ROUND(D505/100*$C505*D498,0)</f>
        <v>0</v>
      </c>
      <c r="G505" s="238">
        <v>0</v>
      </c>
      <c r="H505" s="109" t="s">
        <v>116</v>
      </c>
      <c r="I505" s="220">
        <f t="shared" si="113"/>
        <v>0</v>
      </c>
      <c r="J505" s="186">
        <f>J491</f>
        <v>0</v>
      </c>
      <c r="K505" s="109" t="s">
        <v>116</v>
      </c>
      <c r="L505" s="109">
        <f>ROUND(J505/100*$C505*D498,0)</f>
        <v>0</v>
      </c>
      <c r="M505" s="109"/>
      <c r="N505" s="186"/>
      <c r="O505" s="109"/>
      <c r="P505" s="109"/>
      <c r="Q505" s="109"/>
      <c r="R505" s="186"/>
      <c r="S505" s="109"/>
      <c r="T505" s="109"/>
      <c r="U505" s="109"/>
      <c r="V505" s="186"/>
      <c r="W505" s="109"/>
      <c r="X505" s="109"/>
      <c r="Y505" s="82"/>
      <c r="Z505" s="83"/>
      <c r="AA505" s="83"/>
      <c r="AB505" s="83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</row>
    <row r="506" spans="1:47" ht="15.75">
      <c r="A506" s="226" t="s">
        <v>154</v>
      </c>
      <c r="B506" s="179"/>
      <c r="C506" s="218">
        <v>0</v>
      </c>
      <c r="D506" s="283">
        <v>4.8520000000000003</v>
      </c>
      <c r="E506" s="220" t="s">
        <v>116</v>
      </c>
      <c r="F506" s="220">
        <f>ROUND(D506/100*$C506*D498,0)</f>
        <v>0</v>
      </c>
      <c r="G506" s="284">
        <v>5.157</v>
      </c>
      <c r="H506" s="109" t="s">
        <v>116</v>
      </c>
      <c r="I506" s="220">
        <f t="shared" si="113"/>
        <v>0</v>
      </c>
      <c r="J506" s="188">
        <f>J493</f>
        <v>5.6550000000000002</v>
      </c>
      <c r="K506" s="109" t="s">
        <v>116</v>
      </c>
      <c r="L506" s="109">
        <f>ROUND(J506/100*$C506*D498,0)</f>
        <v>0</v>
      </c>
      <c r="M506" s="109"/>
      <c r="N506" s="188"/>
      <c r="O506" s="109"/>
      <c r="P506" s="109"/>
      <c r="Q506" s="109"/>
      <c r="R506" s="188"/>
      <c r="S506" s="109"/>
      <c r="T506" s="109"/>
      <c r="U506" s="109"/>
      <c r="V506" s="188"/>
      <c r="W506" s="109"/>
      <c r="X506" s="109"/>
      <c r="Y506" s="82"/>
      <c r="Z506" s="83"/>
      <c r="AA506" s="83"/>
      <c r="AB506" s="83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</row>
    <row r="507" spans="1:47" ht="15.75">
      <c r="A507" s="138" t="s">
        <v>186</v>
      </c>
      <c r="B507" s="179"/>
      <c r="C507" s="218">
        <v>0</v>
      </c>
      <c r="D507" s="241">
        <v>56</v>
      </c>
      <c r="E507" s="220" t="s">
        <v>116</v>
      </c>
      <c r="F507" s="220">
        <f>ROUND(D507*$C507*$D$498,0)</f>
        <v>0</v>
      </c>
      <c r="G507" s="285">
        <v>56</v>
      </c>
      <c r="H507" s="109" t="s">
        <v>116</v>
      </c>
      <c r="I507" s="220">
        <f t="shared" si="113"/>
        <v>0</v>
      </c>
      <c r="J507" s="230">
        <f>J494</f>
        <v>56</v>
      </c>
      <c r="K507" s="109" t="s">
        <v>116</v>
      </c>
      <c r="L507" s="109">
        <f>ROUND(J507*$C507*$D$498,0)</f>
        <v>0</v>
      </c>
      <c r="M507" s="109"/>
      <c r="N507" s="230"/>
      <c r="O507" s="109"/>
      <c r="P507" s="109"/>
      <c r="Q507" s="109"/>
      <c r="R507" s="230"/>
      <c r="S507" s="109"/>
      <c r="T507" s="109"/>
      <c r="U507" s="109"/>
      <c r="V507" s="230"/>
      <c r="W507" s="109"/>
      <c r="X507" s="109"/>
      <c r="Y507" s="82"/>
      <c r="Z507" s="83"/>
      <c r="AA507" s="83"/>
      <c r="AB507" s="83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</row>
    <row r="508" spans="1:47" ht="15.75">
      <c r="A508" s="138" t="s">
        <v>187</v>
      </c>
      <c r="B508" s="179"/>
      <c r="C508" s="218">
        <v>0</v>
      </c>
      <c r="D508" s="286">
        <v>0.06</v>
      </c>
      <c r="E508" s="220" t="s">
        <v>116</v>
      </c>
      <c r="F508" s="220">
        <f>ROUND(D508/100*$C508*D498,0)</f>
        <v>0</v>
      </c>
      <c r="G508" s="287">
        <v>0.06</v>
      </c>
      <c r="H508" s="109" t="s">
        <v>116</v>
      </c>
      <c r="I508" s="220">
        <f t="shared" si="113"/>
        <v>0</v>
      </c>
      <c r="J508" s="280">
        <f>J495</f>
        <v>0.06</v>
      </c>
      <c r="K508" s="109" t="s">
        <v>116</v>
      </c>
      <c r="L508" s="109">
        <f>ROUND(J508/100*$C508*J498,0)</f>
        <v>0</v>
      </c>
      <c r="M508" s="109"/>
      <c r="N508" s="280"/>
      <c r="O508" s="109"/>
      <c r="P508" s="109"/>
      <c r="Q508" s="109"/>
      <c r="R508" s="280"/>
      <c r="S508" s="109"/>
      <c r="T508" s="109"/>
      <c r="U508" s="109"/>
      <c r="V508" s="280"/>
      <c r="W508" s="109"/>
      <c r="X508" s="109"/>
      <c r="Y508" s="82"/>
      <c r="Z508" s="83"/>
      <c r="AA508" s="83"/>
      <c r="AB508" s="83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</row>
    <row r="509" spans="1:47" ht="15.75">
      <c r="A509" s="226" t="s">
        <v>188</v>
      </c>
      <c r="B509" s="179"/>
      <c r="C509" s="218">
        <v>0</v>
      </c>
      <c r="D509" s="275">
        <v>60</v>
      </c>
      <c r="E509" s="282" t="s">
        <v>108</v>
      </c>
      <c r="F509" s="220">
        <f>ROUND(D509*$C509,0)</f>
        <v>0</v>
      </c>
      <c r="G509" s="238">
        <v>60</v>
      </c>
      <c r="H509" s="109" t="s">
        <v>108</v>
      </c>
      <c r="I509" s="220">
        <f t="shared" si="113"/>
        <v>0</v>
      </c>
      <c r="J509" s="238">
        <v>60</v>
      </c>
      <c r="K509" s="109" t="s">
        <v>108</v>
      </c>
      <c r="L509" s="109">
        <f>ROUND(J509*$C509,0)</f>
        <v>0</v>
      </c>
      <c r="M509" s="109"/>
      <c r="N509" s="238"/>
      <c r="O509" s="109"/>
      <c r="P509" s="109"/>
      <c r="Q509" s="109"/>
      <c r="R509" s="238"/>
      <c r="S509" s="109"/>
      <c r="T509" s="109"/>
      <c r="U509" s="109"/>
      <c r="V509" s="238"/>
      <c r="W509" s="109"/>
      <c r="X509" s="109"/>
      <c r="Y509" s="82"/>
      <c r="Z509" s="83"/>
      <c r="AA509" s="83"/>
      <c r="AB509" s="83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</row>
    <row r="510" spans="1:47" ht="15.75">
      <c r="A510" s="226" t="s">
        <v>189</v>
      </c>
      <c r="B510" s="179"/>
      <c r="C510" s="218">
        <v>0</v>
      </c>
      <c r="D510" s="241">
        <v>-30</v>
      </c>
      <c r="E510" s="220" t="s">
        <v>116</v>
      </c>
      <c r="F510" s="220">
        <f>ROUND(D510*$C510*$D$498,0)</f>
        <v>0</v>
      </c>
      <c r="G510" s="242">
        <v>-30</v>
      </c>
      <c r="H510" s="109" t="s">
        <v>116</v>
      </c>
      <c r="I510" s="220">
        <f t="shared" si="113"/>
        <v>0</v>
      </c>
      <c r="J510" s="242">
        <v>-30</v>
      </c>
      <c r="K510" s="109" t="s">
        <v>116</v>
      </c>
      <c r="L510" s="109">
        <f>ROUND(J510*$C510*$D$498,0)</f>
        <v>0</v>
      </c>
      <c r="M510" s="109"/>
      <c r="N510" s="242"/>
      <c r="O510" s="109"/>
      <c r="P510" s="109"/>
      <c r="Q510" s="109"/>
      <c r="R510" s="242"/>
      <c r="S510" s="109"/>
      <c r="T510" s="109"/>
      <c r="U510" s="109"/>
      <c r="V510" s="242"/>
      <c r="W510" s="109"/>
      <c r="X510" s="109"/>
      <c r="Y510" s="82"/>
      <c r="Z510" s="83"/>
      <c r="AA510" s="83"/>
      <c r="AB510" s="83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</row>
    <row r="511" spans="1:47" ht="15.75">
      <c r="A511" s="138" t="s">
        <v>190</v>
      </c>
      <c r="B511" s="179"/>
      <c r="C511" s="218">
        <v>0</v>
      </c>
      <c r="D511" s="237">
        <v>2.2200000000000002</v>
      </c>
      <c r="E511" s="220"/>
      <c r="F511" s="220"/>
      <c r="G511" s="238">
        <v>2.36</v>
      </c>
      <c r="H511" s="109"/>
      <c r="I511" s="220">
        <f t="shared" si="113"/>
        <v>0</v>
      </c>
      <c r="J511" s="186">
        <f>J504/2</f>
        <v>2.605</v>
      </c>
      <c r="K511" s="109"/>
      <c r="L511" s="109">
        <f>ROUND($C511*J511,0)</f>
        <v>0</v>
      </c>
      <c r="M511" s="109"/>
      <c r="N511" s="186"/>
      <c r="O511" s="109"/>
      <c r="P511" s="109"/>
      <c r="Q511" s="109"/>
      <c r="R511" s="186"/>
      <c r="S511" s="109"/>
      <c r="T511" s="109"/>
      <c r="U511" s="109"/>
      <c r="V511" s="186"/>
      <c r="W511" s="109"/>
      <c r="X511" s="109"/>
      <c r="Y511" s="82"/>
      <c r="Z511" s="83"/>
      <c r="AA511" s="83"/>
      <c r="AB511" s="83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</row>
    <row r="512" spans="1:47" ht="15.75">
      <c r="A512" s="138" t="s">
        <v>191</v>
      </c>
      <c r="B512" s="179"/>
      <c r="C512" s="218">
        <v>0</v>
      </c>
      <c r="D512" s="237">
        <v>17.760000000000002</v>
      </c>
      <c r="E512" s="220"/>
      <c r="F512" s="220"/>
      <c r="G512" s="238">
        <v>18.88</v>
      </c>
      <c r="H512" s="109"/>
      <c r="I512" s="220">
        <f t="shared" si="113"/>
        <v>0</v>
      </c>
      <c r="J512" s="186">
        <f>J504*4</f>
        <v>20.84</v>
      </c>
      <c r="K512" s="109"/>
      <c r="L512" s="109">
        <f>ROUND($C512*J512,0)</f>
        <v>0</v>
      </c>
      <c r="M512" s="109"/>
      <c r="N512" s="186"/>
      <c r="O512" s="109"/>
      <c r="P512" s="109"/>
      <c r="Q512" s="109"/>
      <c r="R512" s="186"/>
      <c r="S512" s="109"/>
      <c r="T512" s="109"/>
      <c r="U512" s="109"/>
      <c r="V512" s="186"/>
      <c r="W512" s="109"/>
      <c r="X512" s="109"/>
      <c r="Y512" s="82"/>
      <c r="Z512" s="83"/>
      <c r="AA512" s="83"/>
      <c r="AB512" s="83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</row>
    <row r="513" spans="1:45" ht="15.75">
      <c r="A513" s="84" t="s">
        <v>192</v>
      </c>
      <c r="B513" s="193"/>
      <c r="C513" s="218">
        <v>0</v>
      </c>
      <c r="D513" s="239">
        <v>19.408000000000001</v>
      </c>
      <c r="E513" s="220" t="s">
        <v>116</v>
      </c>
      <c r="F513" s="220">
        <f>ROUND($C513*D513/100,0)</f>
        <v>0</v>
      </c>
      <c r="G513" s="240">
        <v>20.628</v>
      </c>
      <c r="H513" s="109" t="s">
        <v>116</v>
      </c>
      <c r="I513" s="220">
        <f t="shared" si="113"/>
        <v>0</v>
      </c>
      <c r="J513" s="240">
        <f>(J493)*4</f>
        <v>22.62</v>
      </c>
      <c r="K513" s="109" t="s">
        <v>116</v>
      </c>
      <c r="L513" s="109">
        <f>ROUND($C513*J513/100,0)</f>
        <v>0</v>
      </c>
      <c r="M513" s="109"/>
      <c r="N513" s="240"/>
      <c r="O513" s="109"/>
      <c r="P513" s="109"/>
      <c r="Q513" s="109"/>
      <c r="R513" s="240"/>
      <c r="S513" s="109"/>
      <c r="T513" s="109"/>
      <c r="U513" s="109"/>
      <c r="V513" s="240"/>
      <c r="W513" s="109"/>
      <c r="X513" s="109"/>
      <c r="Y513" s="209" t="s">
        <v>193</v>
      </c>
      <c r="Z513" s="83"/>
      <c r="AA513" s="83"/>
      <c r="AB513" s="83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</row>
    <row r="514" spans="1:45" ht="15.75">
      <c r="A514" s="179" t="s">
        <v>134</v>
      </c>
      <c r="B514" s="179"/>
      <c r="C514" s="218">
        <f>SUM(C492:C493)</f>
        <v>0</v>
      </c>
      <c r="D514" s="229"/>
      <c r="E514" s="106"/>
      <c r="F514" s="106">
        <f>SUM(F483:F513)</f>
        <v>0</v>
      </c>
      <c r="G514" s="230"/>
      <c r="H514" s="153"/>
      <c r="I514" s="220">
        <f t="shared" si="113"/>
        <v>0</v>
      </c>
      <c r="J514" s="230"/>
      <c r="K514" s="153"/>
      <c r="L514" s="109">
        <f>SUM(L483:L513)</f>
        <v>0</v>
      </c>
      <c r="M514" s="109"/>
      <c r="N514" s="230"/>
      <c r="O514" s="153"/>
      <c r="P514" s="109"/>
      <c r="Q514" s="109"/>
      <c r="R514" s="230"/>
      <c r="S514" s="153"/>
      <c r="T514" s="109"/>
      <c r="U514" s="109"/>
      <c r="V514" s="230"/>
      <c r="W514" s="153"/>
      <c r="X514" s="109"/>
      <c r="Y514" s="82"/>
      <c r="Z514" s="83"/>
      <c r="AA514" s="83"/>
      <c r="AB514" s="83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</row>
    <row r="515" spans="1:45" ht="15.75">
      <c r="A515" s="179" t="s">
        <v>119</v>
      </c>
      <c r="B515" s="179"/>
      <c r="C515" s="273">
        <v>0</v>
      </c>
      <c r="D515" s="138"/>
      <c r="E515" s="138"/>
      <c r="F515" s="136">
        <v>0</v>
      </c>
      <c r="G515" s="138"/>
      <c r="H515" s="138"/>
      <c r="I515" s="136">
        <v>0</v>
      </c>
      <c r="J515" s="138"/>
      <c r="K515" s="138"/>
      <c r="L515" s="136">
        <v>0</v>
      </c>
      <c r="M515" s="137"/>
      <c r="N515" s="138"/>
      <c r="O515" s="138"/>
      <c r="P515" s="136"/>
      <c r="Q515" s="137"/>
      <c r="R515" s="138"/>
      <c r="S515" s="138"/>
      <c r="T515" s="136"/>
      <c r="U515" s="137"/>
      <c r="V515" s="138"/>
      <c r="W515" s="138"/>
      <c r="X515" s="136"/>
      <c r="Y515" s="172"/>
      <c r="Z515" s="168"/>
      <c r="AA515" s="83"/>
      <c r="AB515" s="83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</row>
    <row r="516" spans="1:45" ht="16.5" thickBot="1">
      <c r="A516" s="179" t="s">
        <v>135</v>
      </c>
      <c r="B516" s="179"/>
      <c r="C516" s="288">
        <f>SUM(C514:C515)</f>
        <v>0</v>
      </c>
      <c r="D516" s="268"/>
      <c r="E516" s="250"/>
      <c r="F516" s="251">
        <f>SUM(F514:F515)</f>
        <v>0</v>
      </c>
      <c r="G516" s="268"/>
      <c r="H516" s="269"/>
      <c r="I516" s="251">
        <f>SUM(I514:I515)</f>
        <v>0</v>
      </c>
      <c r="J516" s="268"/>
      <c r="K516" s="269"/>
      <c r="L516" s="251">
        <f>SUM(L514:L515)</f>
        <v>0</v>
      </c>
      <c r="M516" s="251"/>
      <c r="N516" s="268"/>
      <c r="O516" s="269"/>
      <c r="P516" s="251">
        <f>SUM(P514:P515)</f>
        <v>0</v>
      </c>
      <c r="Q516" s="251"/>
      <c r="R516" s="268"/>
      <c r="S516" s="269"/>
      <c r="T516" s="251">
        <f>SUM(T514:T515)</f>
        <v>0</v>
      </c>
      <c r="U516" s="251"/>
      <c r="V516" s="268"/>
      <c r="W516" s="269"/>
      <c r="X516" s="251">
        <f>SUM(X514:X515)</f>
        <v>0</v>
      </c>
      <c r="Y516" s="176"/>
      <c r="Z516" s="177"/>
      <c r="AA516" s="83"/>
      <c r="AB516" s="83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</row>
    <row r="517" spans="1:45" ht="16.5" thickTop="1">
      <c r="A517" s="179"/>
      <c r="B517" s="289"/>
      <c r="C517" s="205"/>
      <c r="D517" s="243"/>
      <c r="E517" s="106"/>
      <c r="F517" s="106"/>
      <c r="G517" s="243"/>
      <c r="H517" s="179"/>
      <c r="I517" s="106"/>
      <c r="J517" s="243"/>
      <c r="K517" s="179"/>
      <c r="L517" s="106"/>
      <c r="M517" s="106"/>
      <c r="N517" s="243"/>
      <c r="O517" s="179"/>
      <c r="P517" s="106"/>
      <c r="Q517" s="106"/>
      <c r="R517" s="243"/>
      <c r="S517" s="179"/>
      <c r="T517" s="106"/>
      <c r="U517" s="106"/>
      <c r="V517" s="243"/>
      <c r="W517" s="179"/>
      <c r="X517" s="106"/>
      <c r="Y517" s="82"/>
      <c r="Z517" s="83"/>
      <c r="AA517" s="83"/>
      <c r="AB517" s="83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</row>
    <row r="518" spans="1:45" ht="15.75">
      <c r="A518" s="178" t="s">
        <v>194</v>
      </c>
      <c r="B518" s="179"/>
      <c r="C518" s="179"/>
      <c r="D518" s="106"/>
      <c r="E518" s="106"/>
      <c r="F518" s="179" t="s">
        <v>108</v>
      </c>
      <c r="G518" s="106"/>
      <c r="H518" s="179"/>
      <c r="I518" s="179"/>
      <c r="J518" s="106"/>
      <c r="K518" s="179"/>
      <c r="L518" s="179"/>
      <c r="M518" s="179"/>
      <c r="N518" s="106"/>
      <c r="O518" s="179"/>
      <c r="P518" s="179"/>
      <c r="Q518" s="179"/>
      <c r="R518" s="106"/>
      <c r="S518" s="179"/>
      <c r="T518" s="179"/>
      <c r="U518" s="179"/>
      <c r="V518" s="106"/>
      <c r="W518" s="179"/>
      <c r="X518" s="179"/>
      <c r="Y518" s="82">
        <v>68397516</v>
      </c>
      <c r="Z518" s="102">
        <f>Unbundled!F23</f>
        <v>0.68773475089311942</v>
      </c>
      <c r="AA518" s="102">
        <f>Unbundled!G23</f>
        <v>0.17783977062900311</v>
      </c>
      <c r="AB518" s="102">
        <f>(Unbundled!H23+Unbundled!I23+Unbundled!J23)</f>
        <v>0.1344254784778775</v>
      </c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</row>
    <row r="519" spans="1:45" ht="15.75">
      <c r="A519" s="138" t="s">
        <v>195</v>
      </c>
      <c r="B519" s="179"/>
      <c r="C519" s="179"/>
      <c r="D519" s="106"/>
      <c r="E519" s="106"/>
      <c r="F519" s="179"/>
      <c r="G519" s="106"/>
      <c r="H519" s="179"/>
      <c r="I519" s="179"/>
      <c r="J519" s="106"/>
      <c r="K519" s="179"/>
      <c r="L519" s="179"/>
      <c r="M519" s="179"/>
      <c r="N519" s="106"/>
      <c r="O519" s="179"/>
      <c r="P519" s="179"/>
      <c r="Q519" s="179"/>
      <c r="R519" s="106"/>
      <c r="S519" s="179"/>
      <c r="T519" s="179"/>
      <c r="U519" s="179"/>
      <c r="V519" s="106"/>
      <c r="W519" s="179"/>
      <c r="X519" s="179"/>
      <c r="Y519" s="82">
        <v>66810176</v>
      </c>
      <c r="Z519" s="83"/>
      <c r="AA519" s="83"/>
      <c r="AB519" s="83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</row>
    <row r="520" spans="1:45" ht="15.75">
      <c r="A520" s="226"/>
      <c r="B520" s="179"/>
      <c r="C520" s="179"/>
      <c r="D520" s="106"/>
      <c r="E520" s="106"/>
      <c r="F520" s="179"/>
      <c r="G520" s="106"/>
      <c r="H520" s="179"/>
      <c r="I520" s="179"/>
      <c r="J520" s="106"/>
      <c r="K520" s="179"/>
      <c r="L520" s="179"/>
      <c r="M520" s="179"/>
      <c r="N520" s="106"/>
      <c r="O520" s="179"/>
      <c r="P520" s="179"/>
      <c r="Q520" s="179"/>
      <c r="R520" s="106"/>
      <c r="S520" s="179"/>
      <c r="T520" s="179"/>
      <c r="U520" s="179"/>
      <c r="V520" s="106"/>
      <c r="W520" s="179"/>
      <c r="X520" s="179"/>
      <c r="Y520" s="102">
        <f>'[3]Staff Actual &amp; Proposed'!$Q$40</f>
        <v>1.701210835229508E-2</v>
      </c>
      <c r="AA520" s="83"/>
      <c r="AB520" s="83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</row>
    <row r="521" spans="1:45" ht="15.75">
      <c r="A521" s="226" t="s">
        <v>11</v>
      </c>
      <c r="B521" s="179"/>
      <c r="C521" s="152"/>
      <c r="D521" s="109"/>
      <c r="E521" s="109"/>
      <c r="F521" s="153"/>
      <c r="G521" s="109"/>
      <c r="H521" s="153"/>
      <c r="I521" s="153"/>
      <c r="J521" s="109"/>
      <c r="K521" s="153"/>
      <c r="L521" s="153"/>
      <c r="M521" s="153"/>
      <c r="N521" s="109"/>
      <c r="O521" s="153"/>
      <c r="P521" s="153"/>
      <c r="Q521" s="153"/>
      <c r="R521" s="109"/>
      <c r="S521" s="153"/>
      <c r="T521" s="153"/>
      <c r="U521" s="153"/>
      <c r="V521" s="109"/>
      <c r="W521" s="153"/>
      <c r="X521" s="153"/>
      <c r="Y521" s="102">
        <f>Y520*(1+((I522+I523+I524+I534-I549)/I550))</f>
        <v>1.7572756780648853E-2</v>
      </c>
      <c r="Z521" s="83"/>
      <c r="AA521" s="290" t="s">
        <v>196</v>
      </c>
      <c r="AB521" s="290"/>
      <c r="AC521" s="82"/>
      <c r="AD521" s="82"/>
      <c r="AE521" s="82"/>
      <c r="AF521" s="82"/>
      <c r="AG521" s="82"/>
      <c r="AH521" s="82"/>
      <c r="AI521" s="82"/>
      <c r="AK521" s="82"/>
      <c r="AL521" s="82"/>
      <c r="AM521" s="82"/>
      <c r="AN521" s="82"/>
      <c r="AO521" s="82"/>
      <c r="AP521" s="82"/>
      <c r="AQ521" s="82"/>
      <c r="AR521" s="82"/>
      <c r="AS521" s="82"/>
    </row>
    <row r="522" spans="1:45" ht="15.75">
      <c r="A522" s="226" t="s">
        <v>176</v>
      </c>
      <c r="B522" s="179"/>
      <c r="C522" s="152">
        <f>C558+C592</f>
        <v>316.43333333333368</v>
      </c>
      <c r="D522" s="186">
        <v>259</v>
      </c>
      <c r="E522" s="153"/>
      <c r="F522" s="109">
        <f>F558+F592</f>
        <v>81956</v>
      </c>
      <c r="G522" s="186">
        <v>259</v>
      </c>
      <c r="H522" s="153"/>
      <c r="I522" s="109">
        <f>I558+I592</f>
        <v>81956</v>
      </c>
      <c r="J522" s="186">
        <v>259</v>
      </c>
      <c r="K522" s="153"/>
      <c r="L522" s="109">
        <f>L558+L592</f>
        <v>81956</v>
      </c>
      <c r="M522" s="109"/>
      <c r="N522" s="186">
        <v>259</v>
      </c>
      <c r="O522" s="153"/>
      <c r="P522" s="109">
        <f>N522*C522</f>
        <v>81956.233333333425</v>
      </c>
      <c r="Q522" s="109"/>
      <c r="R522" s="186"/>
      <c r="S522" s="153"/>
      <c r="T522" s="109"/>
      <c r="U522" s="109"/>
      <c r="V522" s="186"/>
      <c r="W522" s="153"/>
      <c r="X522" s="109"/>
      <c r="AA522" s="146">
        <f>(J522-G522)/G522</f>
        <v>0</v>
      </c>
      <c r="AB522" s="146"/>
      <c r="AJ522" s="216"/>
      <c r="AK522" s="216"/>
      <c r="AN522" s="82"/>
      <c r="AO522" s="82"/>
      <c r="AP522" s="82"/>
      <c r="AQ522" s="82"/>
      <c r="AR522" s="82"/>
      <c r="AS522" s="82"/>
    </row>
    <row r="523" spans="1:45" ht="15.75">
      <c r="A523" s="226" t="s">
        <v>177</v>
      </c>
      <c r="B523" s="179"/>
      <c r="C523" s="152">
        <f>C559+C593</f>
        <v>8726.8666666666722</v>
      </c>
      <c r="D523" s="186">
        <v>96</v>
      </c>
      <c r="E523" s="153"/>
      <c r="F523" s="109">
        <f>F559+F593</f>
        <v>837779</v>
      </c>
      <c r="G523" s="186">
        <v>96</v>
      </c>
      <c r="H523" s="153"/>
      <c r="I523" s="109">
        <f>I559+I593</f>
        <v>837779</v>
      </c>
      <c r="J523" s="186">
        <v>96</v>
      </c>
      <c r="K523" s="153"/>
      <c r="L523" s="109">
        <f>L559+L593</f>
        <v>837779</v>
      </c>
      <c r="M523" s="109"/>
      <c r="N523" s="186">
        <v>96</v>
      </c>
      <c r="O523" s="153"/>
      <c r="P523" s="109">
        <f t="shared" ref="P523:P530" si="117">N523*C523</f>
        <v>837779.20000000054</v>
      </c>
      <c r="Q523" s="109"/>
      <c r="R523" s="186"/>
      <c r="S523" s="153"/>
      <c r="T523" s="109"/>
      <c r="U523" s="109"/>
      <c r="V523" s="186"/>
      <c r="W523" s="153"/>
      <c r="X523" s="109"/>
      <c r="AA523" s="146">
        <f>(J523-G523)/G523</f>
        <v>0</v>
      </c>
      <c r="AB523" s="146"/>
      <c r="AD523" s="114"/>
      <c r="AE523" s="187"/>
      <c r="AF523" s="114"/>
      <c r="AG523" s="187"/>
      <c r="AH523" s="114"/>
      <c r="AI523" s="114"/>
      <c r="AJ523" s="187"/>
      <c r="AK523" s="187"/>
      <c r="AM523" s="190"/>
      <c r="AN523" s="82"/>
      <c r="AO523" s="82"/>
      <c r="AP523" s="82"/>
      <c r="AQ523" s="82"/>
      <c r="AR523" s="82"/>
      <c r="AS523" s="82"/>
    </row>
    <row r="524" spans="1:45" ht="15.75">
      <c r="A524" s="226" t="s">
        <v>178</v>
      </c>
      <c r="B524" s="179"/>
      <c r="C524" s="152">
        <f>C560+C594</f>
        <v>3603.6666666666661</v>
      </c>
      <c r="D524" s="186">
        <v>192</v>
      </c>
      <c r="E524" s="223"/>
      <c r="F524" s="109">
        <f>F560+F594</f>
        <v>691904</v>
      </c>
      <c r="G524" s="186">
        <v>192</v>
      </c>
      <c r="H524" s="223"/>
      <c r="I524" s="109">
        <f>I560+I594</f>
        <v>691904</v>
      </c>
      <c r="J524" s="186">
        <v>192</v>
      </c>
      <c r="K524" s="223"/>
      <c r="L524" s="109">
        <f>L560+L594</f>
        <v>691904</v>
      </c>
      <c r="M524" s="109"/>
      <c r="N524" s="186">
        <v>192</v>
      </c>
      <c r="O524" s="223"/>
      <c r="P524" s="109">
        <f t="shared" si="117"/>
        <v>691903.99999999988</v>
      </c>
      <c r="Q524" s="109"/>
      <c r="R524" s="186"/>
      <c r="S524" s="223"/>
      <c r="T524" s="109"/>
      <c r="U524" s="109"/>
      <c r="V524" s="186"/>
      <c r="W524" s="153"/>
      <c r="X524" s="109"/>
      <c r="AA524" s="146">
        <f>(J524-G524)/G524</f>
        <v>0</v>
      </c>
      <c r="AB524" s="146"/>
      <c r="AD524" s="114"/>
      <c r="AE524" s="187"/>
      <c r="AF524" s="114"/>
      <c r="AG524" s="187"/>
      <c r="AH524" s="114"/>
      <c r="AI524" s="114"/>
      <c r="AJ524" s="187"/>
      <c r="AK524" s="187"/>
      <c r="AM524" s="190"/>
      <c r="AN524" s="82"/>
      <c r="AO524" s="82"/>
      <c r="AP524" s="82"/>
      <c r="AQ524" s="82"/>
      <c r="AR524" s="82"/>
      <c r="AS524" s="82"/>
    </row>
    <row r="525" spans="1:45" ht="15.75">
      <c r="A525" s="226" t="s">
        <v>150</v>
      </c>
      <c r="B525" s="179"/>
      <c r="C525" s="152">
        <f>SUM(C522:C524)</f>
        <v>12646.966666666673</v>
      </c>
      <c r="D525" s="186"/>
      <c r="E525" s="153"/>
      <c r="F525" s="109"/>
      <c r="G525" s="186"/>
      <c r="H525" s="153"/>
      <c r="I525" s="109"/>
      <c r="J525" s="186"/>
      <c r="K525" s="153"/>
      <c r="L525" s="109"/>
      <c r="M525" s="109"/>
      <c r="N525" s="186"/>
      <c r="O525" s="153"/>
      <c r="P525" s="109"/>
      <c r="Q525" s="109"/>
      <c r="R525" s="186"/>
      <c r="S525" s="153"/>
      <c r="T525" s="109"/>
      <c r="U525" s="109"/>
      <c r="V525" s="186"/>
      <c r="W525" s="153"/>
      <c r="X525" s="109"/>
      <c r="AD525" s="114"/>
      <c r="AE525" s="187"/>
      <c r="AF525" s="114"/>
      <c r="AG525" s="187"/>
      <c r="AH525" s="114"/>
      <c r="AI525" s="114"/>
      <c r="AJ525" s="187"/>
      <c r="AK525" s="187"/>
      <c r="AM525" s="190"/>
      <c r="AN525" s="82"/>
      <c r="AO525" s="82"/>
      <c r="AP525" s="82"/>
      <c r="AQ525" s="82"/>
      <c r="AR525" s="82"/>
      <c r="AS525" s="82"/>
    </row>
    <row r="526" spans="1:45" ht="15.75">
      <c r="A526" s="226" t="s">
        <v>177</v>
      </c>
      <c r="B526" s="179"/>
      <c r="C526" s="152">
        <f>C562+C596</f>
        <v>1502047</v>
      </c>
      <c r="D526" s="186">
        <v>1.7</v>
      </c>
      <c r="E526" s="153" t="s">
        <v>108</v>
      </c>
      <c r="F526" s="109">
        <f>F562+F596</f>
        <v>2553480</v>
      </c>
      <c r="G526" s="186">
        <v>1.7</v>
      </c>
      <c r="H526" s="153" t="s">
        <v>108</v>
      </c>
      <c r="I526" s="109">
        <f>I562+I596</f>
        <v>2553480</v>
      </c>
      <c r="J526" s="186">
        <f>ROUND($G526*(1+$Y$521),2)</f>
        <v>1.73</v>
      </c>
      <c r="K526" s="153" t="s">
        <v>108</v>
      </c>
      <c r="L526" s="109">
        <f>L562+L596</f>
        <v>2598541</v>
      </c>
      <c r="M526" s="109"/>
      <c r="N526" s="186">
        <v>1.74</v>
      </c>
      <c r="O526" s="153" t="s">
        <v>108</v>
      </c>
      <c r="P526" s="109">
        <f t="shared" si="117"/>
        <v>2613561.7799999998</v>
      </c>
      <c r="Q526" s="109"/>
      <c r="R526" s="186"/>
      <c r="S526" s="153"/>
      <c r="T526" s="109"/>
      <c r="U526" s="109"/>
      <c r="V526" s="186"/>
      <c r="W526" s="153"/>
      <c r="X526" s="109"/>
      <c r="Z526" s="189" t="s">
        <v>108</v>
      </c>
      <c r="AA526" s="146">
        <f>(J526-G526)/G526</f>
        <v>1.7647058823529429E-2</v>
      </c>
      <c r="AB526" s="146"/>
      <c r="AD526" s="114"/>
      <c r="AE526" s="224"/>
      <c r="AF526" s="114"/>
      <c r="AG526" s="224"/>
      <c r="AH526" s="114"/>
      <c r="AI526" s="114"/>
      <c r="AJ526" s="224"/>
      <c r="AK526" s="224"/>
      <c r="AM526" s="82"/>
      <c r="AN526" s="82"/>
      <c r="AO526" s="82"/>
      <c r="AP526" s="82"/>
      <c r="AQ526" s="82"/>
      <c r="AR526" s="82"/>
      <c r="AS526" s="82"/>
    </row>
    <row r="527" spans="1:45" ht="15.75">
      <c r="A527" s="226" t="s">
        <v>178</v>
      </c>
      <c r="B527" s="179"/>
      <c r="C527" s="152">
        <f>C563+C597</f>
        <v>1828696</v>
      </c>
      <c r="D527" s="186">
        <v>1.39</v>
      </c>
      <c r="E527" s="153" t="s">
        <v>108</v>
      </c>
      <c r="F527" s="109">
        <f>F563+F597</f>
        <v>2541887</v>
      </c>
      <c r="G527" s="186">
        <v>1.39</v>
      </c>
      <c r="H527" s="153" t="s">
        <v>108</v>
      </c>
      <c r="I527" s="109">
        <f>I563+I597</f>
        <v>2541887</v>
      </c>
      <c r="J527" s="186">
        <f t="shared" ref="J527:J530" si="118">ROUND($G527*(1+$Y$521),2)</f>
        <v>1.41</v>
      </c>
      <c r="K527" s="153" t="s">
        <v>108</v>
      </c>
      <c r="L527" s="109">
        <f>L563+L597</f>
        <v>2578462</v>
      </c>
      <c r="M527" s="109"/>
      <c r="N527" s="186">
        <v>1.42</v>
      </c>
      <c r="O527" s="153" t="s">
        <v>108</v>
      </c>
      <c r="P527" s="109">
        <f t="shared" si="117"/>
        <v>2596748.3199999998</v>
      </c>
      <c r="Q527" s="109"/>
      <c r="R527" s="186"/>
      <c r="S527" s="153"/>
      <c r="T527" s="109"/>
      <c r="U527" s="109"/>
      <c r="V527" s="186"/>
      <c r="W527" s="153"/>
      <c r="X527" s="109"/>
      <c r="AA527" s="146">
        <f>(J527-G527)/G527</f>
        <v>1.4388489208633108E-2</v>
      </c>
      <c r="AB527" s="146"/>
      <c r="AD527" s="114"/>
      <c r="AE527" s="114"/>
      <c r="AM527" s="82"/>
      <c r="AN527" s="82"/>
      <c r="AO527" s="82"/>
      <c r="AP527" s="82"/>
      <c r="AQ527" s="82"/>
      <c r="AR527" s="82"/>
      <c r="AS527" s="82"/>
    </row>
    <row r="528" spans="1:45" ht="15.75">
      <c r="A528" s="138" t="s">
        <v>179</v>
      </c>
      <c r="B528" s="179"/>
      <c r="C528" s="152"/>
      <c r="D528" s="186"/>
      <c r="E528" s="153"/>
      <c r="F528" s="109"/>
      <c r="G528" s="186"/>
      <c r="H528" s="153"/>
      <c r="I528" s="109"/>
      <c r="J528" s="186"/>
      <c r="K528" s="153"/>
      <c r="L528" s="109"/>
      <c r="M528" s="109"/>
      <c r="N528" s="186"/>
      <c r="O528" s="153"/>
      <c r="P528" s="109"/>
      <c r="Q528" s="109"/>
      <c r="R528" s="186"/>
      <c r="S528" s="153"/>
      <c r="T528" s="109"/>
      <c r="U528" s="109"/>
      <c r="V528" s="186"/>
      <c r="W528" s="153"/>
      <c r="X528" s="109"/>
      <c r="AC528" s="88"/>
      <c r="AM528" s="82"/>
      <c r="AN528" s="82"/>
      <c r="AO528" s="82"/>
      <c r="AP528" s="82"/>
      <c r="AQ528" s="82"/>
      <c r="AR528" s="82"/>
      <c r="AS528" s="82"/>
    </row>
    <row r="529" spans="1:45" ht="15.75">
      <c r="A529" s="138" t="s">
        <v>180</v>
      </c>
      <c r="B529" s="179"/>
      <c r="C529" s="152">
        <f>C565+C599</f>
        <v>2516583.5</v>
      </c>
      <c r="D529" s="186">
        <v>4.4400000000000004</v>
      </c>
      <c r="E529" s="153"/>
      <c r="F529" s="109">
        <f>F565+F599</f>
        <v>11173631</v>
      </c>
      <c r="G529" s="186">
        <v>4.72</v>
      </c>
      <c r="H529" s="153"/>
      <c r="I529" s="109">
        <f>I565+I599</f>
        <v>11878274</v>
      </c>
      <c r="J529" s="186">
        <f t="shared" si="118"/>
        <v>4.8</v>
      </c>
      <c r="K529" s="153"/>
      <c r="L529" s="109">
        <f>L565+L599</f>
        <v>12079601</v>
      </c>
      <c r="M529" s="109"/>
      <c r="N529" s="186">
        <f>J529*AB518</f>
        <v>0.64524229669381195</v>
      </c>
      <c r="O529" s="153"/>
      <c r="P529" s="109">
        <f t="shared" si="117"/>
        <v>1623806.1173617516</v>
      </c>
      <c r="Q529" s="109"/>
      <c r="R529" s="186">
        <f>J529*AA518</f>
        <v>0.85363089901921485</v>
      </c>
      <c r="S529" s="153"/>
      <c r="T529" s="109">
        <f>R529*C529</f>
        <v>2148233.4355619224</v>
      </c>
      <c r="U529" s="109"/>
      <c r="V529" s="186">
        <f>J529*Z518</f>
        <v>3.301126804286973</v>
      </c>
      <c r="W529" s="153"/>
      <c r="X529" s="109">
        <f t="shared" ref="X529:X530" si="119">V529*C529</f>
        <v>8307561.2470763251</v>
      </c>
      <c r="AA529" s="146">
        <f>(J529-G529)/G529</f>
        <v>1.6949152542372899E-2</v>
      </c>
      <c r="AB529" s="146"/>
      <c r="AC529" s="88"/>
      <c r="AM529" s="82"/>
      <c r="AN529" s="82"/>
      <c r="AO529" s="82"/>
      <c r="AP529" s="82"/>
      <c r="AQ529" s="82"/>
      <c r="AR529" s="82"/>
      <c r="AS529" s="82"/>
    </row>
    <row r="530" spans="1:45" ht="15.75">
      <c r="A530" s="138" t="s">
        <v>197</v>
      </c>
      <c r="B530" s="179"/>
      <c r="C530" s="152">
        <f>C566+C600</f>
        <v>1998.6666666666692</v>
      </c>
      <c r="D530" s="186">
        <v>4.4400000000000004</v>
      </c>
      <c r="E530" s="153"/>
      <c r="F530" s="109">
        <f>F566+F600</f>
        <v>8874</v>
      </c>
      <c r="G530" s="186">
        <v>4.72</v>
      </c>
      <c r="H530" s="153"/>
      <c r="I530" s="109">
        <f>I566+I600</f>
        <v>9434</v>
      </c>
      <c r="J530" s="186">
        <f t="shared" si="118"/>
        <v>4.8</v>
      </c>
      <c r="K530" s="153"/>
      <c r="L530" s="109">
        <f>L566+L600</f>
        <v>9593</v>
      </c>
      <c r="M530" s="109"/>
      <c r="N530" s="186">
        <f>N529</f>
        <v>0.64524229669381195</v>
      </c>
      <c r="O530" s="153"/>
      <c r="P530" s="109">
        <f t="shared" si="117"/>
        <v>1289.6242703253672</v>
      </c>
      <c r="Q530" s="109"/>
      <c r="R530" s="186">
        <f>J530*AA518</f>
        <v>0.85363089901921485</v>
      </c>
      <c r="S530" s="153"/>
      <c r="T530" s="109">
        <f>R530*C530</f>
        <v>1706.1236235064064</v>
      </c>
      <c r="U530" s="109"/>
      <c r="V530" s="186">
        <f>V529</f>
        <v>3.301126804286973</v>
      </c>
      <c r="W530" s="153"/>
      <c r="X530" s="109">
        <f t="shared" si="119"/>
        <v>6597.8521061682386</v>
      </c>
      <c r="AA530" s="146">
        <f>(J530-G530)/G530</f>
        <v>1.6949152542372899E-2</v>
      </c>
      <c r="AB530" s="146"/>
      <c r="AC530" s="88"/>
      <c r="AM530" s="82"/>
      <c r="AN530" s="82"/>
      <c r="AO530" s="82"/>
      <c r="AP530" s="82"/>
      <c r="AQ530" s="82"/>
      <c r="AR530" s="82"/>
      <c r="AS530" s="82"/>
    </row>
    <row r="531" spans="1:45" ht="15.75">
      <c r="A531" s="226" t="s">
        <v>181</v>
      </c>
      <c r="B531" s="179"/>
      <c r="C531" s="152"/>
      <c r="D531" s="186"/>
      <c r="E531" s="153"/>
      <c r="F531" s="109"/>
      <c r="G531" s="186"/>
      <c r="H531" s="153"/>
      <c r="I531" s="109"/>
      <c r="J531" s="186"/>
      <c r="K531" s="153"/>
      <c r="L531" s="109"/>
      <c r="M531" s="109"/>
      <c r="N531" s="186"/>
      <c r="O531" s="153"/>
      <c r="P531" s="109"/>
      <c r="Q531" s="109"/>
      <c r="R531" s="186"/>
      <c r="S531" s="153"/>
      <c r="T531" s="109"/>
      <c r="U531" s="109"/>
      <c r="V531" s="186"/>
      <c r="W531" s="153"/>
      <c r="X531" s="109"/>
      <c r="AC531" s="189" t="s">
        <v>108</v>
      </c>
      <c r="AM531" s="82"/>
      <c r="AN531" s="82"/>
      <c r="AO531" s="82"/>
      <c r="AP531" s="82"/>
      <c r="AQ531" s="82"/>
      <c r="AR531" s="82"/>
      <c r="AS531" s="82"/>
    </row>
    <row r="532" spans="1:45" ht="15.75">
      <c r="A532" s="226" t="s">
        <v>182</v>
      </c>
      <c r="B532" s="218"/>
      <c r="C532" s="152">
        <f>C568+C602</f>
        <v>396791152.47443527</v>
      </c>
      <c r="D532" s="291">
        <v>5.2919999999999998</v>
      </c>
      <c r="E532" s="153" t="s">
        <v>116</v>
      </c>
      <c r="F532" s="109">
        <f>F568+F602</f>
        <v>20998188</v>
      </c>
      <c r="G532" s="291">
        <v>5.6289999999999996</v>
      </c>
      <c r="H532" s="153" t="s">
        <v>116</v>
      </c>
      <c r="I532" s="109">
        <f>I568+I602</f>
        <v>22335374</v>
      </c>
      <c r="J532" s="576">
        <f>ROUND($G532*(1+$Y$521),3)</f>
        <v>5.7279999999999998</v>
      </c>
      <c r="K532" s="153" t="s">
        <v>116</v>
      </c>
      <c r="L532" s="109">
        <f>L568+L602</f>
        <v>22728198</v>
      </c>
      <c r="M532" s="109"/>
      <c r="N532" s="291" t="s">
        <v>108</v>
      </c>
      <c r="O532" s="153" t="s">
        <v>108</v>
      </c>
      <c r="P532" s="109"/>
      <c r="Q532" s="109"/>
      <c r="R532" s="291">
        <f>$J532*($AA$518/($AA$518+$Z$518))</f>
        <v>1.1768671337178382</v>
      </c>
      <c r="S532" s="153" t="s">
        <v>116</v>
      </c>
      <c r="T532" s="109">
        <f>R532*C532/100</f>
        <v>4669704.6629718635</v>
      </c>
      <c r="U532" s="109"/>
      <c r="V532" s="291">
        <f>$J532*($Z$518/($Z$518+$AA$518))</f>
        <v>4.5511328662821606</v>
      </c>
      <c r="W532" s="153" t="s">
        <v>116</v>
      </c>
      <c r="X532" s="109">
        <f>V532*C532/100</f>
        <v>18058492.550763782</v>
      </c>
      <c r="AA532" s="146">
        <f>(J532-G532)/G532</f>
        <v>1.7587493338070741E-2</v>
      </c>
      <c r="AB532" s="146"/>
      <c r="AC532" s="88"/>
      <c r="AM532" s="82"/>
      <c r="AN532" s="82"/>
      <c r="AO532" s="82"/>
      <c r="AP532" s="82"/>
      <c r="AQ532" s="82"/>
      <c r="AR532" s="82"/>
      <c r="AS532" s="82"/>
    </row>
    <row r="533" spans="1:45" ht="15.75">
      <c r="A533" s="226" t="s">
        <v>154</v>
      </c>
      <c r="B533" s="218"/>
      <c r="C533" s="152">
        <f>C569+C603</f>
        <v>502951619.70132762</v>
      </c>
      <c r="D533" s="291">
        <v>4.8499999999999996</v>
      </c>
      <c r="E533" s="153" t="s">
        <v>116</v>
      </c>
      <c r="F533" s="109">
        <f>F569+F603</f>
        <v>24393153</v>
      </c>
      <c r="G533" s="291">
        <v>5.157</v>
      </c>
      <c r="H533" s="153" t="s">
        <v>116</v>
      </c>
      <c r="I533" s="109">
        <f>I569+I603</f>
        <v>25937215</v>
      </c>
      <c r="J533" s="576">
        <f>ROUND($G533*(1+$Y$521),3)</f>
        <v>5.2480000000000002</v>
      </c>
      <c r="K533" s="153" t="s">
        <v>116</v>
      </c>
      <c r="L533" s="109">
        <f>L569+L603</f>
        <v>26394901</v>
      </c>
      <c r="M533" s="109"/>
      <c r="N533" s="291" t="s">
        <v>108</v>
      </c>
      <c r="O533" s="153" t="s">
        <v>108</v>
      </c>
      <c r="P533" s="109"/>
      <c r="Q533" s="109"/>
      <c r="R533" s="291">
        <f t="shared" ref="R533:R534" si="120">$J533*($AA$518/($AA$518+$Z$518))</f>
        <v>1.0782469828476284</v>
      </c>
      <c r="S533" s="153" t="s">
        <v>116</v>
      </c>
      <c r="T533" s="109">
        <f t="shared" ref="T533:T534" si="121">R533*C533/100</f>
        <v>5423060.6646128437</v>
      </c>
      <c r="U533" s="109"/>
      <c r="V533" s="291">
        <f t="shared" ref="V533:V534" si="122">$J533*($Z$518/($Z$518+$AA$518))</f>
        <v>4.1697530171523711</v>
      </c>
      <c r="W533" s="153" t="s">
        <v>116</v>
      </c>
      <c r="X533" s="109">
        <f t="shared" ref="X533:X534" si="123">V533*C533/100</f>
        <v>20971840.337312829</v>
      </c>
      <c r="AA533" s="146">
        <f>(J533-G533)/G533</f>
        <v>1.7645918169478417E-2</v>
      </c>
      <c r="AB533" s="146"/>
      <c r="AC533" s="88"/>
      <c r="AN533" s="82"/>
      <c r="AO533" s="82"/>
      <c r="AP533" s="82"/>
      <c r="AQ533" s="82"/>
      <c r="AR533" s="82"/>
      <c r="AS533" s="82"/>
    </row>
    <row r="534" spans="1:45" ht="15.75">
      <c r="A534" s="226" t="s">
        <v>155</v>
      </c>
      <c r="B534" s="179"/>
      <c r="C534" s="152">
        <f>C570+C604</f>
        <v>497319.56666666747</v>
      </c>
      <c r="D534" s="280">
        <v>56</v>
      </c>
      <c r="E534" s="153" t="s">
        <v>116</v>
      </c>
      <c r="F534" s="109">
        <f>F570+F604</f>
        <v>278499</v>
      </c>
      <c r="G534" s="280">
        <v>56</v>
      </c>
      <c r="H534" s="153" t="s">
        <v>116</v>
      </c>
      <c r="I534" s="109">
        <f>I570+I604</f>
        <v>278499</v>
      </c>
      <c r="J534" s="280">
        <v>56</v>
      </c>
      <c r="K534" s="153" t="s">
        <v>116</v>
      </c>
      <c r="L534" s="109">
        <f>L570+L604</f>
        <v>278499</v>
      </c>
      <c r="M534" s="109"/>
      <c r="N534" s="280" t="s">
        <v>108</v>
      </c>
      <c r="O534" s="153" t="s">
        <v>108</v>
      </c>
      <c r="P534" s="109"/>
      <c r="Q534" s="109"/>
      <c r="R534" s="291">
        <f t="shared" si="120"/>
        <v>11.505684268191157</v>
      </c>
      <c r="S534" s="153" t="s">
        <v>116</v>
      </c>
      <c r="T534" s="109">
        <f t="shared" si="121"/>
        <v>57220.019144603189</v>
      </c>
      <c r="U534" s="109"/>
      <c r="V534" s="291">
        <f t="shared" si="122"/>
        <v>44.49431573180884</v>
      </c>
      <c r="W534" s="153" t="s">
        <v>116</v>
      </c>
      <c r="X534" s="109">
        <f t="shared" si="123"/>
        <v>221278.93818873059</v>
      </c>
      <c r="AA534" s="146">
        <f>(J534-G534)/G534</f>
        <v>0</v>
      </c>
      <c r="AB534" s="146"/>
      <c r="AC534" s="88"/>
      <c r="AN534" s="82"/>
      <c r="AO534" s="82"/>
      <c r="AP534" s="82"/>
      <c r="AQ534" s="82"/>
      <c r="AR534" s="82"/>
      <c r="AS534" s="82"/>
    </row>
    <row r="535" spans="1:45" ht="15.75">
      <c r="A535" s="281" t="s">
        <v>156</v>
      </c>
      <c r="B535" s="179"/>
      <c r="C535" s="152"/>
      <c r="D535" s="235">
        <v>-0.01</v>
      </c>
      <c r="E535" s="109"/>
      <c r="F535" s="109"/>
      <c r="G535" s="235">
        <v>-0.01</v>
      </c>
      <c r="H535" s="153"/>
      <c r="I535" s="109"/>
      <c r="J535" s="235">
        <v>-0.01</v>
      </c>
      <c r="K535" s="153"/>
      <c r="L535" s="109"/>
      <c r="M535" s="109"/>
      <c r="N535" s="235">
        <v>-0.01</v>
      </c>
      <c r="O535" s="153"/>
      <c r="P535" s="109"/>
      <c r="Q535" s="109"/>
      <c r="R535" s="235">
        <v>-0.01</v>
      </c>
      <c r="S535" s="153"/>
      <c r="T535" s="109"/>
      <c r="U535" s="109"/>
      <c r="V535" s="235">
        <v>-0.01</v>
      </c>
      <c r="W535" s="153"/>
      <c r="X535" s="109"/>
      <c r="AN535" s="82"/>
      <c r="AO535" s="82"/>
      <c r="AP535" s="82"/>
      <c r="AQ535" s="82"/>
      <c r="AR535" s="82"/>
      <c r="AS535" s="82"/>
    </row>
    <row r="536" spans="1:45" ht="15.75">
      <c r="A536" s="226" t="s">
        <v>176</v>
      </c>
      <c r="B536" s="179"/>
      <c r="C536" s="152">
        <f t="shared" ref="C536:C549" si="124">C572+C606</f>
        <v>0.46666666666666701</v>
      </c>
      <c r="D536" s="186">
        <v>259</v>
      </c>
      <c r="E536" s="109"/>
      <c r="F536" s="109">
        <f t="shared" ref="F536:F548" si="125">F572+F606</f>
        <v>-1</v>
      </c>
      <c r="G536" s="186">
        <v>259</v>
      </c>
      <c r="H536" s="153"/>
      <c r="I536" s="109">
        <f t="shared" ref="I536:I549" si="126">I572+I606</f>
        <v>-1</v>
      </c>
      <c r="J536" s="186">
        <f>J522</f>
        <v>259</v>
      </c>
      <c r="K536" s="153"/>
      <c r="L536" s="109">
        <f t="shared" ref="L536:L548" si="127">L572+L606</f>
        <v>-1</v>
      </c>
      <c r="M536" s="109"/>
      <c r="N536" s="186">
        <f>N522</f>
        <v>259</v>
      </c>
      <c r="O536" s="153"/>
      <c r="P536" s="109">
        <f>N536*C536*$N$535</f>
        <v>-1.2086666666666677</v>
      </c>
      <c r="Q536" s="109"/>
      <c r="R536" s="186"/>
      <c r="S536" s="153"/>
      <c r="T536" s="169"/>
      <c r="U536" s="109"/>
      <c r="V536" s="186"/>
      <c r="W536" s="153"/>
      <c r="X536" s="169"/>
      <c r="Z536" s="189" t="s">
        <v>108</v>
      </c>
      <c r="AN536" s="82"/>
      <c r="AO536" s="82"/>
      <c r="AP536" s="82"/>
      <c r="AQ536" s="82"/>
      <c r="AR536" s="82"/>
      <c r="AS536" s="82"/>
    </row>
    <row r="537" spans="1:45" ht="15.75">
      <c r="A537" s="226" t="s">
        <v>177</v>
      </c>
      <c r="B537" s="179"/>
      <c r="C537" s="152">
        <f t="shared" si="124"/>
        <v>68.599999999999994</v>
      </c>
      <c r="D537" s="186">
        <v>96</v>
      </c>
      <c r="E537" s="109"/>
      <c r="F537" s="109">
        <f t="shared" si="125"/>
        <v>-66</v>
      </c>
      <c r="G537" s="186">
        <v>96</v>
      </c>
      <c r="H537" s="153"/>
      <c r="I537" s="109">
        <f t="shared" si="126"/>
        <v>-66</v>
      </c>
      <c r="J537" s="186">
        <f>J523</f>
        <v>96</v>
      </c>
      <c r="K537" s="153"/>
      <c r="L537" s="109">
        <f t="shared" si="127"/>
        <v>-66</v>
      </c>
      <c r="M537" s="109"/>
      <c r="N537" s="186">
        <f>N523</f>
        <v>96</v>
      </c>
      <c r="O537" s="153"/>
      <c r="P537" s="109">
        <f t="shared" ref="P537:P542" si="128">N537*C537*$N$535</f>
        <v>-65.855999999999995</v>
      </c>
      <c r="Q537" s="109"/>
      <c r="R537" s="186"/>
      <c r="S537" s="153"/>
      <c r="T537" s="169"/>
      <c r="U537" s="109"/>
      <c r="V537" s="186"/>
      <c r="W537" s="153"/>
      <c r="X537" s="169"/>
      <c r="Z537" s="292"/>
      <c r="AM537" s="82"/>
      <c r="AN537" s="82"/>
      <c r="AO537" s="82"/>
      <c r="AP537" s="82"/>
      <c r="AQ537" s="82"/>
      <c r="AR537" s="82"/>
      <c r="AS537" s="82"/>
    </row>
    <row r="538" spans="1:45" ht="15.75">
      <c r="A538" s="226" t="s">
        <v>178</v>
      </c>
      <c r="B538" s="179"/>
      <c r="C538" s="152">
        <f t="shared" si="124"/>
        <v>82</v>
      </c>
      <c r="D538" s="186">
        <v>192</v>
      </c>
      <c r="E538" s="195"/>
      <c r="F538" s="109">
        <f t="shared" si="125"/>
        <v>-157</v>
      </c>
      <c r="G538" s="186">
        <v>192</v>
      </c>
      <c r="H538" s="223"/>
      <c r="I538" s="109">
        <f t="shared" si="126"/>
        <v>-157</v>
      </c>
      <c r="J538" s="186">
        <f>J524</f>
        <v>192</v>
      </c>
      <c r="K538" s="223"/>
      <c r="L538" s="109">
        <f t="shared" si="127"/>
        <v>-157</v>
      </c>
      <c r="M538" s="109"/>
      <c r="N538" s="186">
        <f>N524</f>
        <v>192</v>
      </c>
      <c r="O538" s="223"/>
      <c r="P538" s="109">
        <f t="shared" si="128"/>
        <v>-157.44</v>
      </c>
      <c r="Q538" s="109"/>
      <c r="R538" s="186"/>
      <c r="S538" s="223"/>
      <c r="T538" s="169"/>
      <c r="U538" s="109"/>
      <c r="V538" s="186"/>
      <c r="W538" s="223"/>
      <c r="X538" s="169"/>
      <c r="Z538" s="293" t="s">
        <v>108</v>
      </c>
      <c r="AM538" s="82"/>
      <c r="AN538" s="82"/>
      <c r="AO538" s="82"/>
      <c r="AP538" s="82"/>
      <c r="AQ538" s="82"/>
      <c r="AR538" s="82"/>
      <c r="AS538" s="82"/>
    </row>
    <row r="539" spans="1:45" ht="15.75">
      <c r="A539" s="226" t="s">
        <v>177</v>
      </c>
      <c r="B539" s="179"/>
      <c r="C539" s="152">
        <f t="shared" si="124"/>
        <v>10765</v>
      </c>
      <c r="D539" s="186">
        <v>1.7</v>
      </c>
      <c r="E539" s="109"/>
      <c r="F539" s="109">
        <f t="shared" si="125"/>
        <v>-183</v>
      </c>
      <c r="G539" s="186">
        <v>1.7</v>
      </c>
      <c r="H539" s="153"/>
      <c r="I539" s="109">
        <f t="shared" si="126"/>
        <v>-183</v>
      </c>
      <c r="J539" s="186">
        <f>J526</f>
        <v>1.73</v>
      </c>
      <c r="K539" s="153"/>
      <c r="L539" s="109">
        <f t="shared" si="127"/>
        <v>-186</v>
      </c>
      <c r="M539" s="109"/>
      <c r="N539" s="186">
        <f>N526</f>
        <v>1.74</v>
      </c>
      <c r="O539" s="153"/>
      <c r="P539" s="109">
        <f t="shared" si="128"/>
        <v>-187.31099999999998</v>
      </c>
      <c r="Q539" s="109"/>
      <c r="R539" s="186"/>
      <c r="S539" s="153"/>
      <c r="T539" s="169"/>
      <c r="U539" s="109"/>
      <c r="V539" s="186"/>
      <c r="W539" s="153"/>
      <c r="X539" s="169"/>
      <c r="AM539" s="82"/>
      <c r="AN539" s="82"/>
      <c r="AO539" s="82"/>
      <c r="AP539" s="82"/>
      <c r="AQ539" s="82"/>
      <c r="AR539" s="82"/>
      <c r="AS539" s="82"/>
    </row>
    <row r="540" spans="1:45" ht="15.75">
      <c r="A540" s="226" t="s">
        <v>178</v>
      </c>
      <c r="B540" s="179"/>
      <c r="C540" s="152">
        <f t="shared" si="124"/>
        <v>57957</v>
      </c>
      <c r="D540" s="186">
        <v>1.39</v>
      </c>
      <c r="E540" s="109" t="s">
        <v>108</v>
      </c>
      <c r="F540" s="109">
        <f t="shared" si="125"/>
        <v>-806</v>
      </c>
      <c r="G540" s="186">
        <v>1.39</v>
      </c>
      <c r="H540" s="153"/>
      <c r="I540" s="109">
        <f t="shared" si="126"/>
        <v>-806</v>
      </c>
      <c r="J540" s="186">
        <f>J527</f>
        <v>1.41</v>
      </c>
      <c r="K540" s="153"/>
      <c r="L540" s="109">
        <f t="shared" si="127"/>
        <v>-817</v>
      </c>
      <c r="M540" s="109"/>
      <c r="N540" s="186">
        <f>N527</f>
        <v>1.42</v>
      </c>
      <c r="O540" s="153"/>
      <c r="P540" s="109">
        <f t="shared" si="128"/>
        <v>-822.98940000000005</v>
      </c>
      <c r="Q540" s="109"/>
      <c r="R540" s="186"/>
      <c r="S540" s="153"/>
      <c r="T540" s="169"/>
      <c r="U540" s="109"/>
      <c r="V540" s="186"/>
      <c r="W540" s="153"/>
      <c r="X540" s="169"/>
      <c r="Z540" s="189" t="s">
        <v>108</v>
      </c>
      <c r="AM540" s="82"/>
      <c r="AN540" s="82"/>
      <c r="AO540" s="82"/>
      <c r="AP540" s="82"/>
      <c r="AQ540" s="82"/>
      <c r="AR540" s="82"/>
      <c r="AS540" s="82"/>
    </row>
    <row r="541" spans="1:45" ht="15.75">
      <c r="A541" s="138" t="s">
        <v>180</v>
      </c>
      <c r="B541" s="179"/>
      <c r="C541" s="152">
        <f t="shared" si="124"/>
        <v>44958</v>
      </c>
      <c r="D541" s="186">
        <v>4.4400000000000004</v>
      </c>
      <c r="E541" s="109" t="s">
        <v>108</v>
      </c>
      <c r="F541" s="109">
        <f t="shared" si="125"/>
        <v>-1996</v>
      </c>
      <c r="G541" s="186">
        <v>4.72</v>
      </c>
      <c r="H541" s="153"/>
      <c r="I541" s="109">
        <f t="shared" si="126"/>
        <v>-2122</v>
      </c>
      <c r="J541" s="186">
        <f>J529</f>
        <v>4.8</v>
      </c>
      <c r="K541" s="153"/>
      <c r="L541" s="109">
        <f t="shared" si="127"/>
        <v>-2158</v>
      </c>
      <c r="M541" s="109"/>
      <c r="N541" s="186">
        <f>N529</f>
        <v>0.64524229669381195</v>
      </c>
      <c r="O541" s="153"/>
      <c r="P541" s="109">
        <f t="shared" si="128"/>
        <v>-290.08803174760396</v>
      </c>
      <c r="Q541" s="109"/>
      <c r="R541" s="186">
        <f>R529</f>
        <v>0.85363089901921485</v>
      </c>
      <c r="S541" s="153"/>
      <c r="T541" s="109">
        <f>R541*C541*$R$535</f>
        <v>-383.77537958105859</v>
      </c>
      <c r="U541" s="109"/>
      <c r="V541" s="186">
        <f>V529</f>
        <v>3.301126804286973</v>
      </c>
      <c r="W541" s="153"/>
      <c r="X541" s="109">
        <f>V541*C541*$V$535</f>
        <v>-1484.1205886713376</v>
      </c>
      <c r="AM541" s="82"/>
      <c r="AN541" s="82"/>
      <c r="AO541" s="82"/>
      <c r="AP541" s="82"/>
      <c r="AQ541" s="82"/>
      <c r="AR541" s="82"/>
      <c r="AS541" s="82"/>
    </row>
    <row r="542" spans="1:45" ht="15.75">
      <c r="A542" s="138" t="s">
        <v>197</v>
      </c>
      <c r="B542" s="179"/>
      <c r="C542" s="152">
        <f t="shared" si="124"/>
        <v>384.33333333333331</v>
      </c>
      <c r="D542" s="186">
        <v>4.4400000000000004</v>
      </c>
      <c r="E542" s="109" t="s">
        <v>108</v>
      </c>
      <c r="F542" s="109">
        <f t="shared" si="125"/>
        <v>-17</v>
      </c>
      <c r="G542" s="186">
        <v>4.72</v>
      </c>
      <c r="H542" s="153"/>
      <c r="I542" s="109">
        <f t="shared" si="126"/>
        <v>-18</v>
      </c>
      <c r="J542" s="186">
        <f>J530</f>
        <v>4.8</v>
      </c>
      <c r="K542" s="153"/>
      <c r="L542" s="109">
        <f t="shared" si="127"/>
        <v>-18</v>
      </c>
      <c r="M542" s="109"/>
      <c r="N542" s="186">
        <f>N530</f>
        <v>0.64524229669381195</v>
      </c>
      <c r="O542" s="153"/>
      <c r="P542" s="109">
        <f t="shared" si="128"/>
        <v>-2.479881226959884</v>
      </c>
      <c r="Q542" s="109"/>
      <c r="R542" s="186">
        <f>R530</f>
        <v>0.85363089901921485</v>
      </c>
      <c r="S542" s="153"/>
      <c r="T542" s="109">
        <f>R542*C542*$R$535</f>
        <v>-3.280788088563849</v>
      </c>
      <c r="U542" s="109"/>
      <c r="V542" s="186">
        <f>V530</f>
        <v>3.301126804286973</v>
      </c>
      <c r="W542" s="153"/>
      <c r="X542" s="109">
        <f>V542*C542*$V$535</f>
        <v>-12.687330684476265</v>
      </c>
      <c r="AM542" s="82"/>
      <c r="AN542" s="82"/>
      <c r="AO542" s="82"/>
      <c r="AP542" s="82"/>
      <c r="AQ542" s="82"/>
      <c r="AR542" s="82"/>
      <c r="AS542" s="82"/>
    </row>
    <row r="543" spans="1:45" ht="15.75">
      <c r="A543" s="226" t="s">
        <v>182</v>
      </c>
      <c r="B543" s="179"/>
      <c r="C543" s="152">
        <f t="shared" si="124"/>
        <v>5159480</v>
      </c>
      <c r="D543" s="188">
        <v>5.2919999999999998</v>
      </c>
      <c r="E543" s="109" t="s">
        <v>116</v>
      </c>
      <c r="F543" s="109">
        <f t="shared" si="125"/>
        <v>-2732</v>
      </c>
      <c r="G543" s="188">
        <v>5.6289999999999996</v>
      </c>
      <c r="H543" s="153" t="s">
        <v>116</v>
      </c>
      <c r="I543" s="109">
        <f t="shared" si="126"/>
        <v>-2904</v>
      </c>
      <c r="J543" s="188">
        <f>J532</f>
        <v>5.7279999999999998</v>
      </c>
      <c r="K543" s="153" t="s">
        <v>116</v>
      </c>
      <c r="L543" s="109">
        <f t="shared" si="127"/>
        <v>-2956</v>
      </c>
      <c r="M543" s="109"/>
      <c r="N543" s="188"/>
      <c r="O543" s="153"/>
      <c r="P543" s="109"/>
      <c r="Q543" s="109"/>
      <c r="R543" s="188">
        <f>R532</f>
        <v>1.1768671337178382</v>
      </c>
      <c r="S543" s="153" t="s">
        <v>116</v>
      </c>
      <c r="T543" s="109">
        <f>R543*C543/100*$R$535</f>
        <v>-607.20224390745125</v>
      </c>
      <c r="U543" s="109"/>
      <c r="V543" s="188">
        <f>V532</f>
        <v>4.5511328662821606</v>
      </c>
      <c r="W543" s="153" t="s">
        <v>116</v>
      </c>
      <c r="X543" s="109">
        <f>V543*C543/100*$V$535</f>
        <v>-2348.1479000925483</v>
      </c>
      <c r="AM543" s="82"/>
      <c r="AN543" s="82"/>
      <c r="AO543" s="82"/>
      <c r="AP543" s="82"/>
      <c r="AQ543" s="82"/>
      <c r="AR543" s="82"/>
      <c r="AS543" s="82"/>
    </row>
    <row r="544" spans="1:45" ht="15.75">
      <c r="A544" s="226" t="s">
        <v>154</v>
      </c>
      <c r="B544" s="179"/>
      <c r="C544" s="152">
        <f t="shared" si="124"/>
        <v>11810179</v>
      </c>
      <c r="D544" s="188">
        <v>4.8499999999999996</v>
      </c>
      <c r="E544" s="109" t="s">
        <v>116</v>
      </c>
      <c r="F544" s="109">
        <f t="shared" si="125"/>
        <v>-5730</v>
      </c>
      <c r="G544" s="188">
        <v>5.157</v>
      </c>
      <c r="H544" s="153" t="s">
        <v>116</v>
      </c>
      <c r="I544" s="109">
        <f t="shared" si="126"/>
        <v>-6090</v>
      </c>
      <c r="J544" s="188">
        <f>J533</f>
        <v>5.2480000000000002</v>
      </c>
      <c r="K544" s="153" t="s">
        <v>116</v>
      </c>
      <c r="L544" s="109">
        <f t="shared" si="127"/>
        <v>-6198</v>
      </c>
      <c r="M544" s="109"/>
      <c r="N544" s="188"/>
      <c r="O544" s="153"/>
      <c r="P544" s="109"/>
      <c r="Q544" s="109"/>
      <c r="R544" s="188">
        <f>R533</f>
        <v>1.0782469828476284</v>
      </c>
      <c r="S544" s="153" t="s">
        <v>116</v>
      </c>
      <c r="T544" s="109">
        <f>R544*C544/100*$R$535</f>
        <v>-1273.4289873640421</v>
      </c>
      <c r="U544" s="109"/>
      <c r="V544" s="188">
        <f>V533</f>
        <v>4.1697530171523711</v>
      </c>
      <c r="W544" s="153" t="s">
        <v>116</v>
      </c>
      <c r="X544" s="109">
        <f>V544*C544/100*$V$535</f>
        <v>-4924.5529518359572</v>
      </c>
      <c r="AM544" s="82"/>
      <c r="AN544" s="82"/>
      <c r="AO544" s="82"/>
      <c r="AP544" s="82"/>
      <c r="AQ544" s="82"/>
      <c r="AR544" s="82"/>
      <c r="AS544" s="82"/>
    </row>
    <row r="545" spans="1:45" ht="15.75">
      <c r="A545" s="226" t="s">
        <v>155</v>
      </c>
      <c r="B545" s="179"/>
      <c r="C545" s="152">
        <f t="shared" si="124"/>
        <v>8797.9666666666708</v>
      </c>
      <c r="D545" s="230">
        <v>56</v>
      </c>
      <c r="E545" s="109" t="s">
        <v>116</v>
      </c>
      <c r="F545" s="109">
        <f t="shared" si="125"/>
        <v>-50</v>
      </c>
      <c r="G545" s="230">
        <v>56</v>
      </c>
      <c r="H545" s="153" t="s">
        <v>116</v>
      </c>
      <c r="I545" s="109">
        <f t="shared" si="126"/>
        <v>-50</v>
      </c>
      <c r="J545" s="230">
        <f>J534</f>
        <v>56</v>
      </c>
      <c r="K545" s="153" t="s">
        <v>116</v>
      </c>
      <c r="L545" s="109">
        <f t="shared" si="127"/>
        <v>-50</v>
      </c>
      <c r="M545" s="109"/>
      <c r="N545" s="230"/>
      <c r="O545" s="153"/>
      <c r="P545" s="109"/>
      <c r="Q545" s="109"/>
      <c r="R545" s="230">
        <f>R534</f>
        <v>11.505684268191157</v>
      </c>
      <c r="S545" s="153" t="s">
        <v>116</v>
      </c>
      <c r="T545" s="109">
        <f>R545*C545/100*$R$535</f>
        <v>-10.122662666873691</v>
      </c>
      <c r="U545" s="109"/>
      <c r="V545" s="230">
        <f>V534</f>
        <v>44.49431573180884</v>
      </c>
      <c r="W545" s="153" t="s">
        <v>116</v>
      </c>
      <c r="X545" s="109">
        <f>V545*C545/100*$V$535</f>
        <v>-39.145950666459662</v>
      </c>
      <c r="AM545" s="82"/>
      <c r="AN545" s="82"/>
      <c r="AO545" s="82"/>
      <c r="AP545" s="82"/>
      <c r="AQ545" s="82"/>
      <c r="AR545" s="82"/>
      <c r="AS545" s="82"/>
    </row>
    <row r="546" spans="1:45" ht="15.75">
      <c r="A546" s="226" t="s">
        <v>198</v>
      </c>
      <c r="B546" s="179"/>
      <c r="C546" s="152">
        <f t="shared" si="124"/>
        <v>150.6</v>
      </c>
      <c r="D546" s="186">
        <v>60</v>
      </c>
      <c r="E546" s="109" t="s">
        <v>108</v>
      </c>
      <c r="F546" s="109">
        <f t="shared" si="125"/>
        <v>9036</v>
      </c>
      <c r="G546" s="186">
        <v>60</v>
      </c>
      <c r="H546" s="153"/>
      <c r="I546" s="109">
        <f t="shared" si="126"/>
        <v>9036</v>
      </c>
      <c r="J546" s="186">
        <v>60</v>
      </c>
      <c r="K546" s="153"/>
      <c r="L546" s="109">
        <f t="shared" si="127"/>
        <v>9036</v>
      </c>
      <c r="M546" s="109"/>
      <c r="N546" s="186"/>
      <c r="O546" s="153"/>
      <c r="P546" s="109"/>
      <c r="Q546" s="109"/>
      <c r="R546" s="186">
        <f>$J546*($AA$518/($AA$518+$Z$518))</f>
        <v>12.327518858776241</v>
      </c>
      <c r="S546" s="153"/>
      <c r="T546" s="109">
        <f>R546*C546</f>
        <v>1856.5243401317018</v>
      </c>
      <c r="U546" s="109"/>
      <c r="V546" s="186">
        <f>$J546*($Z$518/($Z$518+$AA$518))</f>
        <v>47.672481141223756</v>
      </c>
      <c r="W546" s="153"/>
      <c r="X546" s="109">
        <f>V546*C546</f>
        <v>7179.475659868297</v>
      </c>
      <c r="AM546" s="82"/>
      <c r="AN546" s="82"/>
      <c r="AO546" s="82"/>
      <c r="AP546" s="82"/>
      <c r="AQ546" s="82"/>
      <c r="AR546" s="82"/>
      <c r="AS546" s="82"/>
    </row>
    <row r="547" spans="1:45" ht="15.75">
      <c r="A547" s="226" t="s">
        <v>199</v>
      </c>
      <c r="B547" s="179"/>
      <c r="C547" s="152">
        <f t="shared" si="124"/>
        <v>68722</v>
      </c>
      <c r="D547" s="245">
        <v>-30</v>
      </c>
      <c r="E547" s="109" t="s">
        <v>116</v>
      </c>
      <c r="F547" s="109">
        <f t="shared" si="125"/>
        <v>-20617</v>
      </c>
      <c r="G547" s="245">
        <v>-30</v>
      </c>
      <c r="H547" s="109" t="s">
        <v>116</v>
      </c>
      <c r="I547" s="109">
        <f t="shared" si="126"/>
        <v>-20617</v>
      </c>
      <c r="J547" s="245">
        <v>-30</v>
      </c>
      <c r="K547" s="109" t="s">
        <v>116</v>
      </c>
      <c r="L547" s="109">
        <f t="shared" si="127"/>
        <v>-20617</v>
      </c>
      <c r="M547" s="109"/>
      <c r="N547" s="245">
        <v>-30</v>
      </c>
      <c r="O547" s="109" t="s">
        <v>116</v>
      </c>
      <c r="P547" s="109">
        <f>L547</f>
        <v>-20617</v>
      </c>
      <c r="Q547" s="109"/>
      <c r="R547" s="245" t="s">
        <v>108</v>
      </c>
      <c r="S547" s="109" t="s">
        <v>108</v>
      </c>
      <c r="T547" s="109"/>
      <c r="U547" s="109"/>
      <c r="V547" s="245"/>
      <c r="W547" s="109"/>
      <c r="X547" s="169"/>
      <c r="AM547" s="82"/>
      <c r="AN547" s="82"/>
      <c r="AO547" s="82"/>
      <c r="AP547" s="82"/>
      <c r="AQ547" s="82"/>
      <c r="AR547" s="82"/>
      <c r="AS547" s="82"/>
    </row>
    <row r="548" spans="1:45" ht="15.75">
      <c r="A548" s="179" t="s">
        <v>134</v>
      </c>
      <c r="B548" s="294"/>
      <c r="C548" s="152">
        <f t="shared" si="124"/>
        <v>899742772.17576289</v>
      </c>
      <c r="D548" s="195"/>
      <c r="E548" s="109"/>
      <c r="F548" s="109">
        <f t="shared" si="125"/>
        <v>63536032</v>
      </c>
      <c r="G548" s="195"/>
      <c r="H548" s="153"/>
      <c r="I548" s="109">
        <f t="shared" si="126"/>
        <v>67121824</v>
      </c>
      <c r="J548" s="109"/>
      <c r="K548" s="153"/>
      <c r="L548" s="109">
        <f t="shared" si="127"/>
        <v>68255246</v>
      </c>
      <c r="M548" s="109"/>
      <c r="N548" s="109"/>
      <c r="O548" s="153"/>
      <c r="P548" s="109">
        <f>SUM(P522:P547)</f>
        <v>8424900.9019857682</v>
      </c>
      <c r="Q548" s="109"/>
      <c r="R548" s="109"/>
      <c r="S548" s="153"/>
      <c r="T548" s="109">
        <f>SUM(T522:T547)</f>
        <v>12299503.620193265</v>
      </c>
      <c r="U548" s="109"/>
      <c r="V548" s="109"/>
      <c r="W548" s="153"/>
      <c r="X548" s="109">
        <f>SUM(X522:X547)</f>
        <v>47564141.746385761</v>
      </c>
      <c r="AA548" s="295"/>
      <c r="AB548" s="295"/>
      <c r="AM548" s="82"/>
      <c r="AN548" s="82"/>
      <c r="AO548" s="82"/>
      <c r="AP548" s="82"/>
      <c r="AQ548" s="82"/>
      <c r="AR548" s="82"/>
      <c r="AS548" s="82"/>
    </row>
    <row r="549" spans="1:45" ht="15.75">
      <c r="A549" s="179" t="s">
        <v>119</v>
      </c>
      <c r="B549" s="215"/>
      <c r="C549" s="197">
        <f t="shared" si="124"/>
        <v>-3969620.9678243943</v>
      </c>
      <c r="D549" s="153"/>
      <c r="E549" s="153"/>
      <c r="F549" s="198">
        <f>I549</f>
        <v>-311647.89596808294</v>
      </c>
      <c r="G549" s="153"/>
      <c r="H549" s="153"/>
      <c r="I549" s="198">
        <f t="shared" si="126"/>
        <v>-311647.89596808294</v>
      </c>
      <c r="J549" s="153"/>
      <c r="K549" s="153"/>
      <c r="L549" s="198">
        <f>I549</f>
        <v>-311647.89596808294</v>
      </c>
      <c r="M549" s="169"/>
      <c r="N549" s="153"/>
      <c r="O549" s="153"/>
      <c r="P549" s="198">
        <f>$L$549*Y553/($Y$553+$Z$553+$AA$553)</f>
        <v>-40766.758576050095</v>
      </c>
      <c r="Q549" s="169"/>
      <c r="R549" s="153"/>
      <c r="S549" s="153"/>
      <c r="T549" s="198">
        <f>$L$549*Z553/($Y$553+$Z$553+$AA$553)</f>
        <v>-54786.721560833612</v>
      </c>
      <c r="U549" s="169"/>
      <c r="V549" s="153"/>
      <c r="W549" s="153"/>
      <c r="X549" s="198">
        <f>$L$549*AA553/($Y$553+$Z$553+$AA$553)</f>
        <v>-216094.41583119924</v>
      </c>
      <c r="Y549" s="296"/>
      <c r="Z549" s="297"/>
      <c r="AM549" s="82"/>
      <c r="AN549" s="82"/>
      <c r="AO549" s="82"/>
      <c r="AP549" s="82"/>
      <c r="AQ549" s="82"/>
      <c r="AR549" s="82"/>
      <c r="AS549" s="82"/>
    </row>
    <row r="550" spans="1:45" ht="16.5" thickBot="1">
      <c r="A550" s="179" t="s">
        <v>135</v>
      </c>
      <c r="B550" s="179"/>
      <c r="C550" s="288">
        <f>SUM(C548)+C549</f>
        <v>895773151.20793855</v>
      </c>
      <c r="D550" s="268"/>
      <c r="E550" s="250"/>
      <c r="F550" s="251">
        <f>F548+F549</f>
        <v>63224384.10403192</v>
      </c>
      <c r="G550" s="268"/>
      <c r="H550" s="269"/>
      <c r="I550" s="251">
        <f>I548+I549</f>
        <v>66810176.10403192</v>
      </c>
      <c r="J550" s="268"/>
      <c r="K550" s="269"/>
      <c r="L550" s="251">
        <f>L548+L549</f>
        <v>67943598.10403192</v>
      </c>
      <c r="M550" s="251"/>
      <c r="N550" s="268"/>
      <c r="O550" s="269"/>
      <c r="P550" s="251">
        <f>P548+P549</f>
        <v>8384134.1434097178</v>
      </c>
      <c r="Q550" s="251"/>
      <c r="R550" s="268"/>
      <c r="S550" s="269"/>
      <c r="T550" s="251">
        <f>T548+T549</f>
        <v>12244716.898632431</v>
      </c>
      <c r="U550" s="251"/>
      <c r="V550" s="268"/>
      <c r="W550" s="269"/>
      <c r="X550" s="251">
        <f>X548+X549</f>
        <v>47348047.33055456</v>
      </c>
      <c r="Y550" s="143" t="s">
        <v>162</v>
      </c>
      <c r="Z550" s="200">
        <f>'[1]Summary Table'!$R$56</f>
        <v>67946758.05894962</v>
      </c>
      <c r="AA550" s="145">
        <v>4.0542978853783385E-3</v>
      </c>
      <c r="AB550" s="102"/>
      <c r="AC550" s="146" t="s">
        <v>108</v>
      </c>
      <c r="AM550" s="82"/>
      <c r="AN550" s="82"/>
      <c r="AO550" s="82"/>
      <c r="AP550" s="82"/>
      <c r="AQ550" s="82"/>
      <c r="AR550" s="82"/>
      <c r="AS550" s="82"/>
    </row>
    <row r="551" spans="1:45" ht="16.5" thickTop="1">
      <c r="A551" s="179"/>
      <c r="B551" s="179"/>
      <c r="C551" s="298"/>
      <c r="D551" s="274"/>
      <c r="E551" s="258"/>
      <c r="F551" s="221"/>
      <c r="G551" s="274"/>
      <c r="H551" s="259"/>
      <c r="I551" s="221"/>
      <c r="J551" s="274"/>
      <c r="K551" s="259"/>
      <c r="L551" s="221"/>
      <c r="M551" s="221"/>
      <c r="N551" s="274"/>
      <c r="O551" s="259"/>
      <c r="P551" s="221"/>
      <c r="Q551" s="221"/>
      <c r="R551" s="274"/>
      <c r="S551" s="259"/>
      <c r="T551" s="221"/>
      <c r="U551" s="221"/>
      <c r="V551" s="274"/>
      <c r="W551" s="259"/>
      <c r="X551" s="299" t="s">
        <v>108</v>
      </c>
      <c r="Y551" s="154" t="s">
        <v>122</v>
      </c>
      <c r="Z551" s="155">
        <f>Z550-L550</f>
        <v>3159.9549176990986</v>
      </c>
      <c r="AA551" s="300" t="s">
        <v>108</v>
      </c>
      <c r="AB551" s="102"/>
      <c r="AC551" s="146"/>
      <c r="AM551" s="82"/>
      <c r="AN551" s="82"/>
      <c r="AO551" s="82"/>
      <c r="AP551" s="82"/>
      <c r="AQ551" s="82"/>
      <c r="AR551" s="82"/>
      <c r="AS551" s="82"/>
    </row>
    <row r="552" spans="1:45" ht="15.75">
      <c r="A552" s="179"/>
      <c r="B552" s="179"/>
      <c r="C552" s="298"/>
      <c r="D552" s="274"/>
      <c r="E552" s="258"/>
      <c r="F552" s="221"/>
      <c r="G552" s="274"/>
      <c r="H552" s="259"/>
      <c r="I552" s="221"/>
      <c r="J552" s="274"/>
      <c r="K552" s="259"/>
      <c r="L552" s="221"/>
      <c r="M552" s="221"/>
      <c r="N552" s="274"/>
      <c r="O552" s="259"/>
      <c r="P552" s="221"/>
      <c r="Q552" s="221"/>
      <c r="R552" s="274"/>
      <c r="S552" s="259"/>
      <c r="T552" s="221"/>
      <c r="U552" s="221"/>
      <c r="V552" s="274"/>
      <c r="W552" s="259"/>
      <c r="X552" s="299" t="s">
        <v>108</v>
      </c>
      <c r="Y552" s="202">
        <f>'[2]Exhibit No.__(JRS-6) p11'!J35+'[2]Exhibit No.__(JRS-6) p11'!K35+'[2]Exhibit No.__(JRS-6) p11'!L35</f>
        <v>0.13081031222564446</v>
      </c>
      <c r="Z552" s="262">
        <f>'[2]Exhibit No.__(JRS-6) p11'!I35</f>
        <v>0.17579686007713183</v>
      </c>
      <c r="AA552" s="103">
        <f>'[2]Exhibit No.__(JRS-6) p11'!H35</f>
        <v>0.69339282769722377</v>
      </c>
      <c r="AB552" s="102"/>
      <c r="AC552" s="146"/>
      <c r="AM552" s="82"/>
      <c r="AN552" s="82"/>
      <c r="AO552" s="82"/>
      <c r="AP552" s="82"/>
      <c r="AQ552" s="82"/>
      <c r="AR552" s="82"/>
      <c r="AS552" s="82"/>
    </row>
    <row r="553" spans="1:45" ht="15.75">
      <c r="A553" s="179"/>
      <c r="B553" s="179"/>
      <c r="C553" s="205"/>
      <c r="D553" s="243" t="s">
        <v>108</v>
      </c>
      <c r="E553" s="106"/>
      <c r="F553" s="106"/>
      <c r="G553" s="243" t="s">
        <v>108</v>
      </c>
      <c r="H553" s="179"/>
      <c r="I553" s="106" t="s">
        <v>108</v>
      </c>
      <c r="J553" s="275" t="s">
        <v>108</v>
      </c>
      <c r="K553" s="179"/>
      <c r="L553" s="106" t="s">
        <v>108</v>
      </c>
      <c r="M553" s="106"/>
      <c r="N553" s="275" t="s">
        <v>108</v>
      </c>
      <c r="O553" s="179"/>
      <c r="P553" s="106" t="s">
        <v>108</v>
      </c>
      <c r="Q553" s="106"/>
      <c r="R553" s="275" t="s">
        <v>108</v>
      </c>
      <c r="S553" s="179"/>
      <c r="T553" s="106" t="s">
        <v>108</v>
      </c>
      <c r="U553" s="106"/>
      <c r="V553" s="275" t="s">
        <v>108</v>
      </c>
      <c r="W553" s="179"/>
      <c r="X553" s="106" t="s">
        <v>108</v>
      </c>
      <c r="Y553" s="131">
        <f>Y552*$L$550</f>
        <v>8887723.2817221209</v>
      </c>
      <c r="Z553" s="131">
        <f t="shared" ref="Z553:AA553" si="129">Z552*$L$550</f>
        <v>11944271.209031379</v>
      </c>
      <c r="AA553" s="131">
        <f t="shared" si="129"/>
        <v>47111603.613278426</v>
      </c>
      <c r="AB553" s="263" t="s">
        <v>162</v>
      </c>
      <c r="AM553" s="82"/>
      <c r="AN553" s="82"/>
      <c r="AO553" s="82"/>
      <c r="AP553" s="82"/>
      <c r="AQ553" s="82"/>
      <c r="AR553" s="82"/>
      <c r="AS553" s="82"/>
    </row>
    <row r="554" spans="1:45" ht="15.75">
      <c r="A554" s="178" t="s">
        <v>194</v>
      </c>
      <c r="B554" s="179"/>
      <c r="C554" s="179"/>
      <c r="D554" s="106"/>
      <c r="E554" s="106"/>
      <c r="F554" s="179" t="s">
        <v>108</v>
      </c>
      <c r="G554" s="106"/>
      <c r="H554" s="179"/>
      <c r="I554" s="179"/>
      <c r="J554" s="106"/>
      <c r="K554" s="179"/>
      <c r="L554" s="179"/>
      <c r="M554" s="179"/>
      <c r="N554" s="106"/>
      <c r="O554" s="179"/>
      <c r="P554" s="179"/>
      <c r="Q554" s="179"/>
      <c r="R554" s="106"/>
      <c r="S554" s="179"/>
      <c r="T554" s="179"/>
      <c r="U554" s="179"/>
      <c r="V554" s="106"/>
      <c r="W554" s="179"/>
      <c r="X554" s="179"/>
      <c r="AM554" s="82"/>
      <c r="AN554" s="82"/>
      <c r="AO554" s="82"/>
      <c r="AP554" s="82"/>
      <c r="AQ554" s="82"/>
      <c r="AR554" s="82"/>
      <c r="AS554" s="82"/>
    </row>
    <row r="555" spans="1:45" ht="15.75">
      <c r="A555" s="138" t="s">
        <v>200</v>
      </c>
      <c r="B555" s="179"/>
      <c r="C555" s="179"/>
      <c r="D555" s="106"/>
      <c r="E555" s="106"/>
      <c r="F555" s="179"/>
      <c r="G555" s="106"/>
      <c r="H555" s="179"/>
      <c r="I555" s="179"/>
      <c r="J555" s="106"/>
      <c r="K555" s="179"/>
      <c r="L555" s="179"/>
      <c r="M555" s="179"/>
      <c r="N555" s="106"/>
      <c r="O555" s="179"/>
      <c r="P555" s="179"/>
      <c r="Q555" s="179"/>
      <c r="R555" s="106"/>
      <c r="S555" s="179"/>
      <c r="T555" s="179"/>
      <c r="U555" s="179"/>
      <c r="V555" s="106"/>
      <c r="W555" s="179"/>
      <c r="X555" s="179"/>
      <c r="Z555" s="158" t="s">
        <v>108</v>
      </c>
      <c r="AM555" s="82"/>
      <c r="AN555" s="82"/>
      <c r="AO555" s="82"/>
      <c r="AP555" s="82"/>
      <c r="AQ555" s="82"/>
      <c r="AR555" s="82"/>
      <c r="AS555" s="82"/>
    </row>
    <row r="556" spans="1:45" ht="15.75">
      <c r="A556" s="226"/>
      <c r="B556" s="179"/>
      <c r="C556" s="179"/>
      <c r="D556" s="106"/>
      <c r="E556" s="106"/>
      <c r="F556" s="179"/>
      <c r="G556" s="106"/>
      <c r="H556" s="179"/>
      <c r="I556" s="179"/>
      <c r="J556" s="106"/>
      <c r="K556" s="179"/>
      <c r="L556" s="179"/>
      <c r="M556" s="179"/>
      <c r="N556" s="106"/>
      <c r="O556" s="179"/>
      <c r="P556" s="179"/>
      <c r="Q556" s="179"/>
      <c r="R556" s="106"/>
      <c r="S556" s="179"/>
      <c r="T556" s="179"/>
      <c r="U556" s="179"/>
      <c r="V556" s="106"/>
      <c r="W556" s="179"/>
      <c r="X556" s="179"/>
      <c r="Y556" s="82"/>
      <c r="Z556" s="83"/>
      <c r="AA556" s="83"/>
      <c r="AB556" s="83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</row>
    <row r="557" spans="1:45" ht="15.75">
      <c r="A557" s="226" t="s">
        <v>11</v>
      </c>
      <c r="B557" s="179"/>
      <c r="C557" s="218"/>
      <c r="D557" s="106"/>
      <c r="E557" s="106"/>
      <c r="F557" s="179"/>
      <c r="G557" s="106"/>
      <c r="H557" s="179"/>
      <c r="I557" s="179"/>
      <c r="J557" s="106"/>
      <c r="K557" s="179"/>
      <c r="L557" s="179"/>
      <c r="M557" s="179"/>
      <c r="N557" s="106"/>
      <c r="O557" s="179"/>
      <c r="P557" s="179"/>
      <c r="Q557" s="179"/>
      <c r="R557" s="106"/>
      <c r="S557" s="179"/>
      <c r="T557" s="179"/>
      <c r="U557" s="179"/>
      <c r="V557" s="106"/>
      <c r="W557" s="179"/>
      <c r="X557" s="179"/>
      <c r="Y557" s="82"/>
      <c r="Z557" s="83"/>
      <c r="AA557" s="83"/>
      <c r="AB557" s="83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</row>
    <row r="558" spans="1:45" ht="15.75">
      <c r="A558" s="226" t="s">
        <v>176</v>
      </c>
      <c r="B558" s="179"/>
      <c r="C558" s="218">
        <v>268.23333333333369</v>
      </c>
      <c r="D558" s="210">
        <v>259</v>
      </c>
      <c r="E558" s="226"/>
      <c r="F558" s="220">
        <f>ROUND(D558*$C558,0)</f>
        <v>69472</v>
      </c>
      <c r="G558" s="210">
        <v>259</v>
      </c>
      <c r="H558" s="226"/>
      <c r="I558" s="220">
        <f>ROUND(G558*C558,0)</f>
        <v>69472</v>
      </c>
      <c r="J558" s="210">
        <f>$J$522</f>
        <v>259</v>
      </c>
      <c r="K558" s="226"/>
      <c r="L558" s="220">
        <f>ROUND(J558*$C558,0)</f>
        <v>69472</v>
      </c>
      <c r="M558" s="220"/>
      <c r="N558" s="210">
        <f>$N$522</f>
        <v>259</v>
      </c>
      <c r="O558" s="226"/>
      <c r="P558" s="220">
        <f>ROUND(N558*$C558,0)</f>
        <v>69472</v>
      </c>
      <c r="Q558" s="220"/>
      <c r="R558" s="210"/>
      <c r="S558" s="226"/>
      <c r="T558" s="220"/>
      <c r="U558" s="220"/>
      <c r="V558" s="210"/>
      <c r="W558" s="226"/>
      <c r="X558" s="220"/>
      <c r="AA558" s="83"/>
      <c r="AB558" s="83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</row>
    <row r="559" spans="1:45" ht="15.75">
      <c r="A559" s="226" t="s">
        <v>177</v>
      </c>
      <c r="B559" s="179"/>
      <c r="C559" s="218">
        <v>7728.2333333333399</v>
      </c>
      <c r="D559" s="210">
        <v>96</v>
      </c>
      <c r="E559" s="226"/>
      <c r="F559" s="220">
        <f>ROUND(D559*$C559,0)</f>
        <v>741910</v>
      </c>
      <c r="G559" s="210">
        <v>96</v>
      </c>
      <c r="H559" s="226"/>
      <c r="I559" s="220">
        <f>ROUND(G559*C559,0)</f>
        <v>741910</v>
      </c>
      <c r="J559" s="210">
        <f>$J$523</f>
        <v>96</v>
      </c>
      <c r="K559" s="226"/>
      <c r="L559" s="220">
        <f>ROUND(J559*$C559,0)</f>
        <v>741910</v>
      </c>
      <c r="M559" s="220"/>
      <c r="N559" s="210">
        <f>$N$523</f>
        <v>96</v>
      </c>
      <c r="O559" s="226"/>
      <c r="P559" s="220">
        <f>ROUND(N559*$C559,0)</f>
        <v>741910</v>
      </c>
      <c r="Q559" s="220"/>
      <c r="R559" s="210"/>
      <c r="S559" s="226"/>
      <c r="T559" s="220"/>
      <c r="U559" s="220"/>
      <c r="V559" s="210"/>
      <c r="W559" s="226"/>
      <c r="X559" s="220"/>
      <c r="AA559" s="83"/>
      <c r="AB559" s="83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</row>
    <row r="560" spans="1:45" ht="15.75">
      <c r="A560" s="226" t="s">
        <v>178</v>
      </c>
      <c r="B560" s="179"/>
      <c r="C560" s="218">
        <v>3062.6</v>
      </c>
      <c r="D560" s="210">
        <v>192</v>
      </c>
      <c r="E560" s="265"/>
      <c r="F560" s="220">
        <f>ROUND(D560*$C560,0)</f>
        <v>588019</v>
      </c>
      <c r="G560" s="210">
        <v>192</v>
      </c>
      <c r="H560" s="265"/>
      <c r="I560" s="220">
        <f>ROUND(G560*C560,0)</f>
        <v>588019</v>
      </c>
      <c r="J560" s="210">
        <f>$J$524</f>
        <v>192</v>
      </c>
      <c r="K560" s="265"/>
      <c r="L560" s="220">
        <f>ROUND(J560*$C560,0)</f>
        <v>588019</v>
      </c>
      <c r="M560" s="220"/>
      <c r="N560" s="210">
        <f>$N$524</f>
        <v>192</v>
      </c>
      <c r="O560" s="265"/>
      <c r="P560" s="220">
        <f>ROUND(N560*$C560,0)</f>
        <v>588019</v>
      </c>
      <c r="Q560" s="220"/>
      <c r="R560" s="210"/>
      <c r="S560" s="265"/>
      <c r="T560" s="220"/>
      <c r="U560" s="220"/>
      <c r="V560" s="210"/>
      <c r="W560" s="265"/>
      <c r="X560" s="220"/>
      <c r="AA560" s="83"/>
      <c r="AB560" s="83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</row>
    <row r="561" spans="1:45" ht="15.75">
      <c r="A561" s="226" t="s">
        <v>150</v>
      </c>
      <c r="B561" s="179"/>
      <c r="C561" s="218">
        <f>SUM(C558:C560)</f>
        <v>11059.066666666673</v>
      </c>
      <c r="D561" s="210"/>
      <c r="E561" s="226"/>
      <c r="F561" s="220"/>
      <c r="G561" s="210"/>
      <c r="H561" s="226"/>
      <c r="I561" s="220"/>
      <c r="J561" s="210"/>
      <c r="K561" s="226"/>
      <c r="L561" s="220"/>
      <c r="M561" s="220"/>
      <c r="N561" s="210"/>
      <c r="O561" s="226"/>
      <c r="P561" s="220"/>
      <c r="Q561" s="220"/>
      <c r="R561" s="210"/>
      <c r="S561" s="226"/>
      <c r="T561" s="220"/>
      <c r="U561" s="220"/>
      <c r="V561" s="210"/>
      <c r="W561" s="226"/>
      <c r="X561" s="220"/>
      <c r="AA561" s="83"/>
      <c r="AB561" s="83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</row>
    <row r="562" spans="1:45" ht="15.75">
      <c r="A562" s="226" t="s">
        <v>177</v>
      </c>
      <c r="B562" s="179"/>
      <c r="C562" s="218">
        <v>1332188</v>
      </c>
      <c r="D562" s="210">
        <v>1.7</v>
      </c>
      <c r="E562" s="226" t="s">
        <v>108</v>
      </c>
      <c r="F562" s="220">
        <f>ROUND(D562*$C562,0)</f>
        <v>2264720</v>
      </c>
      <c r="G562" s="210">
        <v>1.7</v>
      </c>
      <c r="H562" s="226" t="s">
        <v>108</v>
      </c>
      <c r="I562" s="220">
        <f t="shared" ref="I562:I563" si="130">ROUND(G562*C562,0)</f>
        <v>2264720</v>
      </c>
      <c r="J562" s="210">
        <f>$J$526</f>
        <v>1.73</v>
      </c>
      <c r="K562" s="226" t="s">
        <v>108</v>
      </c>
      <c r="L562" s="220">
        <f>ROUND(J562*$C562,0)</f>
        <v>2304685</v>
      </c>
      <c r="M562" s="220"/>
      <c r="N562" s="210">
        <f>$N$526</f>
        <v>1.74</v>
      </c>
      <c r="O562" s="226" t="s">
        <v>108</v>
      </c>
      <c r="P562" s="220">
        <f>ROUND(N562*$C562,0)</f>
        <v>2318007</v>
      </c>
      <c r="Q562" s="220"/>
      <c r="R562" s="210"/>
      <c r="S562" s="226"/>
      <c r="T562" s="220"/>
      <c r="U562" s="220"/>
      <c r="V562" s="210"/>
      <c r="W562" s="226"/>
      <c r="X562" s="220"/>
      <c r="AA562" s="83"/>
      <c r="AB562" s="83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</row>
    <row r="563" spans="1:45" ht="15.75">
      <c r="A563" s="226" t="s">
        <v>178</v>
      </c>
      <c r="B563" s="179"/>
      <c r="C563" s="218">
        <v>1526782</v>
      </c>
      <c r="D563" s="210">
        <v>1.39</v>
      </c>
      <c r="E563" s="226" t="s">
        <v>108</v>
      </c>
      <c r="F563" s="220">
        <f>ROUND(D563*$C563,0)</f>
        <v>2122227</v>
      </c>
      <c r="G563" s="210">
        <v>1.39</v>
      </c>
      <c r="H563" s="226" t="s">
        <v>108</v>
      </c>
      <c r="I563" s="220">
        <f t="shared" si="130"/>
        <v>2122227</v>
      </c>
      <c r="J563" s="210">
        <f>$J$527</f>
        <v>1.41</v>
      </c>
      <c r="K563" s="226" t="s">
        <v>108</v>
      </c>
      <c r="L563" s="220">
        <f>ROUND(J563*$C563,0)</f>
        <v>2152763</v>
      </c>
      <c r="M563" s="220"/>
      <c r="N563" s="210">
        <f>$N$527</f>
        <v>1.42</v>
      </c>
      <c r="O563" s="226" t="s">
        <v>108</v>
      </c>
      <c r="P563" s="220">
        <f>ROUND(N563*$C563,0)</f>
        <v>2168030</v>
      </c>
      <c r="Q563" s="220"/>
      <c r="R563" s="210"/>
      <c r="S563" s="226"/>
      <c r="T563" s="220"/>
      <c r="U563" s="220"/>
      <c r="V563" s="210"/>
      <c r="W563" s="226"/>
      <c r="X563" s="220"/>
      <c r="AA563" s="83"/>
      <c r="AB563" s="83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</row>
    <row r="564" spans="1:45" ht="15.75">
      <c r="A564" s="138" t="s">
        <v>179</v>
      </c>
      <c r="B564" s="179"/>
      <c r="C564" s="218"/>
      <c r="D564" s="212"/>
      <c r="E564" s="226"/>
      <c r="F564" s="220"/>
      <c r="G564" s="212"/>
      <c r="H564" s="226"/>
      <c r="I564" s="220"/>
      <c r="J564" s="212"/>
      <c r="K564" s="226"/>
      <c r="L564" s="220"/>
      <c r="M564" s="220"/>
      <c r="N564" s="212"/>
      <c r="O564" s="226"/>
      <c r="P564" s="220"/>
      <c r="Q564" s="220"/>
      <c r="R564" s="212"/>
      <c r="S564" s="226"/>
      <c r="T564" s="220"/>
      <c r="U564" s="220"/>
      <c r="V564" s="212"/>
      <c r="W564" s="226"/>
      <c r="X564" s="220"/>
      <c r="AA564" s="83"/>
      <c r="AB564" s="83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</row>
    <row r="565" spans="1:45" ht="15.75">
      <c r="A565" s="138" t="s">
        <v>180</v>
      </c>
      <c r="B565" s="179"/>
      <c r="C565" s="218">
        <v>2162284</v>
      </c>
      <c r="D565" s="210">
        <v>4.4400000000000004</v>
      </c>
      <c r="E565" s="226"/>
      <c r="F565" s="220">
        <f>ROUND(D565*$C565,0)</f>
        <v>9600541</v>
      </c>
      <c r="G565" s="210">
        <v>4.72</v>
      </c>
      <c r="H565" s="226"/>
      <c r="I565" s="220">
        <f t="shared" ref="I565:I566" si="131">ROUND(G565*C565,0)</f>
        <v>10205980</v>
      </c>
      <c r="J565" s="210">
        <f>$J$529</f>
        <v>4.8</v>
      </c>
      <c r="K565" s="226"/>
      <c r="L565" s="220">
        <f>ROUND(J565*$C565,0)</f>
        <v>10378963</v>
      </c>
      <c r="M565" s="220"/>
      <c r="N565" s="210">
        <f>$N$529</f>
        <v>0.64524229669381195</v>
      </c>
      <c r="O565" s="226"/>
      <c r="P565" s="220">
        <f>ROUND(N565*$C565,0)</f>
        <v>1395197</v>
      </c>
      <c r="Q565" s="220"/>
      <c r="R565" s="210">
        <f>$R$529</f>
        <v>0.85363089901921485</v>
      </c>
      <c r="S565" s="226"/>
      <c r="T565" s="220">
        <f>ROUND(R565*$C565,0)</f>
        <v>1845792</v>
      </c>
      <c r="U565" s="220"/>
      <c r="V565" s="210">
        <f>$V$529</f>
        <v>3.301126804286973</v>
      </c>
      <c r="W565" s="226"/>
      <c r="X565" s="220">
        <f>ROUND(V565*$C565,0)</f>
        <v>7137974</v>
      </c>
      <c r="AA565" s="83"/>
      <c r="AB565" s="83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</row>
    <row r="566" spans="1:45" ht="15.75">
      <c r="A566" s="138" t="s">
        <v>197</v>
      </c>
      <c r="B566" s="179"/>
      <c r="C566" s="218">
        <v>1056.3333333333362</v>
      </c>
      <c r="D566" s="301">
        <v>4.4400000000000004</v>
      </c>
      <c r="E566" s="226"/>
      <c r="F566" s="220">
        <f>ROUND(D566*$C566,0)</f>
        <v>4690</v>
      </c>
      <c r="G566" s="301">
        <v>4.72</v>
      </c>
      <c r="H566" s="226"/>
      <c r="I566" s="220">
        <f t="shared" si="131"/>
        <v>4986</v>
      </c>
      <c r="J566" s="301">
        <f>J565</f>
        <v>4.8</v>
      </c>
      <c r="K566" s="226"/>
      <c r="L566" s="220">
        <f>ROUND(J566*$C566,0)</f>
        <v>5070</v>
      </c>
      <c r="M566" s="220"/>
      <c r="N566" s="301">
        <f>N565</f>
        <v>0.64524229669381195</v>
      </c>
      <c r="O566" s="226"/>
      <c r="P566" s="220">
        <f>ROUND(N566*$C566,0)</f>
        <v>682</v>
      </c>
      <c r="Q566" s="220"/>
      <c r="R566" s="301">
        <f>R565</f>
        <v>0.85363089901921485</v>
      </c>
      <c r="S566" s="226"/>
      <c r="T566" s="220">
        <f>ROUND(R566*$C566,0)</f>
        <v>902</v>
      </c>
      <c r="U566" s="220"/>
      <c r="V566" s="301">
        <f>V565</f>
        <v>3.301126804286973</v>
      </c>
      <c r="W566" s="226"/>
      <c r="X566" s="220">
        <f>ROUND(V566*$C566,0)</f>
        <v>3487</v>
      </c>
      <c r="AA566" s="83"/>
      <c r="AB566" s="83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</row>
    <row r="567" spans="1:45" ht="15.75">
      <c r="A567" s="226" t="s">
        <v>181</v>
      </c>
      <c r="B567" s="179"/>
      <c r="C567" s="218"/>
      <c r="D567" s="210"/>
      <c r="E567" s="226"/>
      <c r="F567" s="220"/>
      <c r="G567" s="210"/>
      <c r="H567" s="226"/>
      <c r="I567" s="220"/>
      <c r="J567" s="210"/>
      <c r="K567" s="226"/>
      <c r="L567" s="220"/>
      <c r="M567" s="220"/>
      <c r="N567" s="210"/>
      <c r="O567" s="226"/>
      <c r="P567" s="220"/>
      <c r="Q567" s="220"/>
      <c r="R567" s="210"/>
      <c r="S567" s="226"/>
      <c r="T567" s="220"/>
      <c r="U567" s="220"/>
      <c r="V567" s="210"/>
      <c r="W567" s="226"/>
      <c r="X567" s="220"/>
      <c r="AA567" s="83"/>
      <c r="AB567" s="83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</row>
    <row r="568" spans="1:45" ht="15.75">
      <c r="A568" s="226" t="s">
        <v>182</v>
      </c>
      <c r="B568" s="218"/>
      <c r="C568" s="218">
        <v>352966596.14110196</v>
      </c>
      <c r="D568" s="302">
        <v>5.2919999999999998</v>
      </c>
      <c r="E568" s="226" t="s">
        <v>116</v>
      </c>
      <c r="F568" s="220">
        <f>ROUND(D568*$C568/100,0)</f>
        <v>18678992</v>
      </c>
      <c r="G568" s="302">
        <v>5.6289999999999996</v>
      </c>
      <c r="H568" s="226" t="s">
        <v>116</v>
      </c>
      <c r="I568" s="220">
        <f>ROUND(G568*C568/100,0)</f>
        <v>19868490</v>
      </c>
      <c r="J568" s="303">
        <f>$J$532</f>
        <v>5.7279999999999998</v>
      </c>
      <c r="K568" s="226" t="s">
        <v>116</v>
      </c>
      <c r="L568" s="220">
        <f>ROUND(J568*$C568/100,0)</f>
        <v>20217927</v>
      </c>
      <c r="M568" s="220"/>
      <c r="N568" s="303"/>
      <c r="O568" s="226"/>
      <c r="P568" s="220"/>
      <c r="Q568" s="220"/>
      <c r="R568" s="303">
        <f>$R$532</f>
        <v>1.1768671337178382</v>
      </c>
      <c r="S568" s="226" t="s">
        <v>116</v>
      </c>
      <c r="T568" s="220">
        <f>ROUND(R568*$C568/100,0)</f>
        <v>4153948</v>
      </c>
      <c r="U568" s="220"/>
      <c r="V568" s="303">
        <f>$V$532</f>
        <v>4.5511328662821606</v>
      </c>
      <c r="W568" s="226" t="s">
        <v>116</v>
      </c>
      <c r="X568" s="220">
        <f>ROUND(V568*$C568/100,0)</f>
        <v>16063979</v>
      </c>
      <c r="AA568" s="83"/>
      <c r="AB568" s="83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</row>
    <row r="569" spans="1:45" ht="15.75">
      <c r="A569" s="226" t="s">
        <v>154</v>
      </c>
      <c r="B569" s="218"/>
      <c r="C569" s="218">
        <v>441168417.03466094</v>
      </c>
      <c r="D569" s="302">
        <v>4.8499999999999996</v>
      </c>
      <c r="E569" s="226" t="s">
        <v>116</v>
      </c>
      <c r="F569" s="220">
        <f>ROUND(D569*$C569/100,0)</f>
        <v>21396668</v>
      </c>
      <c r="G569" s="302">
        <v>5.157</v>
      </c>
      <c r="H569" s="226" t="s">
        <v>116</v>
      </c>
      <c r="I569" s="220">
        <f t="shared" ref="I569:I570" si="132">ROUND(G569*C569/100,0)</f>
        <v>22751055</v>
      </c>
      <c r="J569" s="303">
        <f>$J$533</f>
        <v>5.2480000000000002</v>
      </c>
      <c r="K569" s="226" t="s">
        <v>116</v>
      </c>
      <c r="L569" s="220">
        <f>ROUND(J569*$C569/100,0)</f>
        <v>23152519</v>
      </c>
      <c r="M569" s="220"/>
      <c r="N569" s="303"/>
      <c r="O569" s="226"/>
      <c r="P569" s="220"/>
      <c r="Q569" s="220"/>
      <c r="R569" s="303">
        <f>$R$533</f>
        <v>1.0782469828476284</v>
      </c>
      <c r="S569" s="226" t="s">
        <v>116</v>
      </c>
      <c r="T569" s="220">
        <f>ROUND(R569*$C569/100,0)</f>
        <v>4756885</v>
      </c>
      <c r="U569" s="220"/>
      <c r="V569" s="303">
        <f>$V$533</f>
        <v>4.1697530171523711</v>
      </c>
      <c r="W569" s="226" t="s">
        <v>116</v>
      </c>
      <c r="X569" s="220">
        <f>ROUND(V569*$C569/100,0)</f>
        <v>18395633</v>
      </c>
      <c r="AA569" s="83"/>
      <c r="AB569" s="83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</row>
    <row r="570" spans="1:45" ht="15.75">
      <c r="A570" s="226" t="s">
        <v>155</v>
      </c>
      <c r="B570" s="179"/>
      <c r="C570" s="218">
        <v>386507.60000000073</v>
      </c>
      <c r="D570" s="304">
        <v>56</v>
      </c>
      <c r="E570" s="226" t="s">
        <v>116</v>
      </c>
      <c r="F570" s="220">
        <f>ROUND(D570*$C570/100,0)</f>
        <v>216444</v>
      </c>
      <c r="G570" s="304">
        <v>56</v>
      </c>
      <c r="H570" s="226" t="s">
        <v>116</v>
      </c>
      <c r="I570" s="220">
        <f t="shared" si="132"/>
        <v>216444</v>
      </c>
      <c r="J570" s="305">
        <f>$J$534</f>
        <v>56</v>
      </c>
      <c r="K570" s="226" t="s">
        <v>116</v>
      </c>
      <c r="L570" s="220">
        <f>ROUND(J570*$C570/100,0)</f>
        <v>216444</v>
      </c>
      <c r="M570" s="220"/>
      <c r="N570" s="305"/>
      <c r="O570" s="226"/>
      <c r="P570" s="220"/>
      <c r="Q570" s="220"/>
      <c r="R570" s="305">
        <f>$R$534</f>
        <v>11.505684268191157</v>
      </c>
      <c r="S570" s="226" t="s">
        <v>116</v>
      </c>
      <c r="T570" s="220">
        <f>ROUND(R570*$C570/100,0)</f>
        <v>44470</v>
      </c>
      <c r="U570" s="220"/>
      <c r="V570" s="305">
        <f>$V$534</f>
        <v>44.49431573180884</v>
      </c>
      <c r="W570" s="226" t="s">
        <v>116</v>
      </c>
      <c r="X570" s="220">
        <f>ROUND(V570*$C570/100,0)</f>
        <v>171974</v>
      </c>
      <c r="AA570" s="83"/>
      <c r="AB570" s="83"/>
      <c r="AC570" s="209" t="s">
        <v>108</v>
      </c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</row>
    <row r="571" spans="1:45" ht="15.75">
      <c r="A571" s="281" t="s">
        <v>156</v>
      </c>
      <c r="B571" s="179"/>
      <c r="C571" s="218"/>
      <c r="D571" s="234">
        <v>-0.01</v>
      </c>
      <c r="E571" s="106"/>
      <c r="F571" s="220"/>
      <c r="G571" s="234">
        <v>-0.01</v>
      </c>
      <c r="H571" s="179"/>
      <c r="I571" s="220"/>
      <c r="J571" s="234">
        <v>-0.01</v>
      </c>
      <c r="K571" s="179"/>
      <c r="L571" s="220"/>
      <c r="M571" s="220"/>
      <c r="N571" s="234">
        <v>-0.01</v>
      </c>
      <c r="O571" s="179"/>
      <c r="P571" s="220"/>
      <c r="Q571" s="220"/>
      <c r="R571" s="234">
        <v>-0.01</v>
      </c>
      <c r="S571" s="179"/>
      <c r="T571" s="220"/>
      <c r="U571" s="220"/>
      <c r="V571" s="234">
        <v>-0.01</v>
      </c>
      <c r="W571" s="179"/>
      <c r="X571" s="220"/>
      <c r="AA571" s="150"/>
      <c r="AB571" s="83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</row>
    <row r="572" spans="1:45" ht="15.75">
      <c r="A572" s="226" t="s">
        <v>176</v>
      </c>
      <c r="B572" s="205"/>
      <c r="C572" s="218">
        <v>0.46666666666666701</v>
      </c>
      <c r="D572" s="212">
        <v>259</v>
      </c>
      <c r="E572" s="306"/>
      <c r="F572" s="220">
        <f>ROUND(D572*$C572*D571,0)</f>
        <v>-1</v>
      </c>
      <c r="G572" s="212">
        <v>259</v>
      </c>
      <c r="H572" s="178"/>
      <c r="I572" s="220">
        <f>ROUND(G572*C572*$G$571,0)</f>
        <v>-1</v>
      </c>
      <c r="J572" s="212">
        <f>J558</f>
        <v>259</v>
      </c>
      <c r="K572" s="178"/>
      <c r="L572" s="220">
        <f>ROUND(J572*$C572*J571,0)</f>
        <v>-1</v>
      </c>
      <c r="M572" s="220"/>
      <c r="N572" s="212">
        <f>N558</f>
        <v>259</v>
      </c>
      <c r="O572" s="178"/>
      <c r="P572" s="220">
        <f>ROUND(N572*$C572*N571,0)</f>
        <v>-1</v>
      </c>
      <c r="Q572" s="220"/>
      <c r="R572" s="212"/>
      <c r="S572" s="178"/>
      <c r="T572" s="220"/>
      <c r="U572" s="220"/>
      <c r="V572" s="212"/>
      <c r="W572" s="178"/>
      <c r="X572" s="220"/>
      <c r="AA572" s="150"/>
      <c r="AB572" s="83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</row>
    <row r="573" spans="1:45" ht="15.75">
      <c r="A573" s="226" t="s">
        <v>177</v>
      </c>
      <c r="B573" s="179"/>
      <c r="C573" s="218">
        <v>47.6</v>
      </c>
      <c r="D573" s="212">
        <v>96</v>
      </c>
      <c r="E573" s="306"/>
      <c r="F573" s="220">
        <f>ROUND(D573*$C573*D571,0)</f>
        <v>-46</v>
      </c>
      <c r="G573" s="212">
        <v>96</v>
      </c>
      <c r="H573" s="178"/>
      <c r="I573" s="220">
        <f t="shared" ref="I573:I578" si="133">ROUND(G573*C573*$G$571,0)</f>
        <v>-46</v>
      </c>
      <c r="J573" s="212">
        <f>J559</f>
        <v>96</v>
      </c>
      <c r="K573" s="178"/>
      <c r="L573" s="220">
        <f>ROUND(J573*$C573*J571,0)</f>
        <v>-46</v>
      </c>
      <c r="M573" s="220"/>
      <c r="N573" s="212">
        <f>N559</f>
        <v>96</v>
      </c>
      <c r="O573" s="178"/>
      <c r="P573" s="220">
        <f>ROUND(N573*$C573*N571,0)</f>
        <v>-46</v>
      </c>
      <c r="Q573" s="220"/>
      <c r="R573" s="212"/>
      <c r="S573" s="178"/>
      <c r="T573" s="220"/>
      <c r="U573" s="220"/>
      <c r="V573" s="212"/>
      <c r="W573" s="178"/>
      <c r="X573" s="220"/>
      <c r="AA573" s="150"/>
      <c r="AB573" s="83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</row>
    <row r="574" spans="1:45" ht="15.75">
      <c r="A574" s="226" t="s">
        <v>178</v>
      </c>
      <c r="B574" s="179"/>
      <c r="C574" s="218">
        <v>82</v>
      </c>
      <c r="D574" s="212">
        <v>192</v>
      </c>
      <c r="E574" s="307"/>
      <c r="F574" s="220">
        <f>ROUND(D574*$C574*D571,0)</f>
        <v>-157</v>
      </c>
      <c r="G574" s="212">
        <v>192</v>
      </c>
      <c r="H574" s="308"/>
      <c r="I574" s="220">
        <f t="shared" si="133"/>
        <v>-157</v>
      </c>
      <c r="J574" s="212">
        <f>J560</f>
        <v>192</v>
      </c>
      <c r="K574" s="308"/>
      <c r="L574" s="220">
        <f>ROUND(J574*$C574*J571,0)</f>
        <v>-157</v>
      </c>
      <c r="M574" s="220"/>
      <c r="N574" s="212">
        <f>N560</f>
        <v>192</v>
      </c>
      <c r="O574" s="308"/>
      <c r="P574" s="220">
        <f>ROUND(N574*$C574*N571,0)</f>
        <v>-157</v>
      </c>
      <c r="Q574" s="220"/>
      <c r="R574" s="212"/>
      <c r="S574" s="308"/>
      <c r="T574" s="220"/>
      <c r="U574" s="220"/>
      <c r="V574" s="212"/>
      <c r="W574" s="308"/>
      <c r="X574" s="220"/>
      <c r="AA574" s="150"/>
      <c r="AB574" s="83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</row>
    <row r="575" spans="1:45" ht="15.75">
      <c r="A575" s="226" t="s">
        <v>177</v>
      </c>
      <c r="B575" s="179"/>
      <c r="C575" s="218">
        <v>8428</v>
      </c>
      <c r="D575" s="212">
        <v>1.7</v>
      </c>
      <c r="E575" s="306"/>
      <c r="F575" s="220">
        <f>ROUND(D575*$C575*D571,0)</f>
        <v>-143</v>
      </c>
      <c r="G575" s="212">
        <v>1.7</v>
      </c>
      <c r="H575" s="178"/>
      <c r="I575" s="220">
        <f t="shared" si="133"/>
        <v>-143</v>
      </c>
      <c r="J575" s="212">
        <f>J562</f>
        <v>1.73</v>
      </c>
      <c r="K575" s="178"/>
      <c r="L575" s="220">
        <f>ROUND(J575*$C575*J571,0)</f>
        <v>-146</v>
      </c>
      <c r="M575" s="220"/>
      <c r="N575" s="212">
        <f>N562</f>
        <v>1.74</v>
      </c>
      <c r="O575" s="178"/>
      <c r="P575" s="220">
        <f>ROUND(N575*$C575*N571,0)</f>
        <v>-147</v>
      </c>
      <c r="Q575" s="220"/>
      <c r="R575" s="212"/>
      <c r="S575" s="178"/>
      <c r="T575" s="220"/>
      <c r="U575" s="220"/>
      <c r="V575" s="212"/>
      <c r="W575" s="178"/>
      <c r="X575" s="220"/>
      <c r="AA575" s="150"/>
      <c r="AB575" s="83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</row>
    <row r="576" spans="1:45" ht="15.75">
      <c r="A576" s="226" t="s">
        <v>178</v>
      </c>
      <c r="B576" s="179"/>
      <c r="C576" s="218">
        <v>57957</v>
      </c>
      <c r="D576" s="212">
        <v>1.39</v>
      </c>
      <c r="E576" s="306" t="s">
        <v>108</v>
      </c>
      <c r="F576" s="220">
        <f>ROUND(D576*$C576*D571,0)</f>
        <v>-806</v>
      </c>
      <c r="G576" s="212">
        <v>1.39</v>
      </c>
      <c r="H576" s="178"/>
      <c r="I576" s="220">
        <f t="shared" si="133"/>
        <v>-806</v>
      </c>
      <c r="J576" s="212">
        <f>J563</f>
        <v>1.41</v>
      </c>
      <c r="K576" s="178"/>
      <c r="L576" s="220">
        <f>ROUND(J576*$C576*J571,0)</f>
        <v>-817</v>
      </c>
      <c r="M576" s="220"/>
      <c r="N576" s="212">
        <f>N563</f>
        <v>1.42</v>
      </c>
      <c r="O576" s="178"/>
      <c r="P576" s="220">
        <f>ROUND(N576*$C576*N571,0)</f>
        <v>-823</v>
      </c>
      <c r="Q576" s="220"/>
      <c r="R576" s="212"/>
      <c r="S576" s="178"/>
      <c r="T576" s="220"/>
      <c r="U576" s="220"/>
      <c r="V576" s="212"/>
      <c r="W576" s="178"/>
      <c r="X576" s="220"/>
      <c r="AA576" s="150"/>
      <c r="AB576" s="83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</row>
    <row r="577" spans="1:45" ht="15.75">
      <c r="A577" s="138" t="s">
        <v>180</v>
      </c>
      <c r="B577" s="179"/>
      <c r="C577" s="218">
        <v>42970.5</v>
      </c>
      <c r="D577" s="212">
        <v>4.4400000000000004</v>
      </c>
      <c r="E577" s="306" t="s">
        <v>108</v>
      </c>
      <c r="F577" s="220">
        <f>ROUND(D577*$C577*D571,0)</f>
        <v>-1908</v>
      </c>
      <c r="G577" s="212">
        <v>4.72</v>
      </c>
      <c r="H577" s="178"/>
      <c r="I577" s="220">
        <f t="shared" si="133"/>
        <v>-2028</v>
      </c>
      <c r="J577" s="212">
        <f>J565</f>
        <v>4.8</v>
      </c>
      <c r="K577" s="178"/>
      <c r="L577" s="220">
        <f>ROUND(J577*$C577*J571,0)</f>
        <v>-2063</v>
      </c>
      <c r="M577" s="220"/>
      <c r="N577" s="212">
        <f>N565</f>
        <v>0.64524229669381195</v>
      </c>
      <c r="O577" s="178"/>
      <c r="P577" s="220">
        <f>ROUND(N577*$C577*N571,0)</f>
        <v>-277</v>
      </c>
      <c r="Q577" s="220"/>
      <c r="R577" s="212">
        <f>R565</f>
        <v>0.85363089901921485</v>
      </c>
      <c r="S577" s="178"/>
      <c r="T577" s="220">
        <f>ROUND(R577*$C577*R571,0)</f>
        <v>-367</v>
      </c>
      <c r="U577" s="220"/>
      <c r="V577" s="212">
        <f>V565</f>
        <v>3.301126804286973</v>
      </c>
      <c r="W577" s="178"/>
      <c r="X577" s="220">
        <f>ROUND(V577*$C577*V571,0)</f>
        <v>-1419</v>
      </c>
      <c r="AA577" s="150"/>
      <c r="AB577" s="83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</row>
    <row r="578" spans="1:45" ht="15.75">
      <c r="A578" s="138" t="s">
        <v>197</v>
      </c>
      <c r="B578" s="179"/>
      <c r="C578" s="218">
        <v>384.33333333333331</v>
      </c>
      <c r="D578" s="212">
        <v>4.4400000000000004</v>
      </c>
      <c r="E578" s="306" t="s">
        <v>108</v>
      </c>
      <c r="F578" s="220">
        <f>ROUND(D578*$C578*D571,0)</f>
        <v>-17</v>
      </c>
      <c r="G578" s="212">
        <v>4.72</v>
      </c>
      <c r="H578" s="178"/>
      <c r="I578" s="220">
        <f t="shared" si="133"/>
        <v>-18</v>
      </c>
      <c r="J578" s="212">
        <f>J566</f>
        <v>4.8</v>
      </c>
      <c r="K578" s="178"/>
      <c r="L578" s="220">
        <f>ROUND(J578*$C578*J571,0)</f>
        <v>-18</v>
      </c>
      <c r="M578" s="220"/>
      <c r="N578" s="212">
        <f>N566</f>
        <v>0.64524229669381195</v>
      </c>
      <c r="O578" s="178"/>
      <c r="P578" s="220">
        <f>ROUND(N578*$C578*N571,0)</f>
        <v>-2</v>
      </c>
      <c r="Q578" s="220"/>
      <c r="R578" s="212">
        <f>R566</f>
        <v>0.85363089901921485</v>
      </c>
      <c r="S578" s="178"/>
      <c r="T578" s="220">
        <f>ROUND(R578*$C578*R571,0)</f>
        <v>-3</v>
      </c>
      <c r="U578" s="220"/>
      <c r="V578" s="212">
        <f>V566</f>
        <v>3.301126804286973</v>
      </c>
      <c r="W578" s="178"/>
      <c r="X578" s="220">
        <f>ROUND(V578*$C578*V571,0)</f>
        <v>-13</v>
      </c>
      <c r="AA578" s="150"/>
      <c r="AB578" s="83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</row>
    <row r="579" spans="1:45" ht="15.75">
      <c r="A579" s="226" t="s">
        <v>182</v>
      </c>
      <c r="B579" s="179"/>
      <c r="C579" s="218">
        <v>4425080</v>
      </c>
      <c r="D579" s="309">
        <v>5.2939999999999996</v>
      </c>
      <c r="E579" s="220" t="s">
        <v>116</v>
      </c>
      <c r="F579" s="220">
        <f>ROUND(D579*$C579/100*D571,0)</f>
        <v>-2343</v>
      </c>
      <c r="G579" s="309">
        <v>5.6289999999999996</v>
      </c>
      <c r="H579" s="226" t="s">
        <v>116</v>
      </c>
      <c r="I579" s="220">
        <f>ROUND(G579*C579/100*$G$571,0)</f>
        <v>-2491</v>
      </c>
      <c r="J579" s="309">
        <f>J568</f>
        <v>5.7279999999999998</v>
      </c>
      <c r="K579" s="226" t="s">
        <v>116</v>
      </c>
      <c r="L579" s="220">
        <f>ROUND(J579*$C579/100*J571,0)</f>
        <v>-2535</v>
      </c>
      <c r="M579" s="220"/>
      <c r="N579" s="309">
        <f>N568</f>
        <v>0</v>
      </c>
      <c r="O579" s="226" t="s">
        <v>116</v>
      </c>
      <c r="P579" s="220">
        <f>ROUND(N579*$C579/100*N571,0)</f>
        <v>0</v>
      </c>
      <c r="Q579" s="220"/>
      <c r="R579" s="309">
        <f>R568</f>
        <v>1.1768671337178382</v>
      </c>
      <c r="S579" s="226" t="s">
        <v>116</v>
      </c>
      <c r="T579" s="220">
        <f>ROUND(R579*$C579/100*R571,0)</f>
        <v>-521</v>
      </c>
      <c r="U579" s="220"/>
      <c r="V579" s="309">
        <f>V568</f>
        <v>4.5511328662821606</v>
      </c>
      <c r="W579" s="226" t="s">
        <v>116</v>
      </c>
      <c r="X579" s="220">
        <f>ROUND(V579*$C579/100*V571,0)</f>
        <v>-2014</v>
      </c>
      <c r="AA579" s="150"/>
      <c r="AB579" s="83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</row>
    <row r="580" spans="1:45" ht="15.75">
      <c r="A580" s="226" t="s">
        <v>154</v>
      </c>
      <c r="B580" s="179"/>
      <c r="C580" s="218">
        <v>11577379</v>
      </c>
      <c r="D580" s="309">
        <v>4.8520000000000003</v>
      </c>
      <c r="E580" s="220" t="s">
        <v>116</v>
      </c>
      <c r="F580" s="220">
        <f>ROUND(D580*$C580/100*D571,0)</f>
        <v>-5617</v>
      </c>
      <c r="G580" s="309">
        <v>5.157</v>
      </c>
      <c r="H580" s="226" t="s">
        <v>116</v>
      </c>
      <c r="I580" s="220">
        <f>ROUND(G580*C580/100*$G$571,0)</f>
        <v>-5970</v>
      </c>
      <c r="J580" s="309">
        <f>J569</f>
        <v>5.2480000000000002</v>
      </c>
      <c r="K580" s="226" t="s">
        <v>116</v>
      </c>
      <c r="L580" s="220">
        <f>ROUND(J580*$C580/100*J571,0)</f>
        <v>-6076</v>
      </c>
      <c r="M580" s="220"/>
      <c r="N580" s="309">
        <f>N569</f>
        <v>0</v>
      </c>
      <c r="O580" s="226" t="s">
        <v>116</v>
      </c>
      <c r="P580" s="220">
        <f>ROUND(N580*$C580/100*N571,0)</f>
        <v>0</v>
      </c>
      <c r="Q580" s="220"/>
      <c r="R580" s="309">
        <f>R569</f>
        <v>1.0782469828476284</v>
      </c>
      <c r="S580" s="226" t="s">
        <v>116</v>
      </c>
      <c r="T580" s="220">
        <f>ROUND(R580*$C580/100*R571,0)</f>
        <v>-1248</v>
      </c>
      <c r="U580" s="220"/>
      <c r="V580" s="309">
        <f>V569</f>
        <v>4.1697530171523711</v>
      </c>
      <c r="W580" s="226" t="s">
        <v>116</v>
      </c>
      <c r="X580" s="220">
        <f>ROUND(V580*$C580/100*V571,0)</f>
        <v>-4827</v>
      </c>
      <c r="AA580" s="150"/>
      <c r="AB580" s="83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</row>
    <row r="581" spans="1:45" ht="15.75">
      <c r="A581" s="226" t="s">
        <v>155</v>
      </c>
      <c r="B581" s="179"/>
      <c r="C581" s="218">
        <v>7635.9666666666699</v>
      </c>
      <c r="D581" s="310">
        <v>56</v>
      </c>
      <c r="E581" s="220" t="s">
        <v>116</v>
      </c>
      <c r="F581" s="220">
        <f>ROUND(D581*$C581/100*D571,0)</f>
        <v>-43</v>
      </c>
      <c r="G581" s="310">
        <v>56</v>
      </c>
      <c r="H581" s="226" t="s">
        <v>116</v>
      </c>
      <c r="I581" s="220">
        <f>ROUND(G581*C581/100*$G$571,0)</f>
        <v>-43</v>
      </c>
      <c r="J581" s="310">
        <f>J570</f>
        <v>56</v>
      </c>
      <c r="K581" s="226" t="s">
        <v>116</v>
      </c>
      <c r="L581" s="220">
        <f>ROUND(J581*$C581/100*J571,0)</f>
        <v>-43</v>
      </c>
      <c r="M581" s="220"/>
      <c r="N581" s="310">
        <f>N570</f>
        <v>0</v>
      </c>
      <c r="O581" s="226" t="s">
        <v>116</v>
      </c>
      <c r="P581" s="220">
        <f>ROUND(N581*$C581/100*N571,0)</f>
        <v>0</v>
      </c>
      <c r="Q581" s="220"/>
      <c r="R581" s="310">
        <f>R570</f>
        <v>11.505684268191157</v>
      </c>
      <c r="S581" s="226" t="s">
        <v>116</v>
      </c>
      <c r="T581" s="220">
        <f>ROUND(R581*$C581/100*R571,0)</f>
        <v>-9</v>
      </c>
      <c r="U581" s="220"/>
      <c r="V581" s="310">
        <f>V570</f>
        <v>44.49431573180884</v>
      </c>
      <c r="W581" s="226" t="s">
        <v>116</v>
      </c>
      <c r="X581" s="220">
        <f>ROUND(V581*$C581/100*V571,0)</f>
        <v>-34</v>
      </c>
      <c r="AA581" s="150"/>
      <c r="AB581" s="83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</row>
    <row r="582" spans="1:45" ht="15.75">
      <c r="A582" s="226" t="s">
        <v>198</v>
      </c>
      <c r="B582" s="179"/>
      <c r="C582" s="218">
        <v>129.6</v>
      </c>
      <c r="D582" s="210">
        <v>60</v>
      </c>
      <c r="E582" s="306" t="s">
        <v>108</v>
      </c>
      <c r="F582" s="220">
        <f>ROUND(D582*$C582,0)</f>
        <v>7776</v>
      </c>
      <c r="G582" s="210">
        <v>60</v>
      </c>
      <c r="H582" s="179"/>
      <c r="I582" s="220">
        <f>ROUND(G582*C582,0)</f>
        <v>7776</v>
      </c>
      <c r="J582" s="210">
        <f>$J$546</f>
        <v>60</v>
      </c>
      <c r="K582" s="179"/>
      <c r="L582" s="220">
        <f>ROUND(J582*$C582,0)</f>
        <v>7776</v>
      </c>
      <c r="M582" s="220"/>
      <c r="N582" s="210">
        <f>$N$546</f>
        <v>0</v>
      </c>
      <c r="O582" s="179"/>
      <c r="P582" s="220">
        <f>ROUND(N582*$C582,0)</f>
        <v>0</v>
      </c>
      <c r="Q582" s="220"/>
      <c r="R582" s="210">
        <f>$R$546</f>
        <v>12.327518858776241</v>
      </c>
      <c r="S582" s="179"/>
      <c r="T582" s="220">
        <f>ROUND(R582*$C582,0)</f>
        <v>1598</v>
      </c>
      <c r="U582" s="220"/>
      <c r="V582" s="210">
        <f>$V$546</f>
        <v>47.672481141223756</v>
      </c>
      <c r="W582" s="179"/>
      <c r="X582" s="220">
        <f>ROUND(V582*$C582,0)</f>
        <v>6178</v>
      </c>
      <c r="AA582" s="84"/>
      <c r="AB582" s="111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</row>
    <row r="583" spans="1:45" ht="15.75">
      <c r="A583" s="226" t="s">
        <v>199</v>
      </c>
      <c r="B583" s="194"/>
      <c r="C583" s="218">
        <v>66385</v>
      </c>
      <c r="D583" s="244">
        <v>-30</v>
      </c>
      <c r="E583" s="220" t="s">
        <v>116</v>
      </c>
      <c r="F583" s="220">
        <f>ROUND(D583*$C583/100,0)</f>
        <v>-19916</v>
      </c>
      <c r="G583" s="244">
        <v>-30</v>
      </c>
      <c r="H583" s="220" t="s">
        <v>116</v>
      </c>
      <c r="I583" s="220">
        <f>-ROUND(G583*C583*$G$571,0)</f>
        <v>-19916</v>
      </c>
      <c r="J583" s="244">
        <f>$J$547</f>
        <v>-30</v>
      </c>
      <c r="K583" s="220" t="s">
        <v>116</v>
      </c>
      <c r="L583" s="220">
        <f>ROUND(J583*$C583/100,0)</f>
        <v>-19916</v>
      </c>
      <c r="M583" s="220"/>
      <c r="N583" s="244">
        <f>$N$547</f>
        <v>-30</v>
      </c>
      <c r="O583" s="220" t="s">
        <v>116</v>
      </c>
      <c r="P583" s="220">
        <f>ROUND(N583*$C583/100,0)</f>
        <v>-19916</v>
      </c>
      <c r="Q583" s="220"/>
      <c r="R583" s="244"/>
      <c r="S583" s="220"/>
      <c r="T583" s="220"/>
      <c r="U583" s="220"/>
      <c r="V583" s="244"/>
      <c r="W583" s="220"/>
      <c r="X583" s="220"/>
      <c r="AA583" s="84"/>
      <c r="AB583" s="111"/>
      <c r="AC583" s="209" t="s">
        <v>108</v>
      </c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</row>
    <row r="584" spans="1:45" ht="15.75">
      <c r="A584" s="179" t="s">
        <v>134</v>
      </c>
      <c r="B584" s="196"/>
      <c r="C584" s="218">
        <f>SUM(C568:C569)</f>
        <v>794135013.17576289</v>
      </c>
      <c r="D584" s="229"/>
      <c r="E584" s="106"/>
      <c r="F584" s="106">
        <f>SUM(F558:F583)</f>
        <v>55660462</v>
      </c>
      <c r="G584" s="229"/>
      <c r="H584" s="179"/>
      <c r="I584" s="106">
        <f>SUM(I558:I583)</f>
        <v>58809460</v>
      </c>
      <c r="J584" s="229"/>
      <c r="K584" s="179"/>
      <c r="L584" s="106">
        <f>SUM(L558:L583)</f>
        <v>59803730</v>
      </c>
      <c r="M584" s="106"/>
      <c r="N584" s="229"/>
      <c r="O584" s="179"/>
      <c r="P584" s="106">
        <f>SUM(P558:P583)</f>
        <v>7259948</v>
      </c>
      <c r="Q584" s="106"/>
      <c r="R584" s="229"/>
      <c r="S584" s="179"/>
      <c r="T584" s="106">
        <f>SUM(T558:T583)</f>
        <v>10801447</v>
      </c>
      <c r="U584" s="106"/>
      <c r="V584" s="229"/>
      <c r="W584" s="179"/>
      <c r="X584" s="106">
        <f>SUM(X558:X583)</f>
        <v>41770918</v>
      </c>
      <c r="AA584" s="150"/>
      <c r="AB584" s="83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</row>
    <row r="585" spans="1:45" ht="15.75">
      <c r="A585" s="179" t="s">
        <v>119</v>
      </c>
      <c r="B585" s="179"/>
      <c r="C585" s="273">
        <v>-2278044.4690362429</v>
      </c>
      <c r="D585" s="138"/>
      <c r="E585" s="138"/>
      <c r="F585" s="136">
        <f>I585</f>
        <v>-139476.06740318847</v>
      </c>
      <c r="G585" s="138"/>
      <c r="H585" s="138"/>
      <c r="I585" s="136">
        <v>-139476.06740318847</v>
      </c>
      <c r="J585" s="138"/>
      <c r="K585" s="138"/>
      <c r="L585" s="136">
        <f>I585</f>
        <v>-139476.06740318847</v>
      </c>
      <c r="M585" s="137"/>
      <c r="N585" s="138"/>
      <c r="O585" s="138"/>
      <c r="P585" s="136">
        <f>L585*AB518</f>
        <v>-18749.137096886305</v>
      </c>
      <c r="Q585" s="137"/>
      <c r="R585" s="138"/>
      <c r="S585" s="138"/>
      <c r="T585" s="136">
        <f>L585*AA518</f>
        <v>-24804.391835218416</v>
      </c>
      <c r="U585" s="137"/>
      <c r="V585" s="138"/>
      <c r="W585" s="138"/>
      <c r="X585" s="136">
        <f>L585*Z518</f>
        <v>-95922.538471083753</v>
      </c>
      <c r="Y585" s="172"/>
      <c r="Z585" s="168"/>
      <c r="AA585" s="150"/>
      <c r="AB585" s="83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</row>
    <row r="586" spans="1:45" ht="16.5" thickBot="1">
      <c r="A586" s="179" t="s">
        <v>135</v>
      </c>
      <c r="B586" s="179"/>
      <c r="C586" s="288">
        <f>SUM(C584)+C585</f>
        <v>791856968.70672667</v>
      </c>
      <c r="D586" s="268"/>
      <c r="E586" s="250"/>
      <c r="F586" s="251">
        <f>F584+F585</f>
        <v>55520985.93259681</v>
      </c>
      <c r="G586" s="268"/>
      <c r="H586" s="269"/>
      <c r="I586" s="251">
        <f>I584+I585</f>
        <v>58669983.93259681</v>
      </c>
      <c r="J586" s="268"/>
      <c r="K586" s="269"/>
      <c r="L586" s="251">
        <f>L584+L585</f>
        <v>59664253.93259681</v>
      </c>
      <c r="M586" s="251"/>
      <c r="N586" s="268"/>
      <c r="O586" s="269"/>
      <c r="P586" s="251">
        <f>P584+P585</f>
        <v>7241198.8629031135</v>
      </c>
      <c r="Q586" s="251"/>
      <c r="R586" s="268"/>
      <c r="S586" s="269"/>
      <c r="T586" s="251">
        <f>T584+T585</f>
        <v>10776642.608164782</v>
      </c>
      <c r="U586" s="251"/>
      <c r="V586" s="268"/>
      <c r="W586" s="269"/>
      <c r="X586" s="251">
        <f>X584+X585</f>
        <v>41674995.46152892</v>
      </c>
      <c r="Y586" s="176"/>
      <c r="Z586" s="177"/>
      <c r="AA586" s="150"/>
      <c r="AB586" s="83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</row>
    <row r="587" spans="1:45" ht="16.5" thickTop="1">
      <c r="A587" s="179"/>
      <c r="B587" s="179"/>
      <c r="C587" s="205"/>
      <c r="D587" s="243" t="s">
        <v>108</v>
      </c>
      <c r="E587" s="106"/>
      <c r="F587" s="106"/>
      <c r="G587" s="243" t="s">
        <v>108</v>
      </c>
      <c r="H587" s="179"/>
      <c r="I587" s="106"/>
      <c r="J587" s="275" t="s">
        <v>108</v>
      </c>
      <c r="K587" s="179"/>
      <c r="L587" s="106" t="s">
        <v>108</v>
      </c>
      <c r="M587" s="106"/>
      <c r="N587" s="275" t="s">
        <v>108</v>
      </c>
      <c r="O587" s="179"/>
      <c r="P587" s="106" t="s">
        <v>108</v>
      </c>
      <c r="Q587" s="106"/>
      <c r="R587" s="275" t="s">
        <v>108</v>
      </c>
      <c r="S587" s="179"/>
      <c r="T587" s="106" t="s">
        <v>108</v>
      </c>
      <c r="U587" s="106"/>
      <c r="V587" s="275" t="s">
        <v>108</v>
      </c>
      <c r="W587" s="179"/>
      <c r="X587" s="106" t="s">
        <v>108</v>
      </c>
      <c r="Y587" s="82"/>
      <c r="Z587" s="83"/>
      <c r="AA587" s="150"/>
      <c r="AB587" s="83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</row>
    <row r="588" spans="1:45" ht="15.75">
      <c r="A588" s="178" t="s">
        <v>194</v>
      </c>
      <c r="B588" s="179"/>
      <c r="C588" s="179"/>
      <c r="D588" s="106"/>
      <c r="E588" s="106"/>
      <c r="F588" s="179" t="s">
        <v>108</v>
      </c>
      <c r="G588" s="106"/>
      <c r="H588" s="179"/>
      <c r="I588" s="179"/>
      <c r="J588" s="106"/>
      <c r="K588" s="179"/>
      <c r="L588" s="179"/>
      <c r="M588" s="179"/>
      <c r="N588" s="106"/>
      <c r="O588" s="179"/>
      <c r="P588" s="179"/>
      <c r="Q588" s="179"/>
      <c r="R588" s="106"/>
      <c r="S588" s="179"/>
      <c r="T588" s="179"/>
      <c r="U588" s="179"/>
      <c r="V588" s="106"/>
      <c r="W588" s="179"/>
      <c r="X588" s="179"/>
      <c r="Y588" s="82"/>
      <c r="Z588" s="83"/>
      <c r="AA588" s="150"/>
      <c r="AB588" s="83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</row>
    <row r="589" spans="1:45" ht="15.75">
      <c r="A589" s="138" t="s">
        <v>201</v>
      </c>
      <c r="B589" s="179"/>
      <c r="C589" s="179"/>
      <c r="D589" s="106"/>
      <c r="E589" s="106"/>
      <c r="F589" s="179"/>
      <c r="G589" s="106"/>
      <c r="H589" s="179"/>
      <c r="I589" s="179"/>
      <c r="J589" s="106"/>
      <c r="K589" s="179"/>
      <c r="L589" s="179"/>
      <c r="M589" s="179"/>
      <c r="N589" s="106"/>
      <c r="O589" s="179"/>
      <c r="P589" s="179"/>
      <c r="Q589" s="179"/>
      <c r="R589" s="106"/>
      <c r="S589" s="179"/>
      <c r="T589" s="179"/>
      <c r="U589" s="179"/>
      <c r="V589" s="106"/>
      <c r="W589" s="179"/>
      <c r="X589" s="179"/>
      <c r="Y589" s="82"/>
      <c r="Z589" s="83"/>
      <c r="AA589" s="150"/>
      <c r="AB589" s="83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</row>
    <row r="590" spans="1:45" ht="15.75">
      <c r="A590" s="226"/>
      <c r="B590" s="179"/>
      <c r="C590" s="179"/>
      <c r="D590" s="106"/>
      <c r="E590" s="106"/>
      <c r="F590" s="179"/>
      <c r="G590" s="106"/>
      <c r="H590" s="179"/>
      <c r="I590" s="179"/>
      <c r="J590" s="106"/>
      <c r="K590" s="179"/>
      <c r="L590" s="179"/>
      <c r="M590" s="179"/>
      <c r="N590" s="106"/>
      <c r="O590" s="179"/>
      <c r="P590" s="179"/>
      <c r="Q590" s="179"/>
      <c r="R590" s="106"/>
      <c r="S590" s="179"/>
      <c r="T590" s="179"/>
      <c r="U590" s="179"/>
      <c r="V590" s="106"/>
      <c r="W590" s="179"/>
      <c r="X590" s="179"/>
      <c r="Y590" s="82"/>
      <c r="Z590" s="83"/>
      <c r="AA590" s="150"/>
      <c r="AB590" s="83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</row>
    <row r="591" spans="1:45" ht="15.75">
      <c r="A591" s="226" t="s">
        <v>11</v>
      </c>
      <c r="B591" s="205"/>
      <c r="C591" s="218"/>
      <c r="D591" s="106"/>
      <c r="E591" s="106"/>
      <c r="F591" s="179"/>
      <c r="G591" s="106"/>
      <c r="H591" s="179"/>
      <c r="I591" s="179"/>
      <c r="J591" s="106"/>
      <c r="K591" s="179"/>
      <c r="L591" s="179"/>
      <c r="M591" s="179"/>
      <c r="N591" s="106"/>
      <c r="O591" s="179"/>
      <c r="P591" s="179"/>
      <c r="Q591" s="179"/>
      <c r="R591" s="106"/>
      <c r="S591" s="179"/>
      <c r="T591" s="179"/>
      <c r="U591" s="179"/>
      <c r="V591" s="106"/>
      <c r="W591" s="179"/>
      <c r="X591" s="179"/>
      <c r="Y591" s="82"/>
      <c r="Z591" s="83"/>
      <c r="AA591" s="150"/>
      <c r="AB591" s="83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</row>
    <row r="592" spans="1:45" ht="15.75">
      <c r="A592" s="226" t="s">
        <v>176</v>
      </c>
      <c r="B592" s="179"/>
      <c r="C592" s="218">
        <v>48.2</v>
      </c>
      <c r="D592" s="210">
        <v>259</v>
      </c>
      <c r="E592" s="226"/>
      <c r="F592" s="220">
        <f>ROUND(D592*$C592,0)</f>
        <v>12484</v>
      </c>
      <c r="G592" s="210">
        <v>259</v>
      </c>
      <c r="H592" s="226"/>
      <c r="I592" s="220">
        <f>ROUND(G592*C592,0)</f>
        <v>12484</v>
      </c>
      <c r="J592" s="210">
        <f>$J$522</f>
        <v>259</v>
      </c>
      <c r="K592" s="226"/>
      <c r="L592" s="220">
        <f>ROUND(J592*$C592,0)</f>
        <v>12484</v>
      </c>
      <c r="M592" s="220"/>
      <c r="N592" s="210">
        <f>$N$522</f>
        <v>259</v>
      </c>
      <c r="O592" s="226"/>
      <c r="P592" s="220">
        <f>ROUND(N592*$C592,0)</f>
        <v>12484</v>
      </c>
      <c r="Q592" s="220"/>
      <c r="R592" s="210"/>
      <c r="S592" s="226"/>
      <c r="T592" s="220"/>
      <c r="U592" s="220"/>
      <c r="V592" s="210"/>
      <c r="W592" s="226"/>
      <c r="X592" s="220"/>
      <c r="Y592" s="82"/>
      <c r="Z592" s="83"/>
      <c r="AA592" s="150"/>
      <c r="AB592" s="83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</row>
    <row r="593" spans="1:45" ht="15.75">
      <c r="A593" s="226" t="s">
        <v>177</v>
      </c>
      <c r="B593" s="179"/>
      <c r="C593" s="218">
        <v>998.63333333333298</v>
      </c>
      <c r="D593" s="210">
        <v>96</v>
      </c>
      <c r="E593" s="226"/>
      <c r="F593" s="220">
        <f>ROUND(D593*$C593,0)</f>
        <v>95869</v>
      </c>
      <c r="G593" s="210">
        <v>96</v>
      </c>
      <c r="H593" s="226"/>
      <c r="I593" s="220">
        <f>ROUND(G593*C593,0)</f>
        <v>95869</v>
      </c>
      <c r="J593" s="210">
        <f>$J$523</f>
        <v>96</v>
      </c>
      <c r="K593" s="226"/>
      <c r="L593" s="220">
        <f>ROUND(J593*$C593,0)</f>
        <v>95869</v>
      </c>
      <c r="M593" s="220"/>
      <c r="N593" s="210">
        <f>$N$523</f>
        <v>96</v>
      </c>
      <c r="O593" s="226"/>
      <c r="P593" s="220">
        <f>ROUND(N593*$C593,0)</f>
        <v>95869</v>
      </c>
      <c r="Q593" s="220"/>
      <c r="R593" s="210"/>
      <c r="S593" s="226"/>
      <c r="T593" s="220"/>
      <c r="U593" s="220"/>
      <c r="V593" s="210"/>
      <c r="W593" s="226"/>
      <c r="X593" s="220"/>
      <c r="Y593" s="82"/>
      <c r="Z593" s="83"/>
      <c r="AA593" s="150"/>
      <c r="AB593" s="83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</row>
    <row r="594" spans="1:45" ht="15.75">
      <c r="A594" s="226" t="s">
        <v>178</v>
      </c>
      <c r="B594" s="179"/>
      <c r="C594" s="218">
        <v>541.06666666666626</v>
      </c>
      <c r="D594" s="210">
        <v>192</v>
      </c>
      <c r="E594" s="265"/>
      <c r="F594" s="220">
        <f>ROUND(D594*$C594,0)</f>
        <v>103885</v>
      </c>
      <c r="G594" s="210">
        <v>192</v>
      </c>
      <c r="H594" s="265"/>
      <c r="I594" s="220">
        <f>ROUND(G594*C594,0)</f>
        <v>103885</v>
      </c>
      <c r="J594" s="210">
        <f>$J$524</f>
        <v>192</v>
      </c>
      <c r="K594" s="265"/>
      <c r="L594" s="220">
        <f>ROUND(J594*$C594,0)</f>
        <v>103885</v>
      </c>
      <c r="M594" s="220"/>
      <c r="N594" s="210">
        <f>$N$524</f>
        <v>192</v>
      </c>
      <c r="O594" s="265"/>
      <c r="P594" s="220">
        <f>ROUND(N594*$C594,0)</f>
        <v>103885</v>
      </c>
      <c r="Q594" s="220"/>
      <c r="R594" s="210"/>
      <c r="S594" s="265"/>
      <c r="T594" s="220"/>
      <c r="U594" s="220"/>
      <c r="V594" s="210"/>
      <c r="W594" s="265"/>
      <c r="X594" s="220"/>
      <c r="Y594" s="82"/>
      <c r="Z594" s="83"/>
      <c r="AA594" s="150"/>
      <c r="AB594" s="83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</row>
    <row r="595" spans="1:45" ht="15.75">
      <c r="A595" s="226" t="s">
        <v>150</v>
      </c>
      <c r="B595" s="179"/>
      <c r="C595" s="218">
        <f>SUM(C592:C594)</f>
        <v>1587.8999999999992</v>
      </c>
      <c r="D595" s="210"/>
      <c r="E595" s="226"/>
      <c r="F595" s="220"/>
      <c r="G595" s="210"/>
      <c r="H595" s="226"/>
      <c r="I595" s="220"/>
      <c r="J595" s="210"/>
      <c r="K595" s="226"/>
      <c r="L595" s="220"/>
      <c r="M595" s="220"/>
      <c r="N595" s="210"/>
      <c r="O595" s="226"/>
      <c r="P595" s="220"/>
      <c r="Q595" s="220"/>
      <c r="R595" s="210"/>
      <c r="S595" s="226"/>
      <c r="T595" s="220"/>
      <c r="U595" s="220"/>
      <c r="V595" s="210"/>
      <c r="W595" s="226"/>
      <c r="X595" s="220"/>
      <c r="Y595" s="82"/>
      <c r="Z595" s="83"/>
      <c r="AA595" s="84"/>
      <c r="AB595" s="111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</row>
    <row r="596" spans="1:45" ht="15.75">
      <c r="A596" s="226" t="s">
        <v>177</v>
      </c>
      <c r="B596" s="179"/>
      <c r="C596" s="218">
        <v>169859</v>
      </c>
      <c r="D596" s="210">
        <v>1.7</v>
      </c>
      <c r="E596" s="226" t="s">
        <v>108</v>
      </c>
      <c r="F596" s="220">
        <f>ROUND(D596*$C596,0)</f>
        <v>288760</v>
      </c>
      <c r="G596" s="210">
        <v>1.7</v>
      </c>
      <c r="H596" s="226" t="s">
        <v>108</v>
      </c>
      <c r="I596" s="220">
        <f t="shared" ref="I596:I597" si="134">ROUND(G596*C596,0)</f>
        <v>288760</v>
      </c>
      <c r="J596" s="210">
        <f>$J$526</f>
        <v>1.73</v>
      </c>
      <c r="K596" s="226" t="s">
        <v>108</v>
      </c>
      <c r="L596" s="220">
        <f>ROUND(J596*$C596,0)</f>
        <v>293856</v>
      </c>
      <c r="M596" s="220"/>
      <c r="N596" s="210">
        <f>$N$526</f>
        <v>1.74</v>
      </c>
      <c r="O596" s="226" t="s">
        <v>108</v>
      </c>
      <c r="P596" s="220">
        <f>ROUND(N596*$C596,0)</f>
        <v>295555</v>
      </c>
      <c r="Q596" s="220"/>
      <c r="R596" s="210"/>
      <c r="S596" s="226"/>
      <c r="T596" s="220"/>
      <c r="U596" s="220"/>
      <c r="V596" s="210"/>
      <c r="W596" s="226"/>
      <c r="X596" s="220"/>
      <c r="Y596" s="82"/>
      <c r="Z596" s="83"/>
      <c r="AA596" s="84"/>
      <c r="AB596" s="111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</row>
    <row r="597" spans="1:45" ht="15.75">
      <c r="A597" s="226" t="s">
        <v>178</v>
      </c>
      <c r="B597" s="179"/>
      <c r="C597" s="218">
        <v>301914</v>
      </c>
      <c r="D597" s="210">
        <v>1.39</v>
      </c>
      <c r="E597" s="226" t="s">
        <v>108</v>
      </c>
      <c r="F597" s="220">
        <f>ROUND(D597*$C597,0)</f>
        <v>419660</v>
      </c>
      <c r="G597" s="210">
        <v>1.39</v>
      </c>
      <c r="H597" s="226" t="s">
        <v>108</v>
      </c>
      <c r="I597" s="220">
        <f t="shared" si="134"/>
        <v>419660</v>
      </c>
      <c r="J597" s="210">
        <f>$J$527</f>
        <v>1.41</v>
      </c>
      <c r="K597" s="226" t="s">
        <v>108</v>
      </c>
      <c r="L597" s="220">
        <f>ROUND(J597*$C597,0)</f>
        <v>425699</v>
      </c>
      <c r="M597" s="220"/>
      <c r="N597" s="210">
        <f>$N$527</f>
        <v>1.42</v>
      </c>
      <c r="O597" s="226" t="s">
        <v>108</v>
      </c>
      <c r="P597" s="220">
        <f>ROUND(N597*$C597,0)</f>
        <v>428718</v>
      </c>
      <c r="Q597" s="220"/>
      <c r="R597" s="210"/>
      <c r="S597" s="226"/>
      <c r="T597" s="220"/>
      <c r="U597" s="220"/>
      <c r="V597" s="210"/>
      <c r="W597" s="226"/>
      <c r="X597" s="220"/>
      <c r="Y597" s="82"/>
      <c r="Z597" s="83"/>
      <c r="AA597" s="150"/>
      <c r="AB597" s="83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</row>
    <row r="598" spans="1:45" ht="15.75">
      <c r="A598" s="138" t="s">
        <v>179</v>
      </c>
      <c r="B598" s="179"/>
      <c r="C598" s="218"/>
      <c r="D598" s="212"/>
      <c r="E598" s="226"/>
      <c r="F598" s="220"/>
      <c r="G598" s="212"/>
      <c r="H598" s="226"/>
      <c r="I598" s="220"/>
      <c r="J598" s="212"/>
      <c r="K598" s="226"/>
      <c r="L598" s="220"/>
      <c r="M598" s="220"/>
      <c r="N598" s="212"/>
      <c r="O598" s="226"/>
      <c r="P598" s="220"/>
      <c r="Q598" s="220"/>
      <c r="R598" s="212"/>
      <c r="S598" s="226"/>
      <c r="T598" s="220"/>
      <c r="U598" s="220"/>
      <c r="V598" s="212"/>
      <c r="W598" s="226"/>
      <c r="X598" s="220"/>
      <c r="Y598" s="82"/>
      <c r="Z598" s="83"/>
      <c r="AA598" s="83"/>
      <c r="AB598" s="83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</row>
    <row r="599" spans="1:45" ht="15.75">
      <c r="A599" s="138" t="s">
        <v>180</v>
      </c>
      <c r="B599" s="179"/>
      <c r="C599" s="218">
        <v>354299.5</v>
      </c>
      <c r="D599" s="210">
        <v>4.4400000000000004</v>
      </c>
      <c r="E599" s="226"/>
      <c r="F599" s="220">
        <f>ROUND(D599*$C599,0)</f>
        <v>1573090</v>
      </c>
      <c r="G599" s="210">
        <v>4.72</v>
      </c>
      <c r="H599" s="226"/>
      <c r="I599" s="220">
        <f t="shared" ref="I599:I600" si="135">ROUND(G599*C599,0)</f>
        <v>1672294</v>
      </c>
      <c r="J599" s="210">
        <f>$J$529</f>
        <v>4.8</v>
      </c>
      <c r="K599" s="226"/>
      <c r="L599" s="220">
        <f>ROUND(J599*$C599,0)</f>
        <v>1700638</v>
      </c>
      <c r="M599" s="220"/>
      <c r="N599" s="210">
        <f>$N$529</f>
        <v>0.64524229669381195</v>
      </c>
      <c r="O599" s="226"/>
      <c r="P599" s="220">
        <f>ROUND(N599*$C599,0)</f>
        <v>228609</v>
      </c>
      <c r="Q599" s="220"/>
      <c r="R599" s="210">
        <f>$R$529</f>
        <v>0.85363089901921485</v>
      </c>
      <c r="S599" s="226"/>
      <c r="T599" s="220">
        <f>ROUND(R599*$C599,0)</f>
        <v>302441</v>
      </c>
      <c r="U599" s="220"/>
      <c r="V599" s="210">
        <f>$V$529</f>
        <v>3.301126804286973</v>
      </c>
      <c r="W599" s="226"/>
      <c r="X599" s="220">
        <f>ROUND(V599*$C599,0)</f>
        <v>1169588</v>
      </c>
      <c r="Y599" s="82"/>
      <c r="Z599" s="83"/>
      <c r="AA599" s="83"/>
      <c r="AB599" s="83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</row>
    <row r="600" spans="1:45" ht="15.75">
      <c r="A600" s="138" t="s">
        <v>197</v>
      </c>
      <c r="B600" s="179"/>
      <c r="C600" s="218">
        <v>942.33333333333303</v>
      </c>
      <c r="D600" s="301">
        <v>4.4400000000000004</v>
      </c>
      <c r="E600" s="226"/>
      <c r="F600" s="220">
        <f>ROUND(D600*$C600,0)</f>
        <v>4184</v>
      </c>
      <c r="G600" s="301">
        <v>4.72</v>
      </c>
      <c r="H600" s="226"/>
      <c r="I600" s="220">
        <f t="shared" si="135"/>
        <v>4448</v>
      </c>
      <c r="J600" s="301">
        <f>J599</f>
        <v>4.8</v>
      </c>
      <c r="K600" s="226"/>
      <c r="L600" s="220">
        <f>ROUND(J600*$C600,0)</f>
        <v>4523</v>
      </c>
      <c r="M600" s="220"/>
      <c r="N600" s="301">
        <f>N599</f>
        <v>0.64524229669381195</v>
      </c>
      <c r="O600" s="226"/>
      <c r="P600" s="220">
        <f>ROUND(N600*$C600,0)</f>
        <v>608</v>
      </c>
      <c r="Q600" s="220"/>
      <c r="R600" s="301">
        <f>R599</f>
        <v>0.85363089901921485</v>
      </c>
      <c r="S600" s="226"/>
      <c r="T600" s="220">
        <f>ROUND(R600*$C600,0)</f>
        <v>804</v>
      </c>
      <c r="U600" s="220"/>
      <c r="V600" s="301">
        <f>V599</f>
        <v>3.301126804286973</v>
      </c>
      <c r="W600" s="226"/>
      <c r="X600" s="220">
        <f>ROUND(V600*$C600,0)</f>
        <v>3111</v>
      </c>
      <c r="Y600" s="82"/>
      <c r="Z600" s="83"/>
      <c r="AA600" s="83"/>
      <c r="AB600" s="83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</row>
    <row r="601" spans="1:45" ht="15.75">
      <c r="A601" s="226" t="s">
        <v>181</v>
      </c>
      <c r="B601" s="179"/>
      <c r="C601" s="218"/>
      <c r="D601" s="210"/>
      <c r="E601" s="226"/>
      <c r="F601" s="220"/>
      <c r="G601" s="210"/>
      <c r="H601" s="226"/>
      <c r="I601" s="220"/>
      <c r="J601" s="210"/>
      <c r="K601" s="226"/>
      <c r="L601" s="220"/>
      <c r="M601" s="220"/>
      <c r="N601" s="210"/>
      <c r="O601" s="226"/>
      <c r="P601" s="220"/>
      <c r="Q601" s="220"/>
      <c r="R601" s="210"/>
      <c r="S601" s="226"/>
      <c r="T601" s="220"/>
      <c r="U601" s="220"/>
      <c r="V601" s="210"/>
      <c r="W601" s="226"/>
      <c r="X601" s="220"/>
      <c r="Y601" s="82"/>
      <c r="Z601" s="83"/>
      <c r="AA601" s="83"/>
      <c r="AB601" s="83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</row>
    <row r="602" spans="1:45" ht="15.75">
      <c r="A602" s="226" t="s">
        <v>182</v>
      </c>
      <c r="B602" s="179"/>
      <c r="C602" s="218">
        <v>43824556.333333328</v>
      </c>
      <c r="D602" s="302">
        <v>5.2919999999999998</v>
      </c>
      <c r="E602" s="226" t="s">
        <v>116</v>
      </c>
      <c r="F602" s="220">
        <f>ROUND(D602*$C602/100,0)</f>
        <v>2319196</v>
      </c>
      <c r="G602" s="302">
        <v>5.6289999999999996</v>
      </c>
      <c r="H602" s="226" t="s">
        <v>116</v>
      </c>
      <c r="I602" s="220">
        <f>ROUND(G602*C602/100,0)</f>
        <v>2466884</v>
      </c>
      <c r="J602" s="303">
        <f>$J$532</f>
        <v>5.7279999999999998</v>
      </c>
      <c r="K602" s="226" t="s">
        <v>116</v>
      </c>
      <c r="L602" s="220">
        <f>ROUND(J602*$C602/100,0)</f>
        <v>2510271</v>
      </c>
      <c r="M602" s="220"/>
      <c r="N602" s="303"/>
      <c r="O602" s="226"/>
      <c r="P602" s="220"/>
      <c r="Q602" s="220"/>
      <c r="R602" s="303">
        <f>$R$532</f>
        <v>1.1768671337178382</v>
      </c>
      <c r="S602" s="226" t="s">
        <v>116</v>
      </c>
      <c r="T602" s="220">
        <f>ROUND(R602*$C602/100,0)</f>
        <v>515757</v>
      </c>
      <c r="U602" s="220"/>
      <c r="V602" s="303">
        <f>$V$532</f>
        <v>4.5511328662821606</v>
      </c>
      <c r="W602" s="226" t="s">
        <v>116</v>
      </c>
      <c r="X602" s="220">
        <f>ROUND(V602*$C602/100,0)</f>
        <v>1994514</v>
      </c>
      <c r="Y602" s="82"/>
      <c r="Z602" s="83"/>
      <c r="AA602" s="83"/>
      <c r="AB602" s="83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</row>
    <row r="603" spans="1:45" ht="15.75">
      <c r="A603" s="226" t="s">
        <v>154</v>
      </c>
      <c r="B603" s="179"/>
      <c r="C603" s="218">
        <v>61783202.666666672</v>
      </c>
      <c r="D603" s="302">
        <v>4.8499999999999996</v>
      </c>
      <c r="E603" s="226" t="s">
        <v>116</v>
      </c>
      <c r="F603" s="220">
        <f>ROUND(D603*$C603/100,0)</f>
        <v>2996485</v>
      </c>
      <c r="G603" s="302">
        <v>5.157</v>
      </c>
      <c r="H603" s="226" t="s">
        <v>116</v>
      </c>
      <c r="I603" s="220">
        <f t="shared" ref="I603:I604" si="136">ROUND(G603*C603/100,0)</f>
        <v>3186160</v>
      </c>
      <c r="J603" s="303">
        <f>$J$533</f>
        <v>5.2480000000000002</v>
      </c>
      <c r="K603" s="226" t="s">
        <v>116</v>
      </c>
      <c r="L603" s="220">
        <f>ROUND(J603*$C603/100,0)</f>
        <v>3242382</v>
      </c>
      <c r="M603" s="220"/>
      <c r="N603" s="303"/>
      <c r="O603" s="226"/>
      <c r="P603" s="220"/>
      <c r="Q603" s="220"/>
      <c r="R603" s="303">
        <f>$R$533</f>
        <v>1.0782469828476284</v>
      </c>
      <c r="S603" s="226" t="s">
        <v>116</v>
      </c>
      <c r="T603" s="220">
        <f>ROUND(R603*$C603/100,0)</f>
        <v>666176</v>
      </c>
      <c r="U603" s="220"/>
      <c r="V603" s="303">
        <f>$V$533</f>
        <v>4.1697530171523711</v>
      </c>
      <c r="W603" s="226" t="s">
        <v>116</v>
      </c>
      <c r="X603" s="220">
        <f>ROUND(V603*$C603/100,0)</f>
        <v>2576207</v>
      </c>
      <c r="Y603" s="82"/>
      <c r="Z603" s="83"/>
      <c r="AA603" s="83"/>
      <c r="AB603" s="83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</row>
    <row r="604" spans="1:45" ht="15.75">
      <c r="A604" s="226" t="s">
        <v>155</v>
      </c>
      <c r="B604" s="179"/>
      <c r="C604" s="218">
        <v>110811.9666666667</v>
      </c>
      <c r="D604" s="304">
        <v>56</v>
      </c>
      <c r="E604" s="226" t="s">
        <v>116</v>
      </c>
      <c r="F604" s="220">
        <f>ROUND(D604*$C604/100,0)</f>
        <v>62055</v>
      </c>
      <c r="G604" s="304">
        <v>56</v>
      </c>
      <c r="H604" s="226" t="s">
        <v>116</v>
      </c>
      <c r="I604" s="220">
        <f t="shared" si="136"/>
        <v>62055</v>
      </c>
      <c r="J604" s="305">
        <f>$J$534</f>
        <v>56</v>
      </c>
      <c r="K604" s="226" t="s">
        <v>116</v>
      </c>
      <c r="L604" s="220">
        <f>ROUND(J604*$C604/100,0)</f>
        <v>62055</v>
      </c>
      <c r="M604" s="220"/>
      <c r="N604" s="305"/>
      <c r="O604" s="226"/>
      <c r="P604" s="220"/>
      <c r="Q604" s="220"/>
      <c r="R604" s="305">
        <f>$R$534</f>
        <v>11.505684268191157</v>
      </c>
      <c r="S604" s="226" t="s">
        <v>116</v>
      </c>
      <c r="T604" s="220">
        <f>ROUND(R604*$C604/100,0)</f>
        <v>12750</v>
      </c>
      <c r="U604" s="220"/>
      <c r="V604" s="305">
        <f>$V$534</f>
        <v>44.49431573180884</v>
      </c>
      <c r="W604" s="226" t="s">
        <v>116</v>
      </c>
      <c r="X604" s="220">
        <f>ROUND(V604*$C604/100,0)</f>
        <v>49305</v>
      </c>
      <c r="Y604" s="82"/>
      <c r="Z604" s="83"/>
      <c r="AA604" s="83"/>
      <c r="AB604" s="83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</row>
    <row r="605" spans="1:45" ht="15.75">
      <c r="A605" s="281" t="s">
        <v>156</v>
      </c>
      <c r="B605" s="179"/>
      <c r="C605" s="218"/>
      <c r="D605" s="234">
        <v>-0.01</v>
      </c>
      <c r="E605" s="106"/>
      <c r="F605" s="220"/>
      <c r="G605" s="234">
        <v>-0.01</v>
      </c>
      <c r="H605" s="179"/>
      <c r="I605" s="220"/>
      <c r="J605" s="234">
        <v>-0.01</v>
      </c>
      <c r="K605" s="179"/>
      <c r="L605" s="220"/>
      <c r="M605" s="220"/>
      <c r="N605" s="234">
        <v>-0.01</v>
      </c>
      <c r="O605" s="179"/>
      <c r="P605" s="220"/>
      <c r="Q605" s="220"/>
      <c r="R605" s="234">
        <v>-0.01</v>
      </c>
      <c r="S605" s="179"/>
      <c r="T605" s="220"/>
      <c r="U605" s="220"/>
      <c r="V605" s="234">
        <v>-0.01</v>
      </c>
      <c r="W605" s="179"/>
      <c r="X605" s="220"/>
      <c r="Y605" s="82"/>
      <c r="Z605" s="83"/>
      <c r="AA605" s="83"/>
      <c r="AB605" s="83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</row>
    <row r="606" spans="1:45" ht="15.75">
      <c r="A606" s="226" t="s">
        <v>176</v>
      </c>
      <c r="B606" s="179"/>
      <c r="C606" s="218">
        <v>0</v>
      </c>
      <c r="D606" s="212">
        <v>259</v>
      </c>
      <c r="E606" s="306"/>
      <c r="F606" s="220">
        <f>ROUND(D606*$C606*D605,0)</f>
        <v>0</v>
      </c>
      <c r="G606" s="212">
        <v>259</v>
      </c>
      <c r="H606" s="178"/>
      <c r="I606" s="220">
        <f>ROUND(G606*C606*$G$571,0)</f>
        <v>0</v>
      </c>
      <c r="J606" s="212">
        <f>J592</f>
        <v>259</v>
      </c>
      <c r="K606" s="178"/>
      <c r="L606" s="220">
        <f>ROUND(J606*$C606*J605,0)</f>
        <v>0</v>
      </c>
      <c r="M606" s="220"/>
      <c r="N606" s="212">
        <f>N592</f>
        <v>259</v>
      </c>
      <c r="O606" s="178"/>
      <c r="P606" s="220"/>
      <c r="Q606" s="220"/>
      <c r="R606" s="212"/>
      <c r="S606" s="178"/>
      <c r="T606" s="220"/>
      <c r="U606" s="220"/>
      <c r="V606" s="212"/>
      <c r="W606" s="178"/>
      <c r="X606" s="220"/>
      <c r="Y606" s="82"/>
      <c r="Z606" s="83"/>
      <c r="AA606" s="83"/>
      <c r="AB606" s="83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</row>
    <row r="607" spans="1:45" ht="15.75">
      <c r="A607" s="226" t="s">
        <v>177</v>
      </c>
      <c r="B607" s="179"/>
      <c r="C607" s="218">
        <v>21</v>
      </c>
      <c r="D607" s="212">
        <v>96</v>
      </c>
      <c r="E607" s="306"/>
      <c r="F607" s="220">
        <f>ROUND(D607*$C607*D605,0)</f>
        <v>-20</v>
      </c>
      <c r="G607" s="212">
        <v>96</v>
      </c>
      <c r="H607" s="178"/>
      <c r="I607" s="220">
        <f t="shared" ref="I607:I612" si="137">ROUND(G607*C607*$G$571,0)</f>
        <v>-20</v>
      </c>
      <c r="J607" s="212">
        <f>J593</f>
        <v>96</v>
      </c>
      <c r="K607" s="178"/>
      <c r="L607" s="220">
        <f>ROUND(J607*$C607*J605,0)</f>
        <v>-20</v>
      </c>
      <c r="M607" s="220"/>
      <c r="N607" s="212">
        <f>N593</f>
        <v>96</v>
      </c>
      <c r="O607" s="178"/>
      <c r="P607" s="220">
        <f>ROUND(N607*$C607*N605,0)</f>
        <v>-20</v>
      </c>
      <c r="Q607" s="220"/>
      <c r="R607" s="212"/>
      <c r="S607" s="178"/>
      <c r="T607" s="220"/>
      <c r="U607" s="220"/>
      <c r="V607" s="212"/>
      <c r="W607" s="178"/>
      <c r="X607" s="220"/>
      <c r="Y607" s="82"/>
      <c r="Z607" s="83"/>
      <c r="AA607" s="83"/>
      <c r="AB607" s="83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</row>
    <row r="608" spans="1:45" ht="15.75">
      <c r="A608" s="226" t="s">
        <v>178</v>
      </c>
      <c r="B608" s="179"/>
      <c r="C608" s="218">
        <v>0</v>
      </c>
      <c r="D608" s="212">
        <v>192</v>
      </c>
      <c r="E608" s="307"/>
      <c r="F608" s="220">
        <f>ROUND(D608*$C608*D605,0)</f>
        <v>0</v>
      </c>
      <c r="G608" s="212">
        <v>192</v>
      </c>
      <c r="H608" s="308"/>
      <c r="I608" s="220">
        <f t="shared" si="137"/>
        <v>0</v>
      </c>
      <c r="J608" s="212">
        <f>J594</f>
        <v>192</v>
      </c>
      <c r="K608" s="308"/>
      <c r="L608" s="220">
        <f>ROUND(J608*$C608*J605,0)</f>
        <v>0</v>
      </c>
      <c r="M608" s="220"/>
      <c r="N608" s="212"/>
      <c r="O608" s="308"/>
      <c r="P608" s="220"/>
      <c r="Q608" s="220"/>
      <c r="R608" s="212"/>
      <c r="S608" s="308"/>
      <c r="T608" s="220"/>
      <c r="U608" s="220"/>
      <c r="V608" s="212"/>
      <c r="W608" s="308"/>
      <c r="X608" s="220"/>
      <c r="Y608" s="82"/>
      <c r="Z608" s="83"/>
      <c r="AA608" s="83"/>
      <c r="AB608" s="83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</row>
    <row r="609" spans="1:45" ht="15.75">
      <c r="A609" s="226" t="s">
        <v>177</v>
      </c>
      <c r="B609" s="179"/>
      <c r="C609" s="218">
        <v>2337</v>
      </c>
      <c r="D609" s="212">
        <v>1.7</v>
      </c>
      <c r="E609" s="306"/>
      <c r="F609" s="220">
        <f>ROUND(D609*$C609*D605,0)</f>
        <v>-40</v>
      </c>
      <c r="G609" s="212">
        <v>1.7</v>
      </c>
      <c r="H609" s="178"/>
      <c r="I609" s="220">
        <f t="shared" si="137"/>
        <v>-40</v>
      </c>
      <c r="J609" s="212">
        <f>J596</f>
        <v>1.73</v>
      </c>
      <c r="K609" s="178"/>
      <c r="L609" s="220">
        <f>ROUND(J609*$C609*J605,0)</f>
        <v>-40</v>
      </c>
      <c r="M609" s="220"/>
      <c r="N609" s="212">
        <f>N596</f>
        <v>1.74</v>
      </c>
      <c r="O609" s="178"/>
      <c r="P609" s="220">
        <f>ROUND(N609*$C609*N605,0)</f>
        <v>-41</v>
      </c>
      <c r="Q609" s="220"/>
      <c r="R609" s="212"/>
      <c r="S609" s="178"/>
      <c r="T609" s="220"/>
      <c r="U609" s="220"/>
      <c r="V609" s="212"/>
      <c r="W609" s="178"/>
      <c r="X609" s="220"/>
      <c r="Y609" s="82"/>
      <c r="Z609" s="83"/>
      <c r="AA609" s="83"/>
      <c r="AB609" s="83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</row>
    <row r="610" spans="1:45" ht="15.75">
      <c r="A610" s="226" t="s">
        <v>178</v>
      </c>
      <c r="B610" s="179"/>
      <c r="C610" s="218">
        <v>0</v>
      </c>
      <c r="D610" s="212">
        <v>1.39</v>
      </c>
      <c r="E610" s="306" t="s">
        <v>108</v>
      </c>
      <c r="F610" s="220">
        <f>ROUND(D610*$C610*D605,0)</f>
        <v>0</v>
      </c>
      <c r="G610" s="212">
        <v>1.39</v>
      </c>
      <c r="H610" s="178"/>
      <c r="I610" s="220">
        <f t="shared" si="137"/>
        <v>0</v>
      </c>
      <c r="J610" s="212">
        <f>J597</f>
        <v>1.41</v>
      </c>
      <c r="K610" s="178"/>
      <c r="L610" s="220">
        <f>ROUND(J610*$C610*J605,0)</f>
        <v>0</v>
      </c>
      <c r="M610" s="220"/>
      <c r="N610" s="212"/>
      <c r="O610" s="178"/>
      <c r="P610" s="220"/>
      <c r="Q610" s="220"/>
      <c r="R610" s="212"/>
      <c r="S610" s="178"/>
      <c r="T610" s="220"/>
      <c r="U610" s="220"/>
      <c r="V610" s="212"/>
      <c r="W610" s="178"/>
      <c r="X610" s="220"/>
      <c r="Y610" s="82"/>
      <c r="Z610" s="83"/>
      <c r="AA610" s="83"/>
      <c r="AB610" s="83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</row>
    <row r="611" spans="1:45" ht="15.75">
      <c r="A611" s="138" t="s">
        <v>180</v>
      </c>
      <c r="B611" s="179"/>
      <c r="C611" s="218">
        <v>1987.5</v>
      </c>
      <c r="D611" s="212">
        <v>4.4400000000000004</v>
      </c>
      <c r="E611" s="306" t="s">
        <v>108</v>
      </c>
      <c r="F611" s="220">
        <f>ROUND(D611*$C611*D605,0)</f>
        <v>-88</v>
      </c>
      <c r="G611" s="212">
        <v>4.72</v>
      </c>
      <c r="H611" s="178"/>
      <c r="I611" s="220">
        <f t="shared" si="137"/>
        <v>-94</v>
      </c>
      <c r="J611" s="212">
        <f>J599</f>
        <v>4.8</v>
      </c>
      <c r="K611" s="178"/>
      <c r="L611" s="220">
        <f>ROUND(J611*$C611*J605,0)</f>
        <v>-95</v>
      </c>
      <c r="M611" s="220"/>
      <c r="N611" s="212">
        <f>N599</f>
        <v>0.64524229669381195</v>
      </c>
      <c r="O611" s="178"/>
      <c r="P611" s="220">
        <f>ROUND(N611*$C611*N605,0)</f>
        <v>-13</v>
      </c>
      <c r="Q611" s="220"/>
      <c r="R611" s="212">
        <f>R599</f>
        <v>0.85363089901921485</v>
      </c>
      <c r="S611" s="178"/>
      <c r="T611" s="220">
        <f>ROUND(R611*$C611*R605,0)</f>
        <v>-17</v>
      </c>
      <c r="U611" s="220"/>
      <c r="V611" s="212">
        <f>V599</f>
        <v>3.301126804286973</v>
      </c>
      <c r="W611" s="178"/>
      <c r="X611" s="220">
        <f>ROUND(V611*$C611*V605,0)</f>
        <v>-66</v>
      </c>
      <c r="Y611" s="82"/>
      <c r="Z611" s="83"/>
      <c r="AA611" s="83"/>
      <c r="AB611" s="83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</row>
    <row r="612" spans="1:45" ht="15.75">
      <c r="A612" s="138" t="s">
        <v>197</v>
      </c>
      <c r="B612" s="179"/>
      <c r="C612" s="218">
        <v>0</v>
      </c>
      <c r="D612" s="212">
        <v>4.4400000000000004</v>
      </c>
      <c r="E612" s="306" t="s">
        <v>108</v>
      </c>
      <c r="F612" s="220">
        <f>ROUND(D612*$C612*D605,0)</f>
        <v>0</v>
      </c>
      <c r="G612" s="212">
        <v>4.72</v>
      </c>
      <c r="H612" s="178"/>
      <c r="I612" s="220">
        <f t="shared" si="137"/>
        <v>0</v>
      </c>
      <c r="J612" s="212">
        <f>J600</f>
        <v>4.8</v>
      </c>
      <c r="K612" s="178"/>
      <c r="L612" s="220">
        <f>ROUND(J612*$C612*J605,0)</f>
        <v>0</v>
      </c>
      <c r="M612" s="220"/>
      <c r="N612" s="212"/>
      <c r="O612" s="178"/>
      <c r="P612" s="220"/>
      <c r="Q612" s="220"/>
      <c r="R612" s="212"/>
      <c r="S612" s="178"/>
      <c r="T612" s="220"/>
      <c r="U612" s="220"/>
      <c r="V612" s="212"/>
      <c r="W612" s="178"/>
      <c r="X612" s="220"/>
      <c r="Y612" s="82"/>
      <c r="Z612" s="83"/>
      <c r="AA612" s="83"/>
      <c r="AB612" s="83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</row>
    <row r="613" spans="1:45" ht="15.75">
      <c r="A613" s="226" t="s">
        <v>182</v>
      </c>
      <c r="B613" s="179"/>
      <c r="C613" s="218">
        <v>734400</v>
      </c>
      <c r="D613" s="309">
        <v>5.2939999999999996</v>
      </c>
      <c r="E613" s="220" t="s">
        <v>116</v>
      </c>
      <c r="F613" s="220">
        <f>ROUND(D613*$C613/100*D605,0)</f>
        <v>-389</v>
      </c>
      <c r="G613" s="309">
        <v>5.6289999999999996</v>
      </c>
      <c r="H613" s="226" t="s">
        <v>116</v>
      </c>
      <c r="I613" s="220">
        <f>ROUND(G613*C613/100*$G$571,0)</f>
        <v>-413</v>
      </c>
      <c r="J613" s="309">
        <f>J602</f>
        <v>5.7279999999999998</v>
      </c>
      <c r="K613" s="226" t="s">
        <v>116</v>
      </c>
      <c r="L613" s="220">
        <f>ROUND(J613*$C613/100*J605,0)</f>
        <v>-421</v>
      </c>
      <c r="M613" s="220"/>
      <c r="N613" s="309">
        <f>N602</f>
        <v>0</v>
      </c>
      <c r="O613" s="226" t="s">
        <v>116</v>
      </c>
      <c r="P613" s="220">
        <f>ROUND(N613*$C613/100*N605,0)</f>
        <v>0</v>
      </c>
      <c r="Q613" s="220"/>
      <c r="R613" s="309">
        <f>R602</f>
        <v>1.1768671337178382</v>
      </c>
      <c r="S613" s="226" t="s">
        <v>116</v>
      </c>
      <c r="T613" s="220">
        <f>ROUND(R613*$C613/100*R605,0)</f>
        <v>-86</v>
      </c>
      <c r="U613" s="220"/>
      <c r="V613" s="309">
        <f>V602</f>
        <v>4.5511328662821606</v>
      </c>
      <c r="W613" s="226" t="s">
        <v>116</v>
      </c>
      <c r="X613" s="220">
        <f>ROUND(V613*$C613/100*V605,0)</f>
        <v>-334</v>
      </c>
      <c r="Y613" s="82"/>
      <c r="Z613" s="83"/>
      <c r="AA613" s="83"/>
      <c r="AB613" s="83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</row>
    <row r="614" spans="1:45" ht="15.75">
      <c r="A614" s="226" t="s">
        <v>154</v>
      </c>
      <c r="B614" s="179"/>
      <c r="C614" s="218">
        <v>232800</v>
      </c>
      <c r="D614" s="309">
        <v>4.8520000000000003</v>
      </c>
      <c r="E614" s="220" t="s">
        <v>116</v>
      </c>
      <c r="F614" s="220">
        <f>ROUND(D614*$C614/100*D605,0)</f>
        <v>-113</v>
      </c>
      <c r="G614" s="309">
        <v>5.157</v>
      </c>
      <c r="H614" s="226" t="s">
        <v>116</v>
      </c>
      <c r="I614" s="220">
        <f>ROUND(G614*C614/100*$G$571,0)</f>
        <v>-120</v>
      </c>
      <c r="J614" s="309">
        <f>J603</f>
        <v>5.2480000000000002</v>
      </c>
      <c r="K614" s="226" t="s">
        <v>116</v>
      </c>
      <c r="L614" s="220">
        <f>ROUND(J614*$C614/100*J605,0)</f>
        <v>-122</v>
      </c>
      <c r="M614" s="220"/>
      <c r="N614" s="309">
        <f>N603</f>
        <v>0</v>
      </c>
      <c r="O614" s="226" t="s">
        <v>116</v>
      </c>
      <c r="P614" s="220">
        <f>ROUND(N614*$C614/100*N605,0)</f>
        <v>0</v>
      </c>
      <c r="Q614" s="220"/>
      <c r="R614" s="309">
        <f>R603</f>
        <v>1.0782469828476284</v>
      </c>
      <c r="S614" s="226" t="s">
        <v>116</v>
      </c>
      <c r="T614" s="220">
        <f>ROUND(R614*$C614/100*R605,0)</f>
        <v>-25</v>
      </c>
      <c r="U614" s="220"/>
      <c r="V614" s="309">
        <f>V603</f>
        <v>4.1697530171523711</v>
      </c>
      <c r="W614" s="226" t="s">
        <v>116</v>
      </c>
      <c r="X614" s="220">
        <f>ROUND(V614*$C614/100*V605,0)</f>
        <v>-97</v>
      </c>
      <c r="Y614" s="82"/>
      <c r="Z614" s="83"/>
      <c r="AA614" s="83"/>
      <c r="AB614" s="83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</row>
    <row r="615" spans="1:45" ht="15.75">
      <c r="A615" s="226" t="s">
        <v>155</v>
      </c>
      <c r="B615" s="179"/>
      <c r="C615" s="218">
        <v>1162</v>
      </c>
      <c r="D615" s="310">
        <v>56</v>
      </c>
      <c r="E615" s="220" t="s">
        <v>116</v>
      </c>
      <c r="F615" s="220">
        <f>ROUND(D615*$C615/100*D605,0)</f>
        <v>-7</v>
      </c>
      <c r="G615" s="310">
        <v>56</v>
      </c>
      <c r="H615" s="226" t="s">
        <v>116</v>
      </c>
      <c r="I615" s="220">
        <f>ROUND(G615*C615/100*$G$571,0)</f>
        <v>-7</v>
      </c>
      <c r="J615" s="310">
        <f>J604</f>
        <v>56</v>
      </c>
      <c r="K615" s="226" t="s">
        <v>116</v>
      </c>
      <c r="L615" s="220">
        <f>ROUND(J615*$C615/100*J605,0)</f>
        <v>-7</v>
      </c>
      <c r="M615" s="220"/>
      <c r="N615" s="310">
        <f>N604</f>
        <v>0</v>
      </c>
      <c r="O615" s="226" t="s">
        <v>116</v>
      </c>
      <c r="P615" s="220">
        <f>ROUND(N615*$C615/100*N605,0)</f>
        <v>0</v>
      </c>
      <c r="Q615" s="220"/>
      <c r="R615" s="310">
        <f>R604</f>
        <v>11.505684268191157</v>
      </c>
      <c r="S615" s="226" t="s">
        <v>116</v>
      </c>
      <c r="T615" s="220">
        <f>ROUND(R615*$C615/100*R605,0)</f>
        <v>-1</v>
      </c>
      <c r="U615" s="220"/>
      <c r="V615" s="310">
        <f>V604</f>
        <v>44.49431573180884</v>
      </c>
      <c r="W615" s="226" t="s">
        <v>116</v>
      </c>
      <c r="X615" s="220">
        <f>ROUND(V615*$C615/100*V605,0)</f>
        <v>-5</v>
      </c>
      <c r="Y615" s="82"/>
      <c r="Z615" s="83"/>
      <c r="AA615" s="83"/>
      <c r="AB615" s="83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</row>
    <row r="616" spans="1:45" ht="15.75">
      <c r="A616" s="226" t="s">
        <v>198</v>
      </c>
      <c r="B616" s="179"/>
      <c r="C616" s="218">
        <v>21</v>
      </c>
      <c r="D616" s="210">
        <v>60</v>
      </c>
      <c r="E616" s="306" t="s">
        <v>108</v>
      </c>
      <c r="F616" s="220">
        <f>ROUND(D616*$C616,0)</f>
        <v>1260</v>
      </c>
      <c r="G616" s="210">
        <v>60</v>
      </c>
      <c r="H616" s="179"/>
      <c r="I616" s="220">
        <f>ROUND(G616*C616,0)</f>
        <v>1260</v>
      </c>
      <c r="J616" s="210">
        <f>$J$546</f>
        <v>60</v>
      </c>
      <c r="K616" s="179"/>
      <c r="L616" s="220">
        <f>ROUND(J616*$C616,0)</f>
        <v>1260</v>
      </c>
      <c r="M616" s="220"/>
      <c r="N616" s="210">
        <f>$N$546</f>
        <v>0</v>
      </c>
      <c r="O616" s="179"/>
      <c r="P616" s="220">
        <f>ROUND(N616*$C616,0)</f>
        <v>0</v>
      </c>
      <c r="Q616" s="220"/>
      <c r="R616" s="210">
        <f>$R$546</f>
        <v>12.327518858776241</v>
      </c>
      <c r="S616" s="179"/>
      <c r="T616" s="220">
        <f>ROUND(R616*$C616,0)</f>
        <v>259</v>
      </c>
      <c r="U616" s="220"/>
      <c r="V616" s="210">
        <f>$V$546</f>
        <v>47.672481141223756</v>
      </c>
      <c r="W616" s="179"/>
      <c r="X616" s="220">
        <f>ROUND(V616*$C616,0)</f>
        <v>1001</v>
      </c>
      <c r="Y616" s="82"/>
      <c r="Z616" s="83"/>
      <c r="AA616" s="83"/>
      <c r="AB616" s="83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</row>
    <row r="617" spans="1:45" ht="15.75">
      <c r="A617" s="226" t="s">
        <v>199</v>
      </c>
      <c r="B617" s="179"/>
      <c r="C617" s="218">
        <v>2337</v>
      </c>
      <c r="D617" s="244">
        <v>-30</v>
      </c>
      <c r="E617" s="220" t="s">
        <v>116</v>
      </c>
      <c r="F617" s="220">
        <f>ROUND(D617*$C617/100,0)</f>
        <v>-701</v>
      </c>
      <c r="G617" s="244">
        <v>-30</v>
      </c>
      <c r="H617" s="220" t="s">
        <v>116</v>
      </c>
      <c r="I617" s="220">
        <f>-ROUND(G617*C617*$G$571,0)</f>
        <v>-701</v>
      </c>
      <c r="J617" s="244">
        <f>$J$547</f>
        <v>-30</v>
      </c>
      <c r="K617" s="220" t="s">
        <v>116</v>
      </c>
      <c r="L617" s="220">
        <f>ROUND(J617*$C617/100,0)</f>
        <v>-701</v>
      </c>
      <c r="M617" s="220"/>
      <c r="N617" s="244">
        <f>$N$547</f>
        <v>-30</v>
      </c>
      <c r="O617" s="220" t="s">
        <v>116</v>
      </c>
      <c r="P617" s="220">
        <f>ROUND(N617*$C617/100,0)</f>
        <v>-701</v>
      </c>
      <c r="Q617" s="220"/>
      <c r="R617" s="244"/>
      <c r="S617" s="220"/>
      <c r="T617" s="220"/>
      <c r="U617" s="220"/>
      <c r="V617" s="244"/>
      <c r="W617" s="220"/>
      <c r="X617" s="220"/>
      <c r="Y617" s="82"/>
      <c r="Z617" s="83"/>
      <c r="AA617" s="83"/>
      <c r="AB617" s="83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</row>
    <row r="618" spans="1:45" ht="15.75">
      <c r="A618" s="179" t="s">
        <v>134</v>
      </c>
      <c r="B618" s="179"/>
      <c r="C618" s="218">
        <f>SUM(C602:C603)</f>
        <v>105607759</v>
      </c>
      <c r="D618" s="229"/>
      <c r="E618" s="106"/>
      <c r="F618" s="106">
        <f>SUM(F592:F617)</f>
        <v>7875570</v>
      </c>
      <c r="G618" s="229"/>
      <c r="H618" s="179"/>
      <c r="I618" s="106">
        <f>SUM(I592:I617)</f>
        <v>8312364</v>
      </c>
      <c r="J618" s="229"/>
      <c r="K618" s="179"/>
      <c r="L618" s="106">
        <f>SUM(L592:L617)</f>
        <v>8451516</v>
      </c>
      <c r="M618" s="106"/>
      <c r="N618" s="229"/>
      <c r="O618" s="179"/>
      <c r="P618" s="106">
        <f>SUM(P592:P617)</f>
        <v>1164953</v>
      </c>
      <c r="Q618" s="106"/>
      <c r="R618" s="229"/>
      <c r="S618" s="179"/>
      <c r="T618" s="106">
        <f>SUM(T592:T617)</f>
        <v>1498058</v>
      </c>
      <c r="U618" s="106"/>
      <c r="V618" s="229"/>
      <c r="W618" s="179"/>
      <c r="X618" s="106">
        <f>SUM(X592:X617)</f>
        <v>5793224</v>
      </c>
      <c r="Y618" s="82"/>
      <c r="Z618" s="83"/>
      <c r="AA618" s="83"/>
      <c r="AB618" s="83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</row>
    <row r="619" spans="1:45" ht="15.75">
      <c r="A619" s="179" t="s">
        <v>119</v>
      </c>
      <c r="B619" s="179"/>
      <c r="C619" s="273">
        <v>-1691576.4987881514</v>
      </c>
      <c r="D619" s="138"/>
      <c r="E619" s="138"/>
      <c r="F619" s="136">
        <f>I619</f>
        <v>-172171.8285648945</v>
      </c>
      <c r="G619" s="138"/>
      <c r="H619" s="138"/>
      <c r="I619" s="136">
        <v>-172171.8285648945</v>
      </c>
      <c r="J619" s="138"/>
      <c r="K619" s="138"/>
      <c r="L619" s="136">
        <f>I619</f>
        <v>-172171.8285648945</v>
      </c>
      <c r="M619" s="137"/>
      <c r="N619" s="138"/>
      <c r="O619" s="138"/>
      <c r="P619" s="136">
        <f>P549/L549*L619</f>
        <v>-22521.850651033983</v>
      </c>
      <c r="Q619" s="137"/>
      <c r="R619" s="138"/>
      <c r="S619" s="138"/>
      <c r="T619" s="136">
        <f>T549/L549*L619</f>
        <v>-30267.266855446687</v>
      </c>
      <c r="U619" s="137"/>
      <c r="V619" s="138"/>
      <c r="W619" s="138"/>
      <c r="X619" s="136">
        <f>X549/L549*L619</f>
        <v>-119382.71105841383</v>
      </c>
      <c r="Y619" s="172"/>
      <c r="Z619" s="168"/>
      <c r="AA619" s="83"/>
      <c r="AB619" s="83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</row>
    <row r="620" spans="1:45" ht="16.5" thickBot="1">
      <c r="A620" s="179" t="s">
        <v>135</v>
      </c>
      <c r="B620" s="179"/>
      <c r="C620" s="288">
        <f>SUM(C618)+C619</f>
        <v>103916182.50121185</v>
      </c>
      <c r="D620" s="268"/>
      <c r="E620" s="250"/>
      <c r="F620" s="251">
        <f>F618+F619</f>
        <v>7703398.1714351056</v>
      </c>
      <c r="G620" s="268"/>
      <c r="H620" s="269"/>
      <c r="I620" s="251">
        <f>I618+I619</f>
        <v>8140192.1714351056</v>
      </c>
      <c r="J620" s="268"/>
      <c r="K620" s="269"/>
      <c r="L620" s="251">
        <f>L618+L619</f>
        <v>8279344.1714351056</v>
      </c>
      <c r="M620" s="251"/>
      <c r="N620" s="268"/>
      <c r="O620" s="269"/>
      <c r="P620" s="251">
        <f>P618+P619</f>
        <v>1142431.1493489661</v>
      </c>
      <c r="Q620" s="251"/>
      <c r="R620" s="268"/>
      <c r="S620" s="269"/>
      <c r="T620" s="251">
        <f>T618+T619</f>
        <v>1467790.7331445534</v>
      </c>
      <c r="U620" s="251"/>
      <c r="V620" s="268"/>
      <c r="W620" s="269"/>
      <c r="X620" s="251">
        <f>X618+X619</f>
        <v>5673841.2889415864</v>
      </c>
      <c r="Y620" s="176"/>
      <c r="Z620" s="177"/>
      <c r="AA620" s="83"/>
      <c r="AB620" s="83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</row>
    <row r="621" spans="1:45" ht="16.5" thickTop="1">
      <c r="A621" s="193"/>
      <c r="B621" s="311"/>
      <c r="C621" s="193"/>
      <c r="D621" s="179"/>
      <c r="E621" s="205"/>
      <c r="F621" s="312"/>
      <c r="G621" s="179"/>
      <c r="H621" s="193"/>
      <c r="I621" s="312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82"/>
      <c r="Z621" s="83"/>
      <c r="AA621" s="83"/>
      <c r="AB621" s="83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</row>
    <row r="622" spans="1:45" ht="15.75">
      <c r="A622" s="178" t="s">
        <v>202</v>
      </c>
      <c r="B622" s="179"/>
      <c r="C622" s="205"/>
      <c r="D622" s="243"/>
      <c r="E622" s="106"/>
      <c r="F622" s="106"/>
      <c r="G622" s="243"/>
      <c r="H622" s="179"/>
      <c r="I622" s="106"/>
      <c r="J622" s="462"/>
      <c r="K622" s="179"/>
      <c r="L622" s="106"/>
      <c r="M622" s="106"/>
      <c r="N622" s="243"/>
      <c r="O622" s="179"/>
      <c r="P622" s="106"/>
      <c r="Q622" s="106"/>
      <c r="R622" s="243"/>
      <c r="S622" s="179"/>
      <c r="T622" s="106"/>
      <c r="U622" s="106"/>
      <c r="V622" s="243"/>
      <c r="W622" s="179"/>
      <c r="X622" s="106"/>
      <c r="Y622" s="82"/>
      <c r="Z622" s="83"/>
      <c r="AA622" s="83"/>
      <c r="AB622" s="83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</row>
    <row r="623" spans="1:45" ht="15.75">
      <c r="A623" s="138" t="s">
        <v>203</v>
      </c>
      <c r="B623" s="179"/>
      <c r="C623" s="205"/>
      <c r="D623" s="243"/>
      <c r="E623" s="106"/>
      <c r="F623" s="106"/>
      <c r="G623" s="243"/>
      <c r="H623" s="179"/>
      <c r="I623" s="106"/>
      <c r="J623" s="459"/>
      <c r="K623" s="179"/>
      <c r="L623" s="106"/>
      <c r="M623" s="106"/>
      <c r="N623" s="243"/>
      <c r="O623" s="179"/>
      <c r="P623" s="106"/>
      <c r="Q623" s="106"/>
      <c r="R623" s="243"/>
      <c r="S623" s="179"/>
      <c r="T623" s="106"/>
      <c r="U623" s="106"/>
      <c r="V623" s="243"/>
      <c r="W623" s="179"/>
      <c r="X623" s="106"/>
      <c r="Y623" s="82">
        <v>12666289</v>
      </c>
      <c r="Z623" s="102">
        <f>Unbundled!F26</f>
        <v>0.62496343747821126</v>
      </c>
      <c r="AA623" s="102">
        <f>Unbundled!G26</f>
        <v>0.16048852224018315</v>
      </c>
      <c r="AB623" s="102">
        <f>(Unbundled!H26+Unbundled!I26+Unbundled!J26)</f>
        <v>0.21454804028160546</v>
      </c>
      <c r="AC623" s="103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</row>
    <row r="624" spans="1:45" ht="15.75">
      <c r="A624" s="226"/>
      <c r="B624" s="179"/>
      <c r="C624" s="152"/>
      <c r="D624" s="238"/>
      <c r="E624" s="109"/>
      <c r="F624" s="238"/>
      <c r="G624" s="238"/>
      <c r="H624" s="153"/>
      <c r="I624" s="238"/>
      <c r="J624" s="238"/>
      <c r="K624" s="153"/>
      <c r="L624" s="313"/>
      <c r="M624" s="313"/>
      <c r="N624" s="238"/>
      <c r="O624" s="153"/>
      <c r="P624" s="313"/>
      <c r="Q624" s="313"/>
      <c r="R624" s="238"/>
      <c r="S624" s="153"/>
      <c r="T624" s="313"/>
      <c r="U624" s="313"/>
      <c r="V624" s="238"/>
      <c r="W624" s="153"/>
      <c r="X624" s="313"/>
      <c r="Y624" s="82"/>
      <c r="Z624" s="83"/>
      <c r="AA624" s="83"/>
      <c r="AB624" s="83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</row>
    <row r="625" spans="1:45" ht="15.75">
      <c r="A625" s="138" t="s">
        <v>204</v>
      </c>
      <c r="B625" s="179"/>
      <c r="C625" s="152"/>
      <c r="D625" s="109" t="s">
        <v>108</v>
      </c>
      <c r="E625" s="109"/>
      <c r="F625" s="153"/>
      <c r="G625" s="109" t="s">
        <v>108</v>
      </c>
      <c r="H625" s="153"/>
      <c r="I625" s="153"/>
      <c r="J625" s="109" t="s">
        <v>108</v>
      </c>
      <c r="K625" s="153"/>
      <c r="L625" s="153"/>
      <c r="M625" s="153"/>
      <c r="N625" s="109" t="s">
        <v>108</v>
      </c>
      <c r="O625" s="153"/>
      <c r="P625" s="153"/>
      <c r="Q625" s="153"/>
      <c r="R625" s="109" t="s">
        <v>108</v>
      </c>
      <c r="S625" s="153"/>
      <c r="T625" s="153"/>
      <c r="U625" s="153"/>
      <c r="V625" s="109" t="s">
        <v>108</v>
      </c>
      <c r="W625" s="153"/>
      <c r="X625" s="153"/>
      <c r="Y625" s="82"/>
      <c r="Z625" s="83"/>
      <c r="AA625" s="82"/>
      <c r="AB625" s="82"/>
      <c r="AC625" s="82"/>
      <c r="AD625" s="82"/>
      <c r="AE625" s="82"/>
      <c r="AF625" s="82"/>
      <c r="AG625" s="82"/>
      <c r="AH625" s="82"/>
      <c r="AI625" s="82"/>
      <c r="AM625" s="82"/>
      <c r="AN625" s="82"/>
      <c r="AO625" s="82"/>
      <c r="AP625" s="82"/>
      <c r="AQ625" s="82"/>
      <c r="AR625" s="82"/>
      <c r="AS625" s="82"/>
    </row>
    <row r="626" spans="1:45" ht="15.75">
      <c r="A626" s="138" t="s">
        <v>205</v>
      </c>
      <c r="B626" s="179"/>
      <c r="C626" s="152">
        <f>C677+C728</f>
        <v>1050.4737336553778</v>
      </c>
      <c r="D626" s="238">
        <v>0</v>
      </c>
      <c r="E626" s="195"/>
      <c r="F626" s="109">
        <f>F677+F728</f>
        <v>0</v>
      </c>
      <c r="G626" s="238">
        <v>0</v>
      </c>
      <c r="H626" s="195"/>
      <c r="I626" s="109">
        <f>I677+I728</f>
        <v>0</v>
      </c>
      <c r="J626" s="238">
        <v>0</v>
      </c>
      <c r="K626" s="195"/>
      <c r="L626" s="109">
        <f>L677+L728</f>
        <v>0</v>
      </c>
      <c r="M626" s="109"/>
      <c r="N626" s="238"/>
      <c r="O626" s="195"/>
      <c r="P626" s="109"/>
      <c r="Q626" s="109"/>
      <c r="R626" s="238"/>
      <c r="S626" s="195"/>
      <c r="T626" s="109"/>
      <c r="U626" s="109"/>
      <c r="V626" s="238"/>
      <c r="W626" s="195"/>
      <c r="X626" s="109"/>
      <c r="AA626" s="146"/>
      <c r="AB626" s="146"/>
      <c r="AN626" s="82"/>
      <c r="AO626" s="82"/>
      <c r="AP626" s="82"/>
      <c r="AQ626" s="82"/>
      <c r="AR626" s="82"/>
      <c r="AS626" s="82"/>
    </row>
    <row r="627" spans="1:45" ht="15.75">
      <c r="A627" s="138" t="s">
        <v>206</v>
      </c>
      <c r="B627" s="179"/>
      <c r="C627" s="152"/>
      <c r="D627" s="238"/>
      <c r="E627" s="195"/>
      <c r="F627" s="109"/>
      <c r="G627" s="238"/>
      <c r="H627" s="195"/>
      <c r="I627" s="109"/>
      <c r="J627" s="238"/>
      <c r="K627" s="195"/>
      <c r="L627" s="109"/>
      <c r="M627" s="109"/>
      <c r="N627" s="238"/>
      <c r="O627" s="195"/>
      <c r="P627" s="109"/>
      <c r="Q627" s="109"/>
      <c r="R627" s="238"/>
      <c r="S627" s="195"/>
      <c r="T627" s="109"/>
      <c r="U627" s="109"/>
      <c r="V627" s="238"/>
      <c r="W627" s="195"/>
      <c r="X627" s="109"/>
      <c r="AD627" s="114"/>
      <c r="AE627" s="314"/>
      <c r="AF627" s="114"/>
      <c r="AG627" s="314"/>
      <c r="AH627" s="114"/>
      <c r="AI627" s="114"/>
      <c r="AJ627" s="190"/>
      <c r="AN627" s="82"/>
      <c r="AO627" s="82"/>
      <c r="AP627" s="82"/>
      <c r="AQ627" s="82"/>
      <c r="AR627" s="82"/>
      <c r="AS627" s="82"/>
    </row>
    <row r="628" spans="1:45" ht="15.75">
      <c r="A628" s="138" t="s">
        <v>207</v>
      </c>
      <c r="B628" s="179"/>
      <c r="C628" s="152">
        <f t="shared" ref="C628:C633" si="138">C679+C730</f>
        <v>3761.846699801777</v>
      </c>
      <c r="D628" s="238">
        <v>0</v>
      </c>
      <c r="E628" s="195"/>
      <c r="F628" s="109">
        <f>F679+F730</f>
        <v>0</v>
      </c>
      <c r="G628" s="238">
        <v>0</v>
      </c>
      <c r="H628" s="195"/>
      <c r="I628" s="109">
        <f>I679+I730</f>
        <v>0</v>
      </c>
      <c r="J628" s="238">
        <v>0</v>
      </c>
      <c r="K628" s="195"/>
      <c r="L628" s="109">
        <f>L679+L730</f>
        <v>0</v>
      </c>
      <c r="M628" s="109"/>
      <c r="N628" s="238"/>
      <c r="O628" s="195"/>
      <c r="P628" s="109"/>
      <c r="Q628" s="109"/>
      <c r="R628" s="238"/>
      <c r="S628" s="195"/>
      <c r="T628" s="109"/>
      <c r="U628" s="109"/>
      <c r="V628" s="238"/>
      <c r="W628" s="195"/>
      <c r="X628" s="109"/>
      <c r="Y628" s="216"/>
      <c r="AA628" s="139"/>
      <c r="AB628" s="139"/>
      <c r="AD628" s="114"/>
      <c r="AE628" s="314"/>
      <c r="AF628" s="114"/>
      <c r="AG628" s="314"/>
      <c r="AH628" s="114"/>
      <c r="AI628" s="114"/>
      <c r="AJ628" s="190"/>
      <c r="AN628" s="82"/>
      <c r="AO628" s="82"/>
      <c r="AP628" s="82"/>
      <c r="AQ628" s="82"/>
      <c r="AR628" s="82"/>
      <c r="AS628" s="82"/>
    </row>
    <row r="629" spans="1:45" ht="15.75">
      <c r="A629" s="138" t="s">
        <v>208</v>
      </c>
      <c r="B629" s="179"/>
      <c r="C629" s="152">
        <f t="shared" si="138"/>
        <v>421.7095485187607</v>
      </c>
      <c r="D629" s="238">
        <v>357</v>
      </c>
      <c r="E629" s="195"/>
      <c r="F629" s="109">
        <f>F680+F731</f>
        <v>150550</v>
      </c>
      <c r="G629" s="238">
        <v>357</v>
      </c>
      <c r="H629" s="195"/>
      <c r="I629" s="109">
        <f>I680+I731</f>
        <v>150550</v>
      </c>
      <c r="J629" s="238">
        <f>G629</f>
        <v>357</v>
      </c>
      <c r="K629" s="195"/>
      <c r="L629" s="109">
        <f>L680+L731</f>
        <v>150550</v>
      </c>
      <c r="M629" s="109"/>
      <c r="N629" s="238">
        <v>357</v>
      </c>
      <c r="O629" s="195"/>
      <c r="P629" s="109">
        <f>P680+P731</f>
        <v>150550</v>
      </c>
      <c r="Q629" s="109"/>
      <c r="R629" s="238"/>
      <c r="S629" s="195"/>
      <c r="T629" s="109"/>
      <c r="U629" s="109"/>
      <c r="V629" s="238"/>
      <c r="W629" s="195"/>
      <c r="X629" s="109"/>
      <c r="Y629" s="88"/>
      <c r="AA629" s="146"/>
      <c r="AB629" s="146"/>
      <c r="AC629" s="228"/>
      <c r="AD629" s="114"/>
      <c r="AE629" s="219"/>
      <c r="AF629" s="114"/>
      <c r="AG629" s="219"/>
      <c r="AH629" s="114"/>
      <c r="AI629" s="114"/>
      <c r="AJ629" s="103"/>
      <c r="AN629" s="82"/>
      <c r="AO629" s="82"/>
      <c r="AP629" s="82"/>
      <c r="AQ629" s="82"/>
      <c r="AR629" s="82"/>
      <c r="AS629" s="82"/>
    </row>
    <row r="630" spans="1:45" ht="15.75">
      <c r="A630" s="138" t="s">
        <v>209</v>
      </c>
      <c r="B630" s="179"/>
      <c r="C630" s="152">
        <f t="shared" si="138"/>
        <v>13</v>
      </c>
      <c r="D630" s="238">
        <v>1457</v>
      </c>
      <c r="E630" s="195"/>
      <c r="F630" s="109">
        <f>F681+F732</f>
        <v>18941</v>
      </c>
      <c r="G630" s="238">
        <v>1457</v>
      </c>
      <c r="H630" s="195"/>
      <c r="I630" s="109">
        <f>I681+I732</f>
        <v>18941</v>
      </c>
      <c r="J630" s="238">
        <f>G630</f>
        <v>1457</v>
      </c>
      <c r="K630" s="195"/>
      <c r="L630" s="109">
        <f>L681+L732</f>
        <v>18941</v>
      </c>
      <c r="M630" s="109"/>
      <c r="N630" s="238">
        <v>1457</v>
      </c>
      <c r="O630" s="195"/>
      <c r="P630" s="109">
        <f>P681+P732</f>
        <v>18941</v>
      </c>
      <c r="Q630" s="109"/>
      <c r="R630" s="238"/>
      <c r="S630" s="195"/>
      <c r="T630" s="109"/>
      <c r="U630" s="109"/>
      <c r="V630" s="238"/>
      <c r="W630" s="195"/>
      <c r="X630" s="109"/>
      <c r="Y630" s="88"/>
      <c r="AA630" s="146"/>
      <c r="AB630" s="146"/>
      <c r="AD630" s="114"/>
      <c r="AE630" s="114"/>
      <c r="AJ630" s="82"/>
      <c r="AM630" s="82"/>
      <c r="AN630" s="82"/>
      <c r="AO630" s="82"/>
      <c r="AP630" s="82"/>
      <c r="AQ630" s="82"/>
      <c r="AR630" s="82"/>
      <c r="AS630" s="82"/>
    </row>
    <row r="631" spans="1:45" ht="15.75">
      <c r="A631" s="138" t="s">
        <v>117</v>
      </c>
      <c r="B631" s="179"/>
      <c r="C631" s="152">
        <f t="shared" si="138"/>
        <v>5247.0299819759166</v>
      </c>
      <c r="D631" s="238"/>
      <c r="E631" s="195"/>
      <c r="F631" s="109"/>
      <c r="G631" s="238"/>
      <c r="H631" s="195"/>
      <c r="I631" s="109"/>
      <c r="J631" s="238"/>
      <c r="K631" s="195"/>
      <c r="L631" s="109"/>
      <c r="M631" s="109"/>
      <c r="N631" s="238"/>
      <c r="O631" s="195"/>
      <c r="P631" s="109"/>
      <c r="Q631" s="109"/>
      <c r="R631" s="238"/>
      <c r="S631" s="195"/>
      <c r="T631" s="109"/>
      <c r="U631" s="109"/>
      <c r="V631" s="238"/>
      <c r="W631" s="195"/>
      <c r="X631" s="109"/>
      <c r="Y631" s="88"/>
      <c r="AA631" s="219"/>
      <c r="AB631" s="219"/>
      <c r="AC631" s="88"/>
      <c r="AJ631" s="228"/>
      <c r="AK631" s="228"/>
      <c r="AL631" s="82"/>
      <c r="AM631" s="82"/>
      <c r="AN631" s="82"/>
      <c r="AO631" s="82"/>
      <c r="AP631" s="82"/>
      <c r="AQ631" s="82"/>
      <c r="AR631" s="82"/>
      <c r="AS631" s="82"/>
    </row>
    <row r="632" spans="1:45" ht="15.75">
      <c r="A632" s="138" t="s">
        <v>210</v>
      </c>
      <c r="B632" s="179"/>
      <c r="C632" s="152">
        <f t="shared" si="138"/>
        <v>38716.743333333157</v>
      </c>
      <c r="D632" s="238"/>
      <c r="E632" s="195"/>
      <c r="F632" s="109"/>
      <c r="G632" s="238"/>
      <c r="H632" s="195"/>
      <c r="I632" s="109"/>
      <c r="J632" s="238"/>
      <c r="K632" s="195"/>
      <c r="L632" s="109"/>
      <c r="M632" s="109"/>
      <c r="N632" s="238"/>
      <c r="O632" s="195"/>
      <c r="P632" s="109"/>
      <c r="Q632" s="109"/>
      <c r="R632" s="238"/>
      <c r="S632" s="195"/>
      <c r="T632" s="109"/>
      <c r="U632" s="109"/>
      <c r="V632" s="238"/>
      <c r="W632" s="195"/>
      <c r="X632" s="109"/>
      <c r="Y632" s="88"/>
      <c r="AC632" s="88"/>
      <c r="AL632" s="82"/>
      <c r="AM632" s="82"/>
      <c r="AN632" s="82"/>
      <c r="AO632" s="82"/>
      <c r="AP632" s="82"/>
      <c r="AQ632" s="82"/>
      <c r="AR632" s="82"/>
      <c r="AS632" s="82"/>
    </row>
    <row r="633" spans="1:45" ht="15.75">
      <c r="A633" s="138" t="s">
        <v>211</v>
      </c>
      <c r="B633" s="179"/>
      <c r="C633" s="152">
        <f t="shared" si="138"/>
        <v>5792</v>
      </c>
      <c r="D633" s="238"/>
      <c r="E633" s="109"/>
      <c r="F633" s="109"/>
      <c r="G633" s="238"/>
      <c r="H633" s="109"/>
      <c r="I633" s="109"/>
      <c r="J633" s="238"/>
      <c r="K633" s="109"/>
      <c r="L633" s="238" t="s">
        <v>108</v>
      </c>
      <c r="M633" s="238"/>
      <c r="N633" s="238"/>
      <c r="O633" s="109"/>
      <c r="P633" s="238" t="s">
        <v>108</v>
      </c>
      <c r="Q633" s="238"/>
      <c r="R633" s="238"/>
      <c r="S633" s="109"/>
      <c r="T633" s="238" t="s">
        <v>108</v>
      </c>
      <c r="U633" s="238"/>
      <c r="V633" s="238"/>
      <c r="W633" s="109"/>
      <c r="X633" s="238" t="s">
        <v>108</v>
      </c>
      <c r="Y633" s="88"/>
      <c r="AA633" s="219"/>
      <c r="AB633" s="219"/>
      <c r="AC633" s="246"/>
      <c r="AL633" s="82"/>
      <c r="AM633" s="82"/>
      <c r="AN633" s="82"/>
      <c r="AO633" s="82"/>
      <c r="AP633" s="82"/>
      <c r="AQ633" s="82"/>
      <c r="AR633" s="82"/>
      <c r="AS633" s="82"/>
    </row>
    <row r="634" spans="1:45" ht="15.75">
      <c r="A634" s="138" t="s">
        <v>212</v>
      </c>
      <c r="B634" s="179"/>
      <c r="C634" s="152"/>
      <c r="D634" s="238"/>
      <c r="E634" s="195"/>
      <c r="F634" s="109"/>
      <c r="G634" s="238"/>
      <c r="H634" s="195"/>
      <c r="I634" s="109"/>
      <c r="J634" s="238"/>
      <c r="K634" s="195"/>
      <c r="L634" s="109"/>
      <c r="M634" s="109"/>
      <c r="N634" s="238"/>
      <c r="O634" s="195"/>
      <c r="P634" s="109"/>
      <c r="Q634" s="109"/>
      <c r="R634" s="238"/>
      <c r="S634" s="195"/>
      <c r="T634" s="109"/>
      <c r="U634" s="109"/>
      <c r="V634" s="238"/>
      <c r="W634" s="195"/>
      <c r="X634" s="109"/>
      <c r="Y634" s="88"/>
      <c r="AA634" s="219"/>
      <c r="AB634" s="219"/>
      <c r="AC634" s="88"/>
      <c r="AL634" s="82"/>
      <c r="AM634" s="82"/>
      <c r="AN634" s="82"/>
      <c r="AO634" s="82"/>
      <c r="AP634" s="82"/>
      <c r="AQ634" s="82"/>
      <c r="AR634" s="82"/>
      <c r="AS634" s="82"/>
    </row>
    <row r="635" spans="1:45" ht="15.75">
      <c r="A635" s="138" t="s">
        <v>213</v>
      </c>
      <c r="B635" s="179"/>
      <c r="C635" s="152">
        <f>C686+C737</f>
        <v>3152.4964645755495</v>
      </c>
      <c r="D635" s="238">
        <v>23.87</v>
      </c>
      <c r="E635" s="195"/>
      <c r="F635" s="109">
        <f>F686+F737</f>
        <v>75251</v>
      </c>
      <c r="G635" s="238">
        <v>25.265901957370488</v>
      </c>
      <c r="H635" s="195"/>
      <c r="I635" s="109">
        <f>I686+I737</f>
        <v>79651</v>
      </c>
      <c r="J635" s="238">
        <f>G635</f>
        <v>25.265901957370488</v>
      </c>
      <c r="K635" s="195"/>
      <c r="L635" s="109">
        <f>L686+L737</f>
        <v>79651</v>
      </c>
      <c r="M635" s="109"/>
      <c r="N635" s="238">
        <f>J635</f>
        <v>25.265901957370488</v>
      </c>
      <c r="O635" s="195"/>
      <c r="P635" s="109">
        <f>P686+P737</f>
        <v>79651</v>
      </c>
      <c r="Q635" s="109"/>
      <c r="R635" s="238"/>
      <c r="S635" s="195"/>
      <c r="T635" s="109"/>
      <c r="U635" s="109"/>
      <c r="V635" s="238"/>
      <c r="W635" s="195"/>
      <c r="X635" s="109"/>
      <c r="Y635" s="315"/>
      <c r="AA635" s="146"/>
      <c r="AB635" s="146"/>
      <c r="AC635" s="88"/>
      <c r="AN635" s="82"/>
      <c r="AO635" s="82"/>
      <c r="AP635" s="82"/>
      <c r="AQ635" s="82"/>
      <c r="AR635" s="82"/>
      <c r="AS635" s="82"/>
    </row>
    <row r="636" spans="1:45" ht="15.75">
      <c r="A636" s="138" t="s">
        <v>214</v>
      </c>
      <c r="B636" s="179"/>
      <c r="C636" s="152"/>
      <c r="D636" s="238"/>
      <c r="E636" s="195"/>
      <c r="F636" s="109"/>
      <c r="G636" s="238"/>
      <c r="H636" s="195"/>
      <c r="I636" s="109"/>
      <c r="J636" s="238"/>
      <c r="K636" s="195"/>
      <c r="L636" s="109"/>
      <c r="M636" s="109"/>
      <c r="N636" s="238"/>
      <c r="O636" s="195"/>
      <c r="P636" s="109"/>
      <c r="Q636" s="109"/>
      <c r="R636" s="238"/>
      <c r="S636" s="195"/>
      <c r="T636" s="109"/>
      <c r="U636" s="109"/>
      <c r="V636" s="238"/>
      <c r="W636" s="195"/>
      <c r="X636" s="109"/>
      <c r="Y636" s="315"/>
      <c r="AA636" s="219"/>
      <c r="AB636" s="219"/>
      <c r="AC636" s="88"/>
      <c r="AN636" s="82"/>
      <c r="AO636" s="82"/>
      <c r="AP636" s="82"/>
      <c r="AQ636" s="82"/>
      <c r="AR636" s="82"/>
      <c r="AS636" s="82"/>
    </row>
    <row r="637" spans="1:45" ht="15.75">
      <c r="A637" s="138" t="s">
        <v>207</v>
      </c>
      <c r="B637" s="179"/>
      <c r="C637" s="152">
        <f>C688+C739</f>
        <v>51992.896589696982</v>
      </c>
      <c r="D637" s="238">
        <v>23.79</v>
      </c>
      <c r="E637" s="195"/>
      <c r="F637" s="109">
        <f>F688+F739</f>
        <v>1236911</v>
      </c>
      <c r="G637" s="238">
        <v>25.171223609796559</v>
      </c>
      <c r="H637" s="195"/>
      <c r="I637" s="109">
        <f>I688+I739</f>
        <v>1308725</v>
      </c>
      <c r="J637" s="238">
        <f t="shared" ref="J637:J641" si="139">G637</f>
        <v>25.171223609796559</v>
      </c>
      <c r="K637" s="195"/>
      <c r="L637" s="109">
        <f>L688+L739</f>
        <v>1308725</v>
      </c>
      <c r="M637" s="109"/>
      <c r="N637" s="238">
        <f t="shared" ref="N637:N641" si="140">J637</f>
        <v>25.171223609796559</v>
      </c>
      <c r="O637" s="195"/>
      <c r="P637" s="109">
        <f>P688+P739</f>
        <v>1308725</v>
      </c>
      <c r="Q637" s="109"/>
      <c r="R637" s="238"/>
      <c r="S637" s="195"/>
      <c r="T637" s="109"/>
      <c r="U637" s="109"/>
      <c r="V637" s="238"/>
      <c r="W637" s="195"/>
      <c r="X637" s="109"/>
      <c r="Y637" s="315"/>
      <c r="AA637" s="146"/>
      <c r="AB637" s="146"/>
      <c r="AC637" s="88"/>
      <c r="AN637" s="82"/>
      <c r="AO637" s="82"/>
      <c r="AP637" s="82"/>
      <c r="AQ637" s="82"/>
      <c r="AR637" s="82"/>
      <c r="AS637" s="82"/>
    </row>
    <row r="638" spans="1:45" ht="15.75">
      <c r="A638" s="138" t="s">
        <v>208</v>
      </c>
      <c r="B638" s="179"/>
      <c r="C638" s="152">
        <f>C689+C740</f>
        <v>40499.362465837236</v>
      </c>
      <c r="D638" s="238">
        <v>16.559999999999999</v>
      </c>
      <c r="E638" s="195"/>
      <c r="F638" s="109">
        <f>F689+F740</f>
        <v>670669</v>
      </c>
      <c r="G638" s="238">
        <v>17.5284179478029</v>
      </c>
      <c r="H638" s="195"/>
      <c r="I638" s="109">
        <f>I689+I740</f>
        <v>709890</v>
      </c>
      <c r="J638" s="238">
        <f t="shared" si="139"/>
        <v>17.5284179478029</v>
      </c>
      <c r="K638" s="195"/>
      <c r="L638" s="109">
        <f>L689+L740</f>
        <v>709890</v>
      </c>
      <c r="M638" s="109"/>
      <c r="N638" s="238">
        <f t="shared" si="140"/>
        <v>17.5284179478029</v>
      </c>
      <c r="O638" s="195"/>
      <c r="P638" s="109">
        <f>P689+P740</f>
        <v>709890</v>
      </c>
      <c r="Q638" s="109"/>
      <c r="R638" s="238"/>
      <c r="S638" s="195"/>
      <c r="T638" s="109"/>
      <c r="U638" s="109"/>
      <c r="V638" s="238"/>
      <c r="W638" s="195"/>
      <c r="X638" s="109"/>
      <c r="Y638" s="315"/>
      <c r="AA638" s="146"/>
      <c r="AB638" s="146"/>
      <c r="AC638" s="88"/>
      <c r="AF638" s="114"/>
      <c r="AG638" s="114"/>
      <c r="AH638" s="114"/>
      <c r="AI638" s="114"/>
      <c r="AJ638" s="114"/>
      <c r="AK638" s="190"/>
      <c r="AL638" s="82" t="s">
        <v>108</v>
      </c>
      <c r="AM638" s="82"/>
      <c r="AN638" s="82"/>
      <c r="AO638" s="82"/>
      <c r="AP638" s="82"/>
      <c r="AQ638" s="82"/>
      <c r="AR638" s="82"/>
      <c r="AS638" s="82"/>
    </row>
    <row r="639" spans="1:45" ht="15.75">
      <c r="A639" s="138" t="s">
        <v>209</v>
      </c>
      <c r="B639" s="179" t="s">
        <v>108</v>
      </c>
      <c r="C639" s="152">
        <f>C690+C741</f>
        <v>5276</v>
      </c>
      <c r="D639" s="238">
        <v>12.96</v>
      </c>
      <c r="E639" s="195"/>
      <c r="F639" s="109">
        <f>F690+F741</f>
        <v>68377</v>
      </c>
      <c r="G639" s="238">
        <v>13.717892306976186</v>
      </c>
      <c r="H639" s="195"/>
      <c r="I639" s="109">
        <f>I690+I741</f>
        <v>72376</v>
      </c>
      <c r="J639" s="238">
        <f t="shared" si="139"/>
        <v>13.717892306976186</v>
      </c>
      <c r="K639" s="195"/>
      <c r="L639" s="109">
        <f>L690+L741</f>
        <v>72376</v>
      </c>
      <c r="M639" s="109"/>
      <c r="N639" s="238">
        <f t="shared" si="140"/>
        <v>13.717892306976186</v>
      </c>
      <c r="O639" s="195"/>
      <c r="P639" s="109">
        <f>P690+P741</f>
        <v>72376</v>
      </c>
      <c r="Q639" s="109"/>
      <c r="R639" s="238"/>
      <c r="S639" s="195"/>
      <c r="T639" s="109"/>
      <c r="U639" s="109"/>
      <c r="V639" s="238"/>
      <c r="W639" s="195"/>
      <c r="X639" s="109"/>
      <c r="Y639" s="315"/>
      <c r="AA639" s="146"/>
      <c r="AB639" s="146"/>
      <c r="AC639" s="88"/>
      <c r="AL639" s="82" t="s">
        <v>108</v>
      </c>
      <c r="AM639" s="82"/>
      <c r="AN639" s="82"/>
      <c r="AO639" s="82"/>
      <c r="AP639" s="82"/>
      <c r="AQ639" s="82"/>
      <c r="AR639" s="82"/>
      <c r="AS639" s="82"/>
    </row>
    <row r="640" spans="1:45" ht="15.75">
      <c r="A640" s="138" t="s">
        <v>215</v>
      </c>
      <c r="B640" s="179"/>
      <c r="C640" s="152">
        <f>C691+C742</f>
        <v>590.57780050582846</v>
      </c>
      <c r="D640" s="238">
        <v>71.61</v>
      </c>
      <c r="E640" s="195"/>
      <c r="F640" s="109">
        <f>F691+F742</f>
        <v>42292</v>
      </c>
      <c r="G640" s="238">
        <v>75.797705872111464</v>
      </c>
      <c r="H640" s="195"/>
      <c r="I640" s="109">
        <f>I691+I742</f>
        <v>44765</v>
      </c>
      <c r="J640" s="238">
        <f t="shared" si="139"/>
        <v>75.797705872111464</v>
      </c>
      <c r="K640" s="195"/>
      <c r="L640" s="109">
        <f>L691+L742</f>
        <v>44765</v>
      </c>
      <c r="M640" s="109"/>
      <c r="N640" s="238">
        <f t="shared" si="140"/>
        <v>75.797705872111464</v>
      </c>
      <c r="O640" s="195"/>
      <c r="P640" s="109">
        <f>P691+P742</f>
        <v>44765</v>
      </c>
      <c r="Q640" s="109"/>
      <c r="R640" s="238"/>
      <c r="S640" s="195"/>
      <c r="T640" s="109"/>
      <c r="U640" s="109"/>
      <c r="V640" s="238"/>
      <c r="W640" s="195"/>
      <c r="X640" s="109"/>
      <c r="Y640" s="88"/>
      <c r="AA640" s="146"/>
      <c r="AB640" s="146"/>
      <c r="AC640" s="88"/>
      <c r="AL640" s="82"/>
      <c r="AM640" s="82"/>
      <c r="AN640" s="82"/>
      <c r="AO640" s="82"/>
      <c r="AP640" s="82"/>
      <c r="AQ640" s="82"/>
      <c r="AR640" s="82"/>
      <c r="AS640" s="82"/>
    </row>
    <row r="641" spans="1:45" ht="15.75">
      <c r="A641" s="138" t="s">
        <v>216</v>
      </c>
      <c r="B641" s="179"/>
      <c r="C641" s="152">
        <f>C692+C743</f>
        <v>1018.0903941811775</v>
      </c>
      <c r="D641" s="238">
        <v>142.74</v>
      </c>
      <c r="E641" s="195"/>
      <c r="F641" s="109">
        <f>F692+F743</f>
        <v>145322</v>
      </c>
      <c r="G641" s="238">
        <v>151.02734165877936</v>
      </c>
      <c r="H641" s="195"/>
      <c r="I641" s="109">
        <f>I692+I743</f>
        <v>153760</v>
      </c>
      <c r="J641" s="238">
        <f t="shared" si="139"/>
        <v>151.02734165877936</v>
      </c>
      <c r="K641" s="195"/>
      <c r="L641" s="109">
        <f>L692+L743</f>
        <v>153760</v>
      </c>
      <c r="M641" s="109"/>
      <c r="N641" s="238">
        <f t="shared" si="140"/>
        <v>151.02734165877936</v>
      </c>
      <c r="O641" s="195"/>
      <c r="P641" s="109">
        <f>P692+P743</f>
        <v>153760</v>
      </c>
      <c r="Q641" s="109"/>
      <c r="R641" s="238"/>
      <c r="S641" s="195"/>
      <c r="T641" s="109"/>
      <c r="U641" s="109"/>
      <c r="V641" s="238"/>
      <c r="W641" s="195"/>
      <c r="X641" s="109"/>
      <c r="Y641" s="88"/>
      <c r="AA641" s="146"/>
      <c r="AB641" s="146"/>
      <c r="AC641" s="88"/>
      <c r="AL641" s="82"/>
      <c r="AM641" s="82"/>
      <c r="AN641" s="82"/>
      <c r="AO641" s="82"/>
      <c r="AP641" s="82"/>
      <c r="AQ641" s="82"/>
      <c r="AR641" s="82"/>
      <c r="AS641" s="82"/>
    </row>
    <row r="642" spans="1:45" ht="15.75">
      <c r="A642" s="138" t="s">
        <v>217</v>
      </c>
      <c r="B642" s="179"/>
      <c r="C642" s="152"/>
      <c r="D642" s="238"/>
      <c r="E642" s="195"/>
      <c r="F642" s="109"/>
      <c r="G642" s="238"/>
      <c r="H642" s="195"/>
      <c r="I642" s="109"/>
      <c r="J642" s="238"/>
      <c r="K642" s="195"/>
      <c r="L642" s="109"/>
      <c r="M642" s="109"/>
      <c r="N642" s="238"/>
      <c r="O642" s="195"/>
      <c r="P642" s="109"/>
      <c r="Q642" s="109"/>
      <c r="R642" s="238"/>
      <c r="S642" s="195"/>
      <c r="T642" s="109"/>
      <c r="U642" s="109"/>
      <c r="V642" s="238"/>
      <c r="W642" s="195"/>
      <c r="X642" s="109"/>
      <c r="Y642" s="88"/>
      <c r="AA642" s="84"/>
      <c r="AB642" s="84"/>
      <c r="AC642" s="88"/>
      <c r="AL642" s="82"/>
      <c r="AM642" s="82"/>
      <c r="AN642" s="82"/>
      <c r="AO642" s="82"/>
      <c r="AP642" s="82"/>
      <c r="AQ642" s="82"/>
      <c r="AR642" s="82"/>
      <c r="AS642" s="82"/>
    </row>
    <row r="643" spans="1:45" ht="15.75">
      <c r="A643" s="138" t="s">
        <v>213</v>
      </c>
      <c r="B643" s="179"/>
      <c r="C643" s="152">
        <f>C694+C745</f>
        <v>41.301659380740766</v>
      </c>
      <c r="D643" s="238">
        <v>-23.87</v>
      </c>
      <c r="E643" s="195"/>
      <c r="F643" s="109">
        <f>F694+F745</f>
        <v>-986</v>
      </c>
      <c r="G643" s="238">
        <v>-25.265901957370488</v>
      </c>
      <c r="H643" s="195"/>
      <c r="I643" s="109">
        <f>I694+I745</f>
        <v>-1043</v>
      </c>
      <c r="J643" s="238">
        <f>-J635</f>
        <v>-25.265901957370488</v>
      </c>
      <c r="K643" s="195"/>
      <c r="L643" s="109">
        <f>L694+L745</f>
        <v>-1043</v>
      </c>
      <c r="M643" s="109"/>
      <c r="N643" s="238">
        <f>-N635</f>
        <v>-25.265901957370488</v>
      </c>
      <c r="O643" s="195"/>
      <c r="P643" s="109">
        <f>P694+P745</f>
        <v>-1043</v>
      </c>
      <c r="Q643" s="109"/>
      <c r="R643" s="238"/>
      <c r="S643" s="195"/>
      <c r="T643" s="109"/>
      <c r="U643" s="109"/>
      <c r="V643" s="238"/>
      <c r="W643" s="195"/>
      <c r="X643" s="109"/>
      <c r="Y643" s="88"/>
      <c r="AA643" s="84"/>
      <c r="AB643" s="84"/>
      <c r="AC643" s="88"/>
      <c r="AL643" s="82"/>
      <c r="AM643" s="82"/>
      <c r="AN643" s="82"/>
      <c r="AO643" s="82"/>
      <c r="AP643" s="82"/>
      <c r="AQ643" s="82"/>
      <c r="AR643" s="82"/>
      <c r="AS643" s="82"/>
    </row>
    <row r="644" spans="1:45" ht="15.75">
      <c r="A644" s="138" t="s">
        <v>218</v>
      </c>
      <c r="B644" s="179"/>
      <c r="C644" s="152">
        <f>C695+C746</f>
        <v>311.0071403485303</v>
      </c>
      <c r="D644" s="238">
        <v>-23.79</v>
      </c>
      <c r="E644" s="195"/>
      <c r="F644" s="109">
        <f>F695+F746</f>
        <v>-7399</v>
      </c>
      <c r="G644" s="238">
        <v>-25.171223609796559</v>
      </c>
      <c r="H644" s="195"/>
      <c r="I644" s="109">
        <f>I695+I746</f>
        <v>-7828</v>
      </c>
      <c r="J644" s="238">
        <f>-J637</f>
        <v>-25.171223609796559</v>
      </c>
      <c r="K644" s="195"/>
      <c r="L644" s="109">
        <f>L695+L746</f>
        <v>-7828</v>
      </c>
      <c r="M644" s="109"/>
      <c r="N644" s="238">
        <f>-N637</f>
        <v>-25.171223609796559</v>
      </c>
      <c r="O644" s="195"/>
      <c r="P644" s="109">
        <f>P695+P746</f>
        <v>-7828</v>
      </c>
      <c r="Q644" s="109"/>
      <c r="R644" s="238"/>
      <c r="S644" s="195"/>
      <c r="T644" s="109"/>
      <c r="U644" s="109"/>
      <c r="V644" s="238"/>
      <c r="W644" s="195"/>
      <c r="X644" s="109"/>
      <c r="Y644" s="88"/>
      <c r="AA644" s="84"/>
      <c r="AB644" s="84"/>
      <c r="AC644" s="88"/>
      <c r="AL644" s="82"/>
      <c r="AM644" s="82"/>
      <c r="AN644" s="82"/>
      <c r="AO644" s="82"/>
      <c r="AP644" s="82"/>
      <c r="AQ644" s="82"/>
      <c r="AR644" s="82"/>
      <c r="AS644" s="82"/>
    </row>
    <row r="645" spans="1:45" ht="15.75">
      <c r="A645" s="226" t="s">
        <v>181</v>
      </c>
      <c r="B645" s="179"/>
      <c r="C645" s="152"/>
      <c r="D645" s="238"/>
      <c r="E645" s="109"/>
      <c r="F645" s="109"/>
      <c r="G645" s="238"/>
      <c r="H645" s="109"/>
      <c r="I645" s="109"/>
      <c r="J645" s="238"/>
      <c r="K645" s="109"/>
      <c r="L645" s="109"/>
      <c r="M645" s="109"/>
      <c r="N645" s="238"/>
      <c r="O645" s="109"/>
      <c r="P645" s="109"/>
      <c r="Q645" s="109" t="s">
        <v>108</v>
      </c>
      <c r="R645" s="238"/>
      <c r="S645" s="109"/>
      <c r="T645" s="109"/>
      <c r="U645" s="109"/>
      <c r="V645" s="238"/>
      <c r="W645" s="109"/>
      <c r="X645" s="109"/>
      <c r="Y645" s="88"/>
      <c r="AA645" s="84"/>
      <c r="AB645" s="84"/>
      <c r="AC645" s="88"/>
      <c r="AD645" s="84" t="s">
        <v>108</v>
      </c>
      <c r="AL645" s="82"/>
      <c r="AM645" s="82"/>
      <c r="AN645" s="82"/>
      <c r="AO645" s="82"/>
      <c r="AP645" s="82"/>
      <c r="AQ645" s="82"/>
      <c r="AR645" s="82"/>
      <c r="AS645" s="82"/>
    </row>
    <row r="646" spans="1:45" ht="15.75">
      <c r="A646" s="138" t="s">
        <v>219</v>
      </c>
      <c r="B646" s="179"/>
      <c r="C646" s="152">
        <f>C697+C748</f>
        <v>148745366.55847031</v>
      </c>
      <c r="D646" s="316">
        <v>6.4390000000000001</v>
      </c>
      <c r="E646" s="109" t="s">
        <v>116</v>
      </c>
      <c r="F646" s="109">
        <f>F697+F748</f>
        <v>9577714</v>
      </c>
      <c r="G646" s="316">
        <v>6.8159999999999998</v>
      </c>
      <c r="H646" s="109" t="s">
        <v>116</v>
      </c>
      <c r="I646" s="109">
        <f>I697+I748</f>
        <v>10138484</v>
      </c>
      <c r="J646" s="316">
        <f>G646</f>
        <v>6.8159999999999998</v>
      </c>
      <c r="K646" s="109" t="s">
        <v>116</v>
      </c>
      <c r="L646" s="109">
        <f>L697+L748</f>
        <v>10138484</v>
      </c>
      <c r="M646" s="109"/>
      <c r="N646" s="316">
        <f>J646*AB623</f>
        <v>1.4623594425594229</v>
      </c>
      <c r="O646" s="109" t="s">
        <v>108</v>
      </c>
      <c r="P646" s="109">
        <f>P697+P748</f>
        <v>2175192</v>
      </c>
      <c r="Q646" s="109"/>
      <c r="R646" s="316">
        <f>J646*AA623</f>
        <v>1.0938897675890884</v>
      </c>
      <c r="S646" s="109" t="s">
        <v>116</v>
      </c>
      <c r="T646" s="109">
        <f>T697+T748</f>
        <v>1627110</v>
      </c>
      <c r="U646" s="109"/>
      <c r="V646" s="316">
        <f>Z623*J646</f>
        <v>4.2597507898514877</v>
      </c>
      <c r="W646" s="109" t="s">
        <v>116</v>
      </c>
      <c r="X646" s="109">
        <f>X697+X748</f>
        <v>6336182</v>
      </c>
      <c r="Y646" s="317"/>
      <c r="AA646" s="146"/>
      <c r="AB646" s="146"/>
      <c r="AC646" s="88"/>
      <c r="AL646" s="82"/>
      <c r="AM646" s="82"/>
      <c r="AN646" s="82"/>
      <c r="AO646" s="82"/>
      <c r="AP646" s="82"/>
      <c r="AQ646" s="82"/>
      <c r="AR646" s="82"/>
      <c r="AS646" s="82"/>
    </row>
    <row r="647" spans="1:45" ht="15.75">
      <c r="A647" s="226" t="s">
        <v>155</v>
      </c>
      <c r="B647" s="179"/>
      <c r="C647" s="152">
        <f>C698+C749</f>
        <v>54173</v>
      </c>
      <c r="D647" s="318">
        <v>56</v>
      </c>
      <c r="E647" s="153" t="s">
        <v>116</v>
      </c>
      <c r="F647" s="109">
        <f>F698+F749</f>
        <v>30337</v>
      </c>
      <c r="G647" s="318">
        <v>56</v>
      </c>
      <c r="H647" s="153" t="s">
        <v>116</v>
      </c>
      <c r="I647" s="109">
        <f>I698+I749</f>
        <v>30337</v>
      </c>
      <c r="J647" s="318">
        <v>56</v>
      </c>
      <c r="K647" s="153" t="s">
        <v>116</v>
      </c>
      <c r="L647" s="109">
        <f>L698+L749</f>
        <v>30337</v>
      </c>
      <c r="M647" s="109"/>
      <c r="N647" s="318"/>
      <c r="O647" s="153"/>
      <c r="P647" s="109"/>
      <c r="Q647" s="109"/>
      <c r="R647" s="318">
        <f>J647*(AA623/(Z623+AA623))</f>
        <v>11.442274902048069</v>
      </c>
      <c r="S647" s="153" t="s">
        <v>116</v>
      </c>
      <c r="T647" s="109">
        <f>T698+T749</f>
        <v>6199</v>
      </c>
      <c r="U647" s="109"/>
      <c r="V647" s="318">
        <f>J647*(Z623/(Z623+AA623))</f>
        <v>44.557725097951931</v>
      </c>
      <c r="W647" s="153" t="s">
        <v>116</v>
      </c>
      <c r="X647" s="109">
        <f>X698+X749</f>
        <v>24138</v>
      </c>
      <c r="AA647" s="146"/>
      <c r="AB647" s="146"/>
      <c r="AC647" s="88"/>
      <c r="AL647" s="82"/>
      <c r="AM647" s="82"/>
      <c r="AN647" s="82"/>
      <c r="AO647" s="82"/>
      <c r="AP647" s="82"/>
      <c r="AQ647" s="82"/>
      <c r="AR647" s="82"/>
      <c r="AS647" s="82"/>
    </row>
    <row r="648" spans="1:45" ht="15.75">
      <c r="A648" s="281" t="s">
        <v>156</v>
      </c>
      <c r="B648" s="179"/>
      <c r="C648" s="152"/>
      <c r="D648" s="235">
        <v>-0.01</v>
      </c>
      <c r="E648" s="109"/>
      <c r="F648" s="109"/>
      <c r="G648" s="235">
        <v>-0.01</v>
      </c>
      <c r="H648" s="153"/>
      <c r="I648" s="109"/>
      <c r="J648" s="235">
        <v>-0.01</v>
      </c>
      <c r="K648" s="153"/>
      <c r="L648" s="109"/>
      <c r="M648" s="109"/>
      <c r="N648" s="235">
        <v>-0.01</v>
      </c>
      <c r="O648" s="153"/>
      <c r="P648" s="109"/>
      <c r="Q648" s="109"/>
      <c r="R648" s="235">
        <v>-0.01</v>
      </c>
      <c r="S648" s="153"/>
      <c r="T648" s="109"/>
      <c r="U648" s="109"/>
      <c r="V648" s="235">
        <v>-0.01</v>
      </c>
      <c r="W648" s="153"/>
      <c r="X648" s="109"/>
      <c r="AL648" s="82"/>
      <c r="AM648" s="82"/>
      <c r="AN648" s="82"/>
      <c r="AO648" s="82"/>
      <c r="AP648" s="82"/>
      <c r="AQ648" s="82"/>
      <c r="AR648" s="82"/>
      <c r="AS648" s="82"/>
    </row>
    <row r="649" spans="1:45" ht="15.75">
      <c r="A649" s="138" t="s">
        <v>147</v>
      </c>
      <c r="B649" s="179"/>
      <c r="C649" s="152">
        <f>C700+C751</f>
        <v>0</v>
      </c>
      <c r="D649" s="238">
        <v>0</v>
      </c>
      <c r="E649" s="195"/>
      <c r="F649" s="109">
        <f>F700+F751</f>
        <v>0</v>
      </c>
      <c r="G649" s="238">
        <v>0</v>
      </c>
      <c r="H649" s="195"/>
      <c r="I649" s="109">
        <f>I700+I751</f>
        <v>0</v>
      </c>
      <c r="J649" s="238">
        <f>J626</f>
        <v>0</v>
      </c>
      <c r="K649" s="195"/>
      <c r="L649" s="109">
        <f>L700+L751</f>
        <v>0</v>
      </c>
      <c r="M649" s="109"/>
      <c r="N649" s="238"/>
      <c r="O649" s="195"/>
      <c r="P649" s="109"/>
      <c r="Q649" s="109"/>
      <c r="R649" s="238"/>
      <c r="S649" s="195"/>
      <c r="T649" s="109"/>
      <c r="U649" s="109"/>
      <c r="V649" s="238"/>
      <c r="W649" s="195"/>
      <c r="X649" s="109"/>
      <c r="AL649" s="82"/>
      <c r="AM649" s="82"/>
      <c r="AN649" s="82"/>
      <c r="AO649" s="82"/>
      <c r="AP649" s="82"/>
      <c r="AQ649" s="82"/>
      <c r="AR649" s="82"/>
      <c r="AS649" s="82"/>
    </row>
    <row r="650" spans="1:45" ht="15.75">
      <c r="A650" s="138" t="s">
        <v>148</v>
      </c>
      <c r="B650" s="179"/>
      <c r="C650" s="152"/>
      <c r="D650" s="238"/>
      <c r="E650" s="195"/>
      <c r="F650" s="109"/>
      <c r="G650" s="238"/>
      <c r="H650" s="195"/>
      <c r="I650" s="109"/>
      <c r="J650" s="238"/>
      <c r="K650" s="195"/>
      <c r="L650" s="109"/>
      <c r="M650" s="109"/>
      <c r="N650" s="238"/>
      <c r="O650" s="195"/>
      <c r="P650" s="109"/>
      <c r="Q650" s="109"/>
      <c r="R650" s="238"/>
      <c r="S650" s="195"/>
      <c r="T650" s="109"/>
      <c r="U650" s="109"/>
      <c r="V650" s="238"/>
      <c r="W650" s="195"/>
      <c r="X650" s="109"/>
      <c r="AL650" s="82"/>
      <c r="AM650" s="82"/>
      <c r="AN650" s="82"/>
      <c r="AO650" s="82"/>
      <c r="AP650" s="82"/>
      <c r="AQ650" s="82"/>
      <c r="AR650" s="82"/>
      <c r="AS650" s="82"/>
    </row>
    <row r="651" spans="1:45" ht="15.75">
      <c r="A651" s="138" t="s">
        <v>207</v>
      </c>
      <c r="B651" s="179"/>
      <c r="C651" s="152">
        <f>C702+C753</f>
        <v>1.00272540556427</v>
      </c>
      <c r="D651" s="238">
        <v>0</v>
      </c>
      <c r="E651" s="195"/>
      <c r="F651" s="109">
        <f>F702+F753</f>
        <v>0</v>
      </c>
      <c r="G651" s="238">
        <v>0</v>
      </c>
      <c r="H651" s="195"/>
      <c r="I651" s="109">
        <f>I702+I753</f>
        <v>0</v>
      </c>
      <c r="J651" s="238">
        <f>J628</f>
        <v>0</v>
      </c>
      <c r="K651" s="195"/>
      <c r="L651" s="109">
        <f>L702+L753</f>
        <v>0</v>
      </c>
      <c r="M651" s="109"/>
      <c r="N651" s="238"/>
      <c r="O651" s="195"/>
      <c r="P651" s="109"/>
      <c r="Q651" s="109"/>
      <c r="R651" s="238"/>
      <c r="S651" s="195"/>
      <c r="T651" s="109"/>
      <c r="U651" s="109"/>
      <c r="V651" s="238"/>
      <c r="W651" s="195"/>
      <c r="X651" s="109"/>
      <c r="AL651" s="82"/>
      <c r="AM651" s="82"/>
      <c r="AN651" s="82"/>
      <c r="AO651" s="82"/>
      <c r="AP651" s="82"/>
      <c r="AQ651" s="82"/>
      <c r="AR651" s="82"/>
      <c r="AS651" s="82"/>
    </row>
    <row r="652" spans="1:45" ht="15.75">
      <c r="A652" s="138" t="s">
        <v>208</v>
      </c>
      <c r="B652" s="179"/>
      <c r="C652" s="152">
        <f>C703+C754</f>
        <v>0</v>
      </c>
      <c r="D652" s="238">
        <v>357</v>
      </c>
      <c r="E652" s="195"/>
      <c r="F652" s="109">
        <f>F703+F754</f>
        <v>0</v>
      </c>
      <c r="G652" s="238">
        <v>357</v>
      </c>
      <c r="H652" s="195"/>
      <c r="I652" s="109">
        <f>I703+I754</f>
        <v>0</v>
      </c>
      <c r="J652" s="238">
        <f>J629</f>
        <v>357</v>
      </c>
      <c r="K652" s="195"/>
      <c r="L652" s="109">
        <f>L703+L754</f>
        <v>0</v>
      </c>
      <c r="M652" s="109"/>
      <c r="N652" s="238"/>
      <c r="O652" s="195"/>
      <c r="P652" s="109"/>
      <c r="Q652" s="109"/>
      <c r="R652" s="238"/>
      <c r="S652" s="195"/>
      <c r="T652" s="109"/>
      <c r="U652" s="109"/>
      <c r="V652" s="238"/>
      <c r="W652" s="195"/>
      <c r="X652" s="109"/>
      <c r="AL652" s="82"/>
      <c r="AM652" s="82"/>
      <c r="AN652" s="82"/>
      <c r="AO652" s="82"/>
      <c r="AP652" s="82"/>
      <c r="AQ652" s="82"/>
      <c r="AR652" s="82"/>
      <c r="AS652" s="82"/>
    </row>
    <row r="653" spans="1:45" ht="15.75">
      <c r="A653" s="138" t="s">
        <v>209</v>
      </c>
      <c r="B653" s="179"/>
      <c r="C653" s="152">
        <f>C704+C755</f>
        <v>0</v>
      </c>
      <c r="D653" s="238">
        <v>1457</v>
      </c>
      <c r="E653" s="195"/>
      <c r="F653" s="109">
        <f>F704+F755</f>
        <v>0</v>
      </c>
      <c r="G653" s="238">
        <v>1457</v>
      </c>
      <c r="H653" s="195"/>
      <c r="I653" s="109">
        <f>I704+I755</f>
        <v>0</v>
      </c>
      <c r="J653" s="238">
        <f>J630</f>
        <v>1457</v>
      </c>
      <c r="K653" s="195"/>
      <c r="L653" s="109">
        <f>L704+L755</f>
        <v>0</v>
      </c>
      <c r="M653" s="109"/>
      <c r="N653" s="238"/>
      <c r="O653" s="195"/>
      <c r="P653" s="109"/>
      <c r="Q653" s="109"/>
      <c r="R653" s="238"/>
      <c r="S653" s="195"/>
      <c r="T653" s="109"/>
      <c r="U653" s="109"/>
      <c r="V653" s="238"/>
      <c r="W653" s="195"/>
      <c r="X653" s="109"/>
      <c r="AL653" s="82"/>
      <c r="AM653" s="82"/>
      <c r="AN653" s="82"/>
      <c r="AO653" s="82"/>
      <c r="AP653" s="82"/>
      <c r="AQ653" s="82"/>
      <c r="AR653" s="82"/>
      <c r="AS653" s="82"/>
    </row>
    <row r="654" spans="1:45" ht="15.75">
      <c r="A654" s="138" t="s">
        <v>147</v>
      </c>
      <c r="B654" s="179"/>
      <c r="C654" s="152">
        <f>C705+C756</f>
        <v>0</v>
      </c>
      <c r="D654" s="238">
        <v>23.87</v>
      </c>
      <c r="E654" s="195"/>
      <c r="F654" s="109">
        <f>F705+F756</f>
        <v>0</v>
      </c>
      <c r="G654" s="238">
        <v>25.265901957370488</v>
      </c>
      <c r="H654" s="195"/>
      <c r="I654" s="109">
        <f>I705+I756</f>
        <v>0</v>
      </c>
      <c r="J654" s="238">
        <f>J635</f>
        <v>25.265901957370488</v>
      </c>
      <c r="K654" s="195"/>
      <c r="L654" s="109">
        <f>L705+L756</f>
        <v>0</v>
      </c>
      <c r="M654" s="109"/>
      <c r="N654" s="238"/>
      <c r="O654" s="195"/>
      <c r="P654" s="109"/>
      <c r="Q654" s="109"/>
      <c r="R654" s="238"/>
      <c r="S654" s="195"/>
      <c r="T654" s="109"/>
      <c r="U654" s="109"/>
      <c r="V654" s="238"/>
      <c r="W654" s="195"/>
      <c r="X654" s="109"/>
      <c r="AL654" s="82"/>
      <c r="AM654" s="82"/>
      <c r="AN654" s="82"/>
      <c r="AO654" s="82"/>
      <c r="AP654" s="82"/>
      <c r="AQ654" s="82"/>
      <c r="AR654" s="82"/>
      <c r="AS654" s="82"/>
    </row>
    <row r="655" spans="1:45" ht="15.75">
      <c r="A655" s="138" t="s">
        <v>148</v>
      </c>
      <c r="B655" s="179"/>
      <c r="C655" s="152"/>
      <c r="D655" s="238"/>
      <c r="E655" s="195"/>
      <c r="F655" s="109"/>
      <c r="G655" s="238"/>
      <c r="H655" s="195"/>
      <c r="I655" s="109"/>
      <c r="J655" s="238"/>
      <c r="K655" s="195"/>
      <c r="L655" s="109"/>
      <c r="M655" s="109"/>
      <c r="N655" s="238"/>
      <c r="O655" s="195"/>
      <c r="P655" s="109"/>
      <c r="Q655" s="109"/>
      <c r="R655" s="238"/>
      <c r="S655" s="195"/>
      <c r="T655" s="109"/>
      <c r="U655" s="109"/>
      <c r="V655" s="238"/>
      <c r="W655" s="195"/>
      <c r="X655" s="109"/>
      <c r="AL655" s="82"/>
      <c r="AM655" s="82"/>
      <c r="AN655" s="82"/>
      <c r="AO655" s="82"/>
      <c r="AP655" s="82"/>
      <c r="AQ655" s="82"/>
      <c r="AR655" s="82"/>
      <c r="AS655" s="82"/>
    </row>
    <row r="656" spans="1:45" ht="15.75">
      <c r="A656" s="138" t="s">
        <v>207</v>
      </c>
      <c r="B656" s="179"/>
      <c r="C656" s="152">
        <f>C707+C758</f>
        <v>30.440941572089098</v>
      </c>
      <c r="D656" s="238">
        <v>23.79</v>
      </c>
      <c r="E656" s="195"/>
      <c r="F656" s="109">
        <f>F707+F758</f>
        <v>-7</v>
      </c>
      <c r="G656" s="238">
        <v>25.171223609796559</v>
      </c>
      <c r="H656" s="195"/>
      <c r="I656" s="109">
        <f>I707+I758</f>
        <v>-8</v>
      </c>
      <c r="J656" s="238">
        <f>J637</f>
        <v>25.171223609796559</v>
      </c>
      <c r="K656" s="195"/>
      <c r="L656" s="109">
        <f>L707+L758</f>
        <v>-8</v>
      </c>
      <c r="M656" s="109"/>
      <c r="N656" s="238">
        <f>N637</f>
        <v>25.171223609796559</v>
      </c>
      <c r="O656" s="195"/>
      <c r="P656" s="109">
        <f>P707+P758</f>
        <v>-8</v>
      </c>
      <c r="Q656" s="109"/>
      <c r="R656" s="238"/>
      <c r="S656" s="195"/>
      <c r="T656" s="109"/>
      <c r="U656" s="109"/>
      <c r="V656" s="238"/>
      <c r="W656" s="195"/>
      <c r="X656" s="109"/>
      <c r="AL656" s="82"/>
      <c r="AM656" s="82"/>
      <c r="AN656" s="82"/>
      <c r="AO656" s="82"/>
      <c r="AP656" s="82"/>
      <c r="AQ656" s="82"/>
      <c r="AR656" s="82"/>
      <c r="AS656" s="82"/>
    </row>
    <row r="657" spans="1:45" ht="15.75">
      <c r="A657" s="138" t="s">
        <v>208</v>
      </c>
      <c r="B657" s="179"/>
      <c r="C657" s="152">
        <f>C708+C759</f>
        <v>0</v>
      </c>
      <c r="D657" s="238">
        <v>16.559999999999999</v>
      </c>
      <c r="E657" s="195"/>
      <c r="F657" s="109">
        <f>F708+F759</f>
        <v>0</v>
      </c>
      <c r="G657" s="238">
        <v>17.5284179478029</v>
      </c>
      <c r="H657" s="195"/>
      <c r="I657" s="109">
        <f>I708+I759</f>
        <v>0</v>
      </c>
      <c r="J657" s="238">
        <f>J638</f>
        <v>17.5284179478029</v>
      </c>
      <c r="K657" s="195"/>
      <c r="L657" s="109">
        <f>L708+L759</f>
        <v>0</v>
      </c>
      <c r="M657" s="109"/>
      <c r="N657" s="238"/>
      <c r="O657" s="195"/>
      <c r="P657" s="109"/>
      <c r="Q657" s="109"/>
      <c r="R657" s="238"/>
      <c r="S657" s="195"/>
      <c r="T657" s="109"/>
      <c r="U657" s="109"/>
      <c r="V657" s="238"/>
      <c r="W657" s="195"/>
      <c r="X657" s="109"/>
      <c r="AL657" s="82"/>
      <c r="AM657" s="82"/>
      <c r="AN657" s="82"/>
      <c r="AO657" s="82"/>
      <c r="AP657" s="82"/>
      <c r="AQ657" s="82"/>
      <c r="AR657" s="82"/>
      <c r="AS657" s="82"/>
    </row>
    <row r="658" spans="1:45" ht="15.75">
      <c r="A658" s="138" t="s">
        <v>209</v>
      </c>
      <c r="B658" s="179"/>
      <c r="C658" s="152">
        <f>C709+C760</f>
        <v>0</v>
      </c>
      <c r="D658" s="238">
        <v>12.96</v>
      </c>
      <c r="E658" s="195"/>
      <c r="F658" s="109">
        <f>F709+F760</f>
        <v>0</v>
      </c>
      <c r="G658" s="238">
        <v>13.717892306976186</v>
      </c>
      <c r="H658" s="195"/>
      <c r="I658" s="109">
        <f>I709+I760</f>
        <v>0</v>
      </c>
      <c r="J658" s="238">
        <f>J639</f>
        <v>13.717892306976186</v>
      </c>
      <c r="K658" s="195"/>
      <c r="L658" s="109">
        <f>L709+L760</f>
        <v>0</v>
      </c>
      <c r="M658" s="109"/>
      <c r="N658" s="238"/>
      <c r="O658" s="195"/>
      <c r="P658" s="109"/>
      <c r="Q658" s="109"/>
      <c r="R658" s="238"/>
      <c r="S658" s="195"/>
      <c r="T658" s="109"/>
      <c r="U658" s="109"/>
      <c r="V658" s="238"/>
      <c r="W658" s="195"/>
      <c r="X658" s="109"/>
      <c r="AL658" s="82"/>
      <c r="AM658" s="82"/>
      <c r="AN658" s="82"/>
      <c r="AO658" s="82"/>
      <c r="AP658" s="82"/>
      <c r="AQ658" s="82"/>
      <c r="AR658" s="82"/>
      <c r="AS658" s="82"/>
    </row>
    <row r="659" spans="1:45" ht="15.75">
      <c r="A659" s="138" t="s">
        <v>221</v>
      </c>
      <c r="B659" s="179"/>
      <c r="C659" s="152">
        <f>C710+C761</f>
        <v>0</v>
      </c>
      <c r="D659" s="238">
        <v>71.61</v>
      </c>
      <c r="E659" s="195"/>
      <c r="F659" s="109">
        <f>F710+F761</f>
        <v>0</v>
      </c>
      <c r="G659" s="238">
        <v>75.797705872111464</v>
      </c>
      <c r="H659" s="195"/>
      <c r="I659" s="109">
        <f>I710+I761</f>
        <v>0</v>
      </c>
      <c r="J659" s="238">
        <f>J640</f>
        <v>75.797705872111464</v>
      </c>
      <c r="K659" s="195"/>
      <c r="L659" s="109">
        <f>L710+L761</f>
        <v>0</v>
      </c>
      <c r="M659" s="109"/>
      <c r="N659" s="238"/>
      <c r="O659" s="195"/>
      <c r="P659" s="109"/>
      <c r="Q659" s="109"/>
      <c r="R659" s="238"/>
      <c r="S659" s="195"/>
      <c r="T659" s="109"/>
      <c r="U659" s="109"/>
      <c r="V659" s="238"/>
      <c r="W659" s="195"/>
      <c r="X659" s="109"/>
      <c r="AL659" s="82"/>
      <c r="AM659" s="82"/>
      <c r="AN659" s="82"/>
      <c r="AO659" s="82"/>
      <c r="AP659" s="82"/>
      <c r="AQ659" s="82"/>
      <c r="AR659" s="82"/>
      <c r="AS659" s="82"/>
    </row>
    <row r="660" spans="1:45" ht="15.75">
      <c r="A660" s="138" t="s">
        <v>222</v>
      </c>
      <c r="B660" s="179"/>
      <c r="C660" s="152">
        <f>C711+C762</f>
        <v>0</v>
      </c>
      <c r="D660" s="238">
        <v>142.74</v>
      </c>
      <c r="E660" s="195"/>
      <c r="F660" s="109">
        <f>F711+F762</f>
        <v>0</v>
      </c>
      <c r="G660" s="238">
        <v>151.02734165877936</v>
      </c>
      <c r="H660" s="195"/>
      <c r="I660" s="109">
        <f>I711+I762</f>
        <v>0</v>
      </c>
      <c r="J660" s="238">
        <f>J641</f>
        <v>151.02734165877936</v>
      </c>
      <c r="K660" s="195"/>
      <c r="L660" s="109">
        <f>L711+L762</f>
        <v>0</v>
      </c>
      <c r="M660" s="109"/>
      <c r="N660" s="238"/>
      <c r="O660" s="195"/>
      <c r="P660" s="109"/>
      <c r="Q660" s="109"/>
      <c r="R660" s="238"/>
      <c r="S660" s="195"/>
      <c r="T660" s="109"/>
      <c r="U660" s="109"/>
      <c r="V660" s="238"/>
      <c r="W660" s="195"/>
      <c r="X660" s="109"/>
      <c r="AL660" s="82"/>
      <c r="AM660" s="82"/>
      <c r="AN660" s="82"/>
      <c r="AO660" s="82"/>
      <c r="AP660" s="82"/>
      <c r="AQ660" s="82"/>
      <c r="AR660" s="82"/>
      <c r="AS660" s="82"/>
    </row>
    <row r="661" spans="1:45" ht="15.75">
      <c r="A661" s="138" t="s">
        <v>217</v>
      </c>
      <c r="B661" s="179"/>
      <c r="C661" s="152"/>
      <c r="D661" s="238"/>
      <c r="E661" s="195"/>
      <c r="F661" s="109"/>
      <c r="G661" s="238"/>
      <c r="H661" s="195"/>
      <c r="I661" s="109"/>
      <c r="J661" s="238"/>
      <c r="K661" s="195"/>
      <c r="L661" s="109"/>
      <c r="M661" s="109"/>
      <c r="N661" s="238"/>
      <c r="O661" s="195"/>
      <c r="P661" s="109"/>
      <c r="Q661" s="109"/>
      <c r="R661" s="238"/>
      <c r="S661" s="195"/>
      <c r="T661" s="109"/>
      <c r="U661" s="109"/>
      <c r="V661" s="238"/>
      <c r="W661" s="195"/>
      <c r="X661" s="109"/>
      <c r="AL661" s="82"/>
      <c r="AM661" s="82"/>
      <c r="AN661" s="82"/>
      <c r="AO661" s="82"/>
      <c r="AP661" s="82"/>
      <c r="AQ661" s="82"/>
      <c r="AR661" s="82"/>
      <c r="AS661" s="82"/>
    </row>
    <row r="662" spans="1:45" ht="15.75">
      <c r="A662" s="138" t="s">
        <v>213</v>
      </c>
      <c r="B662" s="179"/>
      <c r="C662" s="152">
        <f>C713+C764</f>
        <v>0</v>
      </c>
      <c r="D662" s="238">
        <v>-23.87</v>
      </c>
      <c r="E662" s="195"/>
      <c r="F662" s="109">
        <f>F713+F764</f>
        <v>0</v>
      </c>
      <c r="G662" s="238">
        <v>-25.265901957370488</v>
      </c>
      <c r="H662" s="195"/>
      <c r="I662" s="109">
        <f>I713+I764</f>
        <v>0</v>
      </c>
      <c r="J662" s="238">
        <f>J643</f>
        <v>-25.265901957370488</v>
      </c>
      <c r="K662" s="195"/>
      <c r="L662" s="109">
        <f>L713+L764</f>
        <v>0</v>
      </c>
      <c r="M662" s="109"/>
      <c r="N662" s="238"/>
      <c r="O662" s="195"/>
      <c r="P662" s="109"/>
      <c r="Q662" s="109"/>
      <c r="R662" s="238"/>
      <c r="S662" s="195"/>
      <c r="T662" s="109"/>
      <c r="U662" s="109"/>
      <c r="V662" s="238"/>
      <c r="W662" s="195"/>
      <c r="X662" s="109"/>
      <c r="AL662" s="82"/>
      <c r="AM662" s="82"/>
      <c r="AN662" s="82"/>
      <c r="AO662" s="82"/>
      <c r="AP662" s="82"/>
      <c r="AQ662" s="82"/>
      <c r="AR662" s="82"/>
      <c r="AS662" s="82"/>
    </row>
    <row r="663" spans="1:45" ht="15.75">
      <c r="A663" s="138" t="s">
        <v>218</v>
      </c>
      <c r="B663" s="179"/>
      <c r="C663" s="152">
        <f>C714+C765</f>
        <v>0</v>
      </c>
      <c r="D663" s="238">
        <v>-23.79</v>
      </c>
      <c r="E663" s="195"/>
      <c r="F663" s="109">
        <f>F714+F765</f>
        <v>0</v>
      </c>
      <c r="G663" s="238">
        <v>-25.171223609796559</v>
      </c>
      <c r="H663" s="195"/>
      <c r="I663" s="109">
        <f>I714+I765</f>
        <v>0</v>
      </c>
      <c r="J663" s="238">
        <f>J644</f>
        <v>-25.171223609796559</v>
      </c>
      <c r="K663" s="195"/>
      <c r="L663" s="109">
        <f>L714+L765</f>
        <v>0</v>
      </c>
      <c r="M663" s="109"/>
      <c r="N663" s="238"/>
      <c r="O663" s="195"/>
      <c r="P663" s="109"/>
      <c r="Q663" s="109"/>
      <c r="R663" s="238"/>
      <c r="S663" s="195"/>
      <c r="T663" s="109"/>
      <c r="U663" s="109"/>
      <c r="V663" s="238"/>
      <c r="W663" s="195"/>
      <c r="X663" s="109"/>
      <c r="AL663" s="82"/>
      <c r="AM663" s="82"/>
      <c r="AN663" s="82"/>
      <c r="AO663" s="82"/>
      <c r="AP663" s="82"/>
      <c r="AQ663" s="82"/>
      <c r="AR663" s="82"/>
      <c r="AS663" s="82"/>
    </row>
    <row r="664" spans="1:45" ht="15.75">
      <c r="A664" s="226" t="s">
        <v>181</v>
      </c>
      <c r="B664" s="179"/>
      <c r="C664" s="152"/>
      <c r="D664" s="238"/>
      <c r="E664" s="109"/>
      <c r="F664" s="109"/>
      <c r="G664" s="238"/>
      <c r="H664" s="109"/>
      <c r="I664" s="109"/>
      <c r="J664" s="238"/>
      <c r="K664" s="109"/>
      <c r="L664" s="109"/>
      <c r="M664" s="109"/>
      <c r="N664" s="238"/>
      <c r="O664" s="109"/>
      <c r="P664" s="109"/>
      <c r="Q664" s="109"/>
      <c r="R664" s="238"/>
      <c r="S664" s="109"/>
      <c r="T664" s="109"/>
      <c r="U664" s="109"/>
      <c r="V664" s="238"/>
      <c r="W664" s="109"/>
      <c r="X664" s="109"/>
      <c r="AL664" s="82"/>
      <c r="AM664" s="82"/>
      <c r="AN664" s="82"/>
      <c r="AO664" s="82"/>
      <c r="AP664" s="82"/>
      <c r="AQ664" s="82"/>
      <c r="AR664" s="82"/>
      <c r="AS664" s="82"/>
    </row>
    <row r="665" spans="1:45" ht="15.75">
      <c r="A665" s="138" t="s">
        <v>219</v>
      </c>
      <c r="B665" s="179"/>
      <c r="C665" s="152">
        <f t="shared" ref="C665:C670" si="141">C716+C767</f>
        <v>32140</v>
      </c>
      <c r="D665" s="319">
        <v>6.4390000000000001</v>
      </c>
      <c r="E665" s="109" t="s">
        <v>116</v>
      </c>
      <c r="F665" s="109">
        <f>F716+F767</f>
        <v>-21</v>
      </c>
      <c r="G665" s="319">
        <v>6.8159999999999998</v>
      </c>
      <c r="H665" s="109" t="s">
        <v>116</v>
      </c>
      <c r="I665" s="109">
        <f t="shared" ref="I665:I670" si="142">I716+I767</f>
        <v>-22</v>
      </c>
      <c r="J665" s="319">
        <f>J646</f>
        <v>6.8159999999999998</v>
      </c>
      <c r="K665" s="109" t="s">
        <v>116</v>
      </c>
      <c r="L665" s="109">
        <f t="shared" ref="L665:L671" si="143">L716+L767</f>
        <v>-22</v>
      </c>
      <c r="M665" s="109"/>
      <c r="N665" s="319">
        <f>N646</f>
        <v>1.4623594425594229</v>
      </c>
      <c r="O665" s="109" t="s">
        <v>108</v>
      </c>
      <c r="P665" s="109">
        <f>P716+P767</f>
        <v>-5</v>
      </c>
      <c r="Q665" s="109"/>
      <c r="R665" s="319">
        <f>R646</f>
        <v>1.0938897675890884</v>
      </c>
      <c r="S665" s="109" t="s">
        <v>116</v>
      </c>
      <c r="T665" s="109">
        <f>T716+T767</f>
        <v>-4</v>
      </c>
      <c r="U665" s="109"/>
      <c r="V665" s="319">
        <f>V646</f>
        <v>4.2597507898514877</v>
      </c>
      <c r="W665" s="109" t="s">
        <v>116</v>
      </c>
      <c r="X665" s="109">
        <f>V665*C665*V648/100</f>
        <v>-13.690839038582682</v>
      </c>
      <c r="AL665" s="82"/>
      <c r="AM665" s="82"/>
      <c r="AN665" s="82"/>
      <c r="AO665" s="82"/>
      <c r="AP665" s="82"/>
      <c r="AQ665" s="82"/>
      <c r="AR665" s="82"/>
      <c r="AS665" s="82"/>
    </row>
    <row r="666" spans="1:45" ht="15.75">
      <c r="A666" s="226" t="s">
        <v>155</v>
      </c>
      <c r="B666" s="179"/>
      <c r="C666" s="152">
        <f t="shared" si="141"/>
        <v>0</v>
      </c>
      <c r="D666" s="230">
        <v>56</v>
      </c>
      <c r="E666" s="109" t="s">
        <v>116</v>
      </c>
      <c r="F666" s="109">
        <f>F717+F768</f>
        <v>0</v>
      </c>
      <c r="G666" s="230">
        <v>56</v>
      </c>
      <c r="H666" s="153" t="s">
        <v>116</v>
      </c>
      <c r="I666" s="109">
        <f t="shared" si="142"/>
        <v>0</v>
      </c>
      <c r="J666" s="230">
        <f>J647</f>
        <v>56</v>
      </c>
      <c r="K666" s="153" t="s">
        <v>116</v>
      </c>
      <c r="L666" s="109">
        <f t="shared" si="143"/>
        <v>0</v>
      </c>
      <c r="M666" s="109"/>
      <c r="N666" s="230">
        <f>N647</f>
        <v>0</v>
      </c>
      <c r="O666" s="153" t="s">
        <v>108</v>
      </c>
      <c r="P666" s="109">
        <f>P717+P768</f>
        <v>0</v>
      </c>
      <c r="Q666" s="109"/>
      <c r="R666" s="230">
        <f>R647</f>
        <v>11.442274902048069</v>
      </c>
      <c r="S666" s="153" t="s">
        <v>116</v>
      </c>
      <c r="T666" s="109">
        <f>T717+T768</f>
        <v>0</v>
      </c>
      <c r="U666" s="109"/>
      <c r="V666" s="230">
        <f>V647</f>
        <v>44.557725097951931</v>
      </c>
      <c r="W666" s="153" t="s">
        <v>116</v>
      </c>
      <c r="X666" s="109">
        <f>V666*C666</f>
        <v>0</v>
      </c>
      <c r="AL666" s="82"/>
      <c r="AM666" s="82"/>
      <c r="AN666" s="82"/>
      <c r="AO666" s="82"/>
      <c r="AP666" s="82"/>
      <c r="AQ666" s="82"/>
      <c r="AR666" s="82"/>
      <c r="AS666" s="82"/>
    </row>
    <row r="667" spans="1:45" ht="15.75">
      <c r="A667" s="226" t="s">
        <v>198</v>
      </c>
      <c r="B667" s="179"/>
      <c r="C667" s="152">
        <f t="shared" si="141"/>
        <v>12</v>
      </c>
      <c r="D667" s="238">
        <v>60</v>
      </c>
      <c r="E667" s="109" t="s">
        <v>108</v>
      </c>
      <c r="F667" s="109">
        <f>F718+F769</f>
        <v>720</v>
      </c>
      <c r="G667" s="238">
        <v>60</v>
      </c>
      <c r="H667" s="153"/>
      <c r="I667" s="109">
        <f t="shared" si="142"/>
        <v>720</v>
      </c>
      <c r="J667" s="238">
        <v>60</v>
      </c>
      <c r="K667" s="153"/>
      <c r="L667" s="109">
        <f t="shared" si="143"/>
        <v>720</v>
      </c>
      <c r="M667" s="109"/>
      <c r="N667" s="238"/>
      <c r="O667" s="153"/>
      <c r="P667" s="109"/>
      <c r="Q667" s="109"/>
      <c r="R667" s="238">
        <f>J667*(AA623/(AA623+Z623))</f>
        <v>12.259580252194361</v>
      </c>
      <c r="S667" s="153"/>
      <c r="T667" s="109">
        <f>T718+T769</f>
        <v>147</v>
      </c>
      <c r="U667" s="109"/>
      <c r="V667" s="238">
        <f>J667*(Z623/(Z623+AA623))</f>
        <v>47.740419747805639</v>
      </c>
      <c r="W667" s="153"/>
      <c r="X667" s="128">
        <f>L667*(AA775/(Z775+AA775))</f>
        <v>575.17753493477267</v>
      </c>
      <c r="AL667" s="82"/>
      <c r="AM667" s="82"/>
      <c r="AN667" s="82"/>
      <c r="AO667" s="82"/>
      <c r="AP667" s="82"/>
      <c r="AQ667" s="82"/>
      <c r="AR667" s="82"/>
      <c r="AS667" s="82"/>
    </row>
    <row r="668" spans="1:45" ht="15.75">
      <c r="A668" s="226" t="s">
        <v>199</v>
      </c>
      <c r="B668" s="179"/>
      <c r="C668" s="152">
        <f t="shared" si="141"/>
        <v>30.440941572089098</v>
      </c>
      <c r="D668" s="318">
        <v>-30</v>
      </c>
      <c r="E668" s="109" t="s">
        <v>116</v>
      </c>
      <c r="F668" s="109">
        <f>F719+F770</f>
        <v>-913</v>
      </c>
      <c r="G668" s="318">
        <v>-30</v>
      </c>
      <c r="H668" s="109" t="s">
        <v>116</v>
      </c>
      <c r="I668" s="109">
        <f t="shared" si="142"/>
        <v>-9</v>
      </c>
      <c r="J668" s="320">
        <v>-30</v>
      </c>
      <c r="K668" s="109" t="s">
        <v>116</v>
      </c>
      <c r="L668" s="109">
        <f t="shared" si="143"/>
        <v>-9</v>
      </c>
      <c r="M668" s="109"/>
      <c r="N668" s="320">
        <v>-30</v>
      </c>
      <c r="O668" s="109" t="s">
        <v>116</v>
      </c>
      <c r="P668" s="109">
        <f>P719+P770</f>
        <v>-9</v>
      </c>
      <c r="Q668" s="109"/>
      <c r="R668" s="320"/>
      <c r="S668" s="109"/>
      <c r="T668" s="109"/>
      <c r="U668" s="109"/>
      <c r="V668" s="320"/>
      <c r="W668" s="109"/>
      <c r="X668" s="109"/>
      <c r="AL668" s="82"/>
      <c r="AM668" s="82"/>
      <c r="AN668" s="82"/>
      <c r="AO668" s="82"/>
      <c r="AP668" s="82"/>
      <c r="AQ668" s="82"/>
      <c r="AR668" s="82"/>
      <c r="AS668" s="82"/>
    </row>
    <row r="669" spans="1:45" ht="15.75">
      <c r="A669" s="179" t="s">
        <v>134</v>
      </c>
      <c r="B669" s="179"/>
      <c r="C669" s="152">
        <f t="shared" si="141"/>
        <v>148745366.55847031</v>
      </c>
      <c r="D669" s="195"/>
      <c r="E669" s="109"/>
      <c r="F669" s="109">
        <f>F720+F771</f>
        <v>12007758</v>
      </c>
      <c r="G669" s="195"/>
      <c r="H669" s="153"/>
      <c r="I669" s="109">
        <f t="shared" si="142"/>
        <v>12699289</v>
      </c>
      <c r="J669" s="109"/>
      <c r="K669" s="153"/>
      <c r="L669" s="128">
        <f t="shared" si="143"/>
        <v>12699289</v>
      </c>
      <c r="M669" s="128"/>
      <c r="N669" s="109"/>
      <c r="O669" s="153"/>
      <c r="P669" s="128">
        <f>P720+P771</f>
        <v>4704957</v>
      </c>
      <c r="Q669" s="128"/>
      <c r="R669" s="109"/>
      <c r="S669" s="153"/>
      <c r="T669" s="128">
        <f>T720+T771</f>
        <v>1633452</v>
      </c>
      <c r="U669" s="128"/>
      <c r="V669" s="109"/>
      <c r="W669" s="153"/>
      <c r="X669" s="128">
        <f>X720+X771</f>
        <v>6360879</v>
      </c>
      <c r="AA669" s="158"/>
      <c r="AB669" s="158"/>
      <c r="AL669" s="82"/>
      <c r="AM669" s="82"/>
      <c r="AN669" s="82"/>
      <c r="AO669" s="82"/>
      <c r="AP669" s="82"/>
      <c r="AQ669" s="82"/>
      <c r="AR669" s="82"/>
      <c r="AS669" s="82"/>
    </row>
    <row r="670" spans="1:45" ht="14.25" customHeight="1">
      <c r="A670" s="179" t="s">
        <v>119</v>
      </c>
      <c r="B670" s="179"/>
      <c r="C670" s="247">
        <f t="shared" si="141"/>
        <v>-212000</v>
      </c>
      <c r="D670" s="138"/>
      <c r="E670" s="138"/>
      <c r="F670" s="136">
        <f>I670</f>
        <v>-33000.000000000007</v>
      </c>
      <c r="G670" s="138"/>
      <c r="H670" s="138"/>
      <c r="I670" s="136">
        <f t="shared" si="142"/>
        <v>-33000.000000000007</v>
      </c>
      <c r="J670" s="138"/>
      <c r="K670" s="138"/>
      <c r="L670" s="321">
        <f t="shared" si="143"/>
        <v>-33000.000000000007</v>
      </c>
      <c r="M670" s="322"/>
      <c r="N670" s="138"/>
      <c r="O670" s="138"/>
      <c r="P670" s="321">
        <v>-7005.836637318359</v>
      </c>
      <c r="Q670" s="137"/>
      <c r="R670" s="138"/>
      <c r="S670" s="138"/>
      <c r="T670" s="321">
        <v>-5228.5261326274667</v>
      </c>
      <c r="U670" s="137"/>
      <c r="V670" s="138"/>
      <c r="W670" s="138"/>
      <c r="X670" s="321">
        <v>-20765.637230054184</v>
      </c>
      <c r="AL670" s="82"/>
      <c r="AM670" s="82"/>
      <c r="AN670" s="82"/>
      <c r="AO670" s="82"/>
      <c r="AP670" s="82"/>
      <c r="AQ670" s="82"/>
      <c r="AR670" s="82"/>
      <c r="AS670" s="82"/>
    </row>
    <row r="671" spans="1:45" ht="17.25" customHeight="1" thickBot="1">
      <c r="A671" s="179" t="s">
        <v>135</v>
      </c>
      <c r="B671" s="179"/>
      <c r="C671" s="288">
        <f>SUM(C669:C670)</f>
        <v>148533366.55847031</v>
      </c>
      <c r="D671" s="268"/>
      <c r="E671" s="250"/>
      <c r="F671" s="251">
        <f>F669+F670</f>
        <v>11974758</v>
      </c>
      <c r="G671" s="268"/>
      <c r="H671" s="269"/>
      <c r="I671" s="251">
        <f>I669+I670</f>
        <v>12666289</v>
      </c>
      <c r="J671" s="268"/>
      <c r="K671" s="269"/>
      <c r="L671" s="251">
        <f t="shared" si="143"/>
        <v>12666289</v>
      </c>
      <c r="M671" s="251"/>
      <c r="N671" s="268"/>
      <c r="O671" s="269"/>
      <c r="P671" s="251">
        <f>P722+P773</f>
        <v>4697951.1633626819</v>
      </c>
      <c r="Q671" s="251"/>
      <c r="R671" s="268"/>
      <c r="S671" s="269"/>
      <c r="T671" s="251">
        <f>T722+T773</f>
        <v>1628223.4738673726</v>
      </c>
      <c r="U671" s="251"/>
      <c r="V671" s="268"/>
      <c r="W671" s="269"/>
      <c r="X671" s="251">
        <f>SUM(X669:X670)</f>
        <v>6340113.3627699455</v>
      </c>
      <c r="Y671" s="143" t="s">
        <v>120</v>
      </c>
      <c r="Z671" s="144">
        <v>12666289</v>
      </c>
      <c r="AA671" s="145">
        <v>-0.32982437269094966</v>
      </c>
      <c r="AB671" s="102"/>
      <c r="AC671" s="219" t="s">
        <v>108</v>
      </c>
      <c r="AD671" s="219"/>
      <c r="AL671" s="82"/>
      <c r="AM671" s="82"/>
      <c r="AN671" s="82"/>
      <c r="AO671" s="82"/>
      <c r="AP671" s="82"/>
      <c r="AQ671" s="82"/>
      <c r="AR671" s="82"/>
      <c r="AS671" s="82"/>
    </row>
    <row r="672" spans="1:45" ht="16.5" thickTop="1">
      <c r="A672" s="179"/>
      <c r="B672" s="179"/>
      <c r="C672" s="298"/>
      <c r="D672" s="274" t="s">
        <v>108</v>
      </c>
      <c r="E672" s="258"/>
      <c r="F672" s="221"/>
      <c r="G672" s="274" t="s">
        <v>108</v>
      </c>
      <c r="H672" s="259"/>
      <c r="I672" s="221"/>
      <c r="J672" s="323" t="s">
        <v>108</v>
      </c>
      <c r="K672" s="259"/>
      <c r="L672" s="135"/>
      <c r="M672" s="135"/>
      <c r="N672" s="323" t="s">
        <v>108</v>
      </c>
      <c r="O672" s="259"/>
      <c r="P672" s="135" t="s">
        <v>108</v>
      </c>
      <c r="Q672" s="135"/>
      <c r="R672" s="323" t="s">
        <v>108</v>
      </c>
      <c r="S672" s="259"/>
      <c r="T672" s="135" t="s">
        <v>108</v>
      </c>
      <c r="U672" s="135"/>
      <c r="V672" s="323" t="s">
        <v>108</v>
      </c>
      <c r="W672" s="259"/>
      <c r="X672" s="135"/>
      <c r="Y672" s="154" t="s">
        <v>122</v>
      </c>
      <c r="Z672" s="155">
        <f>Z671-L671</f>
        <v>0</v>
      </c>
      <c r="AA672" s="324" t="s">
        <v>108</v>
      </c>
      <c r="AB672" s="207"/>
      <c r="AL672" s="82"/>
      <c r="AM672" s="82"/>
      <c r="AN672" s="82"/>
      <c r="AO672" s="82"/>
      <c r="AP672" s="82"/>
      <c r="AQ672" s="82"/>
      <c r="AR672" s="82"/>
      <c r="AS672" s="82"/>
    </row>
    <row r="673" spans="1:45" ht="15.75" hidden="1">
      <c r="A673" s="178" t="s">
        <v>202</v>
      </c>
      <c r="B673" s="179"/>
      <c r="C673" s="205"/>
      <c r="D673" s="243"/>
      <c r="E673" s="106"/>
      <c r="F673" s="106"/>
      <c r="G673" s="243"/>
      <c r="H673" s="179"/>
      <c r="I673" s="106"/>
      <c r="J673" s="243"/>
      <c r="K673" s="179"/>
      <c r="L673" s="106"/>
      <c r="M673" s="106"/>
      <c r="N673" s="243"/>
      <c r="O673" s="179"/>
      <c r="P673" s="106"/>
      <c r="Q673" s="106"/>
      <c r="R673" s="243"/>
      <c r="S673" s="179"/>
      <c r="T673" s="106"/>
      <c r="U673" s="106"/>
      <c r="V673" s="243"/>
      <c r="W673" s="179"/>
      <c r="X673" s="106" t="s">
        <v>108</v>
      </c>
      <c r="AL673" s="82"/>
      <c r="AM673" s="82"/>
      <c r="AN673" s="82"/>
      <c r="AO673" s="82"/>
      <c r="AP673" s="82"/>
      <c r="AQ673" s="82"/>
      <c r="AR673" s="82"/>
      <c r="AS673" s="82"/>
    </row>
    <row r="674" spans="1:45" ht="15.75" hidden="1">
      <c r="A674" s="138" t="s">
        <v>223</v>
      </c>
      <c r="B674" s="179"/>
      <c r="C674" s="205"/>
      <c r="D674" s="243"/>
      <c r="E674" s="106"/>
      <c r="F674" s="106"/>
      <c r="G674" s="243"/>
      <c r="H674" s="179"/>
      <c r="I674" s="106"/>
      <c r="J674" s="243"/>
      <c r="K674" s="179"/>
      <c r="L674" s="106"/>
      <c r="M674" s="106"/>
      <c r="N674" s="243"/>
      <c r="O674" s="179"/>
      <c r="P674" s="106"/>
      <c r="Q674" s="106"/>
      <c r="R674" s="243"/>
      <c r="S674" s="179"/>
      <c r="T674" s="106"/>
      <c r="U674" s="106"/>
      <c r="V674" s="243"/>
      <c r="W674" s="179"/>
      <c r="X674" s="106"/>
      <c r="Y674" s="114"/>
      <c r="Z674" s="264" t="s">
        <v>108</v>
      </c>
      <c r="AA674" s="190"/>
      <c r="AB674" s="190"/>
      <c r="AL674" s="82"/>
      <c r="AM674" s="82"/>
      <c r="AN674" s="82"/>
      <c r="AO674" s="82"/>
      <c r="AP674" s="82"/>
      <c r="AQ674" s="82"/>
      <c r="AR674" s="82"/>
      <c r="AS674" s="82"/>
    </row>
    <row r="675" spans="1:45" ht="15.75" hidden="1">
      <c r="A675" s="226"/>
      <c r="B675" s="179"/>
      <c r="C675" s="205"/>
      <c r="D675" s="243"/>
      <c r="E675" s="106"/>
      <c r="F675" s="270"/>
      <c r="G675" s="243"/>
      <c r="H675" s="179"/>
      <c r="I675" s="270"/>
      <c r="J675" s="243"/>
      <c r="K675" s="179"/>
      <c r="L675" s="325"/>
      <c r="M675" s="325"/>
      <c r="N675" s="243"/>
      <c r="O675" s="179"/>
      <c r="P675" s="325"/>
      <c r="Q675" s="325"/>
      <c r="R675" s="243"/>
      <c r="S675" s="179"/>
      <c r="T675" s="325"/>
      <c r="U675" s="325"/>
      <c r="V675" s="243"/>
      <c r="W675" s="179"/>
      <c r="X675" s="325"/>
      <c r="Y675" s="82"/>
      <c r="Z675" s="83"/>
      <c r="AA675" s="83"/>
      <c r="AB675" s="83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</row>
    <row r="676" spans="1:45" ht="15.75" hidden="1">
      <c r="A676" s="138" t="s">
        <v>204</v>
      </c>
      <c r="B676" s="179"/>
      <c r="C676" s="218"/>
      <c r="D676" s="106" t="s">
        <v>108</v>
      </c>
      <c r="E676" s="106"/>
      <c r="F676" s="179"/>
      <c r="G676" s="106" t="s">
        <v>108</v>
      </c>
      <c r="H676" s="179"/>
      <c r="I676" s="179"/>
      <c r="J676" s="106" t="s">
        <v>108</v>
      </c>
      <c r="K676" s="179"/>
      <c r="L676" s="179"/>
      <c r="M676" s="179"/>
      <c r="N676" s="106" t="s">
        <v>108</v>
      </c>
      <c r="O676" s="179"/>
      <c r="P676" s="179"/>
      <c r="Q676" s="179"/>
      <c r="R676" s="106" t="s">
        <v>108</v>
      </c>
      <c r="S676" s="179"/>
      <c r="T676" s="179"/>
      <c r="U676" s="179"/>
      <c r="V676" s="106" t="s">
        <v>108</v>
      </c>
      <c r="W676" s="179"/>
      <c r="X676" s="179"/>
      <c r="Y676" s="82"/>
      <c r="Z676" s="83"/>
      <c r="AA676" s="83"/>
      <c r="AB676" s="83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</row>
    <row r="677" spans="1:45" ht="15.75" hidden="1">
      <c r="A677" s="138" t="s">
        <v>205</v>
      </c>
      <c r="B677" s="179"/>
      <c r="C677" s="218">
        <v>986.1395345211788</v>
      </c>
      <c r="D677" s="243">
        <v>0</v>
      </c>
      <c r="E677" s="222"/>
      <c r="F677" s="220">
        <f>ROUND(D677*$C677,0)</f>
        <v>0</v>
      </c>
      <c r="G677" s="243">
        <v>0</v>
      </c>
      <c r="H677" s="222"/>
      <c r="I677" s="220">
        <f>ROUND(G677*C677,0)</f>
        <v>0</v>
      </c>
      <c r="J677" s="243">
        <f>$J$626</f>
        <v>0</v>
      </c>
      <c r="K677" s="222"/>
      <c r="L677" s="220">
        <f>ROUND(J677*$C677,0)</f>
        <v>0</v>
      </c>
      <c r="M677" s="220"/>
      <c r="N677" s="243"/>
      <c r="O677" s="222"/>
      <c r="P677" s="220"/>
      <c r="Q677" s="220"/>
      <c r="R677" s="243"/>
      <c r="S677" s="222"/>
      <c r="T677" s="220"/>
      <c r="U677" s="220"/>
      <c r="V677" s="243"/>
      <c r="W677" s="222"/>
      <c r="X677" s="220"/>
      <c r="Y677" s="82"/>
      <c r="Z677" s="83"/>
      <c r="AA677" s="83"/>
      <c r="AB677" s="83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</row>
    <row r="678" spans="1:45" ht="15.75" hidden="1">
      <c r="A678" s="138" t="s">
        <v>206</v>
      </c>
      <c r="B678" s="179"/>
      <c r="C678" s="218"/>
      <c r="D678" s="243"/>
      <c r="E678" s="222"/>
      <c r="F678" s="220"/>
      <c r="G678" s="243"/>
      <c r="H678" s="222"/>
      <c r="I678" s="220"/>
      <c r="J678" s="243"/>
      <c r="K678" s="222"/>
      <c r="L678" s="220"/>
      <c r="M678" s="220"/>
      <c r="N678" s="243"/>
      <c r="O678" s="222"/>
      <c r="P678" s="220"/>
      <c r="Q678" s="220"/>
      <c r="R678" s="243"/>
      <c r="S678" s="222"/>
      <c r="T678" s="220"/>
      <c r="U678" s="220"/>
      <c r="V678" s="243"/>
      <c r="W678" s="222"/>
      <c r="X678" s="220"/>
      <c r="Y678" s="82"/>
      <c r="Z678" s="83"/>
      <c r="AA678" s="83"/>
      <c r="AB678" s="83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</row>
    <row r="679" spans="1:45" ht="15.75" hidden="1">
      <c r="A679" s="138" t="s">
        <v>207</v>
      </c>
      <c r="B679" s="179"/>
      <c r="C679" s="218">
        <v>3633.5207084889003</v>
      </c>
      <c r="D679" s="243">
        <v>0</v>
      </c>
      <c r="E679" s="222"/>
      <c r="F679" s="220">
        <f>ROUND(D679*$C679,0)</f>
        <v>0</v>
      </c>
      <c r="G679" s="243">
        <v>0</v>
      </c>
      <c r="H679" s="222"/>
      <c r="I679" s="220">
        <f t="shared" ref="I679:I681" si="144">ROUND(G679*C679,0)</f>
        <v>0</v>
      </c>
      <c r="J679" s="243">
        <f>$J$628</f>
        <v>0</v>
      </c>
      <c r="K679" s="222"/>
      <c r="L679" s="220">
        <f>ROUND(J679*$C679,0)</f>
        <v>0</v>
      </c>
      <c r="M679" s="220"/>
      <c r="N679" s="243"/>
      <c r="O679" s="222"/>
      <c r="P679" s="220"/>
      <c r="Q679" s="220"/>
      <c r="R679" s="243"/>
      <c r="S679" s="222"/>
      <c r="T679" s="220"/>
      <c r="U679" s="220"/>
      <c r="V679" s="243"/>
      <c r="W679" s="222"/>
      <c r="X679" s="220"/>
      <c r="Y679" s="82"/>
      <c r="Z679" s="83"/>
      <c r="AA679" s="83"/>
      <c r="AB679" s="83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</row>
    <row r="680" spans="1:45" ht="15.75" hidden="1">
      <c r="A680" s="138" t="s">
        <v>208</v>
      </c>
      <c r="B680" s="179"/>
      <c r="C680" s="218">
        <v>410.813657710592</v>
      </c>
      <c r="D680" s="243">
        <v>357</v>
      </c>
      <c r="E680" s="222"/>
      <c r="F680" s="220">
        <f>ROUND(D680*$C680,0)</f>
        <v>146660</v>
      </c>
      <c r="G680" s="243">
        <v>357</v>
      </c>
      <c r="H680" s="222"/>
      <c r="I680" s="220">
        <f t="shared" si="144"/>
        <v>146660</v>
      </c>
      <c r="J680" s="243">
        <f>$J$629</f>
        <v>357</v>
      </c>
      <c r="K680" s="222"/>
      <c r="L680" s="220">
        <f>ROUND(J680*$C680,0)</f>
        <v>146660</v>
      </c>
      <c r="M680" s="220"/>
      <c r="N680" s="243">
        <f>$J$629</f>
        <v>357</v>
      </c>
      <c r="O680" s="222"/>
      <c r="P680" s="220">
        <f>ROUND(N680*$C680,0)</f>
        <v>146660</v>
      </c>
      <c r="Q680" s="220"/>
      <c r="R680" s="243"/>
      <c r="S680" s="222"/>
      <c r="T680" s="220"/>
      <c r="U680" s="220"/>
      <c r="V680" s="243"/>
      <c r="W680" s="222"/>
      <c r="X680" s="220"/>
      <c r="Y680" s="82"/>
      <c r="Z680" s="83"/>
      <c r="AA680" s="83"/>
      <c r="AB680" s="83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</row>
    <row r="681" spans="1:45" ht="15.75" hidden="1">
      <c r="A681" s="138" t="s">
        <v>209</v>
      </c>
      <c r="B681" s="179"/>
      <c r="C681" s="218">
        <v>12</v>
      </c>
      <c r="D681" s="243">
        <v>1457</v>
      </c>
      <c r="E681" s="222"/>
      <c r="F681" s="220">
        <f>ROUND(D681*$C681,0)</f>
        <v>17484</v>
      </c>
      <c r="G681" s="243">
        <v>1457</v>
      </c>
      <c r="H681" s="222"/>
      <c r="I681" s="220">
        <f t="shared" si="144"/>
        <v>17484</v>
      </c>
      <c r="J681" s="243">
        <f>$J$630</f>
        <v>1457</v>
      </c>
      <c r="K681" s="222"/>
      <c r="L681" s="220">
        <f>ROUND(J681*$C681,0)</f>
        <v>17484</v>
      </c>
      <c r="M681" s="220"/>
      <c r="N681" s="243">
        <f>$J$630</f>
        <v>1457</v>
      </c>
      <c r="O681" s="222"/>
      <c r="P681" s="220">
        <f>ROUND(N681*$C681,0)</f>
        <v>17484</v>
      </c>
      <c r="Q681" s="220"/>
      <c r="R681" s="243"/>
      <c r="S681" s="222"/>
      <c r="T681" s="220"/>
      <c r="U681" s="220"/>
      <c r="V681" s="243"/>
      <c r="W681" s="222"/>
      <c r="X681" s="220"/>
      <c r="Y681" s="82"/>
      <c r="Z681" s="83"/>
      <c r="AA681" s="83"/>
      <c r="AB681" s="83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</row>
    <row r="682" spans="1:45" ht="15.75" hidden="1">
      <c r="A682" s="138" t="s">
        <v>117</v>
      </c>
      <c r="B682" s="179"/>
      <c r="C682" s="218">
        <f>SUM(C677:C681)</f>
        <v>5042.4739007206717</v>
      </c>
      <c r="D682" s="243"/>
      <c r="E682" s="222"/>
      <c r="F682" s="220"/>
      <c r="G682" s="243"/>
      <c r="H682" s="222"/>
      <c r="I682" s="220"/>
      <c r="J682" s="243"/>
      <c r="K682" s="222"/>
      <c r="L682" s="220"/>
      <c r="M682" s="220"/>
      <c r="N682" s="243"/>
      <c r="O682" s="222"/>
      <c r="P682" s="220"/>
      <c r="Q682" s="220"/>
      <c r="R682" s="243"/>
      <c r="S682" s="222"/>
      <c r="T682" s="220"/>
      <c r="U682" s="220"/>
      <c r="V682" s="243"/>
      <c r="W682" s="222"/>
      <c r="X682" s="220"/>
      <c r="Y682" s="82"/>
      <c r="Z682" s="83"/>
      <c r="AA682" s="83"/>
      <c r="AB682" s="83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</row>
    <row r="683" spans="1:45" ht="15.75" hidden="1">
      <c r="A683" s="138" t="s">
        <v>210</v>
      </c>
      <c r="B683" s="179"/>
      <c r="C683" s="218">
        <v>37159.493333333157</v>
      </c>
      <c r="D683" s="243"/>
      <c r="E683" s="220"/>
      <c r="F683" s="220"/>
      <c r="G683" s="243"/>
      <c r="H683" s="220"/>
      <c r="I683" s="220"/>
      <c r="J683" s="243"/>
      <c r="K683" s="220"/>
      <c r="L683" s="220"/>
      <c r="M683" s="220"/>
      <c r="N683" s="243"/>
      <c r="O683" s="220"/>
      <c r="P683" s="220"/>
      <c r="Q683" s="220"/>
      <c r="R683" s="243"/>
      <c r="S683" s="220"/>
      <c r="T683" s="220"/>
      <c r="U683" s="220"/>
      <c r="V683" s="243"/>
      <c r="W683" s="220"/>
      <c r="X683" s="220"/>
      <c r="Y683" s="82"/>
      <c r="Z683" s="83"/>
      <c r="AA683" s="83"/>
      <c r="AB683" s="83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</row>
    <row r="684" spans="1:45" ht="15.75" hidden="1">
      <c r="A684" s="138" t="s">
        <v>211</v>
      </c>
      <c r="B684" s="179"/>
      <c r="C684" s="218">
        <v>5567</v>
      </c>
      <c r="D684" s="243"/>
      <c r="E684" s="220"/>
      <c r="F684" s="220"/>
      <c r="G684" s="243"/>
      <c r="H684" s="220"/>
      <c r="I684" s="220"/>
      <c r="J684" s="243"/>
      <c r="K684" s="220"/>
      <c r="L684" s="220"/>
      <c r="M684" s="220"/>
      <c r="N684" s="243"/>
      <c r="O684" s="220"/>
      <c r="P684" s="220"/>
      <c r="Q684" s="220"/>
      <c r="R684" s="243"/>
      <c r="S684" s="220"/>
      <c r="T684" s="220"/>
      <c r="U684" s="220"/>
      <c r="V684" s="243"/>
      <c r="W684" s="220"/>
      <c r="X684" s="220"/>
      <c r="Y684" s="82"/>
      <c r="Z684" s="83"/>
      <c r="AA684" s="83"/>
      <c r="AB684" s="83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</row>
    <row r="685" spans="1:45" ht="15.75" hidden="1">
      <c r="A685" s="138" t="s">
        <v>212</v>
      </c>
      <c r="B685" s="179"/>
      <c r="C685" s="218"/>
      <c r="D685" s="243"/>
      <c r="E685" s="222"/>
      <c r="F685" s="220"/>
      <c r="G685" s="243"/>
      <c r="H685" s="222"/>
      <c r="I685" s="220"/>
      <c r="J685" s="243"/>
      <c r="K685" s="222"/>
      <c r="L685" s="220"/>
      <c r="M685" s="220"/>
      <c r="N685" s="243"/>
      <c r="O685" s="222"/>
      <c r="P685" s="220"/>
      <c r="Q685" s="220"/>
      <c r="R685" s="243"/>
      <c r="S685" s="222"/>
      <c r="T685" s="220"/>
      <c r="U685" s="220"/>
      <c r="V685" s="243"/>
      <c r="W685" s="222"/>
      <c r="X685" s="220"/>
      <c r="Y685" s="82"/>
      <c r="Z685" s="83"/>
      <c r="AA685" s="83"/>
      <c r="AB685" s="83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</row>
    <row r="686" spans="1:45" ht="15.75" hidden="1">
      <c r="A686" s="138" t="s">
        <v>213</v>
      </c>
      <c r="B686" s="179"/>
      <c r="C686" s="218">
        <v>2927.8802098625206</v>
      </c>
      <c r="D686" s="243">
        <v>23.87</v>
      </c>
      <c r="E686" s="222"/>
      <c r="F686" s="220">
        <f>ROUND(D686*$C686,0)</f>
        <v>69889</v>
      </c>
      <c r="G686" s="243">
        <v>25.265901957370488</v>
      </c>
      <c r="H686" s="222"/>
      <c r="I686" s="220">
        <f>ROUND(G686*C686,0)</f>
        <v>73976</v>
      </c>
      <c r="J686" s="243">
        <f>$J$635</f>
        <v>25.265901957370488</v>
      </c>
      <c r="K686" s="222"/>
      <c r="L686" s="220">
        <f>ROUND(J686*$C686,0)</f>
        <v>73976</v>
      </c>
      <c r="M686" s="220"/>
      <c r="N686" s="243">
        <f>$N$635</f>
        <v>25.265901957370488</v>
      </c>
      <c r="O686" s="222"/>
      <c r="P686" s="220">
        <f>ROUND(N686*$C686,0)</f>
        <v>73976</v>
      </c>
      <c r="Q686" s="220"/>
      <c r="R686" s="243"/>
      <c r="S686" s="222"/>
      <c r="T686" s="220"/>
      <c r="U686" s="220"/>
      <c r="V686" s="243"/>
      <c r="W686" s="222"/>
      <c r="X686" s="220"/>
      <c r="Y686" s="82"/>
      <c r="Z686" s="83"/>
      <c r="AA686" s="83"/>
      <c r="AB686" s="83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</row>
    <row r="687" spans="1:45" ht="15.75" hidden="1">
      <c r="A687" s="138" t="s">
        <v>214</v>
      </c>
      <c r="B687" s="179"/>
      <c r="C687" s="218"/>
      <c r="D687" s="243"/>
      <c r="E687" s="222"/>
      <c r="F687" s="220"/>
      <c r="G687" s="243"/>
      <c r="H687" s="222"/>
      <c r="I687" s="220"/>
      <c r="J687" s="243"/>
      <c r="K687" s="222"/>
      <c r="L687" s="220"/>
      <c r="M687" s="220"/>
      <c r="N687" s="243"/>
      <c r="O687" s="222"/>
      <c r="P687" s="220"/>
      <c r="Q687" s="220"/>
      <c r="R687" s="243"/>
      <c r="S687" s="222"/>
      <c r="T687" s="220"/>
      <c r="U687" s="220"/>
      <c r="V687" s="243"/>
      <c r="W687" s="222"/>
      <c r="X687" s="220"/>
      <c r="Y687" s="82"/>
      <c r="Z687" s="83"/>
      <c r="AA687" s="83"/>
      <c r="AB687" s="83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</row>
    <row r="688" spans="1:45" ht="15.75" hidden="1">
      <c r="A688" s="138" t="s">
        <v>207</v>
      </c>
      <c r="B688" s="179"/>
      <c r="C688" s="218">
        <v>50218.019750688989</v>
      </c>
      <c r="D688" s="243">
        <v>23.79</v>
      </c>
      <c r="E688" s="222"/>
      <c r="F688" s="220">
        <f>ROUND(D688*$C688,0)</f>
        <v>1194687</v>
      </c>
      <c r="G688" s="243">
        <v>25.171223609796559</v>
      </c>
      <c r="H688" s="222"/>
      <c r="I688" s="220">
        <f t="shared" ref="I688:I692" si="145">ROUND(G688*C688,0)</f>
        <v>1264049</v>
      </c>
      <c r="J688" s="243">
        <f>$J$637</f>
        <v>25.171223609796559</v>
      </c>
      <c r="K688" s="222"/>
      <c r="L688" s="220">
        <f>ROUND(J688*$C688,0)</f>
        <v>1264049</v>
      </c>
      <c r="M688" s="220"/>
      <c r="N688" s="243">
        <f>$N$637</f>
        <v>25.171223609796559</v>
      </c>
      <c r="O688" s="222"/>
      <c r="P688" s="220">
        <f>ROUND(N688*$C688,0)</f>
        <v>1264049</v>
      </c>
      <c r="Q688" s="220"/>
      <c r="R688" s="243"/>
      <c r="S688" s="222"/>
      <c r="T688" s="220"/>
      <c r="U688" s="220"/>
      <c r="V688" s="243"/>
      <c r="W688" s="222"/>
      <c r="X688" s="220"/>
      <c r="Y688" s="82"/>
      <c r="Z688" s="83"/>
      <c r="AA688" s="83"/>
      <c r="AB688" s="83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</row>
    <row r="689" spans="1:45" ht="15.75" hidden="1">
      <c r="A689" s="138" t="s">
        <v>208</v>
      </c>
      <c r="B689" s="179"/>
      <c r="C689" s="218">
        <v>39269.471947631697</v>
      </c>
      <c r="D689" s="243">
        <v>16.559999999999999</v>
      </c>
      <c r="E689" s="222"/>
      <c r="F689" s="220">
        <f>ROUND(D689*$C689,0)</f>
        <v>650302</v>
      </c>
      <c r="G689" s="243">
        <v>17.5284179478029</v>
      </c>
      <c r="H689" s="222"/>
      <c r="I689" s="220">
        <f t="shared" si="145"/>
        <v>688332</v>
      </c>
      <c r="J689" s="243">
        <f>$J$638</f>
        <v>17.5284179478029</v>
      </c>
      <c r="K689" s="222"/>
      <c r="L689" s="220">
        <f>ROUND(J689*$C689,0)</f>
        <v>688332</v>
      </c>
      <c r="M689" s="220"/>
      <c r="N689" s="243">
        <f>$N$638</f>
        <v>17.5284179478029</v>
      </c>
      <c r="O689" s="222"/>
      <c r="P689" s="220">
        <f>ROUND(N689*$C689,0)</f>
        <v>688332</v>
      </c>
      <c r="Q689" s="220"/>
      <c r="R689" s="243"/>
      <c r="S689" s="222"/>
      <c r="T689" s="220"/>
      <c r="U689" s="220"/>
      <c r="V689" s="243"/>
      <c r="W689" s="222"/>
      <c r="X689" s="220"/>
      <c r="Y689" s="82"/>
      <c r="Z689" s="83"/>
      <c r="AA689" s="83"/>
      <c r="AB689" s="83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</row>
    <row r="690" spans="1:45" ht="15.75" hidden="1">
      <c r="A690" s="138" t="s">
        <v>209</v>
      </c>
      <c r="B690" s="179"/>
      <c r="C690" s="218">
        <v>4943</v>
      </c>
      <c r="D690" s="243">
        <v>12.96</v>
      </c>
      <c r="E690" s="222"/>
      <c r="F690" s="220">
        <f>ROUND(D690*$C690,0)</f>
        <v>64061</v>
      </c>
      <c r="G690" s="243">
        <v>13.717892306976186</v>
      </c>
      <c r="H690" s="222"/>
      <c r="I690" s="220">
        <f t="shared" si="145"/>
        <v>67808</v>
      </c>
      <c r="J690" s="243">
        <f>$J$639</f>
        <v>13.717892306976186</v>
      </c>
      <c r="K690" s="222"/>
      <c r="L690" s="220">
        <f>ROUND(J690*$C690,0)</f>
        <v>67808</v>
      </c>
      <c r="M690" s="220"/>
      <c r="N690" s="243">
        <f>$N$639</f>
        <v>13.717892306976186</v>
      </c>
      <c r="O690" s="222"/>
      <c r="P690" s="220">
        <f>ROUND(N690*$C690,0)</f>
        <v>67808</v>
      </c>
      <c r="Q690" s="220"/>
      <c r="R690" s="243"/>
      <c r="S690" s="222"/>
      <c r="T690" s="220"/>
      <c r="U690" s="220"/>
      <c r="V690" s="243"/>
      <c r="W690" s="222"/>
      <c r="X690" s="220"/>
      <c r="Y690" s="82"/>
      <c r="Z690" s="83"/>
      <c r="AA690" s="83"/>
      <c r="AB690" s="83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</row>
    <row r="691" spans="1:45" ht="15.75" hidden="1">
      <c r="A691" s="138" t="s">
        <v>215</v>
      </c>
      <c r="B691" s="179"/>
      <c r="C691" s="218">
        <v>555.50384435445301</v>
      </c>
      <c r="D691" s="243">
        <v>71.61</v>
      </c>
      <c r="E691" s="222"/>
      <c r="F691" s="220">
        <f>ROUND(D691*$C691,0)</f>
        <v>39780</v>
      </c>
      <c r="G691" s="243">
        <v>75.797705872111464</v>
      </c>
      <c r="H691" s="222"/>
      <c r="I691" s="220">
        <f t="shared" si="145"/>
        <v>42106</v>
      </c>
      <c r="J691" s="243">
        <f>$J$640</f>
        <v>75.797705872111464</v>
      </c>
      <c r="K691" s="222"/>
      <c r="L691" s="220">
        <f>ROUND(J691*$C691,0)</f>
        <v>42106</v>
      </c>
      <c r="M691" s="220"/>
      <c r="N691" s="243">
        <f>$N$640</f>
        <v>75.797705872111464</v>
      </c>
      <c r="O691" s="222"/>
      <c r="P691" s="220">
        <f>ROUND(N691*$C691,0)</f>
        <v>42106</v>
      </c>
      <c r="Q691" s="220"/>
      <c r="R691" s="243"/>
      <c r="S691" s="222"/>
      <c r="T691" s="220"/>
      <c r="U691" s="220"/>
      <c r="V691" s="243"/>
      <c r="W691" s="222"/>
      <c r="X691" s="220"/>
      <c r="Y691" s="82"/>
      <c r="Z691" s="83"/>
      <c r="AA691" s="83"/>
      <c r="AB691" s="83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</row>
    <row r="692" spans="1:45" ht="15.75" hidden="1">
      <c r="A692" s="138" t="s">
        <v>216</v>
      </c>
      <c r="B692" s="179"/>
      <c r="C692" s="218">
        <v>986.11783988665604</v>
      </c>
      <c r="D692" s="243">
        <v>142.74</v>
      </c>
      <c r="E692" s="222"/>
      <c r="F692" s="220">
        <f>ROUND(D692*$C692,0)</f>
        <v>140758</v>
      </c>
      <c r="G692" s="243">
        <v>151.02734165877936</v>
      </c>
      <c r="H692" s="222"/>
      <c r="I692" s="220">
        <f t="shared" si="145"/>
        <v>148931</v>
      </c>
      <c r="J692" s="243">
        <f>$J$641</f>
        <v>151.02734165877936</v>
      </c>
      <c r="K692" s="222"/>
      <c r="L692" s="220">
        <f>ROUND(J692*$C692,0)</f>
        <v>148931</v>
      </c>
      <c r="M692" s="220"/>
      <c r="N692" s="243">
        <f>$N$641</f>
        <v>151.02734165877936</v>
      </c>
      <c r="O692" s="222"/>
      <c r="P692" s="220">
        <f>ROUND(N692*$C692,0)</f>
        <v>148931</v>
      </c>
      <c r="Q692" s="220"/>
      <c r="R692" s="243"/>
      <c r="S692" s="222"/>
      <c r="T692" s="220"/>
      <c r="U692" s="220"/>
      <c r="V692" s="243"/>
      <c r="W692" s="222"/>
      <c r="X692" s="220"/>
      <c r="Y692" s="82"/>
      <c r="Z692" s="83"/>
      <c r="AA692" s="83"/>
      <c r="AB692" s="83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</row>
    <row r="693" spans="1:45" ht="15.75" hidden="1">
      <c r="A693" s="138" t="s">
        <v>217</v>
      </c>
      <c r="B693" s="179"/>
      <c r="C693" s="218"/>
      <c r="D693" s="243"/>
      <c r="E693" s="222"/>
      <c r="F693" s="220"/>
      <c r="G693" s="243"/>
      <c r="H693" s="222"/>
      <c r="I693" s="220"/>
      <c r="J693" s="243"/>
      <c r="K693" s="222"/>
      <c r="L693" s="220"/>
      <c r="M693" s="220"/>
      <c r="N693" s="243"/>
      <c r="O693" s="222"/>
      <c r="P693" s="220"/>
      <c r="Q693" s="220"/>
      <c r="R693" s="243"/>
      <c r="S693" s="222"/>
      <c r="T693" s="220"/>
      <c r="U693" s="220"/>
      <c r="V693" s="243"/>
      <c r="W693" s="222"/>
      <c r="X693" s="220"/>
      <c r="Y693" s="82"/>
      <c r="Z693" s="83"/>
      <c r="AA693" s="83"/>
      <c r="AB693" s="83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</row>
    <row r="694" spans="1:45" ht="15.75" hidden="1">
      <c r="A694" s="138" t="s">
        <v>213</v>
      </c>
      <c r="B694" s="179"/>
      <c r="C694" s="218">
        <v>38.986619581829999</v>
      </c>
      <c r="D694" s="275">
        <v>-23.87</v>
      </c>
      <c r="E694" s="222"/>
      <c r="F694" s="220">
        <f>ROUND(D694*$C694,0)</f>
        <v>-931</v>
      </c>
      <c r="G694" s="275">
        <v>-25.265901957370488</v>
      </c>
      <c r="H694" s="222"/>
      <c r="I694" s="220">
        <f t="shared" ref="I694:I695" si="146">ROUND(G694*C694,0)</f>
        <v>-985</v>
      </c>
      <c r="J694" s="275">
        <f>-J686</f>
        <v>-25.265901957370488</v>
      </c>
      <c r="K694" s="222"/>
      <c r="L694" s="220">
        <f>ROUND(J694*$C694,0)</f>
        <v>-985</v>
      </c>
      <c r="M694" s="220"/>
      <c r="N694" s="275">
        <f>-N686</f>
        <v>-25.265901957370488</v>
      </c>
      <c r="O694" s="222"/>
      <c r="P694" s="220">
        <f>ROUND(N694*$C694,0)</f>
        <v>-985</v>
      </c>
      <c r="Q694" s="220"/>
      <c r="R694" s="275"/>
      <c r="S694" s="222"/>
      <c r="T694" s="220"/>
      <c r="U694" s="220"/>
      <c r="V694" s="275"/>
      <c r="W694" s="222"/>
      <c r="X694" s="220"/>
      <c r="Y694" s="82"/>
      <c r="Z694" s="83"/>
      <c r="AA694" s="83"/>
      <c r="AB694" s="83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</row>
    <row r="695" spans="1:45" ht="15.75" hidden="1">
      <c r="A695" s="138" t="s">
        <v>218</v>
      </c>
      <c r="B695" s="179"/>
      <c r="C695" s="218">
        <v>305.04833412742897</v>
      </c>
      <c r="D695" s="275">
        <v>-23.79</v>
      </c>
      <c r="E695" s="222"/>
      <c r="F695" s="220">
        <f>ROUND(D695*$C695,0)</f>
        <v>-7257</v>
      </c>
      <c r="G695" s="275">
        <v>-25.171223609796559</v>
      </c>
      <c r="H695" s="222"/>
      <c r="I695" s="220">
        <f t="shared" si="146"/>
        <v>-7678</v>
      </c>
      <c r="J695" s="275">
        <f>-J688</f>
        <v>-25.171223609796559</v>
      </c>
      <c r="K695" s="222"/>
      <c r="L695" s="220">
        <f>ROUND(J695*$C695,0)</f>
        <v>-7678</v>
      </c>
      <c r="M695" s="220"/>
      <c r="N695" s="275">
        <f>-N688</f>
        <v>-25.171223609796559</v>
      </c>
      <c r="O695" s="222"/>
      <c r="P695" s="220">
        <f>ROUND(N695*$C695,0)</f>
        <v>-7678</v>
      </c>
      <c r="Q695" s="220"/>
      <c r="R695" s="275"/>
      <c r="S695" s="222"/>
      <c r="T695" s="220"/>
      <c r="U695" s="220"/>
      <c r="V695" s="275"/>
      <c r="W695" s="222"/>
      <c r="X695" s="220"/>
      <c r="Y695" s="82"/>
      <c r="Z695" s="83"/>
      <c r="AA695" s="83"/>
      <c r="AB695" s="83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</row>
    <row r="696" spans="1:45" ht="15.75" hidden="1">
      <c r="A696" s="226" t="s">
        <v>181</v>
      </c>
      <c r="B696" s="179"/>
      <c r="C696" s="326" t="s">
        <v>108</v>
      </c>
      <c r="D696" s="243"/>
      <c r="E696" s="220"/>
      <c r="F696" s="220"/>
      <c r="G696" s="243"/>
      <c r="H696" s="220"/>
      <c r="I696" s="220"/>
      <c r="J696" s="243"/>
      <c r="K696" s="220"/>
      <c r="L696" s="220"/>
      <c r="M696" s="220"/>
      <c r="N696" s="243"/>
      <c r="O696" s="220"/>
      <c r="P696" s="220"/>
      <c r="Q696" s="220"/>
      <c r="R696" s="243"/>
      <c r="S696" s="220"/>
      <c r="T696" s="220"/>
      <c r="U696" s="220"/>
      <c r="V696" s="243"/>
      <c r="W696" s="220"/>
      <c r="X696" s="220"/>
      <c r="Y696" s="82"/>
      <c r="Z696" s="83"/>
      <c r="AA696" s="83"/>
      <c r="AB696" s="83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</row>
    <row r="697" spans="1:45" ht="15.75" hidden="1">
      <c r="A697" s="138" t="s">
        <v>219</v>
      </c>
      <c r="B697" s="179"/>
      <c r="C697" s="218">
        <v>143271776.55847031</v>
      </c>
      <c r="D697" s="327">
        <v>6.4390000000000001</v>
      </c>
      <c r="E697" s="220" t="s">
        <v>116</v>
      </c>
      <c r="F697" s="220">
        <f>ROUND(D697/100*$C697,0)</f>
        <v>9225270</v>
      </c>
      <c r="G697" s="327">
        <v>6.8159999999999998</v>
      </c>
      <c r="H697" s="220" t="s">
        <v>116</v>
      </c>
      <c r="I697" s="220">
        <f>ROUND(G697/100*C697,0)</f>
        <v>9765404</v>
      </c>
      <c r="J697" s="327">
        <f>$J$646</f>
        <v>6.8159999999999998</v>
      </c>
      <c r="K697" s="220" t="s">
        <v>116</v>
      </c>
      <c r="L697" s="220">
        <f>ROUND(J697/100*$C697,0)</f>
        <v>9765404</v>
      </c>
      <c r="M697" s="220"/>
      <c r="N697" s="327">
        <f>$N$646</f>
        <v>1.4623594425594229</v>
      </c>
      <c r="O697" s="220" t="s">
        <v>116</v>
      </c>
      <c r="P697" s="220">
        <f>ROUND(N697/100*$C697,0)</f>
        <v>2095148</v>
      </c>
      <c r="Q697" s="220"/>
      <c r="R697" s="327">
        <f>$R$646</f>
        <v>1.0938897675890884</v>
      </c>
      <c r="S697" s="220" t="s">
        <v>116</v>
      </c>
      <c r="T697" s="220">
        <f>ROUND(R697/100*$C697,0)</f>
        <v>1567235</v>
      </c>
      <c r="U697" s="220"/>
      <c r="V697" s="327">
        <f>$V$646</f>
        <v>4.2597507898514877</v>
      </c>
      <c r="W697" s="220" t="s">
        <v>116</v>
      </c>
      <c r="X697" s="220">
        <f>ROUND(V697/100*$C697,0)</f>
        <v>6103021</v>
      </c>
      <c r="Y697" s="82"/>
      <c r="Z697" s="83"/>
      <c r="AA697" s="83"/>
      <c r="AB697" s="83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</row>
    <row r="698" spans="1:45" ht="15.75" hidden="1">
      <c r="A698" s="226" t="s">
        <v>155</v>
      </c>
      <c r="B698" s="179"/>
      <c r="C698" s="328">
        <v>52896</v>
      </c>
      <c r="D698" s="244">
        <v>56</v>
      </c>
      <c r="E698" s="226" t="s">
        <v>116</v>
      </c>
      <c r="F698" s="220">
        <f>ROUND(D698*$C698/100,0)</f>
        <v>29622</v>
      </c>
      <c r="G698" s="244">
        <v>56</v>
      </c>
      <c r="H698" s="226" t="s">
        <v>116</v>
      </c>
      <c r="I698" s="220">
        <f>ROUND(G698/100*C698,0)</f>
        <v>29622</v>
      </c>
      <c r="J698" s="244">
        <f>$J$647</f>
        <v>56</v>
      </c>
      <c r="K698" s="226" t="s">
        <v>116</v>
      </c>
      <c r="L698" s="220">
        <f>ROUND(J698*$C698/100,0)</f>
        <v>29622</v>
      </c>
      <c r="M698" s="220"/>
      <c r="N698" s="244">
        <f>$N$647</f>
        <v>0</v>
      </c>
      <c r="O698" s="226" t="s">
        <v>116</v>
      </c>
      <c r="P698" s="220">
        <f>ROUND(N698*$C698/100,0)</f>
        <v>0</v>
      </c>
      <c r="Q698" s="220"/>
      <c r="R698" s="244">
        <f>$R$647</f>
        <v>11.442274902048069</v>
      </c>
      <c r="S698" s="226" t="s">
        <v>116</v>
      </c>
      <c r="T698" s="220">
        <f>ROUND(R698*$C698/100,0)</f>
        <v>6053</v>
      </c>
      <c r="U698" s="220"/>
      <c r="V698" s="244">
        <f>$V$647</f>
        <v>44.557725097951931</v>
      </c>
      <c r="W698" s="226" t="s">
        <v>116</v>
      </c>
      <c r="X698" s="220">
        <f>ROUND(V698*$C698/100,0)</f>
        <v>23569</v>
      </c>
      <c r="Y698" s="82"/>
      <c r="Z698" s="83"/>
      <c r="AA698" s="83"/>
      <c r="AB698" s="83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</row>
    <row r="699" spans="1:45" ht="15.75" hidden="1">
      <c r="A699" s="281" t="s">
        <v>156</v>
      </c>
      <c r="B699" s="179"/>
      <c r="C699" s="218"/>
      <c r="D699" s="234">
        <v>-0.01</v>
      </c>
      <c r="E699" s="106"/>
      <c r="F699" s="220"/>
      <c r="G699" s="234">
        <v>-0.01</v>
      </c>
      <c r="H699" s="179"/>
      <c r="I699" s="220"/>
      <c r="J699" s="234">
        <v>-0.01</v>
      </c>
      <c r="K699" s="179"/>
      <c r="L699" s="220"/>
      <c r="M699" s="220"/>
      <c r="N699" s="234">
        <v>-0.01</v>
      </c>
      <c r="O699" s="179"/>
      <c r="P699" s="220"/>
      <c r="Q699" s="220"/>
      <c r="R699" s="234">
        <v>-0.01</v>
      </c>
      <c r="S699" s="179"/>
      <c r="T699" s="220"/>
      <c r="U699" s="220"/>
      <c r="V699" s="234">
        <v>-0.01</v>
      </c>
      <c r="W699" s="179"/>
      <c r="X699" s="220"/>
      <c r="Y699" s="82"/>
      <c r="Z699" s="83"/>
      <c r="AA699" s="83"/>
      <c r="AB699" s="83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</row>
    <row r="700" spans="1:45" ht="15.75" hidden="1">
      <c r="A700" s="138" t="s">
        <v>147</v>
      </c>
      <c r="B700" s="179"/>
      <c r="C700" s="218">
        <v>0</v>
      </c>
      <c r="D700" s="270">
        <v>0</v>
      </c>
      <c r="E700" s="222"/>
      <c r="F700" s="220">
        <f>ROUND(D700*$C700*$D$648,0)</f>
        <v>0</v>
      </c>
      <c r="G700" s="270">
        <v>0</v>
      </c>
      <c r="H700" s="222"/>
      <c r="I700" s="220">
        <f>ROUND(G700*C700*$G$648,0)</f>
        <v>0</v>
      </c>
      <c r="J700" s="270">
        <f>J677</f>
        <v>0</v>
      </c>
      <c r="K700" s="222"/>
      <c r="L700" s="220">
        <f>ROUND(J700*$C700*$J$699,0)</f>
        <v>0</v>
      </c>
      <c r="M700" s="220"/>
      <c r="N700" s="270"/>
      <c r="O700" s="222"/>
      <c r="P700" s="220"/>
      <c r="Q700" s="220"/>
      <c r="R700" s="270"/>
      <c r="S700" s="222"/>
      <c r="T700" s="220"/>
      <c r="U700" s="220"/>
      <c r="V700" s="270"/>
      <c r="W700" s="222"/>
      <c r="X700" s="220"/>
      <c r="Y700" s="82"/>
      <c r="Z700" s="83"/>
      <c r="AA700" s="83"/>
      <c r="AB700" s="83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</row>
    <row r="701" spans="1:45" ht="15.75" hidden="1">
      <c r="A701" s="138" t="s">
        <v>148</v>
      </c>
      <c r="B701" s="179"/>
      <c r="C701" s="218"/>
      <c r="D701" s="270"/>
      <c r="E701" s="222"/>
      <c r="F701" s="220"/>
      <c r="G701" s="270"/>
      <c r="H701" s="222"/>
      <c r="I701" s="220"/>
      <c r="J701" s="270"/>
      <c r="K701" s="222"/>
      <c r="L701" s="220"/>
      <c r="M701" s="220"/>
      <c r="N701" s="270"/>
      <c r="O701" s="222"/>
      <c r="P701" s="220"/>
      <c r="Q701" s="220"/>
      <c r="R701" s="270"/>
      <c r="S701" s="222"/>
      <c r="T701" s="220"/>
      <c r="U701" s="220"/>
      <c r="V701" s="270"/>
      <c r="W701" s="222"/>
      <c r="X701" s="220"/>
      <c r="Y701" s="82"/>
      <c r="Z701" s="83"/>
      <c r="AA701" s="83"/>
      <c r="AB701" s="83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</row>
    <row r="702" spans="1:45" ht="15.75" hidden="1">
      <c r="A702" s="138" t="s">
        <v>207</v>
      </c>
      <c r="B702" s="179"/>
      <c r="C702" s="218">
        <v>1.00272540556427</v>
      </c>
      <c r="D702" s="270">
        <v>0</v>
      </c>
      <c r="E702" s="222"/>
      <c r="F702" s="220">
        <f>ROUND(D702*$C702*$D$648,0)</f>
        <v>0</v>
      </c>
      <c r="G702" s="270">
        <v>0</v>
      </c>
      <c r="H702" s="222"/>
      <c r="I702" s="220">
        <f t="shared" ref="I702:I705" si="147">ROUND(G702*C702*$G$648,0)</f>
        <v>0</v>
      </c>
      <c r="J702" s="270">
        <f>J679</f>
        <v>0</v>
      </c>
      <c r="K702" s="222"/>
      <c r="L702" s="220">
        <f>ROUND(J702*$C702*$J$699,0)</f>
        <v>0</v>
      </c>
      <c r="M702" s="220"/>
      <c r="N702" s="270"/>
      <c r="O702" s="222"/>
      <c r="P702" s="220"/>
      <c r="Q702" s="220"/>
      <c r="R702" s="270"/>
      <c r="S702" s="222"/>
      <c r="T702" s="220"/>
      <c r="U702" s="220"/>
      <c r="V702" s="270"/>
      <c r="W702" s="222"/>
      <c r="X702" s="220"/>
      <c r="Y702" s="82"/>
      <c r="Z702" s="83"/>
      <c r="AA702" s="83"/>
      <c r="AB702" s="83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</row>
    <row r="703" spans="1:45" ht="15.75" hidden="1">
      <c r="A703" s="138" t="s">
        <v>208</v>
      </c>
      <c r="B703" s="179"/>
      <c r="C703" s="218">
        <v>0</v>
      </c>
      <c r="D703" s="270">
        <v>357</v>
      </c>
      <c r="E703" s="222"/>
      <c r="F703" s="220">
        <f>ROUND(D703*$C703*$D$648,0)</f>
        <v>0</v>
      </c>
      <c r="G703" s="270">
        <v>357</v>
      </c>
      <c r="H703" s="222"/>
      <c r="I703" s="220">
        <f t="shared" si="147"/>
        <v>0</v>
      </c>
      <c r="J703" s="270">
        <f>J680</f>
        <v>357</v>
      </c>
      <c r="K703" s="222"/>
      <c r="L703" s="220">
        <f>ROUND(J703*$C703*$J$699,0)</f>
        <v>0</v>
      </c>
      <c r="M703" s="220"/>
      <c r="N703" s="270"/>
      <c r="O703" s="222"/>
      <c r="P703" s="220"/>
      <c r="Q703" s="220"/>
      <c r="R703" s="270"/>
      <c r="S703" s="222"/>
      <c r="T703" s="220"/>
      <c r="U703" s="220"/>
      <c r="V703" s="270"/>
      <c r="W703" s="222"/>
      <c r="X703" s="220"/>
      <c r="Y703" s="82"/>
      <c r="Z703" s="83"/>
      <c r="AA703" s="83"/>
      <c r="AB703" s="83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</row>
    <row r="704" spans="1:45" ht="15.75" hidden="1">
      <c r="A704" s="138" t="s">
        <v>209</v>
      </c>
      <c r="B704" s="179"/>
      <c r="C704" s="218">
        <v>0</v>
      </c>
      <c r="D704" s="270">
        <v>1457</v>
      </c>
      <c r="E704" s="222"/>
      <c r="F704" s="220">
        <f>ROUND(D704*$C704*$D$648,0)</f>
        <v>0</v>
      </c>
      <c r="G704" s="270">
        <v>1457</v>
      </c>
      <c r="H704" s="222"/>
      <c r="I704" s="220">
        <f t="shared" si="147"/>
        <v>0</v>
      </c>
      <c r="J704" s="270">
        <f>J681</f>
        <v>1457</v>
      </c>
      <c r="K704" s="222"/>
      <c r="L704" s="220">
        <f>ROUND(J704*$C704*$J$699,0)</f>
        <v>0</v>
      </c>
      <c r="M704" s="220"/>
      <c r="N704" s="270"/>
      <c r="O704" s="222"/>
      <c r="P704" s="220"/>
      <c r="Q704" s="220"/>
      <c r="R704" s="270"/>
      <c r="S704" s="222"/>
      <c r="T704" s="220"/>
      <c r="U704" s="220"/>
      <c r="V704" s="270"/>
      <c r="W704" s="222"/>
      <c r="X704" s="220"/>
      <c r="Y704" s="82"/>
      <c r="Z704" s="83"/>
      <c r="AA704" s="83"/>
      <c r="AB704" s="83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</row>
    <row r="705" spans="1:45" ht="15.75" hidden="1">
      <c r="A705" s="138" t="s">
        <v>147</v>
      </c>
      <c r="B705" s="179"/>
      <c r="C705" s="218">
        <v>0</v>
      </c>
      <c r="D705" s="270">
        <v>23.87</v>
      </c>
      <c r="E705" s="222"/>
      <c r="F705" s="220">
        <f>ROUND(D705*$C705*$D$648,0)</f>
        <v>0</v>
      </c>
      <c r="G705" s="270">
        <v>25.265901957370488</v>
      </c>
      <c r="H705" s="222"/>
      <c r="I705" s="220">
        <f t="shared" si="147"/>
        <v>0</v>
      </c>
      <c r="J705" s="270">
        <f>J686</f>
        <v>25.265901957370488</v>
      </c>
      <c r="K705" s="222"/>
      <c r="L705" s="220">
        <f>ROUND(J705*$C705*$J$699,0)</f>
        <v>0</v>
      </c>
      <c r="M705" s="220"/>
      <c r="N705" s="270"/>
      <c r="O705" s="222"/>
      <c r="P705" s="220"/>
      <c r="Q705" s="220"/>
      <c r="R705" s="270"/>
      <c r="S705" s="222"/>
      <c r="T705" s="220"/>
      <c r="U705" s="220"/>
      <c r="V705" s="270"/>
      <c r="W705" s="222"/>
      <c r="X705" s="220"/>
      <c r="Y705" s="82"/>
      <c r="Z705" s="83"/>
      <c r="AA705" s="83"/>
      <c r="AB705" s="83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</row>
    <row r="706" spans="1:45" ht="15.75" hidden="1">
      <c r="A706" s="138" t="s">
        <v>148</v>
      </c>
      <c r="B706" s="179"/>
      <c r="C706" s="218"/>
      <c r="D706" s="270"/>
      <c r="E706" s="222"/>
      <c r="F706" s="220"/>
      <c r="G706" s="270"/>
      <c r="H706" s="222"/>
      <c r="I706" s="220"/>
      <c r="J706" s="270"/>
      <c r="K706" s="222"/>
      <c r="L706" s="220"/>
      <c r="M706" s="220"/>
      <c r="N706" s="270"/>
      <c r="O706" s="222"/>
      <c r="P706" s="220"/>
      <c r="Q706" s="220"/>
      <c r="R706" s="270"/>
      <c r="S706" s="222"/>
      <c r="T706" s="220"/>
      <c r="U706" s="220"/>
      <c r="V706" s="270"/>
      <c r="W706" s="222"/>
      <c r="X706" s="220"/>
      <c r="Y706" s="82"/>
      <c r="Z706" s="83"/>
      <c r="AA706" s="83"/>
      <c r="AB706" s="83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</row>
    <row r="707" spans="1:45" ht="15.75" hidden="1">
      <c r="A707" s="138" t="s">
        <v>207</v>
      </c>
      <c r="B707" s="179"/>
      <c r="C707" s="218">
        <v>30.440941572089098</v>
      </c>
      <c r="D707" s="270">
        <v>23.79</v>
      </c>
      <c r="E707" s="222"/>
      <c r="F707" s="220">
        <f>ROUND(D707*$C707*$D$648,0)</f>
        <v>-7</v>
      </c>
      <c r="G707" s="270">
        <v>25.171223609796559</v>
      </c>
      <c r="H707" s="222"/>
      <c r="I707" s="220">
        <f t="shared" ref="I707:I711" si="148">ROUND(G707*C707*$G$648,0)</f>
        <v>-8</v>
      </c>
      <c r="J707" s="270">
        <f>J688</f>
        <v>25.171223609796559</v>
      </c>
      <c r="K707" s="222"/>
      <c r="L707" s="220">
        <f>ROUND(J707*$C707*$J$699,0)</f>
        <v>-8</v>
      </c>
      <c r="M707" s="220"/>
      <c r="N707" s="270">
        <f>N688</f>
        <v>25.171223609796559</v>
      </c>
      <c r="O707" s="222"/>
      <c r="P707" s="220">
        <f>ROUND(N707*$C707*$J$699,0)</f>
        <v>-8</v>
      </c>
      <c r="Q707" s="220"/>
      <c r="R707" s="270"/>
      <c r="S707" s="222"/>
      <c r="T707" s="220"/>
      <c r="U707" s="220"/>
      <c r="V707" s="270"/>
      <c r="W707" s="222"/>
      <c r="X707" s="220"/>
      <c r="Y707" s="82"/>
      <c r="Z707" s="83"/>
      <c r="AA707" s="83"/>
      <c r="AB707" s="83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</row>
    <row r="708" spans="1:45" ht="15.75" hidden="1">
      <c r="A708" s="138" t="s">
        <v>208</v>
      </c>
      <c r="B708" s="179"/>
      <c r="C708" s="218">
        <v>0</v>
      </c>
      <c r="D708" s="270">
        <v>16.559999999999999</v>
      </c>
      <c r="E708" s="222"/>
      <c r="F708" s="220">
        <f>ROUND(D708*$C708*$D$648,0)</f>
        <v>0</v>
      </c>
      <c r="G708" s="270">
        <v>17.5284179478029</v>
      </c>
      <c r="H708" s="222"/>
      <c r="I708" s="220">
        <f t="shared" si="148"/>
        <v>0</v>
      </c>
      <c r="J708" s="270">
        <f>J689</f>
        <v>17.5284179478029</v>
      </c>
      <c r="K708" s="222"/>
      <c r="L708" s="220">
        <f>ROUND(J708*$C708*$J$699,0)</f>
        <v>0</v>
      </c>
      <c r="M708" s="220"/>
      <c r="N708" s="270"/>
      <c r="O708" s="222"/>
      <c r="P708" s="220"/>
      <c r="Q708" s="220"/>
      <c r="R708" s="270"/>
      <c r="S708" s="222"/>
      <c r="T708" s="220"/>
      <c r="U708" s="220"/>
      <c r="V708" s="270"/>
      <c r="W708" s="222"/>
      <c r="X708" s="220"/>
      <c r="Y708" s="82"/>
      <c r="Z708" s="83"/>
      <c r="AA708" s="83"/>
      <c r="AB708" s="83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</row>
    <row r="709" spans="1:45" ht="15.75" hidden="1">
      <c r="A709" s="138" t="s">
        <v>209</v>
      </c>
      <c r="B709" s="179"/>
      <c r="C709" s="218">
        <v>0</v>
      </c>
      <c r="D709" s="270">
        <v>12.96</v>
      </c>
      <c r="E709" s="222"/>
      <c r="F709" s="220">
        <f>ROUND(D709*$C709*$D$648,0)</f>
        <v>0</v>
      </c>
      <c r="G709" s="270">
        <v>13.717892306976186</v>
      </c>
      <c r="H709" s="222"/>
      <c r="I709" s="220">
        <f t="shared" si="148"/>
        <v>0</v>
      </c>
      <c r="J709" s="270">
        <f>J690</f>
        <v>13.717892306976186</v>
      </c>
      <c r="K709" s="222"/>
      <c r="L709" s="220">
        <f t="shared" ref="L709:L714" si="149">ROUND(J709*$C709*$J$699,0)</f>
        <v>0</v>
      </c>
      <c r="M709" s="220"/>
      <c r="N709" s="270"/>
      <c r="O709" s="222"/>
      <c r="P709" s="220"/>
      <c r="Q709" s="220"/>
      <c r="R709" s="270"/>
      <c r="S709" s="222"/>
      <c r="T709" s="220"/>
      <c r="U709" s="220"/>
      <c r="V709" s="270"/>
      <c r="W709" s="222"/>
      <c r="X709" s="220"/>
      <c r="Y709" s="82"/>
      <c r="Z709" s="83"/>
      <c r="AA709" s="83"/>
      <c r="AB709" s="83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</row>
    <row r="710" spans="1:45" ht="15.75" hidden="1">
      <c r="A710" s="138" t="s">
        <v>221</v>
      </c>
      <c r="B710" s="179"/>
      <c r="C710" s="218">
        <v>0</v>
      </c>
      <c r="D710" s="275">
        <v>71.61</v>
      </c>
      <c r="E710" s="222"/>
      <c r="F710" s="220">
        <f>ROUND(D710*$C710*$D$648,0)</f>
        <v>0</v>
      </c>
      <c r="G710" s="275">
        <v>75.797705872111464</v>
      </c>
      <c r="H710" s="222"/>
      <c r="I710" s="220">
        <f t="shared" si="148"/>
        <v>0</v>
      </c>
      <c r="J710" s="275">
        <f>J691</f>
        <v>75.797705872111464</v>
      </c>
      <c r="K710" s="222"/>
      <c r="L710" s="220">
        <f t="shared" si="149"/>
        <v>0</v>
      </c>
      <c r="M710" s="220"/>
      <c r="N710" s="275"/>
      <c r="O710" s="222"/>
      <c r="P710" s="220"/>
      <c r="Q710" s="220"/>
      <c r="R710" s="275"/>
      <c r="S710" s="222"/>
      <c r="T710" s="220"/>
      <c r="U710" s="220"/>
      <c r="V710" s="275"/>
      <c r="W710" s="222"/>
      <c r="X710" s="220"/>
      <c r="Y710" s="82"/>
      <c r="Z710" s="83"/>
      <c r="AA710" s="83"/>
      <c r="AB710" s="83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</row>
    <row r="711" spans="1:45" ht="15.75" hidden="1">
      <c r="A711" s="138" t="s">
        <v>222</v>
      </c>
      <c r="B711" s="179"/>
      <c r="C711" s="218">
        <v>0</v>
      </c>
      <c r="D711" s="275">
        <v>142.74</v>
      </c>
      <c r="E711" s="222"/>
      <c r="F711" s="220">
        <f>ROUND(D711*$C711*$D$648,0)</f>
        <v>0</v>
      </c>
      <c r="G711" s="275">
        <v>151.02734165877936</v>
      </c>
      <c r="H711" s="222"/>
      <c r="I711" s="220">
        <f t="shared" si="148"/>
        <v>0</v>
      </c>
      <c r="J711" s="275">
        <f>J692</f>
        <v>151.02734165877936</v>
      </c>
      <c r="K711" s="222"/>
      <c r="L711" s="220">
        <f t="shared" si="149"/>
        <v>0</v>
      </c>
      <c r="M711" s="220"/>
      <c r="N711" s="275"/>
      <c r="O711" s="222"/>
      <c r="P711" s="220"/>
      <c r="Q711" s="220"/>
      <c r="R711" s="275"/>
      <c r="S711" s="222"/>
      <c r="T711" s="220"/>
      <c r="U711" s="220"/>
      <c r="V711" s="275"/>
      <c r="W711" s="222"/>
      <c r="X711" s="220"/>
      <c r="Y711" s="82"/>
      <c r="Z711" s="83"/>
      <c r="AA711" s="83"/>
      <c r="AB711" s="83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</row>
    <row r="712" spans="1:45" ht="15.75" hidden="1">
      <c r="A712" s="138" t="s">
        <v>217</v>
      </c>
      <c r="B712" s="179"/>
      <c r="C712" s="218"/>
      <c r="D712" s="243"/>
      <c r="E712" s="222"/>
      <c r="F712" s="220"/>
      <c r="G712" s="243"/>
      <c r="H712" s="222"/>
      <c r="I712" s="220"/>
      <c r="J712" s="243"/>
      <c r="K712" s="222"/>
      <c r="L712" s="220"/>
      <c r="M712" s="220"/>
      <c r="N712" s="243"/>
      <c r="O712" s="222"/>
      <c r="P712" s="220"/>
      <c r="Q712" s="220"/>
      <c r="R712" s="243"/>
      <c r="S712" s="222"/>
      <c r="T712" s="220"/>
      <c r="U712" s="220"/>
      <c r="V712" s="243"/>
      <c r="W712" s="222"/>
      <c r="X712" s="220"/>
      <c r="Y712" s="82"/>
      <c r="Z712" s="83"/>
      <c r="AA712" s="83"/>
      <c r="AB712" s="83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</row>
    <row r="713" spans="1:45" ht="15.75" hidden="1">
      <c r="A713" s="138" t="s">
        <v>213</v>
      </c>
      <c r="B713" s="179"/>
      <c r="C713" s="218">
        <v>0</v>
      </c>
      <c r="D713" s="275">
        <v>-23.87</v>
      </c>
      <c r="E713" s="222"/>
      <c r="F713" s="220">
        <f>ROUND(D713*$C713*$D$648,0)</f>
        <v>0</v>
      </c>
      <c r="G713" s="275">
        <v>-25.265901957370488</v>
      </c>
      <c r="H713" s="222"/>
      <c r="I713" s="220">
        <f t="shared" ref="I713:I714" si="150">ROUND(G713*C713*$G$648,0)</f>
        <v>0</v>
      </c>
      <c r="J713" s="275">
        <f>J694</f>
        <v>-25.265901957370488</v>
      </c>
      <c r="K713" s="222"/>
      <c r="L713" s="220">
        <f t="shared" si="149"/>
        <v>0</v>
      </c>
      <c r="M713" s="220"/>
      <c r="N713" s="275"/>
      <c r="O713" s="222"/>
      <c r="P713" s="220"/>
      <c r="Q713" s="220"/>
      <c r="R713" s="275"/>
      <c r="S713" s="222"/>
      <c r="T713" s="220"/>
      <c r="U713" s="220"/>
      <c r="V713" s="275"/>
      <c r="W713" s="222"/>
      <c r="X713" s="220"/>
      <c r="Y713" s="82"/>
      <c r="Z713" s="83"/>
      <c r="AA713" s="83"/>
      <c r="AB713" s="83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</row>
    <row r="714" spans="1:45" ht="15.75" hidden="1">
      <c r="A714" s="138" t="s">
        <v>218</v>
      </c>
      <c r="B714" s="179"/>
      <c r="C714" s="218">
        <v>0</v>
      </c>
      <c r="D714" s="275">
        <v>-23.79</v>
      </c>
      <c r="E714" s="222"/>
      <c r="F714" s="220">
        <f>ROUND(D714*$C714*$D$648,0)</f>
        <v>0</v>
      </c>
      <c r="G714" s="275">
        <v>-25.171223609796559</v>
      </c>
      <c r="H714" s="222"/>
      <c r="I714" s="220">
        <f t="shared" si="150"/>
        <v>0</v>
      </c>
      <c r="J714" s="275">
        <f>J695</f>
        <v>-25.171223609796559</v>
      </c>
      <c r="K714" s="222"/>
      <c r="L714" s="220">
        <f t="shared" si="149"/>
        <v>0</v>
      </c>
      <c r="M714" s="220"/>
      <c r="N714" s="275"/>
      <c r="O714" s="222"/>
      <c r="P714" s="220"/>
      <c r="Q714" s="220"/>
      <c r="R714" s="275"/>
      <c r="S714" s="222"/>
      <c r="T714" s="220"/>
      <c r="U714" s="220"/>
      <c r="V714" s="275"/>
      <c r="W714" s="222"/>
      <c r="X714" s="220"/>
      <c r="Y714" s="82"/>
      <c r="Z714" s="83"/>
      <c r="AA714" s="83"/>
      <c r="AB714" s="83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</row>
    <row r="715" spans="1:45" ht="15.75" hidden="1">
      <c r="A715" s="226" t="s">
        <v>181</v>
      </c>
      <c r="B715" s="179"/>
      <c r="C715" s="218"/>
      <c r="D715" s="270"/>
      <c r="E715" s="220"/>
      <c r="F715" s="220"/>
      <c r="G715" s="270"/>
      <c r="H715" s="220"/>
      <c r="I715" s="220"/>
      <c r="J715" s="270"/>
      <c r="K715" s="220"/>
      <c r="L715" s="220"/>
      <c r="M715" s="220"/>
      <c r="N715" s="270"/>
      <c r="O715" s="220"/>
      <c r="P715" s="220"/>
      <c r="Q715" s="220"/>
      <c r="R715" s="270"/>
      <c r="S715" s="220"/>
      <c r="T715" s="220"/>
      <c r="U715" s="220"/>
      <c r="V715" s="270"/>
      <c r="W715" s="220"/>
      <c r="X715" s="220"/>
      <c r="Y715" s="82"/>
      <c r="Z715" s="83"/>
      <c r="AA715" s="83"/>
      <c r="AB715" s="83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</row>
    <row r="716" spans="1:45" ht="15.75" hidden="1">
      <c r="A716" s="138" t="s">
        <v>219</v>
      </c>
      <c r="B716" s="179"/>
      <c r="C716" s="218">
        <v>32140</v>
      </c>
      <c r="D716" s="329">
        <v>6.4390000000000001</v>
      </c>
      <c r="E716" s="220" t="s">
        <v>116</v>
      </c>
      <c r="F716" s="220">
        <f>ROUND(D716/100*$C716*$D$648,0)</f>
        <v>-21</v>
      </c>
      <c r="G716" s="329">
        <v>6.8159999999999998</v>
      </c>
      <c r="H716" s="220" t="s">
        <v>116</v>
      </c>
      <c r="I716" s="220">
        <f>ROUND(G716*C716/100*G699,0)</f>
        <v>-22</v>
      </c>
      <c r="J716" s="329">
        <f>J697</f>
        <v>6.8159999999999998</v>
      </c>
      <c r="K716" s="220" t="s">
        <v>116</v>
      </c>
      <c r="L716" s="220">
        <f>ROUND(J716/100*$C716*$J$699,0)</f>
        <v>-22</v>
      </c>
      <c r="M716" s="220"/>
      <c r="N716" s="329">
        <f>N697</f>
        <v>1.4623594425594229</v>
      </c>
      <c r="O716" s="220" t="s">
        <v>116</v>
      </c>
      <c r="P716" s="220">
        <f>ROUND(N716/100*$C716*$J$699,0)</f>
        <v>-5</v>
      </c>
      <c r="Q716" s="220"/>
      <c r="R716" s="329">
        <f>R697</f>
        <v>1.0938897675890884</v>
      </c>
      <c r="S716" s="220" t="s">
        <v>116</v>
      </c>
      <c r="T716" s="220">
        <f>ROUND(R716/100*$C716*$J$699,0)</f>
        <v>-4</v>
      </c>
      <c r="U716" s="220"/>
      <c r="V716" s="329">
        <f>V697</f>
        <v>4.2597507898514877</v>
      </c>
      <c r="W716" s="220" t="s">
        <v>116</v>
      </c>
      <c r="X716" s="220">
        <f>ROUND(V716/100*$C716*$J$699,0)</f>
        <v>-14</v>
      </c>
      <c r="Y716" s="82"/>
      <c r="Z716" s="83"/>
      <c r="AA716" s="83"/>
      <c r="AB716" s="83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</row>
    <row r="717" spans="1:45" ht="15.75" hidden="1">
      <c r="A717" s="226" t="s">
        <v>155</v>
      </c>
      <c r="B717" s="179"/>
      <c r="C717" s="218">
        <v>0</v>
      </c>
      <c r="D717" s="310">
        <v>56</v>
      </c>
      <c r="E717" s="220" t="s">
        <v>116</v>
      </c>
      <c r="F717" s="220">
        <f>ROUND(D717/100*$C717*$D$648,0)</f>
        <v>0</v>
      </c>
      <c r="G717" s="310">
        <v>56</v>
      </c>
      <c r="H717" s="226" t="s">
        <v>116</v>
      </c>
      <c r="I717" s="220">
        <f t="shared" ref="I717" si="151">ROUND(G717*C717,0)</f>
        <v>0</v>
      </c>
      <c r="J717" s="310">
        <f>J698</f>
        <v>56</v>
      </c>
      <c r="K717" s="226" t="s">
        <v>116</v>
      </c>
      <c r="L717" s="220">
        <f>ROUND(J717/100*$C717*$J$699,0)</f>
        <v>0</v>
      </c>
      <c r="M717" s="220"/>
      <c r="N717" s="310"/>
      <c r="O717" s="226"/>
      <c r="P717" s="220"/>
      <c r="Q717" s="220"/>
      <c r="R717" s="310"/>
      <c r="S717" s="226"/>
      <c r="T717" s="220"/>
      <c r="U717" s="220"/>
      <c r="V717" s="310"/>
      <c r="W717" s="226"/>
      <c r="X717" s="220"/>
      <c r="Y717" s="82"/>
      <c r="Z717" s="83"/>
      <c r="AA717" s="83"/>
      <c r="AB717" s="83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</row>
    <row r="718" spans="1:45" ht="15.75" hidden="1">
      <c r="A718" s="226" t="s">
        <v>198</v>
      </c>
      <c r="B718" s="179"/>
      <c r="C718" s="218">
        <v>12</v>
      </c>
      <c r="D718" s="210">
        <v>60</v>
      </c>
      <c r="E718" s="306" t="s">
        <v>108</v>
      </c>
      <c r="F718" s="220">
        <f>ROUND(D718*$C718,0)</f>
        <v>720</v>
      </c>
      <c r="G718" s="210">
        <v>60</v>
      </c>
      <c r="H718" s="179"/>
      <c r="I718" s="220">
        <f>ROUND(G718*$C718,0)</f>
        <v>720</v>
      </c>
      <c r="J718" s="210">
        <f>$J$667</f>
        <v>60</v>
      </c>
      <c r="K718" s="179"/>
      <c r="L718" s="220">
        <f>ROUND(J718*$C718,0)</f>
        <v>720</v>
      </c>
      <c r="M718" s="220"/>
      <c r="N718" s="210">
        <f>$N$667</f>
        <v>0</v>
      </c>
      <c r="O718" s="179"/>
      <c r="P718" s="220">
        <f>ROUND(N718*$C718,0)</f>
        <v>0</v>
      </c>
      <c r="Q718" s="220"/>
      <c r="R718" s="210">
        <f>$R$667</f>
        <v>12.259580252194361</v>
      </c>
      <c r="S718" s="179"/>
      <c r="T718" s="220">
        <f>ROUND(R718*$C718,0)</f>
        <v>147</v>
      </c>
      <c r="U718" s="220"/>
      <c r="V718" s="210">
        <f>$V$667</f>
        <v>47.740419747805639</v>
      </c>
      <c r="W718" s="179"/>
      <c r="X718" s="220">
        <f>ROUND(V718*$C718,0)</f>
        <v>573</v>
      </c>
      <c r="Y718" s="82"/>
      <c r="Z718" s="83"/>
      <c r="AA718" s="83"/>
      <c r="AB718" s="83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</row>
    <row r="719" spans="1:45" ht="15.75" hidden="1">
      <c r="A719" s="226" t="s">
        <v>199</v>
      </c>
      <c r="B719" s="179"/>
      <c r="C719" s="218">
        <v>30.440941572089098</v>
      </c>
      <c r="D719" s="244">
        <v>-30</v>
      </c>
      <c r="E719" s="220" t="s">
        <v>116</v>
      </c>
      <c r="F719" s="220">
        <f>ROUND(D719*$C719,0)</f>
        <v>-913</v>
      </c>
      <c r="G719" s="244">
        <v>-30</v>
      </c>
      <c r="H719" s="220" t="s">
        <v>116</v>
      </c>
      <c r="I719" s="220">
        <f>ROUND(G719*$C719/100,0)</f>
        <v>-9</v>
      </c>
      <c r="J719" s="244">
        <f>$J$668</f>
        <v>-30</v>
      </c>
      <c r="K719" s="220" t="s">
        <v>116</v>
      </c>
      <c r="L719" s="220">
        <f>ROUND(J719*$C719/100,0)</f>
        <v>-9</v>
      </c>
      <c r="M719" s="220"/>
      <c r="N719" s="244">
        <f>$N$668</f>
        <v>-30</v>
      </c>
      <c r="O719" s="220" t="s">
        <v>116</v>
      </c>
      <c r="P719" s="220">
        <f>ROUND(N719*$C719/100,0)</f>
        <v>-9</v>
      </c>
      <c r="Q719" s="220"/>
      <c r="R719" s="244"/>
      <c r="S719" s="220"/>
      <c r="T719" s="220"/>
      <c r="U719" s="220"/>
      <c r="V719" s="244"/>
      <c r="W719" s="220"/>
      <c r="X719" s="220"/>
      <c r="Y719" s="82"/>
      <c r="Z719" s="83"/>
      <c r="AA719" s="83"/>
      <c r="AB719" s="83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</row>
    <row r="720" spans="1:45" ht="15.75" hidden="1">
      <c r="A720" s="179" t="s">
        <v>134</v>
      </c>
      <c r="B720" s="179"/>
      <c r="C720" s="218">
        <f>SUM(C697:C697)</f>
        <v>143271776.55847031</v>
      </c>
      <c r="D720" s="229"/>
      <c r="E720" s="106"/>
      <c r="F720" s="106">
        <f>SUM(F677:F719)</f>
        <v>11570104</v>
      </c>
      <c r="G720" s="229"/>
      <c r="H720" s="226"/>
      <c r="I720" s="106">
        <f>SUM(I677:I719)</f>
        <v>12236390</v>
      </c>
      <c r="J720" s="229"/>
      <c r="K720" s="226"/>
      <c r="L720" s="106">
        <f>SUM(L677:L719)</f>
        <v>12236390</v>
      </c>
      <c r="M720" s="106"/>
      <c r="N720" s="229"/>
      <c r="O720" s="226"/>
      <c r="P720" s="106">
        <f>SUM(P677:P719)</f>
        <v>4535809</v>
      </c>
      <c r="Q720" s="106"/>
      <c r="R720" s="229"/>
      <c r="S720" s="226"/>
      <c r="T720" s="106">
        <f>SUM(T677:T719)</f>
        <v>1573431</v>
      </c>
      <c r="U720" s="106"/>
      <c r="V720" s="229"/>
      <c r="W720" s="226"/>
      <c r="X720" s="106">
        <f>SUM(X677:X719)</f>
        <v>6127149</v>
      </c>
      <c r="Y720" s="82"/>
      <c r="Z720" s="83"/>
      <c r="AA720" s="83"/>
      <c r="AB720" s="83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</row>
    <row r="721" spans="1:45" ht="15.75" hidden="1">
      <c r="A721" s="179" t="s">
        <v>119</v>
      </c>
      <c r="B721" s="179"/>
      <c r="C721" s="273">
        <v>-204808.5383765107</v>
      </c>
      <c r="D721" s="138"/>
      <c r="E721" s="138"/>
      <c r="F721" s="136">
        <f>I721</f>
        <v>-31873.500853653604</v>
      </c>
      <c r="G721" s="138"/>
      <c r="H721" s="138"/>
      <c r="I721" s="136">
        <v>-31873.500853653604</v>
      </c>
      <c r="J721" s="138"/>
      <c r="K721" s="138"/>
      <c r="L721" s="136">
        <f>I721</f>
        <v>-31873.500853653604</v>
      </c>
      <c r="M721" s="137"/>
      <c r="N721" s="138"/>
      <c r="O721" s="138"/>
      <c r="P721" s="136">
        <f>P670/L670*L721</f>
        <v>-6766.68303151892</v>
      </c>
      <c r="Q721" s="137"/>
      <c r="R721" s="138"/>
      <c r="S721" s="138"/>
      <c r="T721" s="136">
        <f>T670/L670*L721</f>
        <v>-5050.0433985349</v>
      </c>
      <c r="U721" s="137"/>
      <c r="V721" s="138"/>
      <c r="W721" s="138"/>
      <c r="X721" s="136">
        <f>X670/L670*L721</f>
        <v>-20056.774423599789</v>
      </c>
      <c r="Y721" s="172"/>
      <c r="Z721" s="168"/>
      <c r="AA721" s="83"/>
      <c r="AB721" s="83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</row>
    <row r="722" spans="1:45" ht="16.5" hidden="1" thickBot="1">
      <c r="A722" s="179" t="s">
        <v>135</v>
      </c>
      <c r="B722" s="179"/>
      <c r="C722" s="288">
        <f>SUM(C720:C721)</f>
        <v>143066968.0200938</v>
      </c>
      <c r="D722" s="268"/>
      <c r="E722" s="250"/>
      <c r="F722" s="251">
        <f>F720+F721</f>
        <v>11538230.499146346</v>
      </c>
      <c r="G722" s="268"/>
      <c r="H722" s="269"/>
      <c r="I722" s="251">
        <f>I720+I721</f>
        <v>12204516.499146346</v>
      </c>
      <c r="J722" s="268"/>
      <c r="K722" s="269"/>
      <c r="L722" s="251">
        <f>L720+L721</f>
        <v>12204516.499146346</v>
      </c>
      <c r="M722" s="251"/>
      <c r="N722" s="268"/>
      <c r="O722" s="269"/>
      <c r="P722" s="251">
        <f>P720+P721</f>
        <v>4529042.3169684811</v>
      </c>
      <c r="Q722" s="251"/>
      <c r="R722" s="268"/>
      <c r="S722" s="269"/>
      <c r="T722" s="251">
        <f>T720+T721</f>
        <v>1568380.9566014651</v>
      </c>
      <c r="U722" s="251"/>
      <c r="V722" s="268"/>
      <c r="W722" s="269"/>
      <c r="X722" s="251">
        <f>X720+X721</f>
        <v>6107092.2255763998</v>
      </c>
      <c r="Y722" s="176"/>
      <c r="Z722" s="177"/>
      <c r="AA722" s="83"/>
      <c r="AB722" s="83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</row>
    <row r="723" spans="1:45" ht="16.5" hidden="1" thickTop="1">
      <c r="A723" s="179"/>
      <c r="B723" s="179"/>
      <c r="C723" s="298"/>
      <c r="D723" s="274" t="s">
        <v>108</v>
      </c>
      <c r="E723" s="258"/>
      <c r="F723" s="221"/>
      <c r="G723" s="274" t="s">
        <v>108</v>
      </c>
      <c r="H723" s="259"/>
      <c r="I723" s="221"/>
      <c r="J723" s="323" t="s">
        <v>108</v>
      </c>
      <c r="K723" s="259"/>
      <c r="L723" s="135" t="s">
        <v>108</v>
      </c>
      <c r="M723" s="135"/>
      <c r="N723" s="323" t="s">
        <v>108</v>
      </c>
      <c r="O723" s="259"/>
      <c r="P723" s="135" t="s">
        <v>108</v>
      </c>
      <c r="Q723" s="135"/>
      <c r="R723" s="323" t="s">
        <v>108</v>
      </c>
      <c r="S723" s="259"/>
      <c r="T723" s="135" t="s">
        <v>108</v>
      </c>
      <c r="U723" s="135"/>
      <c r="V723" s="323" t="s">
        <v>108</v>
      </c>
      <c r="W723" s="259"/>
      <c r="X723" s="135" t="s">
        <v>108</v>
      </c>
      <c r="Y723" s="82"/>
      <c r="Z723" s="83"/>
      <c r="AA723" s="83"/>
      <c r="AB723" s="83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</row>
    <row r="724" spans="1:45" ht="15.75" hidden="1">
      <c r="A724" s="178" t="s">
        <v>224</v>
      </c>
      <c r="B724" s="179"/>
      <c r="C724" s="205"/>
      <c r="D724" s="243"/>
      <c r="E724" s="106"/>
      <c r="F724" s="106"/>
      <c r="G724" s="243"/>
      <c r="H724" s="179"/>
      <c r="I724" s="106"/>
      <c r="J724" s="243"/>
      <c r="K724" s="179"/>
      <c r="L724" s="106"/>
      <c r="M724" s="106"/>
      <c r="N724" s="243"/>
      <c r="O724" s="179"/>
      <c r="P724" s="106"/>
      <c r="Q724" s="106"/>
      <c r="R724" s="243"/>
      <c r="S724" s="179"/>
      <c r="T724" s="106"/>
      <c r="U724" s="106"/>
      <c r="V724" s="243"/>
      <c r="W724" s="179"/>
      <c r="X724" s="106"/>
      <c r="Y724" s="82"/>
      <c r="Z724" s="83"/>
      <c r="AA724" s="83"/>
      <c r="AB724" s="83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</row>
    <row r="725" spans="1:45" ht="15.75" hidden="1">
      <c r="A725" s="138" t="s">
        <v>225</v>
      </c>
      <c r="B725" s="179"/>
      <c r="C725" s="205"/>
      <c r="D725" s="243"/>
      <c r="E725" s="106"/>
      <c r="F725" s="106"/>
      <c r="G725" s="243"/>
      <c r="H725" s="179"/>
      <c r="I725" s="106"/>
      <c r="J725" s="243"/>
      <c r="K725" s="179"/>
      <c r="L725" s="106"/>
      <c r="M725" s="106"/>
      <c r="N725" s="243"/>
      <c r="O725" s="179"/>
      <c r="P725" s="106"/>
      <c r="Q725" s="106"/>
      <c r="R725" s="243"/>
      <c r="S725" s="179"/>
      <c r="T725" s="106"/>
      <c r="U725" s="106"/>
      <c r="V725" s="243"/>
      <c r="W725" s="179"/>
      <c r="X725" s="106"/>
      <c r="Y725" s="82"/>
      <c r="Z725" s="83"/>
      <c r="AA725" s="83"/>
      <c r="AB725" s="83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</row>
    <row r="726" spans="1:45" ht="15.75" hidden="1">
      <c r="A726" s="226"/>
      <c r="B726" s="179"/>
      <c r="C726" s="205"/>
      <c r="D726" s="243"/>
      <c r="E726" s="106"/>
      <c r="F726" s="270"/>
      <c r="G726" s="243"/>
      <c r="H726" s="179"/>
      <c r="I726" s="270"/>
      <c r="J726" s="243"/>
      <c r="K726" s="179"/>
      <c r="L726" s="325"/>
      <c r="M726" s="325"/>
      <c r="N726" s="243"/>
      <c r="O726" s="179"/>
      <c r="P726" s="325"/>
      <c r="Q726" s="325"/>
      <c r="R726" s="243"/>
      <c r="S726" s="179"/>
      <c r="T726" s="325"/>
      <c r="U726" s="325"/>
      <c r="V726" s="243"/>
      <c r="W726" s="179"/>
      <c r="X726" s="325"/>
      <c r="Y726" s="82"/>
      <c r="Z726" s="83"/>
      <c r="AA726" s="83"/>
      <c r="AB726" s="83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</row>
    <row r="727" spans="1:45" ht="15.75" hidden="1">
      <c r="A727" s="138" t="s">
        <v>204</v>
      </c>
      <c r="B727" s="179"/>
      <c r="C727" s="218"/>
      <c r="D727" s="106" t="s">
        <v>108</v>
      </c>
      <c r="E727" s="106"/>
      <c r="F727" s="179"/>
      <c r="G727" s="106" t="s">
        <v>108</v>
      </c>
      <c r="H727" s="179"/>
      <c r="I727" s="179"/>
      <c r="J727" s="106" t="s">
        <v>108</v>
      </c>
      <c r="K727" s="179"/>
      <c r="L727" s="179"/>
      <c r="M727" s="179"/>
      <c r="N727" s="106" t="s">
        <v>108</v>
      </c>
      <c r="O727" s="179"/>
      <c r="P727" s="179"/>
      <c r="Q727" s="179"/>
      <c r="R727" s="106" t="s">
        <v>108</v>
      </c>
      <c r="S727" s="179"/>
      <c r="T727" s="179"/>
      <c r="U727" s="179"/>
      <c r="V727" s="106" t="s">
        <v>108</v>
      </c>
      <c r="W727" s="179"/>
      <c r="X727" s="179"/>
      <c r="Y727" s="82"/>
      <c r="Z727" s="83"/>
      <c r="AA727" s="83"/>
      <c r="AB727" s="83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</row>
    <row r="728" spans="1:45" ht="15.75" hidden="1">
      <c r="A728" s="138" t="s">
        <v>205</v>
      </c>
      <c r="B728" s="179"/>
      <c r="C728" s="218">
        <v>64.334199134199096</v>
      </c>
      <c r="D728" s="243">
        <v>0</v>
      </c>
      <c r="E728" s="222"/>
      <c r="F728" s="220">
        <f>ROUND(D728*$C728,0)</f>
        <v>0</v>
      </c>
      <c r="G728" s="243">
        <v>0</v>
      </c>
      <c r="H728" s="222"/>
      <c r="I728" s="220">
        <f>ROUND(G728*C728,0)</f>
        <v>0</v>
      </c>
      <c r="J728" s="243">
        <f>$J$626</f>
        <v>0</v>
      </c>
      <c r="K728" s="222"/>
      <c r="L728" s="220">
        <f>ROUND(J728*$C728,0)</f>
        <v>0</v>
      </c>
      <c r="M728" s="220"/>
      <c r="N728" s="243"/>
      <c r="O728" s="222"/>
      <c r="P728" s="220"/>
      <c r="Q728" s="220"/>
      <c r="R728" s="243"/>
      <c r="S728" s="222"/>
      <c r="T728" s="220"/>
      <c r="U728" s="220"/>
      <c r="V728" s="243"/>
      <c r="W728" s="222"/>
      <c r="X728" s="220"/>
      <c r="Y728" s="82"/>
      <c r="Z728" s="83"/>
      <c r="AA728" s="83"/>
      <c r="AB728" s="83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</row>
    <row r="729" spans="1:45" ht="15.75" hidden="1">
      <c r="A729" s="138" t="s">
        <v>206</v>
      </c>
      <c r="B729" s="179"/>
      <c r="C729" s="218"/>
      <c r="D729" s="243"/>
      <c r="E729" s="222"/>
      <c r="F729" s="220"/>
      <c r="G729" s="243"/>
      <c r="H729" s="222"/>
      <c r="I729" s="220"/>
      <c r="J729" s="243"/>
      <c r="K729" s="222"/>
      <c r="L729" s="220"/>
      <c r="M729" s="220"/>
      <c r="N729" s="243"/>
      <c r="O729" s="222"/>
      <c r="P729" s="220"/>
      <c r="Q729" s="220"/>
      <c r="R729" s="243"/>
      <c r="S729" s="222"/>
      <c r="T729" s="220"/>
      <c r="U729" s="220"/>
      <c r="V729" s="243"/>
      <c r="W729" s="222"/>
      <c r="X729" s="220"/>
      <c r="Y729" s="82"/>
      <c r="Z729" s="83"/>
      <c r="AA729" s="83"/>
      <c r="AB729" s="83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</row>
    <row r="730" spans="1:45" ht="15.75" hidden="1">
      <c r="A730" s="138" t="s">
        <v>207</v>
      </c>
      <c r="B730" s="179"/>
      <c r="C730" s="218">
        <v>128.32599131287699</v>
      </c>
      <c r="D730" s="243">
        <v>0</v>
      </c>
      <c r="E730" s="222"/>
      <c r="F730" s="220">
        <f>ROUND(D730*$C730,0)</f>
        <v>0</v>
      </c>
      <c r="G730" s="243">
        <v>0</v>
      </c>
      <c r="H730" s="222"/>
      <c r="I730" s="220">
        <f t="shared" ref="I730:I732" si="152">ROUND(G730*C730,0)</f>
        <v>0</v>
      </c>
      <c r="J730" s="243">
        <f>$J$628</f>
        <v>0</v>
      </c>
      <c r="K730" s="222"/>
      <c r="L730" s="220">
        <f>ROUND(J730*$C730,0)</f>
        <v>0</v>
      </c>
      <c r="M730" s="220"/>
      <c r="N730" s="243"/>
      <c r="O730" s="222"/>
      <c r="P730" s="220"/>
      <c r="Q730" s="220"/>
      <c r="R730" s="243"/>
      <c r="S730" s="222"/>
      <c r="T730" s="220"/>
      <c r="U730" s="220"/>
      <c r="V730" s="243"/>
      <c r="W730" s="222"/>
      <c r="X730" s="220"/>
      <c r="Y730" s="82"/>
      <c r="Z730" s="83"/>
      <c r="AA730" s="83"/>
      <c r="AB730" s="83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</row>
    <row r="731" spans="1:45" ht="15.75" hidden="1">
      <c r="A731" s="138" t="s">
        <v>208</v>
      </c>
      <c r="B731" s="179"/>
      <c r="C731" s="218">
        <v>10.8958908081687</v>
      </c>
      <c r="D731" s="243">
        <v>357</v>
      </c>
      <c r="E731" s="222"/>
      <c r="F731" s="220">
        <f>ROUND(D731*$C731,0)</f>
        <v>3890</v>
      </c>
      <c r="G731" s="243">
        <v>357</v>
      </c>
      <c r="H731" s="222"/>
      <c r="I731" s="220">
        <f t="shared" si="152"/>
        <v>3890</v>
      </c>
      <c r="J731" s="243">
        <f>$J$629</f>
        <v>357</v>
      </c>
      <c r="K731" s="222"/>
      <c r="L731" s="220">
        <f>ROUND(J731*$C731,0)</f>
        <v>3890</v>
      </c>
      <c r="M731" s="220"/>
      <c r="N731" s="243">
        <f>$N$629</f>
        <v>357</v>
      </c>
      <c r="O731" s="222"/>
      <c r="P731" s="220">
        <f>ROUND(N731*$C731,0)</f>
        <v>3890</v>
      </c>
      <c r="Q731" s="220"/>
      <c r="R731" s="243"/>
      <c r="S731" s="222"/>
      <c r="T731" s="220"/>
      <c r="U731" s="220"/>
      <c r="V731" s="243"/>
      <c r="W731" s="222"/>
      <c r="X731" s="220"/>
      <c r="Y731" s="82"/>
      <c r="Z731" s="83"/>
      <c r="AA731" s="83"/>
      <c r="AB731" s="83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</row>
    <row r="732" spans="1:45" ht="15.75" hidden="1">
      <c r="A732" s="138" t="s">
        <v>209</v>
      </c>
      <c r="B732" s="179"/>
      <c r="C732" s="218">
        <v>1</v>
      </c>
      <c r="D732" s="243">
        <v>1457</v>
      </c>
      <c r="E732" s="222"/>
      <c r="F732" s="220">
        <f>ROUND(D732*$C732,0)</f>
        <v>1457</v>
      </c>
      <c r="G732" s="243">
        <v>1457</v>
      </c>
      <c r="H732" s="222"/>
      <c r="I732" s="220">
        <f t="shared" si="152"/>
        <v>1457</v>
      </c>
      <c r="J732" s="243">
        <f>$J$630</f>
        <v>1457</v>
      </c>
      <c r="K732" s="222"/>
      <c r="L732" s="220">
        <f>ROUND(J732*$C732,0)</f>
        <v>1457</v>
      </c>
      <c r="M732" s="220"/>
      <c r="N732" s="243">
        <f>$N$630</f>
        <v>1457</v>
      </c>
      <c r="O732" s="222"/>
      <c r="P732" s="220">
        <f>ROUND(N732*$C732,0)</f>
        <v>1457</v>
      </c>
      <c r="Q732" s="220"/>
      <c r="R732" s="243"/>
      <c r="S732" s="222"/>
      <c r="T732" s="220"/>
      <c r="U732" s="220"/>
      <c r="V732" s="243"/>
      <c r="W732" s="222"/>
      <c r="X732" s="220"/>
      <c r="Y732" s="82"/>
      <c r="Z732" s="83"/>
      <c r="AA732" s="83"/>
      <c r="AB732" s="83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</row>
    <row r="733" spans="1:45" ht="15.75" hidden="1">
      <c r="A733" s="138" t="s">
        <v>117</v>
      </c>
      <c r="B733" s="179"/>
      <c r="C733" s="218">
        <f>SUM(C728:C732)</f>
        <v>204.55608125524481</v>
      </c>
      <c r="D733" s="243"/>
      <c r="E733" s="222"/>
      <c r="F733" s="220"/>
      <c r="G733" s="243"/>
      <c r="H733" s="222"/>
      <c r="I733" s="220"/>
      <c r="J733" s="243"/>
      <c r="K733" s="222"/>
      <c r="L733" s="220"/>
      <c r="M733" s="220"/>
      <c r="N733" s="243"/>
      <c r="O733" s="222"/>
      <c r="P733" s="220"/>
      <c r="Q733" s="220"/>
      <c r="R733" s="243"/>
      <c r="S733" s="222"/>
      <c r="T733" s="220"/>
      <c r="U733" s="220"/>
      <c r="V733" s="243"/>
      <c r="W733" s="222"/>
      <c r="X733" s="220"/>
      <c r="Y733" s="82"/>
      <c r="Z733" s="83"/>
      <c r="AA733" s="83"/>
      <c r="AB733" s="83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</row>
    <row r="734" spans="1:45" ht="15.75" hidden="1">
      <c r="A734" s="138" t="s">
        <v>210</v>
      </c>
      <c r="B734" s="179"/>
      <c r="C734" s="218">
        <v>1557.2500000000005</v>
      </c>
      <c r="D734" s="243"/>
      <c r="E734" s="220"/>
      <c r="F734" s="220"/>
      <c r="G734" s="243"/>
      <c r="H734" s="220"/>
      <c r="I734" s="220"/>
      <c r="J734" s="243"/>
      <c r="K734" s="220"/>
      <c r="L734" s="220"/>
      <c r="M734" s="220"/>
      <c r="N734" s="243"/>
      <c r="O734" s="220"/>
      <c r="P734" s="220"/>
      <c r="Q734" s="220"/>
      <c r="R734" s="243"/>
      <c r="S734" s="220"/>
      <c r="T734" s="220"/>
      <c r="U734" s="220"/>
      <c r="V734" s="243"/>
      <c r="W734" s="220"/>
      <c r="X734" s="220"/>
      <c r="Y734" s="82"/>
      <c r="Z734" s="83"/>
      <c r="AA734" s="83"/>
      <c r="AB734" s="83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</row>
    <row r="735" spans="1:45" ht="15.75" hidden="1">
      <c r="A735" s="138" t="s">
        <v>211</v>
      </c>
      <c r="B735" s="179"/>
      <c r="C735" s="218">
        <v>225</v>
      </c>
      <c r="D735" s="243"/>
      <c r="E735" s="220"/>
      <c r="F735" s="220"/>
      <c r="G735" s="243"/>
      <c r="H735" s="220"/>
      <c r="I735" s="220"/>
      <c r="J735" s="243"/>
      <c r="K735" s="220"/>
      <c r="L735" s="220"/>
      <c r="M735" s="220"/>
      <c r="N735" s="243"/>
      <c r="O735" s="220"/>
      <c r="P735" s="220"/>
      <c r="Q735" s="220"/>
      <c r="R735" s="243"/>
      <c r="S735" s="220"/>
      <c r="T735" s="220"/>
      <c r="U735" s="220"/>
      <c r="V735" s="243"/>
      <c r="W735" s="220"/>
      <c r="X735" s="220"/>
      <c r="Y735" s="82"/>
      <c r="Z735" s="83"/>
      <c r="AA735" s="83"/>
      <c r="AB735" s="83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</row>
    <row r="736" spans="1:45" ht="15.75" hidden="1">
      <c r="A736" s="138" t="s">
        <v>212</v>
      </c>
      <c r="B736" s="179"/>
      <c r="C736" s="218"/>
      <c r="D736" s="243"/>
      <c r="E736" s="222"/>
      <c r="F736" s="220"/>
      <c r="G736" s="243"/>
      <c r="H736" s="222"/>
      <c r="I736" s="220"/>
      <c r="J736" s="243"/>
      <c r="K736" s="222"/>
      <c r="L736" s="220"/>
      <c r="M736" s="220"/>
      <c r="N736" s="243"/>
      <c r="O736" s="222"/>
      <c r="P736" s="220"/>
      <c r="Q736" s="220"/>
      <c r="R736" s="243"/>
      <c r="S736" s="222"/>
      <c r="T736" s="220"/>
      <c r="U736" s="220"/>
      <c r="V736" s="243"/>
      <c r="W736" s="222"/>
      <c r="X736" s="220"/>
      <c r="Y736" s="82"/>
      <c r="Z736" s="83"/>
      <c r="AA736" s="83"/>
      <c r="AB736" s="83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</row>
    <row r="737" spans="1:45" ht="15.75" hidden="1">
      <c r="A737" s="138" t="s">
        <v>213</v>
      </c>
      <c r="B737" s="179"/>
      <c r="C737" s="218">
        <v>224.61625471302901</v>
      </c>
      <c r="D737" s="243">
        <v>23.87</v>
      </c>
      <c r="E737" s="222"/>
      <c r="F737" s="220">
        <f>ROUND(D737*$C737,0)</f>
        <v>5362</v>
      </c>
      <c r="G737" s="243">
        <v>25.265901957370488</v>
      </c>
      <c r="H737" s="222"/>
      <c r="I737" s="220">
        <f>ROUND(G737*C737,0)</f>
        <v>5675</v>
      </c>
      <c r="J737" s="243">
        <f>$J$635</f>
        <v>25.265901957370488</v>
      </c>
      <c r="K737" s="222"/>
      <c r="L737" s="220">
        <f>ROUND(J737*$C737,0)</f>
        <v>5675</v>
      </c>
      <c r="M737" s="220"/>
      <c r="N737" s="243">
        <f>$N$635</f>
        <v>25.265901957370488</v>
      </c>
      <c r="O737" s="222"/>
      <c r="P737" s="220">
        <f>ROUND(N737*$C737,0)</f>
        <v>5675</v>
      </c>
      <c r="Q737" s="220"/>
      <c r="R737" s="243"/>
      <c r="S737" s="222"/>
      <c r="T737" s="220"/>
      <c r="U737" s="220"/>
      <c r="V737" s="243"/>
      <c r="W737" s="222"/>
      <c r="X737" s="220"/>
      <c r="Y737" s="82"/>
      <c r="Z737" s="83"/>
      <c r="AA737" s="83"/>
      <c r="AB737" s="83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</row>
    <row r="738" spans="1:45" ht="15.75" hidden="1">
      <c r="A738" s="138" t="s">
        <v>214</v>
      </c>
      <c r="B738" s="179"/>
      <c r="C738" s="218"/>
      <c r="D738" s="243"/>
      <c r="E738" s="222"/>
      <c r="F738" s="220"/>
      <c r="G738" s="243"/>
      <c r="H738" s="222"/>
      <c r="I738" s="220"/>
      <c r="J738" s="243"/>
      <c r="K738" s="222"/>
      <c r="L738" s="220"/>
      <c r="M738" s="220"/>
      <c r="N738" s="243"/>
      <c r="O738" s="222"/>
      <c r="P738" s="220"/>
      <c r="Q738" s="220"/>
      <c r="R738" s="243"/>
      <c r="S738" s="222"/>
      <c r="T738" s="220"/>
      <c r="U738" s="220"/>
      <c r="V738" s="243"/>
      <c r="W738" s="222"/>
      <c r="X738" s="220"/>
      <c r="Y738" s="82"/>
      <c r="Z738" s="83"/>
      <c r="AA738" s="83"/>
      <c r="AB738" s="83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</row>
    <row r="739" spans="1:45" ht="15.75" hidden="1">
      <c r="A739" s="138" t="s">
        <v>207</v>
      </c>
      <c r="B739" s="179"/>
      <c r="C739" s="218">
        <v>1774.8768390079899</v>
      </c>
      <c r="D739" s="243">
        <v>23.79</v>
      </c>
      <c r="E739" s="222"/>
      <c r="F739" s="220">
        <f>ROUND(D739*$C739,0)</f>
        <v>42224</v>
      </c>
      <c r="G739" s="243">
        <v>25.171223609796559</v>
      </c>
      <c r="H739" s="222"/>
      <c r="I739" s="220">
        <f t="shared" ref="I739:I743" si="153">ROUND(G739*C739,0)</f>
        <v>44676</v>
      </c>
      <c r="J739" s="243">
        <f>$J$637</f>
        <v>25.171223609796559</v>
      </c>
      <c r="K739" s="222"/>
      <c r="L739" s="220">
        <f>ROUND(J739*$C739,0)</f>
        <v>44676</v>
      </c>
      <c r="M739" s="220"/>
      <c r="N739" s="243">
        <f>$N$637</f>
        <v>25.171223609796559</v>
      </c>
      <c r="O739" s="222"/>
      <c r="P739" s="220">
        <f>ROUND(N739*$C739,0)</f>
        <v>44676</v>
      </c>
      <c r="Q739" s="220"/>
      <c r="R739" s="243"/>
      <c r="S739" s="222"/>
      <c r="T739" s="220"/>
      <c r="U739" s="220"/>
      <c r="V739" s="243"/>
      <c r="W739" s="222"/>
      <c r="X739" s="220"/>
      <c r="Y739" s="82"/>
      <c r="Z739" s="83"/>
      <c r="AA739" s="83"/>
      <c r="AB739" s="83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</row>
    <row r="740" spans="1:45" ht="15.75" hidden="1">
      <c r="A740" s="138" t="s">
        <v>208</v>
      </c>
      <c r="B740" s="179"/>
      <c r="C740" s="218">
        <v>1229.89051820554</v>
      </c>
      <c r="D740" s="243">
        <v>16.559999999999999</v>
      </c>
      <c r="E740" s="222"/>
      <c r="F740" s="220">
        <f>ROUND(D740*$C740,0)</f>
        <v>20367</v>
      </c>
      <c r="G740" s="243">
        <v>17.5284179478029</v>
      </c>
      <c r="H740" s="222"/>
      <c r="I740" s="220">
        <f t="shared" si="153"/>
        <v>21558</v>
      </c>
      <c r="J740" s="243">
        <f>$J$638</f>
        <v>17.5284179478029</v>
      </c>
      <c r="K740" s="222"/>
      <c r="L740" s="220">
        <f>ROUND(J740*$C740,0)</f>
        <v>21558</v>
      </c>
      <c r="M740" s="220"/>
      <c r="N740" s="243">
        <f>$N$638</f>
        <v>17.5284179478029</v>
      </c>
      <c r="O740" s="222"/>
      <c r="P740" s="220">
        <f>ROUND(N740*$C740,0)</f>
        <v>21558</v>
      </c>
      <c r="Q740" s="220"/>
      <c r="R740" s="243"/>
      <c r="S740" s="222"/>
      <c r="T740" s="220"/>
      <c r="U740" s="220"/>
      <c r="V740" s="243"/>
      <c r="W740" s="222"/>
      <c r="X740" s="220"/>
      <c r="Y740" s="82"/>
      <c r="Z740" s="83"/>
      <c r="AA740" s="83"/>
      <c r="AB740" s="83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</row>
    <row r="741" spans="1:45" ht="15.75" hidden="1">
      <c r="A741" s="138" t="s">
        <v>209</v>
      </c>
      <c r="B741" s="179"/>
      <c r="C741" s="218">
        <v>333</v>
      </c>
      <c r="D741" s="243">
        <v>12.96</v>
      </c>
      <c r="E741" s="222"/>
      <c r="F741" s="220">
        <f>ROUND(D741*$C741,0)</f>
        <v>4316</v>
      </c>
      <c r="G741" s="243">
        <v>13.717892306976186</v>
      </c>
      <c r="H741" s="222"/>
      <c r="I741" s="220">
        <f t="shared" si="153"/>
        <v>4568</v>
      </c>
      <c r="J741" s="243">
        <f>$J$639</f>
        <v>13.717892306976186</v>
      </c>
      <c r="K741" s="222"/>
      <c r="L741" s="220">
        <f>ROUND(J741*$C741,0)</f>
        <v>4568</v>
      </c>
      <c r="M741" s="220"/>
      <c r="N741" s="243">
        <f>$N$639</f>
        <v>13.717892306976186</v>
      </c>
      <c r="O741" s="222"/>
      <c r="P741" s="220">
        <f>ROUND(N741*$C741,0)</f>
        <v>4568</v>
      </c>
      <c r="Q741" s="220"/>
      <c r="R741" s="243"/>
      <c r="S741" s="222"/>
      <c r="T741" s="220"/>
      <c r="U741" s="220"/>
      <c r="V741" s="243"/>
      <c r="W741" s="222"/>
      <c r="X741" s="220"/>
      <c r="Y741" s="82"/>
      <c r="Z741" s="83"/>
      <c r="AA741" s="83"/>
      <c r="AB741" s="83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</row>
    <row r="742" spans="1:45" ht="15.75" hidden="1">
      <c r="A742" s="138" t="s">
        <v>215</v>
      </c>
      <c r="B742" s="179"/>
      <c r="C742" s="218">
        <v>35.073956151375498</v>
      </c>
      <c r="D742" s="243">
        <v>71.61</v>
      </c>
      <c r="E742" s="222"/>
      <c r="F742" s="220">
        <f>ROUND(D742*$C742,0)</f>
        <v>2512</v>
      </c>
      <c r="G742" s="243">
        <v>75.797705872111464</v>
      </c>
      <c r="H742" s="222"/>
      <c r="I742" s="220">
        <f t="shared" si="153"/>
        <v>2659</v>
      </c>
      <c r="J742" s="243">
        <f>$J$640</f>
        <v>75.797705872111464</v>
      </c>
      <c r="K742" s="222"/>
      <c r="L742" s="220">
        <f>ROUND(J742*$C742,0)</f>
        <v>2659</v>
      </c>
      <c r="M742" s="220"/>
      <c r="N742" s="243">
        <f>$N$640</f>
        <v>75.797705872111464</v>
      </c>
      <c r="O742" s="222"/>
      <c r="P742" s="220">
        <f>ROUND(N742*$C742,0)</f>
        <v>2659</v>
      </c>
      <c r="Q742" s="220"/>
      <c r="R742" s="243"/>
      <c r="S742" s="222"/>
      <c r="T742" s="220"/>
      <c r="U742" s="220"/>
      <c r="V742" s="243"/>
      <c r="W742" s="222"/>
      <c r="X742" s="220"/>
      <c r="Y742" s="82"/>
      <c r="Z742" s="83"/>
      <c r="AA742" s="83"/>
      <c r="AB742" s="83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</row>
    <row r="743" spans="1:45" ht="15.75" hidden="1">
      <c r="A743" s="138" t="s">
        <v>216</v>
      </c>
      <c r="B743" s="179"/>
      <c r="C743" s="218">
        <v>31.972554294521501</v>
      </c>
      <c r="D743" s="243">
        <v>142.74</v>
      </c>
      <c r="E743" s="222"/>
      <c r="F743" s="220">
        <f>ROUND(D743*$C743,0)</f>
        <v>4564</v>
      </c>
      <c r="G743" s="243">
        <v>151.02734165877936</v>
      </c>
      <c r="H743" s="222"/>
      <c r="I743" s="220">
        <f t="shared" si="153"/>
        <v>4829</v>
      </c>
      <c r="J743" s="243">
        <f>$J$641</f>
        <v>151.02734165877936</v>
      </c>
      <c r="K743" s="222"/>
      <c r="L743" s="220">
        <f>ROUND(J743*$C743,0)</f>
        <v>4829</v>
      </c>
      <c r="M743" s="220"/>
      <c r="N743" s="243">
        <f>$N$641</f>
        <v>151.02734165877936</v>
      </c>
      <c r="O743" s="222"/>
      <c r="P743" s="220">
        <f>ROUND(N743*$C743,0)</f>
        <v>4829</v>
      </c>
      <c r="Q743" s="220"/>
      <c r="R743" s="243"/>
      <c r="S743" s="222"/>
      <c r="T743" s="220"/>
      <c r="U743" s="220"/>
      <c r="V743" s="243"/>
      <c r="W743" s="222"/>
      <c r="X743" s="220"/>
      <c r="Y743" s="82"/>
      <c r="Z743" s="83"/>
      <c r="AA743" s="83"/>
      <c r="AB743" s="83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</row>
    <row r="744" spans="1:45" ht="15.75" hidden="1">
      <c r="A744" s="138" t="s">
        <v>217</v>
      </c>
      <c r="B744" s="179"/>
      <c r="C744" s="218"/>
      <c r="D744" s="243"/>
      <c r="E744" s="222"/>
      <c r="F744" s="220"/>
      <c r="G744" s="243"/>
      <c r="H744" s="222"/>
      <c r="I744" s="220"/>
      <c r="J744" s="243"/>
      <c r="K744" s="222"/>
      <c r="L744" s="220"/>
      <c r="M744" s="220"/>
      <c r="N744" s="243"/>
      <c r="O744" s="222"/>
      <c r="P744" s="220"/>
      <c r="Q744" s="220"/>
      <c r="R744" s="243"/>
      <c r="S744" s="222"/>
      <c r="T744" s="220"/>
      <c r="U744" s="220"/>
      <c r="V744" s="243"/>
      <c r="W744" s="222"/>
      <c r="X744" s="220"/>
      <c r="Y744" s="82"/>
      <c r="Z744" s="83"/>
      <c r="AA744" s="83"/>
      <c r="AB744" s="83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</row>
    <row r="745" spans="1:45" ht="15.75" hidden="1">
      <c r="A745" s="138" t="s">
        <v>213</v>
      </c>
      <c r="B745" s="179"/>
      <c r="C745" s="218">
        <v>2.3150397989107701</v>
      </c>
      <c r="D745" s="275">
        <v>-23.87</v>
      </c>
      <c r="E745" s="222"/>
      <c r="F745" s="220">
        <f>ROUND(D745*$C745,0)</f>
        <v>-55</v>
      </c>
      <c r="G745" s="275">
        <v>-25.265901957370488</v>
      </c>
      <c r="H745" s="222"/>
      <c r="I745" s="220">
        <f t="shared" ref="I745:I746" si="154">ROUND(G745*C745,0)</f>
        <v>-58</v>
      </c>
      <c r="J745" s="275">
        <f>-J737</f>
        <v>-25.265901957370488</v>
      </c>
      <c r="K745" s="222"/>
      <c r="L745" s="220">
        <f>ROUND(J745*$C745,0)</f>
        <v>-58</v>
      </c>
      <c r="M745" s="220"/>
      <c r="N745" s="275">
        <f>-N737</f>
        <v>-25.265901957370488</v>
      </c>
      <c r="O745" s="222"/>
      <c r="P745" s="220">
        <f>ROUND(N745*$C745,0)</f>
        <v>-58</v>
      </c>
      <c r="Q745" s="220"/>
      <c r="R745" s="275"/>
      <c r="S745" s="222"/>
      <c r="T745" s="220"/>
      <c r="U745" s="220"/>
      <c r="V745" s="275"/>
      <c r="W745" s="222"/>
      <c r="X745" s="220"/>
      <c r="Y745" s="82"/>
      <c r="Z745" s="83"/>
      <c r="AA745" s="83"/>
      <c r="AB745" s="83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</row>
    <row r="746" spans="1:45" ht="15.75" hidden="1">
      <c r="A746" s="138" t="s">
        <v>218</v>
      </c>
      <c r="B746" s="179"/>
      <c r="C746" s="218">
        <v>5.9588062211013</v>
      </c>
      <c r="D746" s="275">
        <v>-23.79</v>
      </c>
      <c r="E746" s="222"/>
      <c r="F746" s="220">
        <f>ROUND(D746*$C746,0)</f>
        <v>-142</v>
      </c>
      <c r="G746" s="275">
        <v>-25.171223609796559</v>
      </c>
      <c r="H746" s="222"/>
      <c r="I746" s="220">
        <f t="shared" si="154"/>
        <v>-150</v>
      </c>
      <c r="J746" s="275">
        <f>-J739</f>
        <v>-25.171223609796559</v>
      </c>
      <c r="K746" s="222"/>
      <c r="L746" s="220">
        <f>ROUND(J746*$C746,0)</f>
        <v>-150</v>
      </c>
      <c r="M746" s="220"/>
      <c r="N746" s="275">
        <f>-N739</f>
        <v>-25.171223609796559</v>
      </c>
      <c r="O746" s="222"/>
      <c r="P746" s="220">
        <f>ROUND(N746*$C746,0)</f>
        <v>-150</v>
      </c>
      <c r="Q746" s="220"/>
      <c r="R746" s="275"/>
      <c r="S746" s="222"/>
      <c r="T746" s="220"/>
      <c r="U746" s="220"/>
      <c r="V746" s="275"/>
      <c r="W746" s="222"/>
      <c r="X746" s="220"/>
      <c r="Y746" s="82"/>
      <c r="Z746" s="83"/>
      <c r="AA746" s="83"/>
      <c r="AB746" s="83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</row>
    <row r="747" spans="1:45" ht="15.75" hidden="1">
      <c r="A747" s="226" t="s">
        <v>181</v>
      </c>
      <c r="B747" s="179"/>
      <c r="C747" s="218"/>
      <c r="D747" s="243"/>
      <c r="E747" s="220"/>
      <c r="F747" s="220"/>
      <c r="G747" s="243"/>
      <c r="H747" s="220"/>
      <c r="I747" s="220"/>
      <c r="J747" s="243"/>
      <c r="K747" s="220"/>
      <c r="L747" s="220"/>
      <c r="M747" s="220"/>
      <c r="N747" s="243"/>
      <c r="O747" s="220"/>
      <c r="P747" s="220"/>
      <c r="Q747" s="220"/>
      <c r="R747" s="243"/>
      <c r="S747" s="220"/>
      <c r="T747" s="220"/>
      <c r="U747" s="220"/>
      <c r="V747" s="243"/>
      <c r="W747" s="220"/>
      <c r="X747" s="220"/>
      <c r="Y747" s="82"/>
      <c r="Z747" s="83"/>
      <c r="AA747" s="83"/>
      <c r="AB747" s="83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</row>
    <row r="748" spans="1:45" ht="15.75" hidden="1">
      <c r="A748" s="138" t="s">
        <v>219</v>
      </c>
      <c r="B748" s="179"/>
      <c r="C748" s="218">
        <v>5473590</v>
      </c>
      <c r="D748" s="327">
        <v>6.4390000000000001</v>
      </c>
      <c r="E748" s="220" t="s">
        <v>116</v>
      </c>
      <c r="F748" s="220">
        <f>ROUND(D748/100*$C748,0)</f>
        <v>352444</v>
      </c>
      <c r="G748" s="327">
        <v>6.8159999999999998</v>
      </c>
      <c r="H748" s="220" t="s">
        <v>116</v>
      </c>
      <c r="I748" s="220">
        <f>ROUND(G748/100*C748,0)</f>
        <v>373080</v>
      </c>
      <c r="J748" s="327">
        <f>$J$646</f>
        <v>6.8159999999999998</v>
      </c>
      <c r="K748" s="220" t="s">
        <v>116</v>
      </c>
      <c r="L748" s="220">
        <f>ROUND(J748/100*$C748,0)</f>
        <v>373080</v>
      </c>
      <c r="M748" s="220"/>
      <c r="N748" s="327">
        <f>$N$646</f>
        <v>1.4623594425594229</v>
      </c>
      <c r="O748" s="220" t="s">
        <v>116</v>
      </c>
      <c r="P748" s="220">
        <f>ROUND(N748/100*$C748,0)</f>
        <v>80044</v>
      </c>
      <c r="Q748" s="220"/>
      <c r="R748" s="327">
        <f>$R$646</f>
        <v>1.0938897675890884</v>
      </c>
      <c r="S748" s="220" t="s">
        <v>116</v>
      </c>
      <c r="T748" s="220">
        <f>ROUND(R748/100*$C748,0)</f>
        <v>59875</v>
      </c>
      <c r="U748" s="220"/>
      <c r="V748" s="327">
        <f>$V$646</f>
        <v>4.2597507898514877</v>
      </c>
      <c r="W748" s="220" t="s">
        <v>116</v>
      </c>
      <c r="X748" s="220">
        <f>ROUND(V748/100*$C748,0)</f>
        <v>233161</v>
      </c>
      <c r="Y748" s="82"/>
      <c r="Z748" s="83"/>
      <c r="AA748" s="83"/>
      <c r="AB748" s="83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</row>
    <row r="749" spans="1:45" ht="15.75" hidden="1">
      <c r="A749" s="226" t="s">
        <v>155</v>
      </c>
      <c r="B749" s="179"/>
      <c r="C749" s="218">
        <v>1277</v>
      </c>
      <c r="D749" s="244">
        <v>56</v>
      </c>
      <c r="E749" s="226" t="s">
        <v>116</v>
      </c>
      <c r="F749" s="220">
        <f>ROUND(D749*$C749/100,0)</f>
        <v>715</v>
      </c>
      <c r="G749" s="244">
        <v>56</v>
      </c>
      <c r="H749" s="226" t="s">
        <v>116</v>
      </c>
      <c r="I749" s="220">
        <f>ROUND(G749*C749/100,0)</f>
        <v>715</v>
      </c>
      <c r="J749" s="244">
        <f>$J$647</f>
        <v>56</v>
      </c>
      <c r="K749" s="226" t="s">
        <v>116</v>
      </c>
      <c r="L749" s="220">
        <f>ROUND(J749*$C749/100,0)</f>
        <v>715</v>
      </c>
      <c r="M749" s="220"/>
      <c r="N749" s="244">
        <f>$N$647</f>
        <v>0</v>
      </c>
      <c r="O749" s="226" t="s">
        <v>116</v>
      </c>
      <c r="P749" s="220">
        <f>ROUND(N749*$C749/100,0)</f>
        <v>0</v>
      </c>
      <c r="Q749" s="220"/>
      <c r="R749" s="244">
        <f>$R$647</f>
        <v>11.442274902048069</v>
      </c>
      <c r="S749" s="226" t="s">
        <v>116</v>
      </c>
      <c r="T749" s="220">
        <f>ROUND(R749*$C749/100,0)</f>
        <v>146</v>
      </c>
      <c r="U749" s="220"/>
      <c r="V749" s="244">
        <f>$V$647</f>
        <v>44.557725097951931</v>
      </c>
      <c r="W749" s="226" t="s">
        <v>116</v>
      </c>
      <c r="X749" s="220">
        <f>ROUND(V749*$C749/100,0)</f>
        <v>569</v>
      </c>
      <c r="Y749" s="82"/>
      <c r="Z749" s="83"/>
      <c r="AA749" s="83"/>
      <c r="AB749" s="83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</row>
    <row r="750" spans="1:45" ht="15.75" hidden="1">
      <c r="A750" s="281" t="s">
        <v>156</v>
      </c>
      <c r="B750" s="179"/>
      <c r="C750" s="218"/>
      <c r="D750" s="234">
        <v>-0.01</v>
      </c>
      <c r="E750" s="106"/>
      <c r="F750" s="220"/>
      <c r="G750" s="234">
        <v>-0.01</v>
      </c>
      <c r="H750" s="179"/>
      <c r="I750" s="220"/>
      <c r="J750" s="234">
        <v>-0.01</v>
      </c>
      <c r="K750" s="179"/>
      <c r="L750" s="220"/>
      <c r="M750" s="220"/>
      <c r="N750" s="234">
        <v>-0.01</v>
      </c>
      <c r="O750" s="179"/>
      <c r="P750" s="220"/>
      <c r="Q750" s="220"/>
      <c r="R750" s="234">
        <v>-0.01</v>
      </c>
      <c r="S750" s="179"/>
      <c r="T750" s="220"/>
      <c r="U750" s="220"/>
      <c r="V750" s="234">
        <v>-0.01</v>
      </c>
      <c r="W750" s="179"/>
      <c r="X750" s="220"/>
      <c r="Y750" s="82"/>
      <c r="Z750" s="83"/>
      <c r="AA750" s="83"/>
      <c r="AB750" s="83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</row>
    <row r="751" spans="1:45" ht="15.75" hidden="1">
      <c r="A751" s="138" t="s">
        <v>147</v>
      </c>
      <c r="B751" s="179"/>
      <c r="C751" s="218">
        <v>0</v>
      </c>
      <c r="D751" s="270">
        <v>0</v>
      </c>
      <c r="E751" s="222"/>
      <c r="F751" s="220">
        <f>ROUND(D751*$C751*$D$648,0)</f>
        <v>0</v>
      </c>
      <c r="G751" s="270">
        <v>0</v>
      </c>
      <c r="H751" s="222"/>
      <c r="I751" s="220">
        <f>ROUND(G751*C751,0)</f>
        <v>0</v>
      </c>
      <c r="J751" s="270">
        <f>J728</f>
        <v>0</v>
      </c>
      <c r="K751" s="222"/>
      <c r="L751" s="220">
        <f>ROUND(J751*$C751*$J$750,0)</f>
        <v>0</v>
      </c>
      <c r="M751" s="220"/>
      <c r="N751" s="270"/>
      <c r="O751" s="222"/>
      <c r="P751" s="220"/>
      <c r="Q751" s="220"/>
      <c r="R751" s="270"/>
      <c r="S751" s="222"/>
      <c r="T751" s="220"/>
      <c r="U751" s="220"/>
      <c r="V751" s="270"/>
      <c r="W751" s="222"/>
      <c r="X751" s="220"/>
      <c r="Y751" s="82"/>
      <c r="Z751" s="83"/>
      <c r="AA751" s="83"/>
      <c r="AB751" s="83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</row>
    <row r="752" spans="1:45" ht="15.75" hidden="1">
      <c r="A752" s="138" t="s">
        <v>148</v>
      </c>
      <c r="B752" s="179"/>
      <c r="C752" s="218"/>
      <c r="D752" s="270"/>
      <c r="E752" s="222"/>
      <c r="F752" s="220"/>
      <c r="G752" s="270"/>
      <c r="H752" s="222"/>
      <c r="I752" s="220"/>
      <c r="J752" s="270"/>
      <c r="K752" s="222"/>
      <c r="L752" s="220"/>
      <c r="M752" s="220"/>
      <c r="N752" s="270"/>
      <c r="O752" s="222"/>
      <c r="P752" s="220"/>
      <c r="Q752" s="220"/>
      <c r="R752" s="270"/>
      <c r="S752" s="222"/>
      <c r="T752" s="220"/>
      <c r="U752" s="220"/>
      <c r="V752" s="270"/>
      <c r="W752" s="222"/>
      <c r="X752" s="220"/>
      <c r="Y752" s="82"/>
      <c r="Z752" s="83"/>
      <c r="AA752" s="83"/>
      <c r="AB752" s="83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</row>
    <row r="753" spans="1:45" ht="15.75" hidden="1">
      <c r="A753" s="138" t="s">
        <v>207</v>
      </c>
      <c r="B753" s="179"/>
      <c r="C753" s="218">
        <v>0</v>
      </c>
      <c r="D753" s="270">
        <v>0</v>
      </c>
      <c r="E753" s="222"/>
      <c r="F753" s="220">
        <f>ROUND(D753*$C753*$D$648,0)</f>
        <v>0</v>
      </c>
      <c r="G753" s="270">
        <v>0</v>
      </c>
      <c r="H753" s="222"/>
      <c r="I753" s="220">
        <f t="shared" ref="I753:I756" si="155">ROUND(G753*C753,0)</f>
        <v>0</v>
      </c>
      <c r="J753" s="270">
        <f>J730</f>
        <v>0</v>
      </c>
      <c r="K753" s="222"/>
      <c r="L753" s="220">
        <f t="shared" ref="L753:L756" si="156">ROUND(J753*$C753*$J$750,0)</f>
        <v>0</v>
      </c>
      <c r="M753" s="220"/>
      <c r="N753" s="270"/>
      <c r="O753" s="222"/>
      <c r="P753" s="220"/>
      <c r="Q753" s="220"/>
      <c r="R753" s="270"/>
      <c r="S753" s="222"/>
      <c r="T753" s="220"/>
      <c r="U753" s="220"/>
      <c r="V753" s="270"/>
      <c r="W753" s="222"/>
      <c r="X753" s="220"/>
      <c r="Y753" s="82"/>
      <c r="Z753" s="83"/>
      <c r="AA753" s="83"/>
      <c r="AB753" s="83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</row>
    <row r="754" spans="1:45" ht="15.75" hidden="1">
      <c r="A754" s="138" t="s">
        <v>208</v>
      </c>
      <c r="B754" s="179"/>
      <c r="C754" s="218">
        <v>0</v>
      </c>
      <c r="D754" s="270">
        <v>357</v>
      </c>
      <c r="E754" s="222"/>
      <c r="F754" s="220">
        <f>ROUND(D754*$C754*$D$648,0)</f>
        <v>0</v>
      </c>
      <c r="G754" s="270">
        <v>357</v>
      </c>
      <c r="H754" s="222"/>
      <c r="I754" s="220">
        <f t="shared" si="155"/>
        <v>0</v>
      </c>
      <c r="J754" s="270">
        <f>J731</f>
        <v>357</v>
      </c>
      <c r="K754" s="222"/>
      <c r="L754" s="220">
        <f t="shared" si="156"/>
        <v>0</v>
      </c>
      <c r="M754" s="220"/>
      <c r="N754" s="270"/>
      <c r="O754" s="222"/>
      <c r="P754" s="220"/>
      <c r="Q754" s="220"/>
      <c r="R754" s="270"/>
      <c r="S754" s="222"/>
      <c r="T754" s="220"/>
      <c r="U754" s="220"/>
      <c r="V754" s="270"/>
      <c r="W754" s="222"/>
      <c r="X754" s="220"/>
      <c r="Y754" s="82"/>
      <c r="Z754" s="83"/>
      <c r="AA754" s="83"/>
      <c r="AB754" s="83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</row>
    <row r="755" spans="1:45" ht="15.75" hidden="1">
      <c r="A755" s="138" t="s">
        <v>209</v>
      </c>
      <c r="B755" s="179"/>
      <c r="C755" s="218">
        <v>0</v>
      </c>
      <c r="D755" s="270">
        <v>1457</v>
      </c>
      <c r="E755" s="222"/>
      <c r="F755" s="220">
        <f>ROUND(D755*$C755*$D$648,0)</f>
        <v>0</v>
      </c>
      <c r="G755" s="270">
        <v>1457</v>
      </c>
      <c r="H755" s="222"/>
      <c r="I755" s="220">
        <f t="shared" si="155"/>
        <v>0</v>
      </c>
      <c r="J755" s="270">
        <f>J732</f>
        <v>1457</v>
      </c>
      <c r="K755" s="222"/>
      <c r="L755" s="220">
        <f t="shared" si="156"/>
        <v>0</v>
      </c>
      <c r="M755" s="220"/>
      <c r="N755" s="270"/>
      <c r="O755" s="222"/>
      <c r="P755" s="220"/>
      <c r="Q755" s="220"/>
      <c r="R755" s="270"/>
      <c r="S755" s="222"/>
      <c r="T755" s="220"/>
      <c r="U755" s="220"/>
      <c r="V755" s="270"/>
      <c r="W755" s="222"/>
      <c r="X755" s="220"/>
      <c r="Y755" s="82"/>
      <c r="Z755" s="83"/>
      <c r="AA755" s="83"/>
      <c r="AB755" s="83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</row>
    <row r="756" spans="1:45" ht="15.75" hidden="1">
      <c r="A756" s="138" t="s">
        <v>147</v>
      </c>
      <c r="B756" s="179"/>
      <c r="C756" s="218">
        <v>0</v>
      </c>
      <c r="D756" s="270">
        <v>23.87</v>
      </c>
      <c r="E756" s="222"/>
      <c r="F756" s="220">
        <f>ROUND(D756*$C756*$D$648,0)</f>
        <v>0</v>
      </c>
      <c r="G756" s="270">
        <v>25.265901957370488</v>
      </c>
      <c r="H756" s="222"/>
      <c r="I756" s="220">
        <f t="shared" si="155"/>
        <v>0</v>
      </c>
      <c r="J756" s="270">
        <f>J737</f>
        <v>25.265901957370488</v>
      </c>
      <c r="K756" s="222"/>
      <c r="L756" s="220">
        <f t="shared" si="156"/>
        <v>0</v>
      </c>
      <c r="M756" s="220"/>
      <c r="N756" s="270"/>
      <c r="O756" s="222"/>
      <c r="P756" s="220"/>
      <c r="Q756" s="220"/>
      <c r="R756" s="270"/>
      <c r="S756" s="222"/>
      <c r="T756" s="220"/>
      <c r="U756" s="220"/>
      <c r="V756" s="270"/>
      <c r="W756" s="222"/>
      <c r="X756" s="220"/>
      <c r="Y756" s="82"/>
      <c r="Z756" s="83"/>
      <c r="AA756" s="83"/>
      <c r="AB756" s="83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</row>
    <row r="757" spans="1:45" ht="15.75" hidden="1">
      <c r="A757" s="138" t="s">
        <v>148</v>
      </c>
      <c r="B757" s="179"/>
      <c r="C757" s="218"/>
      <c r="D757" s="270"/>
      <c r="E757" s="222"/>
      <c r="F757" s="220"/>
      <c r="G757" s="270"/>
      <c r="H757" s="222"/>
      <c r="I757" s="220"/>
      <c r="J757" s="270"/>
      <c r="K757" s="222"/>
      <c r="L757" s="220"/>
      <c r="M757" s="220"/>
      <c r="N757" s="270"/>
      <c r="O757" s="222"/>
      <c r="P757" s="220"/>
      <c r="Q757" s="220"/>
      <c r="R757" s="270"/>
      <c r="S757" s="222"/>
      <c r="T757" s="220"/>
      <c r="U757" s="220"/>
      <c r="V757" s="270"/>
      <c r="W757" s="222"/>
      <c r="X757" s="220"/>
      <c r="Y757" s="82"/>
      <c r="Z757" s="83"/>
      <c r="AA757" s="83"/>
      <c r="AB757" s="83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</row>
    <row r="758" spans="1:45" ht="15.75" hidden="1">
      <c r="A758" s="138" t="s">
        <v>207</v>
      </c>
      <c r="B758" s="179"/>
      <c r="C758" s="218">
        <v>0</v>
      </c>
      <c r="D758" s="270">
        <v>23.79</v>
      </c>
      <c r="E758" s="222"/>
      <c r="F758" s="220">
        <f>ROUND(D758*$C758*$D$648,0)</f>
        <v>0</v>
      </c>
      <c r="G758" s="270">
        <v>25.171223609796559</v>
      </c>
      <c r="H758" s="222"/>
      <c r="I758" s="220">
        <f>ROUND(G758*$C758*$G$648,0)</f>
        <v>0</v>
      </c>
      <c r="J758" s="270">
        <f>J739</f>
        <v>25.171223609796559</v>
      </c>
      <c r="K758" s="222"/>
      <c r="L758" s="220">
        <f t="shared" ref="L758:L762" si="157">ROUND(J758*$C758*$J$750,0)</f>
        <v>0</v>
      </c>
      <c r="M758" s="220"/>
      <c r="N758" s="270"/>
      <c r="O758" s="222"/>
      <c r="P758" s="220"/>
      <c r="Q758" s="220"/>
      <c r="R758" s="270"/>
      <c r="S758" s="222"/>
      <c r="T758" s="220"/>
      <c r="U758" s="220"/>
      <c r="V758" s="270"/>
      <c r="W758" s="222"/>
      <c r="X758" s="220"/>
      <c r="Y758" s="82"/>
      <c r="Z758" s="83"/>
      <c r="AA758" s="83"/>
      <c r="AB758" s="83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</row>
    <row r="759" spans="1:45" ht="15.75" hidden="1">
      <c r="A759" s="138" t="s">
        <v>208</v>
      </c>
      <c r="B759" s="179"/>
      <c r="C759" s="218">
        <v>0</v>
      </c>
      <c r="D759" s="270">
        <v>16.559999999999999</v>
      </c>
      <c r="E759" s="222"/>
      <c r="F759" s="220">
        <f>ROUND(D759*$C759*$D$648,0)</f>
        <v>0</v>
      </c>
      <c r="G759" s="270">
        <v>17.5284179478029</v>
      </c>
      <c r="H759" s="222"/>
      <c r="I759" s="220">
        <f t="shared" ref="I759:I762" si="158">ROUND(G759*$C759*$G$648,0)</f>
        <v>0</v>
      </c>
      <c r="J759" s="270">
        <f>J740</f>
        <v>17.5284179478029</v>
      </c>
      <c r="K759" s="222"/>
      <c r="L759" s="220">
        <f t="shared" si="157"/>
        <v>0</v>
      </c>
      <c r="M759" s="220"/>
      <c r="N759" s="270"/>
      <c r="O759" s="222"/>
      <c r="P759" s="220"/>
      <c r="Q759" s="220"/>
      <c r="R759" s="270"/>
      <c r="S759" s="222"/>
      <c r="T759" s="220"/>
      <c r="U759" s="220"/>
      <c r="V759" s="270"/>
      <c r="W759" s="222"/>
      <c r="X759" s="220"/>
      <c r="Y759" s="82"/>
      <c r="Z759" s="83"/>
      <c r="AA759" s="83"/>
      <c r="AB759" s="83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</row>
    <row r="760" spans="1:45" ht="15.75" hidden="1">
      <c r="A760" s="138" t="s">
        <v>209</v>
      </c>
      <c r="B760" s="179"/>
      <c r="C760" s="218">
        <v>0</v>
      </c>
      <c r="D760" s="270">
        <v>12.96</v>
      </c>
      <c r="E760" s="222"/>
      <c r="F760" s="220">
        <f>ROUND(D760*$C760*$D$648,0)</f>
        <v>0</v>
      </c>
      <c r="G760" s="270">
        <v>13.717892306976186</v>
      </c>
      <c r="H760" s="222"/>
      <c r="I760" s="220">
        <f t="shared" si="158"/>
        <v>0</v>
      </c>
      <c r="J760" s="270">
        <f>J741</f>
        <v>13.717892306976186</v>
      </c>
      <c r="K760" s="222"/>
      <c r="L760" s="220">
        <f t="shared" si="157"/>
        <v>0</v>
      </c>
      <c r="M760" s="220"/>
      <c r="N760" s="270"/>
      <c r="O760" s="222"/>
      <c r="P760" s="220"/>
      <c r="Q760" s="220"/>
      <c r="R760" s="270"/>
      <c r="S760" s="222"/>
      <c r="T760" s="220"/>
      <c r="U760" s="220"/>
      <c r="V760" s="270"/>
      <c r="W760" s="222"/>
      <c r="X760" s="220"/>
      <c r="Y760" s="82"/>
      <c r="Z760" s="83"/>
      <c r="AA760" s="83"/>
      <c r="AB760" s="83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</row>
    <row r="761" spans="1:45" ht="15.75" hidden="1">
      <c r="A761" s="138" t="s">
        <v>221</v>
      </c>
      <c r="B761" s="179"/>
      <c r="C761" s="218">
        <v>0</v>
      </c>
      <c r="D761" s="275">
        <v>71.61</v>
      </c>
      <c r="E761" s="222"/>
      <c r="F761" s="220">
        <f>ROUND(D761*$C761*$D$648,0)</f>
        <v>0</v>
      </c>
      <c r="G761" s="275">
        <v>75.797705872111464</v>
      </c>
      <c r="H761" s="222"/>
      <c r="I761" s="220">
        <f t="shared" si="158"/>
        <v>0</v>
      </c>
      <c r="J761" s="275">
        <f>J742</f>
        <v>75.797705872111464</v>
      </c>
      <c r="K761" s="222"/>
      <c r="L761" s="220">
        <f t="shared" si="157"/>
        <v>0</v>
      </c>
      <c r="M761" s="220"/>
      <c r="N761" s="275"/>
      <c r="O761" s="222"/>
      <c r="P761" s="220"/>
      <c r="Q761" s="220"/>
      <c r="R761" s="275"/>
      <c r="S761" s="222"/>
      <c r="T761" s="220"/>
      <c r="U761" s="220"/>
      <c r="V761" s="275"/>
      <c r="W761" s="222"/>
      <c r="X761" s="220"/>
      <c r="Y761" s="82"/>
      <c r="Z761" s="83"/>
      <c r="AA761" s="83"/>
      <c r="AB761" s="83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</row>
    <row r="762" spans="1:45" ht="15.75" hidden="1">
      <c r="A762" s="138" t="s">
        <v>222</v>
      </c>
      <c r="B762" s="179"/>
      <c r="C762" s="218">
        <v>0</v>
      </c>
      <c r="D762" s="275">
        <v>142.74</v>
      </c>
      <c r="E762" s="222"/>
      <c r="F762" s="220">
        <f>ROUND(D762*$C762*$D$648,0)</f>
        <v>0</v>
      </c>
      <c r="G762" s="275">
        <v>151.02734165877936</v>
      </c>
      <c r="H762" s="222"/>
      <c r="I762" s="220">
        <f t="shared" si="158"/>
        <v>0</v>
      </c>
      <c r="J762" s="275">
        <f>J743</f>
        <v>151.02734165877936</v>
      </c>
      <c r="K762" s="222"/>
      <c r="L762" s="220">
        <f t="shared" si="157"/>
        <v>0</v>
      </c>
      <c r="M762" s="220"/>
      <c r="N762" s="275"/>
      <c r="O762" s="222"/>
      <c r="P762" s="220"/>
      <c r="Q762" s="220"/>
      <c r="R762" s="275"/>
      <c r="S762" s="222"/>
      <c r="T762" s="220"/>
      <c r="U762" s="220"/>
      <c r="V762" s="275"/>
      <c r="W762" s="222"/>
      <c r="X762" s="220"/>
      <c r="Y762" s="82"/>
      <c r="Z762" s="83"/>
      <c r="AA762" s="83"/>
      <c r="AB762" s="83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</row>
    <row r="763" spans="1:45" ht="15.75" hidden="1">
      <c r="A763" s="138" t="s">
        <v>217</v>
      </c>
      <c r="B763" s="179"/>
      <c r="C763" s="218"/>
      <c r="D763" s="243"/>
      <c r="E763" s="222"/>
      <c r="F763" s="220"/>
      <c r="G763" s="243"/>
      <c r="H763" s="222"/>
      <c r="I763" s="220"/>
      <c r="J763" s="243"/>
      <c r="K763" s="222"/>
      <c r="L763" s="220"/>
      <c r="M763" s="220"/>
      <c r="N763" s="243"/>
      <c r="O763" s="222"/>
      <c r="P763" s="220"/>
      <c r="Q763" s="220"/>
      <c r="R763" s="243"/>
      <c r="S763" s="222"/>
      <c r="T763" s="220"/>
      <c r="U763" s="220"/>
      <c r="V763" s="243"/>
      <c r="W763" s="222"/>
      <c r="X763" s="220"/>
      <c r="Y763" s="82"/>
      <c r="Z763" s="83"/>
      <c r="AA763" s="83"/>
      <c r="AB763" s="83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</row>
    <row r="764" spans="1:45" ht="15.75" hidden="1">
      <c r="A764" s="138" t="s">
        <v>213</v>
      </c>
      <c r="B764" s="179"/>
      <c r="C764" s="218">
        <v>0</v>
      </c>
      <c r="D764" s="275">
        <v>-23.87</v>
      </c>
      <c r="E764" s="222"/>
      <c r="F764" s="220">
        <f>ROUND(D764*$C764*$D$648,0)</f>
        <v>0</v>
      </c>
      <c r="G764" s="275">
        <v>-25.265901957370488</v>
      </c>
      <c r="H764" s="222"/>
      <c r="I764" s="220">
        <f t="shared" ref="I764:I765" si="159">ROUND(G764*$C764*$G$648,0)</f>
        <v>0</v>
      </c>
      <c r="J764" s="275">
        <f>J745</f>
        <v>-25.265901957370488</v>
      </c>
      <c r="K764" s="222"/>
      <c r="L764" s="220">
        <f t="shared" ref="L764:L765" si="160">ROUND(J764*$C764*$J$750,0)</f>
        <v>0</v>
      </c>
      <c r="M764" s="220"/>
      <c r="N764" s="275"/>
      <c r="O764" s="222"/>
      <c r="P764" s="220"/>
      <c r="Q764" s="220"/>
      <c r="R764" s="275"/>
      <c r="S764" s="222"/>
      <c r="T764" s="220"/>
      <c r="U764" s="220"/>
      <c r="V764" s="275"/>
      <c r="W764" s="222"/>
      <c r="X764" s="220"/>
      <c r="Y764" s="82"/>
      <c r="Z764" s="83"/>
      <c r="AA764" s="83"/>
      <c r="AB764" s="83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</row>
    <row r="765" spans="1:45" ht="15.75" hidden="1">
      <c r="A765" s="138" t="s">
        <v>218</v>
      </c>
      <c r="B765" s="179"/>
      <c r="C765" s="218">
        <v>0</v>
      </c>
      <c r="D765" s="275">
        <v>-23.79</v>
      </c>
      <c r="E765" s="222"/>
      <c r="F765" s="220">
        <f>ROUND(D765*$C765*$D$648,0)</f>
        <v>0</v>
      </c>
      <c r="G765" s="275">
        <v>-25.171223609796559</v>
      </c>
      <c r="H765" s="222"/>
      <c r="I765" s="220">
        <f t="shared" si="159"/>
        <v>0</v>
      </c>
      <c r="J765" s="275">
        <f>J746</f>
        <v>-25.171223609796559</v>
      </c>
      <c r="K765" s="222"/>
      <c r="L765" s="220">
        <f t="shared" si="160"/>
        <v>0</v>
      </c>
      <c r="M765" s="220"/>
      <c r="N765" s="275"/>
      <c r="O765" s="222"/>
      <c r="P765" s="220"/>
      <c r="Q765" s="220"/>
      <c r="R765" s="275"/>
      <c r="S765" s="222"/>
      <c r="T765" s="220"/>
      <c r="U765" s="220"/>
      <c r="V765" s="275"/>
      <c r="W765" s="222"/>
      <c r="X765" s="220"/>
      <c r="Y765" s="82"/>
      <c r="Z765" s="83"/>
      <c r="AA765" s="83"/>
      <c r="AB765" s="83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</row>
    <row r="766" spans="1:45" ht="15.75" hidden="1">
      <c r="A766" s="226" t="s">
        <v>181</v>
      </c>
      <c r="B766" s="179"/>
      <c r="C766" s="218"/>
      <c r="D766" s="270"/>
      <c r="E766" s="220"/>
      <c r="F766" s="220"/>
      <c r="G766" s="270"/>
      <c r="H766" s="220"/>
      <c r="I766" s="220"/>
      <c r="J766" s="270"/>
      <c r="K766" s="220"/>
      <c r="L766" s="220"/>
      <c r="M766" s="220"/>
      <c r="N766" s="270"/>
      <c r="O766" s="220"/>
      <c r="P766" s="220"/>
      <c r="Q766" s="220"/>
      <c r="R766" s="270"/>
      <c r="S766" s="220"/>
      <c r="T766" s="220"/>
      <c r="U766" s="220"/>
      <c r="V766" s="270"/>
      <c r="W766" s="220"/>
      <c r="X766" s="220"/>
      <c r="Y766" s="82"/>
      <c r="Z766" s="83"/>
      <c r="AA766" s="83"/>
      <c r="AB766" s="83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</row>
    <row r="767" spans="1:45" ht="15.75" hidden="1">
      <c r="A767" s="138" t="s">
        <v>219</v>
      </c>
      <c r="B767" s="179"/>
      <c r="C767" s="218">
        <v>0</v>
      </c>
      <c r="D767" s="329">
        <v>6.4390000000000001</v>
      </c>
      <c r="E767" s="220" t="s">
        <v>116</v>
      </c>
      <c r="F767" s="220">
        <f>ROUND(D767/100*$C767*$D$648,0)</f>
        <v>0</v>
      </c>
      <c r="G767" s="329">
        <v>6.8159999999999998</v>
      </c>
      <c r="H767" s="220" t="s">
        <v>116</v>
      </c>
      <c r="I767" s="220">
        <f>ROUND(G767/100*C767*$G$648,0)</f>
        <v>0</v>
      </c>
      <c r="J767" s="329">
        <f>J748</f>
        <v>6.8159999999999998</v>
      </c>
      <c r="K767" s="220" t="s">
        <v>116</v>
      </c>
      <c r="L767" s="220">
        <f>ROUND(J767/100*$C767*$J$750,0)</f>
        <v>0</v>
      </c>
      <c r="M767" s="220"/>
      <c r="N767" s="329"/>
      <c r="O767" s="220"/>
      <c r="P767" s="220"/>
      <c r="Q767" s="220"/>
      <c r="R767" s="329"/>
      <c r="S767" s="220"/>
      <c r="T767" s="220"/>
      <c r="U767" s="220"/>
      <c r="V767" s="329"/>
      <c r="W767" s="220"/>
      <c r="X767" s="220"/>
      <c r="Y767" s="82"/>
      <c r="Z767" s="83"/>
      <c r="AA767" s="83"/>
      <c r="AB767" s="83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</row>
    <row r="768" spans="1:45" ht="15.75" hidden="1">
      <c r="A768" s="226" t="s">
        <v>155</v>
      </c>
      <c r="B768" s="179"/>
      <c r="C768" s="218">
        <v>0</v>
      </c>
      <c r="D768" s="310">
        <v>56</v>
      </c>
      <c r="E768" s="220" t="s">
        <v>116</v>
      </c>
      <c r="F768" s="220">
        <f>ROUND(D768/100*$C768*$D$648,0)</f>
        <v>0</v>
      </c>
      <c r="G768" s="310">
        <v>56</v>
      </c>
      <c r="H768" s="226" t="s">
        <v>116</v>
      </c>
      <c r="I768" s="220">
        <f>ROUND(G768/100*C768*$G$648,0)</f>
        <v>0</v>
      </c>
      <c r="J768" s="310">
        <f>J749</f>
        <v>56</v>
      </c>
      <c r="K768" s="226" t="s">
        <v>116</v>
      </c>
      <c r="L768" s="220">
        <f>ROUND(J768/100*$C768*$J$750,0)</f>
        <v>0</v>
      </c>
      <c r="M768" s="220"/>
      <c r="N768" s="310"/>
      <c r="O768" s="226"/>
      <c r="P768" s="220"/>
      <c r="Q768" s="220"/>
      <c r="R768" s="310"/>
      <c r="S768" s="226"/>
      <c r="T768" s="220"/>
      <c r="U768" s="220"/>
      <c r="V768" s="310"/>
      <c r="W768" s="226"/>
      <c r="X768" s="220"/>
      <c r="Y768" s="82"/>
      <c r="Z768" s="83"/>
      <c r="AA768" s="83"/>
      <c r="AB768" s="83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</row>
    <row r="769" spans="1:45" ht="15.75" hidden="1">
      <c r="A769" s="226" t="s">
        <v>198</v>
      </c>
      <c r="B769" s="179"/>
      <c r="C769" s="218">
        <v>0</v>
      </c>
      <c r="D769" s="210">
        <v>60</v>
      </c>
      <c r="E769" s="306" t="s">
        <v>108</v>
      </c>
      <c r="F769" s="220">
        <f>ROUND(D769*$C769,0)</f>
        <v>0</v>
      </c>
      <c r="G769" s="210">
        <v>60</v>
      </c>
      <c r="H769" s="179"/>
      <c r="I769" s="220">
        <f>ROUND(G769*$C769,0)</f>
        <v>0</v>
      </c>
      <c r="J769" s="210">
        <f>$J$667</f>
        <v>60</v>
      </c>
      <c r="K769" s="179"/>
      <c r="L769" s="220">
        <f>ROUND(J769*$C769,0)</f>
        <v>0</v>
      </c>
      <c r="M769" s="220"/>
      <c r="N769" s="210"/>
      <c r="O769" s="179"/>
      <c r="P769" s="220"/>
      <c r="Q769" s="220"/>
      <c r="R769" s="210"/>
      <c r="S769" s="179"/>
      <c r="T769" s="220"/>
      <c r="U769" s="220"/>
      <c r="V769" s="210"/>
      <c r="W769" s="179"/>
      <c r="X769" s="220"/>
      <c r="Y769" s="82"/>
      <c r="Z769" s="266" t="s">
        <v>108</v>
      </c>
      <c r="AA769" s="83"/>
      <c r="AB769" s="83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</row>
    <row r="770" spans="1:45" ht="15.75" hidden="1">
      <c r="A770" s="226" t="s">
        <v>199</v>
      </c>
      <c r="B770" s="179"/>
      <c r="C770" s="218">
        <v>0</v>
      </c>
      <c r="D770" s="244">
        <v>-30</v>
      </c>
      <c r="E770" s="220" t="s">
        <v>116</v>
      </c>
      <c r="F770" s="220">
        <f>ROUND(D770*$C770/100,0)</f>
        <v>0</v>
      </c>
      <c r="G770" s="244">
        <v>-30</v>
      </c>
      <c r="H770" s="220" t="s">
        <v>116</v>
      </c>
      <c r="I770" s="220">
        <f>ROUND(G770*$C770/100,0)</f>
        <v>0</v>
      </c>
      <c r="J770" s="244">
        <f>$J$668</f>
        <v>-30</v>
      </c>
      <c r="K770" s="220" t="s">
        <v>116</v>
      </c>
      <c r="L770" s="220">
        <f>ROUND(J770*$C770/100,0)</f>
        <v>0</v>
      </c>
      <c r="M770" s="220"/>
      <c r="N770" s="244"/>
      <c r="O770" s="220"/>
      <c r="P770" s="220"/>
      <c r="Q770" s="220"/>
      <c r="R770" s="244"/>
      <c r="S770" s="220"/>
      <c r="T770" s="220"/>
      <c r="U770" s="220"/>
      <c r="V770" s="244"/>
      <c r="W770" s="220"/>
      <c r="X770" s="220"/>
      <c r="Y770" s="82"/>
      <c r="Z770" s="83"/>
      <c r="AA770" s="83"/>
      <c r="AB770" s="83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</row>
    <row r="771" spans="1:45" ht="15.75" hidden="1">
      <c r="A771" s="179" t="s">
        <v>134</v>
      </c>
      <c r="B771" s="179"/>
      <c r="C771" s="218">
        <f>SUM(C748:C748)</f>
        <v>5473590</v>
      </c>
      <c r="D771" s="229"/>
      <c r="E771" s="106"/>
      <c r="F771" s="106">
        <f>SUM(F728:F770)</f>
        <v>437654</v>
      </c>
      <c r="G771" s="229"/>
      <c r="H771" s="226"/>
      <c r="I771" s="106">
        <f>SUM(I728:I770)</f>
        <v>462899</v>
      </c>
      <c r="J771" s="229"/>
      <c r="K771" s="226"/>
      <c r="L771" s="106">
        <f>SUM(L728:L770)</f>
        <v>462899</v>
      </c>
      <c r="M771" s="106"/>
      <c r="N771" s="229"/>
      <c r="O771" s="226"/>
      <c r="P771" s="106">
        <f>SUM(P728:P770)</f>
        <v>169148</v>
      </c>
      <c r="Q771" s="106"/>
      <c r="R771" s="229"/>
      <c r="S771" s="226"/>
      <c r="T771" s="106">
        <f>SUM(T728:T770)</f>
        <v>60021</v>
      </c>
      <c r="U771" s="106"/>
      <c r="V771" s="229"/>
      <c r="W771" s="226"/>
      <c r="X771" s="106">
        <f>SUM(X728:X770)</f>
        <v>233730</v>
      </c>
      <c r="Y771" s="82"/>
      <c r="Z771" s="83"/>
      <c r="AA771" s="83"/>
      <c r="AB771" s="83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</row>
    <row r="772" spans="1:45" ht="15.75" hidden="1">
      <c r="A772" s="179" t="s">
        <v>119</v>
      </c>
      <c r="B772" s="179"/>
      <c r="C772" s="273">
        <v>-7191.4616234892947</v>
      </c>
      <c r="D772" s="138"/>
      <c r="E772" s="138"/>
      <c r="F772" s="136">
        <f>I772</f>
        <v>-1126.4991463464028</v>
      </c>
      <c r="G772" s="138"/>
      <c r="H772" s="138"/>
      <c r="I772" s="136">
        <v>-1126.4991463464028</v>
      </c>
      <c r="J772" s="138"/>
      <c r="K772" s="138"/>
      <c r="L772" s="136">
        <f>I772</f>
        <v>-1126.4991463464028</v>
      </c>
      <c r="M772" s="137"/>
      <c r="N772" s="138"/>
      <c r="O772" s="138"/>
      <c r="P772" s="136">
        <f>P670/L670*L772</f>
        <v>-239.15360579943888</v>
      </c>
      <c r="Q772" s="137"/>
      <c r="R772" s="138"/>
      <c r="S772" s="138"/>
      <c r="T772" s="136">
        <f>T670/L670*L772</f>
        <v>-178.48273409256663</v>
      </c>
      <c r="U772" s="137"/>
      <c r="V772" s="138"/>
      <c r="W772" s="138"/>
      <c r="X772" s="136">
        <f>X670/L670*L772</f>
        <v>-708.8628064543974</v>
      </c>
      <c r="Y772" s="172"/>
      <c r="Z772" s="168"/>
      <c r="AA772" s="83"/>
      <c r="AB772" s="83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</row>
    <row r="773" spans="1:45" ht="16.5" hidden="1" thickBot="1">
      <c r="A773" s="179" t="s">
        <v>135</v>
      </c>
      <c r="B773" s="179"/>
      <c r="C773" s="288">
        <f>SUM(C771:C772)</f>
        <v>5466398.5383765111</v>
      </c>
      <c r="D773" s="268"/>
      <c r="E773" s="250"/>
      <c r="F773" s="251">
        <f>F771+F772</f>
        <v>436527.50085365359</v>
      </c>
      <c r="G773" s="268"/>
      <c r="H773" s="269"/>
      <c r="I773" s="251">
        <f>I771+I772</f>
        <v>461772.50085365359</v>
      </c>
      <c r="J773" s="268"/>
      <c r="K773" s="269"/>
      <c r="L773" s="251">
        <f>L771+L772</f>
        <v>461772.50085365359</v>
      </c>
      <c r="M773" s="251"/>
      <c r="N773" s="268"/>
      <c r="O773" s="269"/>
      <c r="P773" s="251">
        <f>P771+P772</f>
        <v>168908.84639420055</v>
      </c>
      <c r="Q773" s="251"/>
      <c r="R773" s="268"/>
      <c r="S773" s="269"/>
      <c r="T773" s="251">
        <f>T771+T772</f>
        <v>59842.517265907431</v>
      </c>
      <c r="U773" s="251"/>
      <c r="V773" s="268"/>
      <c r="W773" s="269"/>
      <c r="X773" s="251">
        <f>X771+X772</f>
        <v>233021.13719354561</v>
      </c>
      <c r="Y773" s="176"/>
      <c r="Z773" s="177"/>
      <c r="AA773" s="83"/>
      <c r="AB773" s="83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</row>
    <row r="774" spans="1:45" ht="16.5" hidden="1" thickTop="1">
      <c r="A774" s="179"/>
      <c r="B774" s="179"/>
      <c r="C774" s="298"/>
      <c r="D774" s="274"/>
      <c r="E774" s="258"/>
      <c r="F774" s="221"/>
      <c r="G774" s="274"/>
      <c r="H774" s="259"/>
      <c r="I774" s="221"/>
      <c r="J774" s="274"/>
      <c r="K774" s="259"/>
      <c r="L774" s="221"/>
      <c r="M774" s="221"/>
      <c r="N774" s="274"/>
      <c r="O774" s="259"/>
      <c r="P774" s="221"/>
      <c r="Q774" s="221"/>
      <c r="R774" s="274"/>
      <c r="S774" s="259"/>
      <c r="T774" s="221"/>
      <c r="U774" s="221"/>
      <c r="V774" s="274"/>
      <c r="W774" s="259"/>
      <c r="X774" s="221"/>
      <c r="Y774" s="330">
        <f>'[2]Exhibit No.__(JRS-6) p11'!J39+'[2]Exhibit No.__(JRS-6) p11'!K39+'[2]Exhibit No.__(JRS-6) p11'!L39</f>
        <v>0.21229807991873806</v>
      </c>
      <c r="Z774" s="330">
        <f>'[2]Exhibit No.__(JRS-6) p11'!I39</f>
        <v>0.15844018583719588</v>
      </c>
      <c r="AA774" s="330">
        <f>'[2]Exhibit No.__(JRS-6) p11'!H39</f>
        <v>0.62926173424406595</v>
      </c>
      <c r="AB774" s="83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</row>
    <row r="775" spans="1:45" ht="15.75" hidden="1">
      <c r="A775" s="179"/>
      <c r="B775" s="179"/>
      <c r="C775" s="298"/>
      <c r="D775" s="274"/>
      <c r="E775" s="258"/>
      <c r="F775" s="221"/>
      <c r="G775" s="274"/>
      <c r="H775" s="259"/>
      <c r="I775" s="221"/>
      <c r="J775" s="274"/>
      <c r="K775" s="259"/>
      <c r="L775" s="221"/>
      <c r="M775" s="221"/>
      <c r="N775" s="274"/>
      <c r="O775" s="259"/>
      <c r="P775" s="221"/>
      <c r="Q775" s="221"/>
      <c r="R775" s="274"/>
      <c r="S775" s="259"/>
      <c r="T775" s="221"/>
      <c r="U775" s="221"/>
      <c r="V775" s="274"/>
      <c r="W775" s="259"/>
      <c r="X775" s="221"/>
      <c r="Y775" s="176">
        <f>Y774*$L$671</f>
        <v>2689028.8343958328</v>
      </c>
      <c r="Z775" s="176">
        <f t="shared" ref="Z775:AA775" si="161">Z774*$L$671</f>
        <v>2006849.18302763</v>
      </c>
      <c r="AA775" s="176">
        <f t="shared" si="161"/>
        <v>7970410.982576536</v>
      </c>
      <c r="AB775" s="266" t="s">
        <v>162</v>
      </c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</row>
    <row r="776" spans="1:45" ht="15.75">
      <c r="A776" s="193"/>
      <c r="B776" s="311"/>
      <c r="C776" s="193"/>
      <c r="D776" s="179"/>
      <c r="E776" s="205"/>
      <c r="F776" s="312"/>
      <c r="G776" s="179"/>
      <c r="H776" s="193"/>
      <c r="I776" s="312" t="s">
        <v>108</v>
      </c>
      <c r="J776" s="193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82"/>
      <c r="Z776" s="83"/>
      <c r="AA776" s="83"/>
      <c r="AB776" s="83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</row>
    <row r="777" spans="1:45" ht="15.75">
      <c r="A777" s="178" t="s">
        <v>226</v>
      </c>
      <c r="B777" s="179"/>
      <c r="C777" s="179"/>
      <c r="D777" s="106"/>
      <c r="E777" s="106"/>
      <c r="F777" s="179"/>
      <c r="G777" s="106"/>
      <c r="H777" s="179"/>
      <c r="I777" s="179"/>
      <c r="J777" s="106"/>
      <c r="K777" s="179"/>
      <c r="L777" s="179"/>
      <c r="M777" s="179"/>
      <c r="N777" s="106"/>
      <c r="O777" s="179"/>
      <c r="P777" s="179"/>
      <c r="Q777" s="179"/>
      <c r="R777" s="106"/>
      <c r="S777" s="179"/>
      <c r="T777" s="179"/>
      <c r="U777" s="179"/>
      <c r="V777" s="106"/>
      <c r="W777" s="179"/>
      <c r="X777" s="179"/>
      <c r="Y777" s="82"/>
      <c r="Z777" s="83"/>
      <c r="AA777" s="83"/>
      <c r="AB777" s="83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</row>
    <row r="778" spans="1:45" ht="15.75">
      <c r="A778" s="331" t="s">
        <v>227</v>
      </c>
      <c r="B778" s="179"/>
      <c r="C778" s="179"/>
      <c r="D778" s="106"/>
      <c r="E778" s="106"/>
      <c r="F778" s="179"/>
      <c r="G778" s="106"/>
      <c r="H778" s="179"/>
      <c r="I778" s="179"/>
      <c r="J778" s="106"/>
      <c r="K778" s="179"/>
      <c r="L778" s="179"/>
      <c r="M778" s="179"/>
      <c r="N778" s="106"/>
      <c r="O778" s="179"/>
      <c r="P778" s="179"/>
      <c r="Q778" s="179"/>
      <c r="R778" s="106"/>
      <c r="S778" s="179"/>
      <c r="T778" s="179"/>
      <c r="U778" s="179"/>
      <c r="V778" s="106"/>
      <c r="W778" s="179"/>
      <c r="X778" s="179"/>
      <c r="Y778" s="82"/>
      <c r="Z778" s="83">
        <f>Z796</f>
        <v>302001.93963552074</v>
      </c>
      <c r="AA778" s="102">
        <v>2.53E-2</v>
      </c>
      <c r="AB778" s="83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</row>
    <row r="779" spans="1:45" ht="15.75">
      <c r="A779" s="226"/>
      <c r="B779" s="179"/>
      <c r="C779" s="179"/>
      <c r="D779" s="106"/>
      <c r="E779" s="106"/>
      <c r="F779" s="179"/>
      <c r="G779" s="106"/>
      <c r="H779" s="179"/>
      <c r="I779" s="179"/>
      <c r="J779" s="106"/>
      <c r="K779" s="179"/>
      <c r="L779" s="179"/>
      <c r="M779" s="179"/>
      <c r="N779" s="106"/>
      <c r="O779" s="179"/>
      <c r="P779" s="179"/>
      <c r="Q779" s="179"/>
      <c r="R779" s="106"/>
      <c r="S779" s="179"/>
      <c r="T779" s="179"/>
      <c r="U779" s="179"/>
      <c r="V779" s="106"/>
      <c r="W779" s="179"/>
      <c r="X779" s="179"/>
      <c r="Y779" s="82"/>
      <c r="Z779" s="83">
        <f>I796</f>
        <v>292128.01280278654</v>
      </c>
      <c r="AA779" s="102">
        <f>AA778*((J781/Z779)/(J781/Z778))</f>
        <v>2.6155139999999997E-2</v>
      </c>
      <c r="AB779" s="83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</row>
    <row r="780" spans="1:45" ht="15.75">
      <c r="A780" s="226" t="s">
        <v>11</v>
      </c>
      <c r="B780" s="179"/>
      <c r="C780" s="218"/>
      <c r="D780" s="106"/>
      <c r="E780" s="106"/>
      <c r="F780" s="179"/>
      <c r="G780" s="106"/>
      <c r="H780" s="179"/>
      <c r="I780" s="179"/>
      <c r="J780" s="106"/>
      <c r="K780" s="179"/>
      <c r="L780" s="179"/>
      <c r="M780" s="179"/>
      <c r="N780" s="106"/>
      <c r="O780" s="179"/>
      <c r="P780" s="179"/>
      <c r="Q780" s="179"/>
      <c r="R780" s="106"/>
      <c r="S780" s="179"/>
      <c r="T780" s="179"/>
      <c r="U780" s="179"/>
      <c r="V780" s="106"/>
      <c r="W780" s="179"/>
      <c r="X780" s="179"/>
      <c r="Y780" s="82"/>
      <c r="Z780" s="83"/>
      <c r="AA780" s="83"/>
      <c r="AB780" s="83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</row>
    <row r="781" spans="1:45" ht="15.75">
      <c r="A781" s="226" t="s">
        <v>228</v>
      </c>
      <c r="B781" s="179"/>
      <c r="C781" s="218">
        <v>12</v>
      </c>
      <c r="D781" s="270">
        <v>1386</v>
      </c>
      <c r="E781" s="243"/>
      <c r="F781" s="106">
        <f>ROUND(D781*$C781,0)</f>
        <v>16632</v>
      </c>
      <c r="G781" s="270">
        <v>1386</v>
      </c>
      <c r="H781" s="220"/>
      <c r="I781" s="106">
        <f>ROUND(G781*C781,0)</f>
        <v>16632</v>
      </c>
      <c r="J781" s="270">
        <f>J856</f>
        <v>1386</v>
      </c>
      <c r="K781" s="220"/>
      <c r="L781" s="106">
        <f>ROUND(J781*$C781,0)</f>
        <v>16632</v>
      </c>
      <c r="M781" s="106"/>
      <c r="N781" s="270">
        <f>N856</f>
        <v>1386</v>
      </c>
      <c r="O781" s="220"/>
      <c r="P781" s="106">
        <f>ROUND(N781*$C781,0)</f>
        <v>16632</v>
      </c>
      <c r="Q781" s="106"/>
      <c r="R781" s="270">
        <f>R856</f>
        <v>0</v>
      </c>
      <c r="S781" s="220"/>
      <c r="T781" s="106"/>
      <c r="U781" s="106"/>
      <c r="V781" s="270"/>
      <c r="W781" s="220"/>
      <c r="X781" s="106"/>
      <c r="Z781" s="146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</row>
    <row r="782" spans="1:45" ht="15.75">
      <c r="A782" s="226" t="s">
        <v>229</v>
      </c>
      <c r="B782" s="179"/>
      <c r="C782" s="218">
        <v>0</v>
      </c>
      <c r="D782" s="270">
        <v>1675</v>
      </c>
      <c r="E782" s="243"/>
      <c r="F782" s="106">
        <f>ROUND(D782*$C782,0)</f>
        <v>0</v>
      </c>
      <c r="G782" s="270">
        <v>1675</v>
      </c>
      <c r="H782" s="222"/>
      <c r="I782" s="106">
        <f>ROUND(G782*C782,0)</f>
        <v>0</v>
      </c>
      <c r="J782" s="270">
        <f>J857</f>
        <v>1675</v>
      </c>
      <c r="K782" s="222"/>
      <c r="L782" s="106">
        <f>ROUND(J782*$C782,0)</f>
        <v>0</v>
      </c>
      <c r="M782" s="106"/>
      <c r="N782" s="270"/>
      <c r="O782" s="222"/>
      <c r="P782" s="106"/>
      <c r="Q782" s="106"/>
      <c r="R782" s="270">
        <f>R857</f>
        <v>0</v>
      </c>
      <c r="S782" s="222"/>
      <c r="T782" s="106"/>
      <c r="U782" s="106"/>
      <c r="V782" s="270"/>
      <c r="W782" s="222"/>
      <c r="X782" s="106"/>
      <c r="Z782" s="146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</row>
    <row r="783" spans="1:45" ht="15.75">
      <c r="A783" s="226" t="s">
        <v>150</v>
      </c>
      <c r="B783" s="179"/>
      <c r="C783" s="218">
        <f>SUM(C781:C782)</f>
        <v>12</v>
      </c>
      <c r="D783" s="270" t="s">
        <v>108</v>
      </c>
      <c r="E783" s="243"/>
      <c r="F783" s="106" t="s">
        <v>108</v>
      </c>
      <c r="G783" s="270" t="s">
        <v>108</v>
      </c>
      <c r="H783" s="220"/>
      <c r="I783" s="106"/>
      <c r="J783" s="270"/>
      <c r="K783" s="220"/>
      <c r="L783" s="106"/>
      <c r="M783" s="106"/>
      <c r="N783" s="270"/>
      <c r="O783" s="220"/>
      <c r="P783" s="106"/>
      <c r="Q783" s="106"/>
      <c r="R783" s="270"/>
      <c r="S783" s="220"/>
      <c r="T783" s="106"/>
      <c r="U783" s="106"/>
      <c r="V783" s="270"/>
      <c r="W783" s="220"/>
      <c r="X783" s="106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</row>
    <row r="784" spans="1:45" ht="15.75">
      <c r="A784" s="226" t="s">
        <v>230</v>
      </c>
      <c r="B784" s="179"/>
      <c r="C784" s="218">
        <v>22168</v>
      </c>
      <c r="D784" s="270">
        <v>1.06</v>
      </c>
      <c r="E784" s="243"/>
      <c r="F784" s="106">
        <f>ROUND(D784*$C784,0)</f>
        <v>23498</v>
      </c>
      <c r="G784" s="270">
        <v>1.06</v>
      </c>
      <c r="H784" s="220"/>
      <c r="I784" s="106">
        <f t="shared" ref="I784:I786" si="162">ROUND(G784*C784,0)</f>
        <v>23498</v>
      </c>
      <c r="J784" s="270">
        <f>J859</f>
        <v>1.0900000000000001</v>
      </c>
      <c r="K784" s="220"/>
      <c r="L784" s="106">
        <f>ROUND(J784*$C784,0)</f>
        <v>24163</v>
      </c>
      <c r="M784" s="106"/>
      <c r="N784" s="270">
        <f>N859</f>
        <v>1.1599999999999999</v>
      </c>
      <c r="O784" s="220"/>
      <c r="P784" s="106">
        <f>ROUND(N784*$C784,0)</f>
        <v>25715</v>
      </c>
      <c r="Q784" s="106"/>
      <c r="R784" s="270"/>
      <c r="S784" s="220"/>
      <c r="T784" s="106"/>
      <c r="U784" s="106"/>
      <c r="V784" s="270"/>
      <c r="W784" s="220"/>
      <c r="X784" s="106"/>
      <c r="Z784" s="146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</row>
    <row r="785" spans="1:45" ht="15.75">
      <c r="A785" s="226" t="s">
        <v>231</v>
      </c>
      <c r="B785" s="179"/>
      <c r="C785" s="218">
        <v>0</v>
      </c>
      <c r="D785" s="270">
        <v>0.96</v>
      </c>
      <c r="E785" s="243"/>
      <c r="F785" s="106">
        <f>ROUND(D785*$C785,0)</f>
        <v>0</v>
      </c>
      <c r="G785" s="270">
        <v>0.96</v>
      </c>
      <c r="H785" s="220"/>
      <c r="I785" s="106">
        <f t="shared" si="162"/>
        <v>0</v>
      </c>
      <c r="J785" s="270">
        <f>J860</f>
        <v>0.98</v>
      </c>
      <c r="K785" s="220"/>
      <c r="L785" s="106">
        <f>ROUND(J785*$C785,0)</f>
        <v>0</v>
      </c>
      <c r="M785" s="106"/>
      <c r="N785" s="270"/>
      <c r="O785" s="220"/>
      <c r="P785" s="106"/>
      <c r="Q785" s="106"/>
      <c r="R785" s="270"/>
      <c r="S785" s="220"/>
      <c r="T785" s="106"/>
      <c r="U785" s="106"/>
      <c r="V785" s="270"/>
      <c r="W785" s="220"/>
      <c r="X785" s="106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</row>
    <row r="786" spans="1:45" ht="15.75">
      <c r="A786" s="138" t="s">
        <v>158</v>
      </c>
      <c r="B786" s="179"/>
      <c r="C786" s="218">
        <v>18457.411764705899</v>
      </c>
      <c r="D786" s="270">
        <v>7.12</v>
      </c>
      <c r="E786" s="243"/>
      <c r="F786" s="106">
        <f>ROUND(D786*$C786,0)</f>
        <v>131417</v>
      </c>
      <c r="G786" s="270">
        <v>7.55</v>
      </c>
      <c r="H786" s="220"/>
      <c r="I786" s="106">
        <f t="shared" si="162"/>
        <v>139353</v>
      </c>
      <c r="J786" s="270">
        <f>J861</f>
        <v>7.73</v>
      </c>
      <c r="K786" s="220"/>
      <c r="L786" s="106">
        <f>ROUND(J786*$C786,0)</f>
        <v>142676</v>
      </c>
      <c r="M786" s="106"/>
      <c r="N786" s="270">
        <f>N861</f>
        <v>0.90739667413343461</v>
      </c>
      <c r="O786" s="220"/>
      <c r="P786" s="106">
        <f>ROUND(N786*$C786,0)</f>
        <v>16748</v>
      </c>
      <c r="Q786" s="106"/>
      <c r="R786" s="270">
        <f>R861</f>
        <v>1.3977685310072718</v>
      </c>
      <c r="S786" s="220"/>
      <c r="T786" s="106">
        <f>ROUND(R786*$C786,0)</f>
        <v>25799</v>
      </c>
      <c r="U786" s="106"/>
      <c r="V786" s="270">
        <f>V861</f>
        <v>5.4248347948592945</v>
      </c>
      <c r="W786" s="220"/>
      <c r="X786" s="106">
        <f>ROUND(V786*$C786,0)</f>
        <v>100128</v>
      </c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</row>
    <row r="787" spans="1:45" ht="15.75">
      <c r="A787" s="226" t="s">
        <v>181</v>
      </c>
      <c r="B787" s="179"/>
      <c r="C787" s="218"/>
      <c r="D787" s="270"/>
      <c r="E787" s="243"/>
      <c r="F787" s="106"/>
      <c r="G787" s="270"/>
      <c r="H787" s="220"/>
      <c r="I787" s="106"/>
      <c r="J787" s="270"/>
      <c r="K787" s="220"/>
      <c r="L787" s="106"/>
      <c r="M787" s="106"/>
      <c r="N787" s="270"/>
      <c r="O787" s="220"/>
      <c r="P787" s="106"/>
      <c r="Q787" s="106"/>
      <c r="R787" s="270"/>
      <c r="S787" s="220"/>
      <c r="T787" s="106"/>
      <c r="U787" s="106"/>
      <c r="V787" s="270"/>
      <c r="W787" s="220"/>
      <c r="X787" s="106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</row>
    <row r="788" spans="1:45" ht="15.75">
      <c r="A788" s="226" t="s">
        <v>219</v>
      </c>
      <c r="B788" s="179"/>
      <c r="C788" s="218">
        <v>2027000</v>
      </c>
      <c r="D788" s="206">
        <v>4.2460000000000004</v>
      </c>
      <c r="E788" s="220" t="s">
        <v>116</v>
      </c>
      <c r="F788" s="106">
        <f>ROUND(D788/100*$C788,0)</f>
        <v>86066</v>
      </c>
      <c r="G788" s="206">
        <v>4.5140000000000002</v>
      </c>
      <c r="H788" s="220" t="s">
        <v>116</v>
      </c>
      <c r="I788" s="106">
        <f>ROUND(G788/100*C788,0)</f>
        <v>91499</v>
      </c>
      <c r="J788" s="206">
        <f>J863</f>
        <v>4.6289999999999996</v>
      </c>
      <c r="K788" s="220" t="s">
        <v>116</v>
      </c>
      <c r="L788" s="106">
        <f>ROUND(J788/100*$C788,0)</f>
        <v>93830</v>
      </c>
      <c r="M788" s="106"/>
      <c r="N788" s="206"/>
      <c r="O788" s="220"/>
      <c r="P788" s="106"/>
      <c r="Q788" s="106"/>
      <c r="R788" s="206">
        <f>R863</f>
        <v>0.94835801247624862</v>
      </c>
      <c r="S788" s="220" t="s">
        <v>116</v>
      </c>
      <c r="T788" s="106">
        <f>ROUND(R788/100*$C788,0)</f>
        <v>19223</v>
      </c>
      <c r="U788" s="106"/>
      <c r="V788" s="206">
        <f>V863</f>
        <v>3.6806419875237513</v>
      </c>
      <c r="W788" s="220" t="s">
        <v>116</v>
      </c>
      <c r="X788" s="106">
        <f>ROUND(V788/100*$C788,0)</f>
        <v>74607</v>
      </c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</row>
    <row r="789" spans="1:45" ht="15.75">
      <c r="A789" s="226" t="s">
        <v>155</v>
      </c>
      <c r="B789" s="179"/>
      <c r="C789" s="218">
        <v>9916</v>
      </c>
      <c r="D789" s="270">
        <v>0.55000000000000004</v>
      </c>
      <c r="E789" s="220"/>
      <c r="F789" s="106">
        <f>ROUND(D789*$C789,0)</f>
        <v>5454</v>
      </c>
      <c r="G789" s="270">
        <v>0.55000000000000004</v>
      </c>
      <c r="H789" s="220"/>
      <c r="I789" s="106">
        <f>ROUND(G789*C789,0)</f>
        <v>5454</v>
      </c>
      <c r="J789" s="270">
        <f>J864</f>
        <v>0.55000000000000004</v>
      </c>
      <c r="K789" s="220"/>
      <c r="L789" s="106">
        <f>ROUND(J789*$C789,0)</f>
        <v>5454</v>
      </c>
      <c r="M789" s="106"/>
      <c r="N789" s="270"/>
      <c r="O789" s="220"/>
      <c r="P789" s="106"/>
      <c r="Q789" s="106"/>
      <c r="R789" s="270">
        <f>R864</f>
        <v>0.11268025639704836</v>
      </c>
      <c r="S789" s="220"/>
      <c r="T789" s="106">
        <f>ROUND(R789*$C789,0)</f>
        <v>1117</v>
      </c>
      <c r="U789" s="106"/>
      <c r="V789" s="270">
        <f>V864</f>
        <v>0.43731974360295173</v>
      </c>
      <c r="W789" s="220"/>
      <c r="X789" s="106">
        <f>ROUND(V789*$C789,0)</f>
        <v>4336</v>
      </c>
      <c r="Y789" s="218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</row>
    <row r="790" spans="1:45" ht="15.75">
      <c r="A790" s="138" t="s">
        <v>183</v>
      </c>
      <c r="B790" s="179"/>
      <c r="C790" s="218">
        <v>0</v>
      </c>
      <c r="D790" s="332">
        <v>5.9999999999999995E-4</v>
      </c>
      <c r="E790" s="220"/>
      <c r="F790" s="106">
        <f>ROUND(D790*$C790,0)</f>
        <v>0</v>
      </c>
      <c r="G790" s="332">
        <v>5.9999999999999995E-4</v>
      </c>
      <c r="H790" s="220"/>
      <c r="I790" s="106">
        <f>ROUND(G790*C790,0)</f>
        <v>0</v>
      </c>
      <c r="J790" s="332">
        <v>5.9999999999999995E-4</v>
      </c>
      <c r="K790" s="220"/>
      <c r="L790" s="106">
        <f>ROUND(J790*$C790,0)</f>
        <v>0</v>
      </c>
      <c r="M790" s="106"/>
      <c r="N790" s="332"/>
      <c r="O790" s="220"/>
      <c r="P790" s="106"/>
      <c r="Q790" s="106"/>
      <c r="R790" s="332"/>
      <c r="S790" s="220"/>
      <c r="T790" s="106"/>
      <c r="U790" s="106"/>
      <c r="V790" s="332"/>
      <c r="W790" s="220"/>
      <c r="X790" s="106"/>
      <c r="Y790" s="218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</row>
    <row r="791" spans="1:45" ht="15.75">
      <c r="A791" s="138" t="s">
        <v>190</v>
      </c>
      <c r="B791" s="179"/>
      <c r="C791" s="218">
        <v>5796</v>
      </c>
      <c r="D791" s="237">
        <v>3.56</v>
      </c>
      <c r="E791" s="220"/>
      <c r="F791" s="220">
        <f>ROUND(D791*$C791,0)</f>
        <v>20634</v>
      </c>
      <c r="G791" s="237">
        <v>3.7749999999999999</v>
      </c>
      <c r="H791" s="220"/>
      <c r="I791" s="220">
        <f>ROUND(G791*$C791,0)</f>
        <v>21880</v>
      </c>
      <c r="J791" s="237">
        <f>G791*(1+AA779)</f>
        <v>3.8737356534999998</v>
      </c>
      <c r="K791" s="220"/>
      <c r="L791" s="220">
        <f>ROUND($C791*J791,0)</f>
        <v>22452</v>
      </c>
      <c r="M791" s="220"/>
      <c r="N791" s="237">
        <f>ROUND(N786/2,3)</f>
        <v>0.45400000000000001</v>
      </c>
      <c r="O791" s="220"/>
      <c r="P791" s="220">
        <f>ROUND($C791*N791,0)</f>
        <v>2631</v>
      </c>
      <c r="Q791" s="220"/>
      <c r="R791" s="237">
        <f>ROUND(R786/2,3)</f>
        <v>0.69899999999999995</v>
      </c>
      <c r="S791" s="220"/>
      <c r="T791" s="220">
        <f>ROUND($C791*R791,0)</f>
        <v>4051</v>
      </c>
      <c r="U791" s="220"/>
      <c r="V791" s="237">
        <f>ROUND(V786/2,3)</f>
        <v>2.7120000000000002</v>
      </c>
      <c r="W791" s="220"/>
      <c r="X791" s="220">
        <f>ROUND($C791*V791,0)</f>
        <v>15719</v>
      </c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</row>
    <row r="792" spans="1:45" ht="15.75">
      <c r="A792" s="138" t="s">
        <v>191</v>
      </c>
      <c r="B792" s="179"/>
      <c r="C792" s="218">
        <v>0</v>
      </c>
      <c r="D792" s="237">
        <v>28.48</v>
      </c>
      <c r="E792" s="220"/>
      <c r="F792" s="220">
        <f>ROUND(D792*$C792,0)</f>
        <v>0</v>
      </c>
      <c r="G792" s="237">
        <v>30.2</v>
      </c>
      <c r="H792" s="220"/>
      <c r="I792" s="220">
        <f>ROUND(G792*$C792,0)</f>
        <v>0</v>
      </c>
      <c r="J792" s="237">
        <f>J786*4</f>
        <v>30.92</v>
      </c>
      <c r="K792" s="220"/>
      <c r="L792" s="220">
        <f>ROUND($C792*J792,0)</f>
        <v>0</v>
      </c>
      <c r="M792" s="220"/>
      <c r="N792" s="237"/>
      <c r="O792" s="220"/>
      <c r="P792" s="220"/>
      <c r="Q792" s="220"/>
      <c r="R792" s="237"/>
      <c r="S792" s="220"/>
      <c r="T792" s="220"/>
      <c r="U792" s="220"/>
      <c r="V792" s="237"/>
      <c r="W792" s="220"/>
      <c r="X792" s="22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</row>
    <row r="793" spans="1:45" ht="15.75">
      <c r="A793" s="84" t="s">
        <v>192</v>
      </c>
      <c r="B793" s="193"/>
      <c r="C793" s="218">
        <v>0</v>
      </c>
      <c r="D793" s="333">
        <v>16.984000000000002</v>
      </c>
      <c r="E793" s="220" t="s">
        <v>116</v>
      </c>
      <c r="F793" s="220">
        <f>ROUND($C793*D793/100,0)</f>
        <v>0</v>
      </c>
      <c r="G793" s="333">
        <v>18.056000000000001</v>
      </c>
      <c r="H793" s="220" t="s">
        <v>116</v>
      </c>
      <c r="I793" s="220">
        <f>ROUND($C793*G793/100,0)</f>
        <v>0</v>
      </c>
      <c r="J793" s="333">
        <v>31.108000000000001</v>
      </c>
      <c r="K793" s="220" t="s">
        <v>116</v>
      </c>
      <c r="L793" s="220">
        <f>ROUND($C793*J793/100,0)</f>
        <v>0</v>
      </c>
      <c r="M793" s="220"/>
      <c r="N793" s="333"/>
      <c r="O793" s="220"/>
      <c r="P793" s="220"/>
      <c r="Q793" s="220"/>
      <c r="R793" s="333"/>
      <c r="S793" s="220"/>
      <c r="T793" s="220"/>
      <c r="U793" s="220"/>
      <c r="V793" s="333"/>
      <c r="W793" s="220"/>
      <c r="X793" s="22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</row>
    <row r="794" spans="1:45" ht="15.75">
      <c r="A794" s="179" t="s">
        <v>134</v>
      </c>
      <c r="B794" s="179"/>
      <c r="C794" s="218">
        <f>C788+C793</f>
        <v>2027000</v>
      </c>
      <c r="D794" s="229"/>
      <c r="E794" s="106"/>
      <c r="F794" s="106">
        <f>SUM(F781:F793)</f>
        <v>283701</v>
      </c>
      <c r="G794" s="229"/>
      <c r="H794" s="179"/>
      <c r="I794" s="106">
        <f>SUM(I781:I793)</f>
        <v>298316</v>
      </c>
      <c r="J794" s="229"/>
      <c r="K794" s="179"/>
      <c r="L794" s="106">
        <f>SUM(L781:L793)</f>
        <v>305207</v>
      </c>
      <c r="M794" s="106"/>
      <c r="N794" s="229"/>
      <c r="O794" s="179"/>
      <c r="P794" s="106">
        <f>SUM(P781:P793)</f>
        <v>61726</v>
      </c>
      <c r="Q794" s="106"/>
      <c r="R794" s="229"/>
      <c r="S794" s="179"/>
      <c r="T794" s="106">
        <f>SUM(T781:T793)</f>
        <v>50190</v>
      </c>
      <c r="U794" s="106"/>
      <c r="V794" s="229"/>
      <c r="W794" s="179"/>
      <c r="X794" s="106">
        <f>SUM(X781:X793)</f>
        <v>194790</v>
      </c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</row>
    <row r="795" spans="1:45" ht="15.75">
      <c r="A795" s="179" t="s">
        <v>119</v>
      </c>
      <c r="B795" s="179"/>
      <c r="C795" s="218">
        <v>-32467.553478183199</v>
      </c>
      <c r="D795" s="138"/>
      <c r="E795" s="138"/>
      <c r="F795" s="248">
        <f>I795</f>
        <v>-6187.9871972134688</v>
      </c>
      <c r="G795" s="138"/>
      <c r="H795" s="138"/>
      <c r="I795" s="248">
        <v>-6187.9871972134688</v>
      </c>
      <c r="J795" s="138"/>
      <c r="K795" s="138"/>
      <c r="L795" s="248">
        <f>I795</f>
        <v>-6187.9871972134688</v>
      </c>
      <c r="M795" s="221"/>
      <c r="N795" s="138"/>
      <c r="O795" s="138"/>
      <c r="P795" s="334">
        <f>$L$795*Y850/(Y850+$Z$850+$AA$850)</f>
        <v>-685.28109210685795</v>
      </c>
      <c r="Q795" s="137"/>
      <c r="R795" s="138"/>
      <c r="S795" s="138"/>
      <c r="T795" s="334">
        <f>$L$795*Z850/(Y850+$Z$850+$AA$850)</f>
        <v>-1112.7695836059663</v>
      </c>
      <c r="U795" s="137"/>
      <c r="V795" s="138"/>
      <c r="W795" s="138"/>
      <c r="X795" s="334">
        <f>$L$795*AA850/($Y$850+$Z$850+$AA$850)</f>
        <v>-4389.9365215006437</v>
      </c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</row>
    <row r="796" spans="1:45" ht="16.5" thickBot="1">
      <c r="A796" s="179" t="s">
        <v>135</v>
      </c>
      <c r="B796" s="179"/>
      <c r="C796" s="335">
        <f>SUM(C794)+C795</f>
        <v>1994532.4465218168</v>
      </c>
      <c r="D796" s="268"/>
      <c r="E796" s="250"/>
      <c r="F796" s="251">
        <f>F794+F795</f>
        <v>277513.01280278654</v>
      </c>
      <c r="G796" s="268"/>
      <c r="H796" s="269"/>
      <c r="I796" s="251">
        <f>I794+I795</f>
        <v>292128.01280278654</v>
      </c>
      <c r="J796" s="268"/>
      <c r="K796" s="269"/>
      <c r="L796" s="251">
        <f>L794+L795</f>
        <v>299019.01280278654</v>
      </c>
      <c r="M796" s="251"/>
      <c r="N796" s="268"/>
      <c r="O796" s="269"/>
      <c r="P796" s="251">
        <f>P794+P795</f>
        <v>61040.718907893141</v>
      </c>
      <c r="Q796" s="251"/>
      <c r="R796" s="268"/>
      <c r="S796" s="269"/>
      <c r="T796" s="251">
        <f>T794+T795</f>
        <v>49077.230416394035</v>
      </c>
      <c r="U796" s="251"/>
      <c r="V796" s="268"/>
      <c r="W796" s="269"/>
      <c r="X796" s="251">
        <f>X794+X795</f>
        <v>190400.06347849936</v>
      </c>
      <c r="Y796" s="143" t="s">
        <v>120</v>
      </c>
      <c r="Z796" s="144">
        <f>I796*1.0338</f>
        <v>302001.93963552074</v>
      </c>
      <c r="AA796" s="145">
        <v>9.5054297885378336E-2</v>
      </c>
      <c r="AB796" s="10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</row>
    <row r="797" spans="1:45" ht="16.5" thickTop="1">
      <c r="A797" s="179"/>
      <c r="B797" s="179"/>
      <c r="C797" s="205"/>
      <c r="D797" s="243"/>
      <c r="E797" s="106"/>
      <c r="F797" s="106"/>
      <c r="G797" s="243"/>
      <c r="H797" s="179"/>
      <c r="I797" s="106"/>
      <c r="J797" s="243"/>
      <c r="K797" s="179"/>
      <c r="L797" s="270"/>
      <c r="M797" s="270"/>
      <c r="N797" s="243"/>
      <c r="O797" s="179"/>
      <c r="P797" s="270"/>
      <c r="Q797" s="270"/>
      <c r="R797" s="243"/>
      <c r="S797" s="179"/>
      <c r="T797" s="270"/>
      <c r="U797" s="270"/>
      <c r="V797" s="243"/>
      <c r="W797" s="179"/>
      <c r="X797" s="270"/>
      <c r="Y797" s="154" t="s">
        <v>122</v>
      </c>
      <c r="Z797" s="155">
        <f>Z796-L796</f>
        <v>2982.9268327341997</v>
      </c>
      <c r="AA797" s="261" t="s">
        <v>108</v>
      </c>
      <c r="AB797" s="157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</row>
    <row r="798" spans="1:45" ht="15.75">
      <c r="A798" s="178" t="s">
        <v>232</v>
      </c>
      <c r="B798" s="179"/>
      <c r="C798" s="179"/>
      <c r="D798" s="106"/>
      <c r="E798" s="106"/>
      <c r="F798" s="179"/>
      <c r="G798" s="106"/>
      <c r="H798" s="179"/>
      <c r="I798" s="179"/>
      <c r="J798" s="325"/>
      <c r="K798" s="179"/>
      <c r="L798" s="179"/>
      <c r="M798" s="179"/>
      <c r="N798" s="106"/>
      <c r="O798" s="179"/>
      <c r="P798" s="179"/>
      <c r="Q798" s="179"/>
      <c r="R798" s="106"/>
      <c r="S798" s="179"/>
      <c r="T798" s="179"/>
      <c r="U798" s="179"/>
      <c r="V798" s="106"/>
      <c r="W798" s="179"/>
      <c r="X798" s="179"/>
      <c r="Y798" s="82"/>
      <c r="Z798" s="83"/>
      <c r="AA798" s="83"/>
      <c r="AB798" s="83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</row>
    <row r="799" spans="1:45" ht="15.75">
      <c r="A799" s="138" t="s">
        <v>233</v>
      </c>
      <c r="B799" s="179"/>
      <c r="C799" s="179"/>
      <c r="D799" s="106"/>
      <c r="E799" s="106"/>
      <c r="F799" s="179"/>
      <c r="G799" s="106"/>
      <c r="H799" s="179"/>
      <c r="I799" s="179"/>
      <c r="J799" s="106"/>
      <c r="K799" s="179"/>
      <c r="L799" s="179"/>
      <c r="M799" s="179"/>
      <c r="N799" s="106"/>
      <c r="O799" s="179"/>
      <c r="P799" s="179"/>
      <c r="Q799" s="179"/>
      <c r="R799" s="106"/>
      <c r="S799" s="179"/>
      <c r="T799" s="179"/>
      <c r="U799" s="179"/>
      <c r="V799" s="106"/>
      <c r="W799" s="179"/>
      <c r="X799" s="179"/>
      <c r="Y799" s="82"/>
      <c r="Z799" s="83"/>
      <c r="AA799" s="83"/>
      <c r="AB799" s="83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</row>
    <row r="800" spans="1:45" ht="15.75">
      <c r="A800" s="226"/>
      <c r="B800" s="179"/>
      <c r="C800" s="179"/>
      <c r="D800" s="106"/>
      <c r="E800" s="106"/>
      <c r="F800" s="179"/>
      <c r="G800" s="106"/>
      <c r="H800" s="179"/>
      <c r="I800" s="179"/>
      <c r="J800" s="106"/>
      <c r="K800" s="179"/>
      <c r="L800" s="179"/>
      <c r="M800" s="179"/>
      <c r="N800" s="106"/>
      <c r="O800" s="179"/>
      <c r="P800" s="179"/>
      <c r="Q800" s="179"/>
      <c r="R800" s="106"/>
      <c r="S800" s="179"/>
      <c r="T800" s="179"/>
      <c r="U800" s="179"/>
      <c r="V800" s="106"/>
      <c r="W800" s="179"/>
      <c r="X800" s="179"/>
      <c r="Y800" s="82"/>
      <c r="Z800" s="83"/>
      <c r="AA800" s="83"/>
      <c r="AB800" s="83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</row>
    <row r="801" spans="1:48" ht="15.75">
      <c r="A801" s="226" t="s">
        <v>11</v>
      </c>
      <c r="B801" s="179"/>
      <c r="C801" s="218"/>
      <c r="D801" s="106"/>
      <c r="E801" s="106"/>
      <c r="F801" s="179"/>
      <c r="G801" s="106"/>
      <c r="H801" s="179"/>
      <c r="I801" s="179"/>
      <c r="J801" s="106"/>
      <c r="K801" s="179"/>
      <c r="L801" s="179"/>
      <c r="M801" s="179"/>
      <c r="N801" s="106"/>
      <c r="O801" s="179"/>
      <c r="P801" s="179"/>
      <c r="Q801" s="179"/>
      <c r="R801" s="106"/>
      <c r="S801" s="179"/>
      <c r="T801" s="179"/>
      <c r="U801" s="179"/>
      <c r="V801" s="106"/>
      <c r="W801" s="179"/>
      <c r="X801" s="179"/>
      <c r="Y801" s="82"/>
      <c r="Z801" s="83"/>
      <c r="AA801" s="83"/>
      <c r="AB801" s="83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</row>
    <row r="802" spans="1:48" ht="15.75">
      <c r="A802" s="226" t="s">
        <v>228</v>
      </c>
      <c r="B802" s="179"/>
      <c r="C802" s="218">
        <f t="shared" ref="C802:C807" si="163">C821+C979</f>
        <v>732.15151515151501</v>
      </c>
      <c r="D802" s="243"/>
      <c r="E802" s="243"/>
      <c r="F802" s="106" t="e">
        <f>F821+F979</f>
        <v>#VALUE!</v>
      </c>
      <c r="G802" s="243"/>
      <c r="H802" s="220"/>
      <c r="I802" s="106">
        <f>I821+I979</f>
        <v>1019061</v>
      </c>
      <c r="J802" s="243"/>
      <c r="K802" s="220"/>
      <c r="L802" s="106">
        <f>L821+L979</f>
        <v>1019061</v>
      </c>
      <c r="M802" s="106"/>
      <c r="N802" s="243"/>
      <c r="O802" s="220"/>
      <c r="P802" s="106">
        <f>P821+P979</f>
        <v>1019061</v>
      </c>
      <c r="Q802" s="106"/>
      <c r="R802" s="243"/>
      <c r="S802" s="220"/>
      <c r="T802" s="106">
        <f>T821+T979</f>
        <v>0</v>
      </c>
      <c r="U802" s="106"/>
      <c r="V802" s="243"/>
      <c r="W802" s="220"/>
      <c r="X802" s="106">
        <f>X821+X979</f>
        <v>0</v>
      </c>
      <c r="Z802" s="146" t="s">
        <v>108</v>
      </c>
      <c r="AA802" s="84"/>
      <c r="AB802" s="84"/>
      <c r="AJ802" s="228"/>
      <c r="AK802" s="228"/>
      <c r="AQ802" s="82"/>
      <c r="AR802" s="82"/>
      <c r="AS802" s="82"/>
      <c r="AT802" s="82"/>
      <c r="AU802" s="82"/>
      <c r="AV802" s="82"/>
    </row>
    <row r="803" spans="1:48" ht="15.75">
      <c r="A803" s="226" t="s">
        <v>229</v>
      </c>
      <c r="B803" s="179"/>
      <c r="C803" s="218">
        <f t="shared" si="163"/>
        <v>12</v>
      </c>
      <c r="D803" s="243"/>
      <c r="E803" s="243"/>
      <c r="F803" s="106">
        <f>F822+F980</f>
        <v>30336</v>
      </c>
      <c r="G803" s="243"/>
      <c r="H803" s="222"/>
      <c r="I803" s="106">
        <f>I822+I980</f>
        <v>30336</v>
      </c>
      <c r="J803" s="243"/>
      <c r="K803" s="222"/>
      <c r="L803" s="106">
        <f>L822+L980</f>
        <v>34248</v>
      </c>
      <c r="M803" s="106"/>
      <c r="N803" s="243"/>
      <c r="O803" s="222"/>
      <c r="P803" s="106">
        <f>P822+P980</f>
        <v>34248</v>
      </c>
      <c r="Q803" s="106"/>
      <c r="R803" s="243"/>
      <c r="S803" s="222"/>
      <c r="T803" s="106">
        <f>T822+T980</f>
        <v>0</v>
      </c>
      <c r="U803" s="106"/>
      <c r="V803" s="243"/>
      <c r="W803" s="222"/>
      <c r="X803" s="106">
        <f>X822+X980</f>
        <v>0</v>
      </c>
      <c r="Z803" s="146" t="s">
        <v>108</v>
      </c>
      <c r="AA803" s="84"/>
      <c r="AB803" s="84"/>
      <c r="AC803" s="192"/>
      <c r="AD803" s="192"/>
      <c r="AE803" s="192"/>
      <c r="AF803" s="192"/>
      <c r="AG803" s="192"/>
      <c r="AH803" s="192"/>
      <c r="AI803" s="190"/>
      <c r="AJ803" s="228"/>
      <c r="AK803" s="228"/>
      <c r="AQ803" s="82"/>
      <c r="AR803" s="82"/>
      <c r="AS803" s="82"/>
      <c r="AT803" s="82"/>
      <c r="AU803" s="82"/>
      <c r="AV803" s="82"/>
    </row>
    <row r="804" spans="1:48" ht="15.75">
      <c r="A804" s="226" t="s">
        <v>150</v>
      </c>
      <c r="B804" s="179"/>
      <c r="C804" s="218">
        <f t="shared" si="163"/>
        <v>744.15151515151501</v>
      </c>
      <c r="D804" s="243"/>
      <c r="E804" s="243"/>
      <c r="F804" s="106"/>
      <c r="G804" s="243"/>
      <c r="H804" s="220"/>
      <c r="I804" s="106"/>
      <c r="J804" s="243"/>
      <c r="K804" s="220"/>
      <c r="L804" s="106"/>
      <c r="M804" s="106"/>
      <c r="N804" s="243"/>
      <c r="O804" s="220"/>
      <c r="P804" s="106"/>
      <c r="Q804" s="106"/>
      <c r="R804" s="243"/>
      <c r="S804" s="220"/>
      <c r="T804" s="106"/>
      <c r="U804" s="106"/>
      <c r="V804" s="243"/>
      <c r="W804" s="220"/>
      <c r="X804" s="106"/>
      <c r="Z804" s="219"/>
      <c r="AA804" s="84"/>
      <c r="AB804" s="84"/>
      <c r="AC804" s="192"/>
      <c r="AD804" s="192"/>
      <c r="AE804" s="192"/>
      <c r="AF804" s="192"/>
      <c r="AG804" s="192"/>
      <c r="AH804" s="192"/>
      <c r="AI804" s="190"/>
      <c r="AQ804" s="82"/>
      <c r="AR804" s="82"/>
      <c r="AS804" s="82"/>
      <c r="AT804" s="82"/>
      <c r="AU804" s="82"/>
      <c r="AV804" s="82"/>
    </row>
    <row r="805" spans="1:48" ht="15.75">
      <c r="A805" s="226" t="s">
        <v>230</v>
      </c>
      <c r="B805" s="179"/>
      <c r="C805" s="218">
        <f t="shared" si="163"/>
        <v>1083307.8484848479</v>
      </c>
      <c r="D805" s="243"/>
      <c r="E805" s="243"/>
      <c r="F805" s="106" t="e">
        <f>F824+F982</f>
        <v>#VALUE!</v>
      </c>
      <c r="G805" s="243"/>
      <c r="H805" s="220"/>
      <c r="I805" s="106">
        <f>I824+I982</f>
        <v>1030814</v>
      </c>
      <c r="J805" s="243"/>
      <c r="K805" s="220"/>
      <c r="L805" s="106">
        <f>L824+L982</f>
        <v>1058880</v>
      </c>
      <c r="M805" s="106"/>
      <c r="N805" s="243"/>
      <c r="O805" s="220"/>
      <c r="P805" s="106">
        <f>P824+P982</f>
        <v>1121410</v>
      </c>
      <c r="Q805" s="106"/>
      <c r="R805" s="243"/>
      <c r="S805" s="220"/>
      <c r="T805" s="106">
        <f>T824+T982</f>
        <v>0</v>
      </c>
      <c r="U805" s="106"/>
      <c r="V805" s="243"/>
      <c r="W805" s="220"/>
      <c r="X805" s="106">
        <f>X824+X982</f>
        <v>0</v>
      </c>
      <c r="Z805" s="146" t="s">
        <v>108</v>
      </c>
      <c r="AA805" s="84"/>
      <c r="AB805" s="84"/>
      <c r="AC805" s="192"/>
      <c r="AD805" s="192"/>
      <c r="AE805" s="192"/>
      <c r="AF805" s="192"/>
      <c r="AG805" s="192"/>
      <c r="AH805" s="192"/>
      <c r="AI805" s="190"/>
      <c r="AQ805" s="82"/>
      <c r="AR805" s="82"/>
      <c r="AS805" s="82"/>
      <c r="AT805" s="82"/>
      <c r="AU805" s="82"/>
      <c r="AV805" s="82"/>
    </row>
    <row r="806" spans="1:48" ht="15.75">
      <c r="A806" s="226" t="s">
        <v>231</v>
      </c>
      <c r="B806" s="179"/>
      <c r="C806" s="218">
        <f t="shared" si="163"/>
        <v>693243</v>
      </c>
      <c r="D806" s="243"/>
      <c r="E806" s="243"/>
      <c r="F806" s="106">
        <f>F825+F983</f>
        <v>159446</v>
      </c>
      <c r="G806" s="243"/>
      <c r="H806" s="220"/>
      <c r="I806" s="106">
        <f>I825+I983</f>
        <v>159446</v>
      </c>
      <c r="J806" s="243"/>
      <c r="K806" s="220"/>
      <c r="L806" s="106">
        <f ca="1">L825+L983</f>
        <v>166378</v>
      </c>
      <c r="M806" s="106"/>
      <c r="N806" s="243"/>
      <c r="O806" s="220"/>
      <c r="P806" s="106">
        <f>P825+P983</f>
        <v>166378</v>
      </c>
      <c r="Q806" s="106"/>
      <c r="R806" s="243"/>
      <c r="S806" s="220"/>
      <c r="T806" s="106">
        <f>T825+T983</f>
        <v>0</v>
      </c>
      <c r="U806" s="106"/>
      <c r="V806" s="243"/>
      <c r="W806" s="220"/>
      <c r="X806" s="106">
        <f>X825+X983</f>
        <v>0</v>
      </c>
      <c r="Z806" s="146" t="s">
        <v>108</v>
      </c>
      <c r="AA806" s="84"/>
      <c r="AB806" s="84"/>
      <c r="AC806" s="192"/>
      <c r="AD806" s="192"/>
      <c r="AE806" s="192"/>
      <c r="AF806" s="192"/>
      <c r="AG806" s="192"/>
      <c r="AH806" s="192"/>
      <c r="AI806" s="190"/>
      <c r="AQ806" s="82"/>
      <c r="AR806" s="82"/>
      <c r="AS806" s="82"/>
      <c r="AT806" s="82"/>
      <c r="AU806" s="82"/>
      <c r="AV806" s="82"/>
    </row>
    <row r="807" spans="1:48" ht="15.75">
      <c r="A807" s="138" t="s">
        <v>158</v>
      </c>
      <c r="B807" s="179"/>
      <c r="C807" s="218">
        <f t="shared" si="163"/>
        <v>1561051.3030303041</v>
      </c>
      <c r="D807" s="243"/>
      <c r="E807" s="243"/>
      <c r="F807" s="106">
        <f>F826+F984</f>
        <v>10975647</v>
      </c>
      <c r="G807" s="243"/>
      <c r="H807" s="220"/>
      <c r="I807" s="106">
        <f>I826+I984</f>
        <v>11622887</v>
      </c>
      <c r="J807" s="243"/>
      <c r="K807" s="220"/>
      <c r="L807" s="106">
        <f ca="1">L826+L984</f>
        <v>11960431</v>
      </c>
      <c r="M807" s="106"/>
      <c r="N807" s="243"/>
      <c r="O807" s="220"/>
      <c r="P807" s="106">
        <f ca="1">P826+P984</f>
        <v>1022945.5519421109</v>
      </c>
      <c r="Q807" s="106"/>
      <c r="R807" s="243"/>
      <c r="S807" s="220"/>
      <c r="T807" s="106">
        <f ca="1">T826+T984</f>
        <v>2238611.1030183365</v>
      </c>
      <c r="U807" s="106"/>
      <c r="V807" s="243"/>
      <c r="W807" s="220"/>
      <c r="X807" s="106">
        <f ca="1">X826+X984</f>
        <v>8698873.1295850165</v>
      </c>
      <c r="Z807" s="146" t="s">
        <v>108</v>
      </c>
      <c r="AA807" s="84"/>
      <c r="AB807" s="84"/>
      <c r="AC807" s="192"/>
      <c r="AD807" s="192"/>
      <c r="AE807" s="192"/>
      <c r="AF807" s="192"/>
      <c r="AG807" s="192"/>
      <c r="AH807" s="192"/>
      <c r="AI807" s="190"/>
      <c r="AQ807" s="82"/>
      <c r="AR807" s="82"/>
      <c r="AS807" s="82"/>
      <c r="AT807" s="82"/>
      <c r="AU807" s="82"/>
      <c r="AV807" s="82"/>
    </row>
    <row r="808" spans="1:48" ht="15.75">
      <c r="A808" s="226" t="s">
        <v>181</v>
      </c>
      <c r="B808" s="179"/>
      <c r="C808" s="218"/>
      <c r="D808" s="243"/>
      <c r="E808" s="243"/>
      <c r="F808" s="106"/>
      <c r="G808" s="243"/>
      <c r="H808" s="220"/>
      <c r="I808" s="106"/>
      <c r="J808" s="243"/>
      <c r="K808" s="220"/>
      <c r="L808" s="106"/>
      <c r="M808" s="106"/>
      <c r="N808" s="243"/>
      <c r="O808" s="220"/>
      <c r="P808" s="106"/>
      <c r="Q808" s="106"/>
      <c r="R808" s="243"/>
      <c r="S808" s="220"/>
      <c r="T808" s="106"/>
      <c r="U808" s="106"/>
      <c r="V808" s="243"/>
      <c r="W808" s="220"/>
      <c r="X808" s="106"/>
      <c r="Z808" s="219"/>
      <c r="AL808" s="82"/>
      <c r="AM808" s="82"/>
      <c r="AN808" s="82"/>
      <c r="AO808" s="82"/>
      <c r="AP808" s="82"/>
      <c r="AQ808" s="82"/>
      <c r="AR808" s="82"/>
      <c r="AS808" s="82"/>
    </row>
    <row r="809" spans="1:48" ht="15.75">
      <c r="A809" s="226" t="s">
        <v>219</v>
      </c>
      <c r="B809" s="179"/>
      <c r="C809" s="218">
        <f>C828+C986</f>
        <v>846205772.82823956</v>
      </c>
      <c r="D809" s="336"/>
      <c r="E809" s="220"/>
      <c r="F809" s="106">
        <f>F828+F986</f>
        <v>35623151</v>
      </c>
      <c r="G809" s="336"/>
      <c r="H809" s="220"/>
      <c r="I809" s="106">
        <f>I828+I986</f>
        <v>37776458</v>
      </c>
      <c r="J809" s="337"/>
      <c r="K809" s="220"/>
      <c r="L809" s="106">
        <f ca="1">L828+L986</f>
        <v>38937985</v>
      </c>
      <c r="M809" s="106"/>
      <c r="N809" s="337"/>
      <c r="O809" s="220"/>
      <c r="P809" s="106">
        <f>P828+P986</f>
        <v>0</v>
      </c>
      <c r="Q809" s="106"/>
      <c r="R809" s="337"/>
      <c r="S809" s="220"/>
      <c r="T809" s="106">
        <f ca="1">T828+T986</f>
        <v>7968146.0315824375</v>
      </c>
      <c r="U809" s="106"/>
      <c r="V809" s="337"/>
      <c r="W809" s="220"/>
      <c r="X809" s="106">
        <f ca="1">X828+X986</f>
        <v>30969839.235389508</v>
      </c>
      <c r="Z809" s="146" t="s">
        <v>108</v>
      </c>
      <c r="AL809" s="82"/>
      <c r="AM809" s="82"/>
      <c r="AN809" s="82"/>
      <c r="AO809" s="82"/>
      <c r="AP809" s="82"/>
      <c r="AQ809" s="82"/>
      <c r="AR809" s="82"/>
      <c r="AS809" s="82"/>
    </row>
    <row r="810" spans="1:48" ht="15.75">
      <c r="A810" s="226" t="s">
        <v>155</v>
      </c>
      <c r="B810" s="179"/>
      <c r="C810" s="218">
        <f>C829+C987</f>
        <v>365869.4545454543</v>
      </c>
      <c r="D810" s="243"/>
      <c r="E810" s="220"/>
      <c r="F810" s="106">
        <f>F829+F987</f>
        <v>197389</v>
      </c>
      <c r="G810" s="243"/>
      <c r="H810" s="220"/>
      <c r="I810" s="106">
        <f>I829+I987</f>
        <v>197389</v>
      </c>
      <c r="J810" s="243"/>
      <c r="K810" s="220"/>
      <c r="L810" s="106">
        <f>L829+L987</f>
        <v>197389</v>
      </c>
      <c r="M810" s="106"/>
      <c r="N810" s="243"/>
      <c r="O810" s="220"/>
      <c r="P810" s="106">
        <f>P829+P987</f>
        <v>0</v>
      </c>
      <c r="Q810" s="106"/>
      <c r="R810" s="243"/>
      <c r="S810" s="220"/>
      <c r="T810" s="106">
        <f>T829+T987</f>
        <v>40396.816463176467</v>
      </c>
      <c r="U810" s="106"/>
      <c r="V810" s="243"/>
      <c r="W810" s="220"/>
      <c r="X810" s="106">
        <f>X829+X987</f>
        <v>157002.95273396955</v>
      </c>
      <c r="Y810" s="219"/>
      <c r="Z810" s="146" t="s">
        <v>108</v>
      </c>
      <c r="AL810" s="82"/>
      <c r="AM810" s="82"/>
      <c r="AN810" s="82"/>
      <c r="AO810" s="82"/>
      <c r="AP810" s="82"/>
      <c r="AQ810" s="82"/>
      <c r="AR810" s="82"/>
      <c r="AS810" s="82"/>
    </row>
    <row r="811" spans="1:48" s="123" customFormat="1" ht="15.75">
      <c r="A811" s="122" t="s">
        <v>220</v>
      </c>
      <c r="C811" s="232">
        <f>C830+C1001</f>
        <v>390931772.82823956</v>
      </c>
      <c r="D811" s="118"/>
      <c r="E811" s="125"/>
      <c r="F811" s="126"/>
      <c r="G811" s="118"/>
      <c r="H811" s="125"/>
      <c r="I811" s="126"/>
      <c r="J811" s="105"/>
      <c r="K811" s="125"/>
      <c r="L811" s="126">
        <f>L830+L1001</f>
        <v>27005226</v>
      </c>
      <c r="M811" s="126"/>
      <c r="N811" s="105"/>
      <c r="O811" s="125"/>
      <c r="P811" s="126">
        <f>P830+P1001</f>
        <v>0</v>
      </c>
      <c r="Q811" s="126"/>
      <c r="R811" s="105"/>
      <c r="S811" s="125"/>
      <c r="T811" s="126">
        <f>T830+T1001</f>
        <v>4944058.6939572552</v>
      </c>
      <c r="U811" s="126"/>
      <c r="V811" s="105"/>
      <c r="W811" s="125"/>
      <c r="X811" s="126">
        <f>X830+X1001</f>
        <v>19188239.194815192</v>
      </c>
      <c r="Z811" s="111"/>
      <c r="AC811" s="132"/>
      <c r="AD811" s="132"/>
      <c r="AI811" s="125"/>
      <c r="AJ811" s="125"/>
      <c r="AK811" s="125"/>
      <c r="AL811" s="125"/>
      <c r="AM811" s="125"/>
      <c r="AN811" s="125"/>
      <c r="AO811" s="125"/>
      <c r="AP811" s="125"/>
      <c r="AQ811" s="125"/>
      <c r="AR811" s="125"/>
      <c r="AS811" s="125"/>
      <c r="AU811" s="131"/>
    </row>
    <row r="812" spans="1:48" ht="15.75">
      <c r="A812" s="179" t="s">
        <v>134</v>
      </c>
      <c r="B812" s="179"/>
      <c r="C812" s="218">
        <f>C830+C988</f>
        <v>846205772.82823956</v>
      </c>
      <c r="D812" s="222"/>
      <c r="E812" s="106"/>
      <c r="F812" s="106" t="e">
        <f>F830+F988</f>
        <v>#VALUE!</v>
      </c>
      <c r="G812" s="222"/>
      <c r="H812" s="179"/>
      <c r="I812" s="106">
        <f>I830+I988</f>
        <v>51836391</v>
      </c>
      <c r="J812" s="106"/>
      <c r="K812" s="179"/>
      <c r="L812" s="106">
        <f ca="1">L830+L988</f>
        <v>53374372</v>
      </c>
      <c r="M812" s="106"/>
      <c r="N812" s="106"/>
      <c r="O812" s="179"/>
      <c r="P812" s="106">
        <f ca="1">P830+P988</f>
        <v>428574</v>
      </c>
      <c r="Q812" s="106"/>
      <c r="R812" s="106"/>
      <c r="S812" s="179"/>
      <c r="T812" s="106">
        <f ca="1">T830+T988</f>
        <v>10247153.95106395</v>
      </c>
      <c r="U812" s="106"/>
      <c r="V812" s="106"/>
      <c r="W812" s="179"/>
      <c r="X812" s="106">
        <f ca="1">X830+X988</f>
        <v>39825715.317708492</v>
      </c>
      <c r="AL812" s="82"/>
      <c r="AM812" s="82"/>
      <c r="AN812" s="82"/>
      <c r="AO812" s="82"/>
      <c r="AP812" s="82"/>
      <c r="AQ812" s="82"/>
      <c r="AR812" s="82"/>
      <c r="AS812" s="82"/>
    </row>
    <row r="813" spans="1:48" ht="15.75">
      <c r="A813" s="179" t="s">
        <v>119</v>
      </c>
      <c r="B813" s="179"/>
      <c r="C813" s="247">
        <f>C831+C989</f>
        <v>-11321735.570943061</v>
      </c>
      <c r="D813" s="138"/>
      <c r="E813" s="138"/>
      <c r="F813" s="334">
        <f>I813</f>
        <v>-860116.38955672784</v>
      </c>
      <c r="G813" s="138"/>
      <c r="H813" s="138"/>
      <c r="I813" s="334">
        <f>I831+I989</f>
        <v>-860116.38955672784</v>
      </c>
      <c r="J813" s="138"/>
      <c r="K813" s="138"/>
      <c r="L813" s="334">
        <f>L831+L989</f>
        <v>-860116.38955672784</v>
      </c>
      <c r="M813" s="137"/>
      <c r="N813" s="138"/>
      <c r="O813" s="138"/>
      <c r="P813" s="334">
        <f>P831+P989</f>
        <v>-60154.264041755778</v>
      </c>
      <c r="Q813" s="137"/>
      <c r="R813" s="138"/>
      <c r="S813" s="138"/>
      <c r="T813" s="334">
        <f>T831+T989</f>
        <v>-162880.33176627071</v>
      </c>
      <c r="U813" s="137"/>
      <c r="V813" s="138"/>
      <c r="W813" s="138"/>
      <c r="X813" s="334">
        <f>X831+X989</f>
        <v>-637081.79374870134</v>
      </c>
      <c r="AC813" s="158"/>
      <c r="AD813" s="158"/>
      <c r="AL813" s="82"/>
      <c r="AM813" s="82"/>
      <c r="AN813" s="82"/>
      <c r="AO813" s="82"/>
      <c r="AP813" s="82"/>
      <c r="AQ813" s="82"/>
      <c r="AR813" s="82"/>
      <c r="AS813" s="82"/>
    </row>
    <row r="814" spans="1:48" ht="16.5" thickBot="1">
      <c r="A814" s="179" t="s">
        <v>135</v>
      </c>
      <c r="B814" s="179"/>
      <c r="C814" s="338">
        <f>SUM(C812:C813)</f>
        <v>834884037.25729644</v>
      </c>
      <c r="D814" s="268"/>
      <c r="E814" s="250"/>
      <c r="F814" s="339" t="e">
        <f>F812+F813</f>
        <v>#VALUE!</v>
      </c>
      <c r="G814" s="268"/>
      <c r="H814" s="269"/>
      <c r="I814" s="339">
        <f>I812+I813</f>
        <v>50976274.610443272</v>
      </c>
      <c r="J814" s="268"/>
      <c r="K814" s="269"/>
      <c r="L814" s="339">
        <f ca="1">L812+L813</f>
        <v>52514255.610443272</v>
      </c>
      <c r="M814" s="137"/>
      <c r="N814" s="268"/>
      <c r="O814" s="269"/>
      <c r="P814" s="339">
        <f ca="1">P812+P813</f>
        <v>368419.73595824424</v>
      </c>
      <c r="Q814" s="137"/>
      <c r="R814" s="268"/>
      <c r="S814" s="269"/>
      <c r="T814" s="339">
        <f ca="1">T812+T813</f>
        <v>10084273.61929768</v>
      </c>
      <c r="U814" s="137"/>
      <c r="V814" s="268"/>
      <c r="W814" s="269"/>
      <c r="X814" s="339">
        <f ca="1">X812+X813</f>
        <v>39188633.523959793</v>
      </c>
      <c r="Y814" s="143" t="s">
        <v>120</v>
      </c>
      <c r="Z814" s="144">
        <f>Z832+Z990</f>
        <v>52507865.541056544</v>
      </c>
      <c r="AA814" s="145"/>
      <c r="AB814" s="102"/>
      <c r="AL814" s="82"/>
      <c r="AM814" s="82"/>
      <c r="AN814" s="82"/>
      <c r="AO814" s="82"/>
      <c r="AP814" s="82"/>
      <c r="AQ814" s="82"/>
      <c r="AR814" s="82"/>
      <c r="AS814" s="82"/>
    </row>
    <row r="815" spans="1:48" ht="16.5" thickTop="1">
      <c r="A815" s="179"/>
      <c r="B815" s="179"/>
      <c r="C815" s="205"/>
      <c r="D815" s="243" t="s">
        <v>108</v>
      </c>
      <c r="E815" s="106"/>
      <c r="F815" s="106"/>
      <c r="G815" s="243" t="s">
        <v>108</v>
      </c>
      <c r="H815" s="179"/>
      <c r="I815" s="106"/>
      <c r="J815" s="275" t="s">
        <v>108</v>
      </c>
      <c r="K815" s="179"/>
      <c r="L815" s="106" t="s">
        <v>108</v>
      </c>
      <c r="M815" s="106"/>
      <c r="N815" s="275" t="s">
        <v>108</v>
      </c>
      <c r="O815" s="179"/>
      <c r="P815" s="106" t="s">
        <v>108</v>
      </c>
      <c r="Q815" s="106"/>
      <c r="R815" s="275" t="s">
        <v>108</v>
      </c>
      <c r="S815" s="179"/>
      <c r="T815" s="106" t="s">
        <v>108</v>
      </c>
      <c r="U815" s="106"/>
      <c r="V815" s="275" t="s">
        <v>108</v>
      </c>
      <c r="W815" s="179"/>
      <c r="X815" s="106" t="s">
        <v>108</v>
      </c>
      <c r="Y815" s="154" t="s">
        <v>122</v>
      </c>
      <c r="Z815" s="155">
        <f ca="1">Z814-L814</f>
        <v>-6390.0693867281079</v>
      </c>
      <c r="AA815" s="300" t="s">
        <v>108</v>
      </c>
      <c r="AB815" s="263"/>
      <c r="AL815" s="82"/>
      <c r="AM815" s="82"/>
      <c r="AN815" s="82"/>
      <c r="AO815" s="82"/>
      <c r="AP815" s="82"/>
      <c r="AQ815" s="82"/>
      <c r="AR815" s="82"/>
      <c r="AS815" s="82"/>
    </row>
    <row r="816" spans="1:48" ht="15.75">
      <c r="A816" s="179"/>
      <c r="B816" s="179"/>
      <c r="C816" s="205"/>
      <c r="D816" s="243"/>
      <c r="E816" s="106"/>
      <c r="F816" s="106"/>
      <c r="G816" s="243"/>
      <c r="H816" s="179"/>
      <c r="I816" s="106" t="s">
        <v>108</v>
      </c>
      <c r="J816" s="243"/>
      <c r="K816" s="179"/>
      <c r="L816" s="270"/>
      <c r="M816" s="270"/>
      <c r="N816" s="243"/>
      <c r="O816" s="179"/>
      <c r="P816" s="270"/>
      <c r="Q816" s="270"/>
      <c r="R816" s="243"/>
      <c r="S816" s="179"/>
      <c r="T816" s="270"/>
      <c r="U816" s="270"/>
      <c r="V816" s="243"/>
      <c r="W816" s="179"/>
      <c r="X816" s="270"/>
      <c r="AA816" s="83"/>
      <c r="AB816" s="83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</row>
    <row r="817" spans="1:47" ht="15.75">
      <c r="A817" s="178" t="s">
        <v>232</v>
      </c>
      <c r="B817" s="179"/>
      <c r="C817" s="179"/>
      <c r="D817" s="106"/>
      <c r="E817" s="106"/>
      <c r="F817" s="179"/>
      <c r="G817" s="106"/>
      <c r="H817" s="179"/>
      <c r="I817" s="179"/>
      <c r="J817" s="106"/>
      <c r="K817" s="179"/>
      <c r="L817" s="179"/>
      <c r="M817" s="179"/>
      <c r="N817" s="106"/>
      <c r="O817" s="179"/>
      <c r="P817" s="179"/>
      <c r="Q817" s="179"/>
      <c r="R817" s="106"/>
      <c r="S817" s="179"/>
      <c r="T817" s="179"/>
      <c r="U817" s="179"/>
      <c r="V817" s="106"/>
      <c r="W817" s="179"/>
      <c r="X817" s="179"/>
      <c r="Y817" s="150"/>
      <c r="Z817" s="102">
        <f>Unbundled!F24</f>
        <v>0.70178975353936535</v>
      </c>
      <c r="AA817" s="102">
        <f>Unbundled!G24</f>
        <v>0.1808238720578618</v>
      </c>
      <c r="AB817" s="102">
        <f>(Unbundled!H24+Unbundled!I24+Unbundled!J24)</f>
        <v>0.1173863744027729</v>
      </c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</row>
    <row r="818" spans="1:47" ht="15.75">
      <c r="A818" s="138" t="s">
        <v>234</v>
      </c>
      <c r="B818" s="179"/>
      <c r="C818" s="179"/>
      <c r="D818" s="106"/>
      <c r="E818" s="106"/>
      <c r="F818" s="179"/>
      <c r="G818" s="106"/>
      <c r="H818" s="179"/>
      <c r="I818" s="179"/>
      <c r="J818" s="106"/>
      <c r="K818" s="179"/>
      <c r="L818" s="179"/>
      <c r="M818" s="179"/>
      <c r="N818" s="106"/>
      <c r="O818" s="179"/>
      <c r="P818" s="179"/>
      <c r="Q818" s="179"/>
      <c r="R818" s="106"/>
      <c r="S818" s="179"/>
      <c r="T818" s="179"/>
      <c r="U818" s="179"/>
      <c r="V818" s="106"/>
      <c r="W818" s="179"/>
      <c r="X818" s="179"/>
      <c r="Y818" s="82"/>
      <c r="AA818" s="83"/>
      <c r="AB818" s="83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</row>
    <row r="819" spans="1:47" ht="15.75">
      <c r="A819" s="226"/>
      <c r="B819" s="179"/>
      <c r="C819" s="179"/>
      <c r="D819" s="106"/>
      <c r="E819" s="106"/>
      <c r="F819" s="179"/>
      <c r="G819" s="106"/>
      <c r="H819" s="179"/>
      <c r="I819" s="179"/>
      <c r="J819" s="106"/>
      <c r="K819" s="179"/>
      <c r="L819" s="179"/>
      <c r="M819" s="179"/>
      <c r="N819" s="106"/>
      <c r="O819" s="179"/>
      <c r="P819" s="179"/>
      <c r="Q819" s="179"/>
      <c r="R819" s="106"/>
      <c r="S819" s="179"/>
      <c r="T819" s="179"/>
      <c r="U819" s="179"/>
      <c r="V819" s="106"/>
      <c r="W819" s="179"/>
      <c r="X819" s="179"/>
      <c r="Y819" s="82"/>
      <c r="Z819" s="83"/>
      <c r="AA819" s="83"/>
      <c r="AB819" s="83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</row>
    <row r="820" spans="1:47" ht="15.75">
      <c r="A820" s="226" t="s">
        <v>11</v>
      </c>
      <c r="B820" s="179"/>
      <c r="C820" s="218"/>
      <c r="D820" s="106"/>
      <c r="E820" s="106"/>
      <c r="F820" s="179"/>
      <c r="G820" s="106"/>
      <c r="H820" s="179"/>
      <c r="I820" s="179"/>
      <c r="J820" s="106"/>
      <c r="K820" s="179"/>
      <c r="L820" s="179"/>
      <c r="M820" s="179"/>
      <c r="N820" s="106"/>
      <c r="O820" s="179"/>
      <c r="P820" s="179"/>
      <c r="Q820" s="179"/>
      <c r="R820" s="106"/>
      <c r="S820" s="179"/>
      <c r="T820" s="179"/>
      <c r="U820" s="179"/>
      <c r="V820" s="106"/>
      <c r="W820" s="179"/>
      <c r="X820" s="179"/>
      <c r="AA820" s="82"/>
      <c r="AB820" s="82"/>
      <c r="AC820" s="88" t="s">
        <v>108</v>
      </c>
      <c r="AK820" s="340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</row>
    <row r="821" spans="1:47" ht="15.75">
      <c r="A821" s="226" t="s">
        <v>228</v>
      </c>
      <c r="B821" s="179"/>
      <c r="C821" s="218">
        <f>C838+C891</f>
        <v>732.15151515151501</v>
      </c>
      <c r="D821" s="341"/>
      <c r="E821" s="243"/>
      <c r="F821" s="106">
        <f>F944+F962</f>
        <v>1019061</v>
      </c>
      <c r="G821" s="341"/>
      <c r="H821" s="220"/>
      <c r="I821" s="220">
        <f>I838+I891</f>
        <v>1019061</v>
      </c>
      <c r="K821" s="220"/>
      <c r="L821" s="220">
        <f>L838+L891</f>
        <v>1019061</v>
      </c>
      <c r="M821" s="106"/>
      <c r="O821" s="220"/>
      <c r="P821" s="220">
        <f>P838+P891</f>
        <v>1019061</v>
      </c>
      <c r="Q821" s="106"/>
      <c r="S821" s="220"/>
      <c r="T821" s="220"/>
      <c r="U821" s="106"/>
      <c r="W821" s="220"/>
      <c r="X821" s="220"/>
      <c r="Z821" s="243">
        <f>J856</f>
        <v>1386</v>
      </c>
      <c r="AA821" s="146">
        <f>(Z821-G838)/G838</f>
        <v>0</v>
      </c>
      <c r="AB821" s="146"/>
      <c r="AE821" s="192"/>
      <c r="AF821" s="190"/>
      <c r="AG821" s="192"/>
      <c r="AH821" s="190"/>
      <c r="AI821" s="192"/>
      <c r="AJ821" s="192"/>
      <c r="AK821" s="34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</row>
    <row r="822" spans="1:47" ht="15.75">
      <c r="A822" s="226" t="s">
        <v>229</v>
      </c>
      <c r="B822" s="179"/>
      <c r="C822" s="218">
        <f>C839+C892</f>
        <v>0</v>
      </c>
      <c r="D822" s="341"/>
      <c r="E822" s="243"/>
      <c r="F822" s="106">
        <f>F945+F963</f>
        <v>0</v>
      </c>
      <c r="G822" s="341"/>
      <c r="H822" s="222"/>
      <c r="I822" s="220">
        <f>I839+I892</f>
        <v>0</v>
      </c>
      <c r="K822" s="222"/>
      <c r="L822" s="220">
        <f>L839+L892</f>
        <v>0</v>
      </c>
      <c r="M822" s="106"/>
      <c r="O822" s="222"/>
      <c r="P822" s="220">
        <f>P839+P892</f>
        <v>0</v>
      </c>
      <c r="Q822" s="106"/>
      <c r="S822" s="222"/>
      <c r="T822" s="220"/>
      <c r="U822" s="106"/>
      <c r="W822" s="222"/>
      <c r="X822" s="220"/>
      <c r="Z822" s="243">
        <f>J857</f>
        <v>1675</v>
      </c>
      <c r="AA822" s="146">
        <f>(Z822-G839)/G839</f>
        <v>0</v>
      </c>
      <c r="AB822" s="146"/>
      <c r="AE822" s="192"/>
      <c r="AF822" s="190"/>
      <c r="AG822" s="192"/>
      <c r="AH822" s="190"/>
      <c r="AI822" s="192"/>
      <c r="AJ822" s="192"/>
      <c r="AK822" s="34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</row>
    <row r="823" spans="1:47" ht="15.75">
      <c r="A823" s="226" t="s">
        <v>150</v>
      </c>
      <c r="B823" s="179"/>
      <c r="C823" s="218">
        <f>C946+C964</f>
        <v>732.15151515151501</v>
      </c>
      <c r="D823" s="341"/>
      <c r="E823" s="243"/>
      <c r="F823" s="106"/>
      <c r="G823" s="341"/>
      <c r="H823" s="220"/>
      <c r="I823" s="220"/>
      <c r="K823" s="220"/>
      <c r="L823" s="220"/>
      <c r="M823" s="106"/>
      <c r="O823" s="220"/>
      <c r="P823" s="220"/>
      <c r="Q823" s="106"/>
      <c r="S823" s="220"/>
      <c r="T823" s="220"/>
      <c r="U823" s="106"/>
      <c r="W823" s="220"/>
      <c r="X823" s="220"/>
      <c r="Z823" s="243" t="s">
        <v>108</v>
      </c>
      <c r="AA823" s="219"/>
      <c r="AB823" s="219"/>
      <c r="AE823" s="192"/>
      <c r="AF823" s="190"/>
      <c r="AG823" s="192"/>
      <c r="AH823" s="190"/>
      <c r="AI823" s="192"/>
      <c r="AJ823" s="192"/>
      <c r="AK823" s="34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</row>
    <row r="824" spans="1:47" ht="15.75">
      <c r="A824" s="226" t="s">
        <v>230</v>
      </c>
      <c r="B824" s="179"/>
      <c r="C824" s="218">
        <f>C841+C894</f>
        <v>1083307.8484848479</v>
      </c>
      <c r="D824" s="341"/>
      <c r="E824" s="243"/>
      <c r="F824" s="106">
        <f>F947+F965</f>
        <v>1030814</v>
      </c>
      <c r="G824" s="341"/>
      <c r="H824" s="220"/>
      <c r="I824" s="220">
        <f>I841+I894</f>
        <v>1030814</v>
      </c>
      <c r="K824" s="220"/>
      <c r="L824" s="220">
        <f>L841+L894</f>
        <v>1058880</v>
      </c>
      <c r="M824" s="106"/>
      <c r="O824" s="220"/>
      <c r="P824" s="220">
        <f>P841+P894</f>
        <v>1121410</v>
      </c>
      <c r="Q824" s="106"/>
      <c r="S824" s="220"/>
      <c r="T824" s="220"/>
      <c r="U824" s="106"/>
      <c r="W824" s="220"/>
      <c r="X824" s="220"/>
      <c r="Z824" s="243">
        <f>J859</f>
        <v>1.0900000000000001</v>
      </c>
      <c r="AA824" s="146">
        <f>(Z824-G841)/G841</f>
        <v>2.8301886792452855E-2</v>
      </c>
      <c r="AB824" s="146"/>
      <c r="AE824" s="192"/>
      <c r="AF824" s="190"/>
      <c r="AG824" s="192"/>
      <c r="AH824" s="190"/>
      <c r="AI824" s="192"/>
      <c r="AJ824" s="192"/>
      <c r="AK824" s="34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</row>
    <row r="825" spans="1:47" ht="15.75">
      <c r="A825" s="226" t="s">
        <v>231</v>
      </c>
      <c r="B825" s="179"/>
      <c r="C825" s="218">
        <f>C842+C895</f>
        <v>0</v>
      </c>
      <c r="D825" s="341"/>
      <c r="E825" s="243"/>
      <c r="F825" s="106">
        <f>F948+F966</f>
        <v>0</v>
      </c>
      <c r="G825" s="341"/>
      <c r="H825" s="220"/>
      <c r="I825" s="220">
        <f>I842+I895</f>
        <v>0</v>
      </c>
      <c r="K825" s="220"/>
      <c r="L825" s="220">
        <f>L842+L895</f>
        <v>0</v>
      </c>
      <c r="M825" s="106"/>
      <c r="O825" s="220"/>
      <c r="P825" s="220">
        <f>P842+P895</f>
        <v>0</v>
      </c>
      <c r="Q825" s="106"/>
      <c r="S825" s="220"/>
      <c r="T825" s="220"/>
      <c r="U825" s="106"/>
      <c r="W825" s="220"/>
      <c r="X825" s="220"/>
      <c r="Z825" s="243">
        <f>J860</f>
        <v>0.98</v>
      </c>
      <c r="AA825" s="146">
        <f>(Z825-G842)/G842</f>
        <v>2.0833333333333353E-2</v>
      </c>
      <c r="AB825" s="146"/>
      <c r="AE825" s="192"/>
      <c r="AF825" s="190"/>
      <c r="AG825" s="192"/>
      <c r="AH825" s="190"/>
      <c r="AI825" s="192"/>
      <c r="AJ825" s="192"/>
      <c r="AK825" s="34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</row>
    <row r="826" spans="1:47" ht="15.75">
      <c r="A826" s="138" t="s">
        <v>158</v>
      </c>
      <c r="B826" s="179"/>
      <c r="C826" s="218">
        <f>C843+C896</f>
        <v>879355.30303030403</v>
      </c>
      <c r="D826" s="226"/>
      <c r="E826" s="218">
        <f>E949+E967</f>
        <v>0</v>
      </c>
      <c r="F826" s="218">
        <f>F949+F967</f>
        <v>6237860</v>
      </c>
      <c r="G826" s="341"/>
      <c r="H826" s="220"/>
      <c r="I826" s="220">
        <f>I843+I896</f>
        <v>6612421</v>
      </c>
      <c r="K826" s="220"/>
      <c r="L826" s="220">
        <f>L843+L896</f>
        <v>6772486</v>
      </c>
      <c r="M826" s="106"/>
      <c r="O826" s="220"/>
      <c r="P826" s="220">
        <f>P843+P896</f>
        <v>794997.55194211088</v>
      </c>
      <c r="Q826" s="106"/>
      <c r="S826" s="220"/>
      <c r="T826" s="220">
        <f>T843+T896</f>
        <v>1224627.1030183365</v>
      </c>
      <c r="U826" s="106"/>
      <c r="W826" s="220"/>
      <c r="X826" s="220">
        <f>X843+X896</f>
        <v>4752861.1295850156</v>
      </c>
      <c r="Z826" s="243">
        <f>J861</f>
        <v>7.73</v>
      </c>
      <c r="AA826" s="146">
        <f>(Z826-G843)/G843</f>
        <v>2.3841059602649088E-2</v>
      </c>
      <c r="AB826" s="146"/>
      <c r="AD826" s="83"/>
      <c r="AE826" s="343"/>
      <c r="AF826" s="342"/>
      <c r="AG826" s="343"/>
      <c r="AH826" s="342"/>
      <c r="AI826" s="343"/>
      <c r="AJ826" s="83"/>
      <c r="AK826" s="342"/>
      <c r="AL826" s="82"/>
      <c r="AM826" s="82"/>
      <c r="AN826" s="82"/>
      <c r="AO826" s="82"/>
      <c r="AP826" s="82"/>
      <c r="AQ826" s="82"/>
      <c r="AR826" s="82"/>
      <c r="AS826" s="82"/>
    </row>
    <row r="827" spans="1:47" ht="15.75">
      <c r="A827" s="226" t="s">
        <v>181</v>
      </c>
      <c r="B827" s="179"/>
      <c r="C827" s="326" t="s">
        <v>108</v>
      </c>
      <c r="D827" s="341"/>
      <c r="E827" s="243"/>
      <c r="F827" s="106"/>
      <c r="G827" s="341"/>
      <c r="H827" s="220"/>
      <c r="I827" s="344" t="s">
        <v>108</v>
      </c>
      <c r="K827" s="220"/>
      <c r="L827" s="344" t="s">
        <v>108</v>
      </c>
      <c r="M827" s="106"/>
      <c r="O827" s="220"/>
      <c r="P827" s="344" t="s">
        <v>108</v>
      </c>
      <c r="Q827" s="106"/>
      <c r="S827" s="220"/>
      <c r="T827" s="344" t="s">
        <v>108</v>
      </c>
      <c r="U827" s="106"/>
      <c r="W827" s="220"/>
      <c r="X827" s="344" t="s">
        <v>108</v>
      </c>
      <c r="Z827" s="243" t="s">
        <v>108</v>
      </c>
      <c r="AA827" s="219"/>
      <c r="AB827" s="219"/>
      <c r="AD827" s="83"/>
      <c r="AE827" s="82"/>
      <c r="AF827" s="82"/>
      <c r="AG827" s="150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</row>
    <row r="828" spans="1:47" ht="15.75">
      <c r="A828" s="226" t="s">
        <v>219</v>
      </c>
      <c r="B828" s="179"/>
      <c r="C828" s="218">
        <f>C845+C898</f>
        <v>390931772.82823956</v>
      </c>
      <c r="D828" s="341"/>
      <c r="E828" s="220"/>
      <c r="F828" s="106">
        <f>F951+F969</f>
        <v>16560829</v>
      </c>
      <c r="G828" s="341"/>
      <c r="H828" s="220"/>
      <c r="I828" s="220">
        <f>I845+I898</f>
        <v>17607820</v>
      </c>
      <c r="K828" s="220"/>
      <c r="L828" s="220">
        <f>L845+L898</f>
        <v>18054567</v>
      </c>
      <c r="M828" s="106"/>
      <c r="O828" s="220"/>
      <c r="P828" s="220">
        <f>P845+P898</f>
        <v>0</v>
      </c>
      <c r="Q828" s="106"/>
      <c r="S828" s="220"/>
      <c r="T828" s="220">
        <f>T845+T898</f>
        <v>3698896.7744757417</v>
      </c>
      <c r="U828" s="106"/>
      <c r="W828" s="220"/>
      <c r="X828" s="220">
        <f>X845+X898</f>
        <v>14355670.112496207</v>
      </c>
      <c r="Z828" s="337" t="s">
        <v>108</v>
      </c>
      <c r="AA828" s="146" t="s">
        <v>108</v>
      </c>
      <c r="AB828" s="146"/>
      <c r="AD828" s="83"/>
      <c r="AE828" s="82"/>
      <c r="AF828" s="82"/>
      <c r="AG828" s="343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</row>
    <row r="829" spans="1:47" ht="15.75">
      <c r="A829" s="226" t="s">
        <v>155</v>
      </c>
      <c r="B829" s="179"/>
      <c r="C829" s="218">
        <f>C846+C899</f>
        <v>182554.4545454543</v>
      </c>
      <c r="D829" s="341"/>
      <c r="E829" s="220"/>
      <c r="F829" s="106">
        <f>F952+F970</f>
        <v>100232</v>
      </c>
      <c r="G829" s="341"/>
      <c r="H829" s="220"/>
      <c r="I829" s="220">
        <f>I846+I899</f>
        <v>100232</v>
      </c>
      <c r="K829" s="220"/>
      <c r="L829" s="220">
        <f>L846+L899</f>
        <v>100232</v>
      </c>
      <c r="M829" s="106"/>
      <c r="O829" s="220"/>
      <c r="P829" s="220">
        <f>P846+P899</f>
        <v>0</v>
      </c>
      <c r="Q829" s="106"/>
      <c r="S829" s="220"/>
      <c r="T829" s="220">
        <f>T846+T899</f>
        <v>20534.81646317647</v>
      </c>
      <c r="U829" s="106"/>
      <c r="W829" s="220"/>
      <c r="X829" s="220">
        <f>X846+X899</f>
        <v>79707.952733969563</v>
      </c>
      <c r="Z829" s="243">
        <f>J846</f>
        <v>0.55000000000000004</v>
      </c>
      <c r="AA829" s="146">
        <f>(Z829-G846)/G846</f>
        <v>0</v>
      </c>
      <c r="AB829" s="146"/>
      <c r="AD829" s="83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</row>
    <row r="830" spans="1:47" ht="15.75">
      <c r="A830" s="179" t="s">
        <v>134</v>
      </c>
      <c r="B830" s="179"/>
      <c r="C830" s="218">
        <f>C847+C900</f>
        <v>390931772.82823956</v>
      </c>
      <c r="D830" s="222"/>
      <c r="E830" s="106"/>
      <c r="F830" s="106">
        <f>F953+F971</f>
        <v>24948796</v>
      </c>
      <c r="G830" s="222"/>
      <c r="H830" s="179"/>
      <c r="I830" s="220">
        <f>I847+I900</f>
        <v>26370348</v>
      </c>
      <c r="J830" s="106"/>
      <c r="K830" s="179"/>
      <c r="L830" s="220">
        <f>L847+L900</f>
        <v>27005226</v>
      </c>
      <c r="M830" s="106"/>
      <c r="N830" s="106"/>
      <c r="O830" s="179"/>
      <c r="P830" s="220">
        <f>P847+P900</f>
        <v>0</v>
      </c>
      <c r="Q830" s="106"/>
      <c r="R830" s="106"/>
      <c r="S830" s="179"/>
      <c r="T830" s="220">
        <f>T847+T900</f>
        <v>4944058.6939572552</v>
      </c>
      <c r="U830" s="106"/>
      <c r="V830" s="106"/>
      <c r="W830" s="179"/>
      <c r="X830" s="220">
        <f>X847+X900</f>
        <v>19188239.194815192</v>
      </c>
      <c r="Y830" s="82"/>
      <c r="AA830" s="83"/>
      <c r="AB830" s="83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</row>
    <row r="831" spans="1:47" ht="15.75">
      <c r="A831" s="179" t="s">
        <v>119</v>
      </c>
      <c r="B831" s="179"/>
      <c r="C831" s="345">
        <f>C848+C901</f>
        <v>-4029366.0878516054</v>
      </c>
      <c r="D831" s="138"/>
      <c r="E831" s="138"/>
      <c r="F831" s="334">
        <f>I831</f>
        <v>-334737.78451534611</v>
      </c>
      <c r="G831" s="138"/>
      <c r="H831" s="138"/>
      <c r="I831" s="334">
        <f>I848+I901</f>
        <v>-334737.78451534611</v>
      </c>
      <c r="J831" s="138"/>
      <c r="K831" s="138"/>
      <c r="L831" s="334">
        <f>L848+L901</f>
        <v>-334737.78451534611</v>
      </c>
      <c r="M831" s="137"/>
      <c r="N831" s="138"/>
      <c r="O831" s="138"/>
      <c r="P831" s="334">
        <f>P848+P901</f>
        <v>-37070.127527963145</v>
      </c>
      <c r="Q831" s="137"/>
      <c r="R831" s="138"/>
      <c r="S831" s="138"/>
      <c r="T831" s="334">
        <f>T848+T901</f>
        <v>-60195.021938646016</v>
      </c>
      <c r="U831" s="137"/>
      <c r="V831" s="138"/>
      <c r="W831" s="138"/>
      <c r="X831" s="334">
        <f>X848+X901</f>
        <v>-237472.63504873696</v>
      </c>
      <c r="Y831" s="172"/>
      <c r="Z831" s="168"/>
      <c r="AA831" s="83"/>
      <c r="AB831" s="83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</row>
    <row r="832" spans="1:47" ht="16.5" thickBot="1">
      <c r="A832" s="179" t="s">
        <v>135</v>
      </c>
      <c r="B832" s="179"/>
      <c r="C832" s="346">
        <f>C849+C902</f>
        <v>386902406.74038792</v>
      </c>
      <c r="D832" s="268"/>
      <c r="E832" s="250"/>
      <c r="F832" s="347">
        <f>F955+F973</f>
        <v>24614058.215484656</v>
      </c>
      <c r="G832" s="268"/>
      <c r="H832" s="269"/>
      <c r="I832" s="347">
        <f>I849+I902</f>
        <v>26035610.215484656</v>
      </c>
      <c r="J832" s="268"/>
      <c r="K832" s="269"/>
      <c r="L832" s="347">
        <f>L849+L902</f>
        <v>26670488.215484656</v>
      </c>
      <c r="M832" s="137"/>
      <c r="N832" s="268"/>
      <c r="O832" s="269"/>
      <c r="P832" s="347">
        <f>P849+P902</f>
        <v>-37070.127527963145</v>
      </c>
      <c r="Q832" s="137"/>
      <c r="R832" s="268"/>
      <c r="S832" s="269"/>
      <c r="T832" s="347">
        <f>T849+T902</f>
        <v>4883863.672018609</v>
      </c>
      <c r="U832" s="137"/>
      <c r="V832" s="268"/>
      <c r="W832" s="269"/>
      <c r="X832" s="347">
        <f>X849+X902</f>
        <v>18950766.559766453</v>
      </c>
      <c r="Y832" s="143" t="s">
        <v>120</v>
      </c>
      <c r="Z832" s="538">
        <f>'[1]Summary Table'!$R$57</f>
        <v>26664105.677814711</v>
      </c>
      <c r="AA832" s="145"/>
      <c r="AB832" s="102"/>
      <c r="AC832" s="88" t="s">
        <v>235</v>
      </c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</row>
    <row r="833" spans="1:45" ht="16.5" thickTop="1">
      <c r="A833" s="179"/>
      <c r="B833" s="179"/>
      <c r="C833" s="148"/>
      <c r="D833" s="274"/>
      <c r="E833" s="258"/>
      <c r="F833" s="137"/>
      <c r="G833" s="274"/>
      <c r="H833" s="259"/>
      <c r="I833" s="137"/>
      <c r="J833" s="274"/>
      <c r="K833" s="259"/>
      <c r="L833" s="137"/>
      <c r="M833" s="137"/>
      <c r="N833" s="274"/>
      <c r="O833" s="259"/>
      <c r="P833" s="137"/>
      <c r="Q833" s="137"/>
      <c r="R833" s="274"/>
      <c r="S833" s="259"/>
      <c r="T833" s="137"/>
      <c r="U833" s="137"/>
      <c r="V833" s="274"/>
      <c r="W833" s="259"/>
      <c r="X833" s="137" t="s">
        <v>108</v>
      </c>
      <c r="Y833" s="348" t="s">
        <v>122</v>
      </c>
      <c r="Z833" s="201">
        <f>Z832-L849-L902</f>
        <v>-6382.5376699445769</v>
      </c>
      <c r="AA833" s="349"/>
      <c r="AB833" s="83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</row>
    <row r="834" spans="1:45" ht="15.75">
      <c r="A834" s="178" t="s">
        <v>232</v>
      </c>
      <c r="B834" s="179"/>
      <c r="C834" s="179"/>
      <c r="D834" s="106"/>
      <c r="E834" s="106"/>
      <c r="F834" s="179"/>
      <c r="G834" s="106"/>
      <c r="H834" s="179"/>
      <c r="I834" s="179"/>
      <c r="J834" s="466"/>
      <c r="K834" s="179"/>
      <c r="N834" s="106"/>
      <c r="O834" s="179"/>
      <c r="R834" s="106"/>
      <c r="S834" s="179"/>
      <c r="V834" s="106"/>
      <c r="W834" s="179"/>
      <c r="AA834" s="83"/>
      <c r="AB834" s="83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</row>
    <row r="835" spans="1:45" ht="15.75">
      <c r="A835" s="138" t="s">
        <v>236</v>
      </c>
      <c r="B835" s="179"/>
      <c r="C835" s="179"/>
      <c r="D835" s="106"/>
      <c r="E835" s="106"/>
      <c r="F835" s="179"/>
      <c r="G835" s="106"/>
      <c r="H835" s="179"/>
      <c r="I835" s="179"/>
      <c r="J835" s="106"/>
      <c r="K835" s="179"/>
      <c r="L835" s="179"/>
      <c r="M835" s="179"/>
      <c r="N835" s="106"/>
      <c r="O835" s="179"/>
      <c r="P835" s="179"/>
      <c r="Q835" s="179"/>
      <c r="R835" s="106"/>
      <c r="S835" s="179"/>
      <c r="T835" s="179"/>
      <c r="U835" s="179"/>
      <c r="V835" s="106"/>
      <c r="W835" s="179"/>
      <c r="X835" s="179"/>
      <c r="Y835" s="106">
        <f>L796+L849+L902</f>
        <v>26969507.228287444</v>
      </c>
      <c r="Z835" s="266" t="s">
        <v>235</v>
      </c>
      <c r="AA835" s="350">
        <f>(Y835-(I832+I796))/(I832+I796)</f>
        <v>2.4376153942098258E-2</v>
      </c>
      <c r="AB835" s="83"/>
      <c r="AC835" s="150">
        <f>I849</f>
        <v>21278986.212349631</v>
      </c>
      <c r="AD835" s="103">
        <f>'[3]Staff Actual &amp; Proposed'!$Q$41</f>
        <v>2.4139839901131159E-2</v>
      </c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</row>
    <row r="836" spans="1:45" ht="15.75">
      <c r="A836" s="226"/>
      <c r="B836" s="179"/>
      <c r="C836" s="179"/>
      <c r="D836" s="106"/>
      <c r="E836" s="106"/>
      <c r="F836" s="179"/>
      <c r="G836" s="106"/>
      <c r="H836" s="179"/>
      <c r="I836" s="179"/>
      <c r="J836" s="106"/>
      <c r="K836" s="179"/>
      <c r="L836" s="179"/>
      <c r="M836" s="179"/>
      <c r="N836" s="106"/>
      <c r="O836" s="179"/>
      <c r="P836" s="179"/>
      <c r="Q836" s="179"/>
      <c r="R836" s="106"/>
      <c r="S836" s="179"/>
      <c r="T836" s="179"/>
      <c r="U836" s="179"/>
      <c r="V836" s="106"/>
      <c r="W836" s="179"/>
      <c r="X836" s="179"/>
      <c r="Y836" s="82"/>
      <c r="Z836" s="83"/>
      <c r="AA836" s="83"/>
      <c r="AB836" s="83"/>
      <c r="AC836" s="454">
        <f>AC835*(1+AD835)</f>
        <v>21792657.532774128</v>
      </c>
      <c r="AD836" s="102">
        <f>AD835*(1+((I838+I846-I848)/I849))</f>
        <v>2.5544408516171541E-2</v>
      </c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</row>
    <row r="837" spans="1:45" ht="15.75">
      <c r="A837" s="226" t="s">
        <v>11</v>
      </c>
      <c r="B837" s="179"/>
      <c r="C837" s="152"/>
      <c r="D837" s="109"/>
      <c r="E837" s="109"/>
      <c r="F837" s="153"/>
      <c r="G837" s="109"/>
      <c r="H837" s="153"/>
      <c r="I837" s="153"/>
      <c r="J837" s="109"/>
      <c r="K837" s="153"/>
      <c r="L837" s="153"/>
      <c r="M837" s="153"/>
      <c r="N837" s="109"/>
      <c r="O837" s="153"/>
      <c r="P837" s="153"/>
      <c r="Q837" s="153"/>
      <c r="R837" s="109"/>
      <c r="S837" s="153"/>
      <c r="T837" s="153"/>
      <c r="U837" s="153"/>
      <c r="V837" s="109"/>
      <c r="W837" s="153"/>
      <c r="X837" s="153"/>
      <c r="Y837" s="82"/>
      <c r="Z837" s="83"/>
      <c r="AA837" s="83"/>
      <c r="AB837" s="83"/>
      <c r="AC837" s="453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</row>
    <row r="838" spans="1:45" ht="15.75">
      <c r="A838" s="226" t="s">
        <v>228</v>
      </c>
      <c r="B838" s="179"/>
      <c r="C838" s="152">
        <f t="shared" ref="C838:C843" si="164">C856+C873</f>
        <v>601.87878787878799</v>
      </c>
      <c r="D838" s="238">
        <v>1386</v>
      </c>
      <c r="E838" s="238"/>
      <c r="F838" s="109">
        <f>ROUND(D838*$C838,0)</f>
        <v>834204</v>
      </c>
      <c r="G838" s="238">
        <v>1386</v>
      </c>
      <c r="H838" s="109"/>
      <c r="I838" s="109">
        <f>ROUND(G838*C838,0)</f>
        <v>834204</v>
      </c>
      <c r="J838" s="238">
        <v>1386</v>
      </c>
      <c r="K838" s="109"/>
      <c r="L838" s="109">
        <f>ROUND(J838*$C838,0)</f>
        <v>834204</v>
      </c>
      <c r="M838" s="109"/>
      <c r="N838" s="238">
        <v>1386</v>
      </c>
      <c r="O838" s="109"/>
      <c r="P838" s="109">
        <f>ROUND(N838*$C838,0)</f>
        <v>834204</v>
      </c>
      <c r="Q838" s="109"/>
      <c r="R838" s="238" t="s">
        <v>108</v>
      </c>
      <c r="S838" s="109"/>
      <c r="T838" s="109"/>
      <c r="U838" s="109"/>
      <c r="V838" s="238"/>
      <c r="W838" s="109"/>
      <c r="X838" s="109"/>
      <c r="Y838" s="82"/>
      <c r="AA838" s="350"/>
      <c r="AB838" s="10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</row>
    <row r="839" spans="1:45" ht="15.75">
      <c r="A839" s="226" t="s">
        <v>229</v>
      </c>
      <c r="B839" s="179"/>
      <c r="C839" s="152">
        <f t="shared" si="164"/>
        <v>0</v>
      </c>
      <c r="D839" s="238">
        <v>1675</v>
      </c>
      <c r="E839" s="238"/>
      <c r="F839" s="109">
        <f>ROUND(D839*$C839,0)</f>
        <v>0</v>
      </c>
      <c r="G839" s="238">
        <v>1675</v>
      </c>
      <c r="H839" s="195"/>
      <c r="I839" s="109">
        <f>ROUND(G839*C839,0)</f>
        <v>0</v>
      </c>
      <c r="J839" s="238">
        <v>1675</v>
      </c>
      <c r="K839" s="195"/>
      <c r="L839" s="109">
        <f>ROUND(J839*$C839,0)</f>
        <v>0</v>
      </c>
      <c r="M839" s="109"/>
      <c r="N839" s="238"/>
      <c r="O839" s="195"/>
      <c r="P839" s="109"/>
      <c r="Q839" s="109"/>
      <c r="R839" s="238" t="s">
        <v>108</v>
      </c>
      <c r="S839" s="195"/>
      <c r="T839" s="109"/>
      <c r="U839" s="109"/>
      <c r="V839" s="238"/>
      <c r="W839" s="195"/>
      <c r="X839" s="109"/>
      <c r="Y839" s="82"/>
      <c r="AA839" s="350"/>
      <c r="AB839" s="10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</row>
    <row r="840" spans="1:45" ht="15.75">
      <c r="A840" s="226" t="s">
        <v>150</v>
      </c>
      <c r="B840" s="179"/>
      <c r="C840" s="152">
        <f t="shared" si="164"/>
        <v>601.87878787878799</v>
      </c>
      <c r="D840" s="238" t="s">
        <v>108</v>
      </c>
      <c r="E840" s="238"/>
      <c r="F840" s="109" t="s">
        <v>108</v>
      </c>
      <c r="G840" s="238" t="s">
        <v>108</v>
      </c>
      <c r="H840" s="109"/>
      <c r="I840" s="109" t="s">
        <v>108</v>
      </c>
      <c r="J840" s="238" t="s">
        <v>108</v>
      </c>
      <c r="K840" s="109"/>
      <c r="L840" s="461"/>
      <c r="M840" s="109"/>
      <c r="N840" s="238" t="s">
        <v>108</v>
      </c>
      <c r="O840" s="109"/>
      <c r="P840" s="109" t="s">
        <v>108</v>
      </c>
      <c r="Q840" s="109"/>
      <c r="R840" s="238" t="s">
        <v>108</v>
      </c>
      <c r="S840" s="109"/>
      <c r="T840" s="109" t="s">
        <v>108</v>
      </c>
      <c r="U840" s="109"/>
      <c r="V840" s="238" t="s">
        <v>108</v>
      </c>
      <c r="W840" s="109"/>
      <c r="X840" s="109" t="s">
        <v>108</v>
      </c>
      <c r="Y840" s="82"/>
      <c r="AA840" s="351"/>
      <c r="AB840" s="83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</row>
    <row r="841" spans="1:45" ht="15.75">
      <c r="A841" s="226" t="s">
        <v>230</v>
      </c>
      <c r="B841" s="179"/>
      <c r="C841" s="152">
        <f t="shared" si="164"/>
        <v>861624.39393939299</v>
      </c>
      <c r="D841" s="238">
        <v>1.06</v>
      </c>
      <c r="E841" s="238"/>
      <c r="F841" s="109">
        <f>ROUND(D841*$C841,0)</f>
        <v>913322</v>
      </c>
      <c r="G841" s="238">
        <v>1.06</v>
      </c>
      <c r="H841" s="109"/>
      <c r="I841" s="109">
        <f t="shared" ref="I841:I843" si="165">ROUND(G841*C841,0)</f>
        <v>913322</v>
      </c>
      <c r="J841" s="238">
        <f>ROUND(G841*(1+$AD$836),2)</f>
        <v>1.0900000000000001</v>
      </c>
      <c r="K841" s="109"/>
      <c r="L841" s="109">
        <f>ROUND(J841*$C841,0)</f>
        <v>939171</v>
      </c>
      <c r="M841" s="109"/>
      <c r="N841" s="238">
        <v>1.1599999999999999</v>
      </c>
      <c r="O841" s="109"/>
      <c r="P841" s="109">
        <f>ROUND(N841*$C841,0)</f>
        <v>999484</v>
      </c>
      <c r="Q841" s="109"/>
      <c r="R841" s="238" t="s">
        <v>108</v>
      </c>
      <c r="S841" s="109"/>
      <c r="T841" s="109"/>
      <c r="U841" s="109"/>
      <c r="V841" s="238"/>
      <c r="W841" s="109"/>
      <c r="X841" s="109"/>
      <c r="Y841" s="82"/>
      <c r="AA841" s="350"/>
      <c r="AB841" s="10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</row>
    <row r="842" spans="1:45" ht="15.75">
      <c r="A842" s="226" t="s">
        <v>231</v>
      </c>
      <c r="B842" s="179"/>
      <c r="C842" s="152">
        <f t="shared" si="164"/>
        <v>0</v>
      </c>
      <c r="D842" s="238">
        <v>0.96</v>
      </c>
      <c r="E842" s="238"/>
      <c r="F842" s="109">
        <f>ROUND(D842*$C842,0)</f>
        <v>0</v>
      </c>
      <c r="G842" s="238">
        <v>0.96</v>
      </c>
      <c r="H842" s="109"/>
      <c r="I842" s="109">
        <f t="shared" si="165"/>
        <v>0</v>
      </c>
      <c r="J842" s="238">
        <f>ROUND(G842*(1+$AD$836),2)</f>
        <v>0.98</v>
      </c>
      <c r="K842" s="109"/>
      <c r="L842" s="109">
        <f>ROUND(J842*$C842,0)</f>
        <v>0</v>
      </c>
      <c r="M842" s="109"/>
      <c r="N842" s="238"/>
      <c r="O842" s="109"/>
      <c r="P842" s="109"/>
      <c r="Q842" s="109"/>
      <c r="R842" s="238"/>
      <c r="S842" s="109"/>
      <c r="T842" s="109"/>
      <c r="U842" s="109"/>
      <c r="V842" s="238"/>
      <c r="W842" s="109"/>
      <c r="X842" s="109"/>
      <c r="Y842" s="82"/>
      <c r="AA842" s="350"/>
      <c r="AB842" s="10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</row>
    <row r="843" spans="1:45" ht="15.75">
      <c r="A843" s="138" t="s">
        <v>158</v>
      </c>
      <c r="B843" s="179"/>
      <c r="C843" s="152">
        <f t="shared" si="164"/>
        <v>701278.81818181905</v>
      </c>
      <c r="D843" s="238">
        <v>7.12</v>
      </c>
      <c r="E843" s="238"/>
      <c r="F843" s="109">
        <f>ROUND(D843*$C843,0)</f>
        <v>4993105</v>
      </c>
      <c r="G843" s="238">
        <v>7.55</v>
      </c>
      <c r="H843" s="109"/>
      <c r="I843" s="109">
        <f t="shared" si="165"/>
        <v>5294655</v>
      </c>
      <c r="J843" s="238">
        <v>7.73</v>
      </c>
      <c r="K843" s="109"/>
      <c r="L843" s="109">
        <f>ROUND(J843*$C843,0)</f>
        <v>5420885</v>
      </c>
      <c r="M843" s="109"/>
      <c r="N843" s="238">
        <f>J843*AB817</f>
        <v>0.90739667413343461</v>
      </c>
      <c r="O843" s="109"/>
      <c r="P843" s="109">
        <f>N843*C843</f>
        <v>636338.06725840818</v>
      </c>
      <c r="Q843" s="109"/>
      <c r="R843" s="238">
        <f>J843*AA817</f>
        <v>1.3977685310072718</v>
      </c>
      <c r="S843" s="109"/>
      <c r="T843" s="109">
        <f>R843*C843</f>
        <v>980225.46351651684</v>
      </c>
      <c r="U843" s="109"/>
      <c r="V843" s="238">
        <f>J843*Z817</f>
        <v>5.4248347948592945</v>
      </c>
      <c r="W843" s="109"/>
      <c r="X843" s="109">
        <f>V843*C843</f>
        <v>3804321.7337705367</v>
      </c>
      <c r="Y843" s="396"/>
      <c r="AA843" s="350"/>
      <c r="AB843" s="10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</row>
    <row r="844" spans="1:45" ht="15.75">
      <c r="A844" s="226" t="s">
        <v>181</v>
      </c>
      <c r="B844" s="179"/>
      <c r="C844" s="152"/>
      <c r="D844" s="238" t="s">
        <v>108</v>
      </c>
      <c r="E844" s="238"/>
      <c r="F844" s="109"/>
      <c r="G844" s="238" t="s">
        <v>108</v>
      </c>
      <c r="H844" s="109"/>
      <c r="I844" s="109"/>
      <c r="J844" s="238"/>
      <c r="K844" s="109"/>
      <c r="L844" s="109"/>
      <c r="M844" s="109"/>
      <c r="N844" s="238" t="s">
        <v>108</v>
      </c>
      <c r="O844" s="109"/>
      <c r="P844" s="109"/>
      <c r="Q844" s="109"/>
      <c r="R844" s="238" t="s">
        <v>108</v>
      </c>
      <c r="S844" s="109"/>
      <c r="T844" s="109"/>
      <c r="U844" s="109"/>
      <c r="V844" s="238" t="s">
        <v>108</v>
      </c>
      <c r="W844" s="109"/>
      <c r="X844" s="109"/>
      <c r="Y844" s="82"/>
      <c r="AA844" s="351"/>
      <c r="AB844" s="83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</row>
    <row r="845" spans="1:45" ht="15.75">
      <c r="A845" s="226" t="s">
        <v>219</v>
      </c>
      <c r="B845" s="179"/>
      <c r="C845" s="152">
        <f>C863+C880</f>
        <v>320313336.81593531</v>
      </c>
      <c r="D845" s="284">
        <v>4.2460000000000004</v>
      </c>
      <c r="E845" s="109" t="s">
        <v>116</v>
      </c>
      <c r="F845" s="109">
        <f>ROUND(D845/100*$C845,0)</f>
        <v>13600504</v>
      </c>
      <c r="G845" s="284">
        <v>4.5140000000000002</v>
      </c>
      <c r="H845" s="109" t="s">
        <v>116</v>
      </c>
      <c r="I845" s="109">
        <f>ROUND(G845/100*C845,0)</f>
        <v>14458944</v>
      </c>
      <c r="J845" s="575">
        <f>ROUND(G845*(1+$AD$836),3)</f>
        <v>4.6289999999999996</v>
      </c>
      <c r="K845" s="109" t="s">
        <v>116</v>
      </c>
      <c r="L845" s="109">
        <f>ROUND(J845/100*$C845,0)</f>
        <v>14827304</v>
      </c>
      <c r="M845" s="109"/>
      <c r="N845" s="284" t="s">
        <v>108</v>
      </c>
      <c r="O845" s="109" t="s">
        <v>108</v>
      </c>
      <c r="P845" s="109"/>
      <c r="Q845" s="109"/>
      <c r="R845" s="284">
        <f>J845*(AA817/(AA817+Z817))</f>
        <v>0.94835801247624862</v>
      </c>
      <c r="S845" s="109" t="s">
        <v>116</v>
      </c>
      <c r="T845" s="109">
        <f>R845*C845/100</f>
        <v>3037717.1947239558</v>
      </c>
      <c r="U845" s="109"/>
      <c r="V845" s="284">
        <f>J845*(Z817/(Z817+AA817))</f>
        <v>3.6806419875237513</v>
      </c>
      <c r="W845" s="109" t="s">
        <v>116</v>
      </c>
      <c r="X845" s="109">
        <f>V845*C845/100</f>
        <v>11789587.16648569</v>
      </c>
      <c r="Y845" s="456"/>
      <c r="AA845" s="350"/>
      <c r="AB845" s="10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</row>
    <row r="846" spans="1:45" ht="15.75">
      <c r="A846" s="226" t="s">
        <v>155</v>
      </c>
      <c r="B846" s="179"/>
      <c r="C846" s="152">
        <f>C864+C881</f>
        <v>165243.12121212101</v>
      </c>
      <c r="D846" s="238">
        <v>0.55000000000000004</v>
      </c>
      <c r="E846" s="109"/>
      <c r="F846" s="109">
        <f>ROUND(D846*$C846,0)</f>
        <v>90884</v>
      </c>
      <c r="G846" s="238">
        <v>0.55000000000000004</v>
      </c>
      <c r="H846" s="109"/>
      <c r="I846" s="109">
        <f>ROUND(G846*C846,0)</f>
        <v>90884</v>
      </c>
      <c r="J846" s="238">
        <v>0.55000000000000004</v>
      </c>
      <c r="K846" s="109"/>
      <c r="L846" s="109">
        <f>ROUND(J846*$C846,0)</f>
        <v>90884</v>
      </c>
      <c r="M846" s="109"/>
      <c r="N846" s="238" t="s">
        <v>108</v>
      </c>
      <c r="O846" s="109"/>
      <c r="P846" s="109"/>
      <c r="Q846" s="109"/>
      <c r="R846" s="238">
        <f>J846*(AA817/(Z817+AA817))</f>
        <v>0.11268025639704836</v>
      </c>
      <c r="S846" s="109"/>
      <c r="T846" s="109">
        <f>R846*C846</f>
        <v>18619.637266030335</v>
      </c>
      <c r="U846" s="109"/>
      <c r="V846" s="238">
        <f>J846*(Z817/(Z817+AA817))</f>
        <v>0.43731974360295173</v>
      </c>
      <c r="W846" s="109"/>
      <c r="X846" s="109">
        <f>V846*C846</f>
        <v>72264.079400636241</v>
      </c>
      <c r="Y846" s="82"/>
      <c r="AA846" s="350"/>
      <c r="AB846" s="10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</row>
    <row r="847" spans="1:45" ht="15.75">
      <c r="A847" s="179" t="s">
        <v>134</v>
      </c>
      <c r="B847" s="179"/>
      <c r="C847" s="152">
        <f>C845</f>
        <v>320313336.81593531</v>
      </c>
      <c r="D847" s="230"/>
      <c r="E847" s="109"/>
      <c r="F847" s="109">
        <f>SUM(F838:F846)</f>
        <v>20432019</v>
      </c>
      <c r="G847" s="230"/>
      <c r="H847" s="153"/>
      <c r="I847" s="109">
        <f>SUM(I838:I846)</f>
        <v>21592009</v>
      </c>
      <c r="J847" s="230"/>
      <c r="K847" s="153"/>
      <c r="L847" s="109">
        <f>SUM(L838:L846)</f>
        <v>22112448</v>
      </c>
      <c r="M847" s="109"/>
      <c r="N847" s="230"/>
      <c r="O847" s="153"/>
      <c r="P847" s="109"/>
      <c r="Q847" s="109"/>
      <c r="R847" s="230"/>
      <c r="S847" s="153"/>
      <c r="T847" s="109">
        <f>SUM(T838:T846)</f>
        <v>4036562.2955065034</v>
      </c>
      <c r="U847" s="109"/>
      <c r="V847" s="230"/>
      <c r="W847" s="153"/>
      <c r="X847" s="109">
        <f>SUM(X838:X846)</f>
        <v>15666172.979656862</v>
      </c>
      <c r="Y847" s="82"/>
      <c r="Z847" s="83"/>
      <c r="AA847" s="83"/>
      <c r="AB847" s="83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</row>
    <row r="848" spans="1:45" ht="15.75">
      <c r="A848" s="179" t="s">
        <v>119</v>
      </c>
      <c r="B848" s="179"/>
      <c r="C848" s="152">
        <f>C866+C883</f>
        <v>-3730095.0495166555</v>
      </c>
      <c r="D848" s="153"/>
      <c r="E848" s="153"/>
      <c r="F848" s="198">
        <f>I848</f>
        <v>-313022.78765037033</v>
      </c>
      <c r="G848" s="153"/>
      <c r="H848" s="153"/>
      <c r="I848" s="197">
        <f>I866+I883</f>
        <v>-313022.78765037033</v>
      </c>
      <c r="J848" s="153"/>
      <c r="K848" s="153"/>
      <c r="L848" s="198">
        <f>I848</f>
        <v>-313022.78765037033</v>
      </c>
      <c r="M848" s="169"/>
      <c r="N848" s="153"/>
      <c r="O848" s="153"/>
      <c r="P848" s="352">
        <f>$L$848*Y851/($Y851+$Z$851+$AA$851)</f>
        <v>-34665.326694918651</v>
      </c>
      <c r="Q848" s="169"/>
      <c r="R848" s="153"/>
      <c r="S848" s="153"/>
      <c r="T848" s="352">
        <f>$L$848*Z851/($Y851+$Z$851+$AA$851)</f>
        <v>-56290.070740568997</v>
      </c>
      <c r="U848" s="169"/>
      <c r="V848" s="153"/>
      <c r="W848" s="153"/>
      <c r="X848" s="352">
        <f>$L$848*AA851/($Y851+$Z$851+$AA$851)</f>
        <v>-222067.39021488267</v>
      </c>
      <c r="Y848" s="172"/>
      <c r="Z848" s="168"/>
      <c r="AA848" s="83"/>
      <c r="AB848" s="83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</row>
    <row r="849" spans="1:45" ht="18" customHeight="1" thickBot="1">
      <c r="A849" s="179" t="s">
        <v>135</v>
      </c>
      <c r="B849" s="179"/>
      <c r="C849" s="335">
        <f>SUM(C847)+C848</f>
        <v>316583241.76641864</v>
      </c>
      <c r="D849" s="268"/>
      <c r="E849" s="250"/>
      <c r="F849" s="251">
        <f>F847+F848</f>
        <v>20118996.212349631</v>
      </c>
      <c r="G849" s="268"/>
      <c r="H849" s="269"/>
      <c r="I849" s="251">
        <f>I847+I848</f>
        <v>21278986.212349631</v>
      </c>
      <c r="J849" s="268"/>
      <c r="K849" s="269"/>
      <c r="L849" s="251">
        <f>L847+L848</f>
        <v>21799425.212349631</v>
      </c>
      <c r="M849" s="251"/>
      <c r="N849" s="268"/>
      <c r="O849" s="269"/>
      <c r="P849" s="251">
        <f>P847+P848</f>
        <v>-34665.326694918651</v>
      </c>
      <c r="Q849" s="251"/>
      <c r="R849" s="268"/>
      <c r="S849" s="269"/>
      <c r="T849" s="251">
        <f>T847+T848</f>
        <v>3980272.2247659345</v>
      </c>
      <c r="U849" s="251"/>
      <c r="V849" s="268"/>
      <c r="W849" s="269"/>
      <c r="X849" s="251">
        <f>X847+X848</f>
        <v>15444105.589441979</v>
      </c>
      <c r="Y849" s="209" t="s">
        <v>108</v>
      </c>
      <c r="Z849" s="266" t="s">
        <v>108</v>
      </c>
      <c r="AA849" s="83"/>
      <c r="AB849" s="83"/>
      <c r="AC849" s="190" t="s">
        <v>108</v>
      </c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</row>
    <row r="850" spans="1:45" ht="16.5" thickTop="1">
      <c r="A850" s="179"/>
      <c r="B850" s="179"/>
      <c r="C850" s="205"/>
      <c r="D850" s="243"/>
      <c r="E850" s="106"/>
      <c r="F850" s="106"/>
      <c r="G850" s="243"/>
      <c r="H850" s="179"/>
      <c r="I850" s="106" t="s">
        <v>108</v>
      </c>
      <c r="J850" s="460"/>
      <c r="K850" s="179"/>
      <c r="L850" s="465"/>
      <c r="M850" s="270"/>
      <c r="N850" s="243"/>
      <c r="O850" s="179"/>
      <c r="P850" s="270"/>
      <c r="Q850" s="270"/>
      <c r="R850" s="243"/>
      <c r="S850" s="179"/>
      <c r="T850" s="270"/>
      <c r="U850" s="270"/>
      <c r="V850" s="243"/>
      <c r="W850" s="179"/>
      <c r="X850" s="270"/>
      <c r="Y850" s="353">
        <f>'[2]Exhibit No.__(JRS-6) p11'!J36+'[2]Exhibit No.__(JRS-6) p11'!K36+'[2]Exhibit No.__(JRS-6) p11'!L36</f>
        <v>0.11074377988620418</v>
      </c>
      <c r="Z850" s="353">
        <f>'[2]Exhibit No.__(JRS-6) p11'!I36</f>
        <v>0.17982738944693696</v>
      </c>
      <c r="AA850" s="353">
        <f>'[2]Exhibit No.__(JRS-6) p11'!H36</f>
        <v>0.7094288306668588</v>
      </c>
      <c r="AB850" s="83"/>
      <c r="AC850" s="209" t="s">
        <v>108</v>
      </c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</row>
    <row r="851" spans="1:45" ht="15.75">
      <c r="A851" s="179"/>
      <c r="B851" s="179"/>
      <c r="C851" s="205"/>
      <c r="D851" s="243"/>
      <c r="E851" s="106"/>
      <c r="F851" s="106"/>
      <c r="G851" s="243"/>
      <c r="H851" s="179"/>
      <c r="I851" s="106"/>
      <c r="K851" s="179"/>
      <c r="L851" s="270"/>
      <c r="M851" s="270"/>
      <c r="N851" s="243"/>
      <c r="O851" s="179"/>
      <c r="P851" s="270"/>
      <c r="Q851" s="270"/>
      <c r="R851" s="243"/>
      <c r="S851" s="179"/>
      <c r="T851" s="270"/>
      <c r="U851" s="270"/>
      <c r="V851" s="243"/>
      <c r="W851" s="179"/>
      <c r="X851" s="270"/>
      <c r="Y851" s="176">
        <f>Y850*L849</f>
        <v>2414150.7473622174</v>
      </c>
      <c r="Z851" s="176">
        <f>Z850*L849</f>
        <v>3920133.7273805737</v>
      </c>
      <c r="AA851" s="176">
        <f>AA850*L849</f>
        <v>15465140.737606838</v>
      </c>
      <c r="AB851" s="83" t="s">
        <v>237</v>
      </c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</row>
    <row r="852" spans="1:45" ht="15.75">
      <c r="A852" s="178" t="s">
        <v>232</v>
      </c>
      <c r="B852" s="179"/>
      <c r="C852" s="179"/>
      <c r="D852" s="106"/>
      <c r="E852" s="106"/>
      <c r="F852" s="179"/>
      <c r="G852" s="106"/>
      <c r="H852" s="179"/>
      <c r="I852" s="179"/>
      <c r="J852" s="106"/>
      <c r="K852" s="179"/>
      <c r="L852" s="179"/>
      <c r="M852" s="179"/>
      <c r="N852" s="106"/>
      <c r="O852" s="179"/>
      <c r="P852" s="179"/>
      <c r="Q852" s="179"/>
      <c r="R852" s="106"/>
      <c r="S852" s="179"/>
      <c r="T852" s="179"/>
      <c r="U852" s="179"/>
      <c r="V852" s="106"/>
      <c r="W852" s="179"/>
      <c r="X852" s="179"/>
      <c r="Y852" s="82"/>
      <c r="Z852" s="83"/>
      <c r="AA852" s="83"/>
      <c r="AB852" s="83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</row>
    <row r="853" spans="1:45" ht="15.75">
      <c r="A853" s="138" t="s">
        <v>238</v>
      </c>
      <c r="B853" s="179"/>
      <c r="C853" s="179"/>
      <c r="D853" s="106"/>
      <c r="E853" s="106"/>
      <c r="F853" s="179"/>
      <c r="G853" s="106"/>
      <c r="H853" s="179"/>
      <c r="I853" s="179"/>
      <c r="J853" s="106"/>
      <c r="K853" s="179"/>
      <c r="L853" s="179"/>
      <c r="M853" s="179"/>
      <c r="N853" s="106"/>
      <c r="O853" s="179"/>
      <c r="P853" s="179"/>
      <c r="Q853" s="179"/>
      <c r="R853" s="106"/>
      <c r="S853" s="179"/>
      <c r="T853" s="179"/>
      <c r="U853" s="179"/>
      <c r="V853" s="106"/>
      <c r="W853" s="179"/>
      <c r="X853" s="179"/>
      <c r="Y853" s="82"/>
      <c r="Z853" s="83"/>
      <c r="AA853" s="83"/>
      <c r="AB853" s="83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</row>
    <row r="854" spans="1:45" ht="15.75">
      <c r="A854" s="226"/>
      <c r="B854" s="179"/>
      <c r="C854" s="179"/>
      <c r="D854" s="106"/>
      <c r="E854" s="106"/>
      <c r="F854" s="179"/>
      <c r="G854" s="106"/>
      <c r="H854" s="179"/>
      <c r="I854" s="179"/>
      <c r="J854" s="106"/>
      <c r="K854" s="179"/>
      <c r="L854" s="179"/>
      <c r="M854" s="179"/>
      <c r="N854" s="106"/>
      <c r="O854" s="179"/>
      <c r="P854" s="179"/>
      <c r="Q854" s="179"/>
      <c r="R854" s="106"/>
      <c r="S854" s="179"/>
      <c r="T854" s="179"/>
      <c r="U854" s="179"/>
      <c r="V854" s="106"/>
      <c r="W854" s="179"/>
      <c r="X854" s="179"/>
      <c r="Y854" s="82"/>
      <c r="Z854" s="83"/>
      <c r="AA854" s="83"/>
      <c r="AB854" s="83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</row>
    <row r="855" spans="1:45" ht="15.75">
      <c r="A855" s="226" t="s">
        <v>11</v>
      </c>
      <c r="B855" s="179"/>
      <c r="C855" s="218"/>
      <c r="D855" s="106"/>
      <c r="E855" s="106"/>
      <c r="F855" s="179"/>
      <c r="G855" s="106"/>
      <c r="H855" s="179"/>
      <c r="I855" s="179"/>
      <c r="J855" s="106"/>
      <c r="K855" s="179"/>
      <c r="L855" s="179"/>
      <c r="M855" s="179"/>
      <c r="N855" s="106"/>
      <c r="O855" s="179"/>
      <c r="P855" s="179"/>
      <c r="Q855" s="179"/>
      <c r="R855" s="106"/>
      <c r="S855" s="179"/>
      <c r="T855" s="179"/>
      <c r="U855" s="179"/>
      <c r="V855" s="106"/>
      <c r="W855" s="179"/>
      <c r="X855" s="179"/>
      <c r="Y855" s="82"/>
      <c r="Z855" s="83" t="s">
        <v>108</v>
      </c>
      <c r="AA855" s="83"/>
      <c r="AB855" s="83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</row>
    <row r="856" spans="1:45" ht="15.75">
      <c r="A856" s="226" t="s">
        <v>228</v>
      </c>
      <c r="B856" s="179"/>
      <c r="C856" s="218">
        <v>263.39393939393898</v>
      </c>
      <c r="D856" s="243">
        <v>1386</v>
      </c>
      <c r="E856" s="243"/>
      <c r="F856" s="106">
        <f>ROUND(D856*$C856,0)</f>
        <v>365064</v>
      </c>
      <c r="G856" s="243">
        <v>1386</v>
      </c>
      <c r="H856" s="220"/>
      <c r="I856" s="106">
        <f>ROUND(G856*C856,0)</f>
        <v>365064</v>
      </c>
      <c r="J856" s="243">
        <f>J838</f>
        <v>1386</v>
      </c>
      <c r="K856" s="220"/>
      <c r="L856" s="106">
        <f>ROUND(J856*$C856,0)</f>
        <v>365064</v>
      </c>
      <c r="M856" s="106"/>
      <c r="N856" s="243">
        <f>N838</f>
        <v>1386</v>
      </c>
      <c r="O856" s="220"/>
      <c r="P856" s="106">
        <f>ROUND(N856*$C856,0)</f>
        <v>365064</v>
      </c>
      <c r="Q856" s="106"/>
      <c r="R856" s="243"/>
      <c r="S856" s="220"/>
      <c r="T856" s="106"/>
      <c r="U856" s="106"/>
      <c r="V856" s="243"/>
      <c r="W856" s="220"/>
      <c r="X856" s="106"/>
      <c r="Y856" s="82"/>
      <c r="Z856" s="83"/>
      <c r="AA856" s="83"/>
      <c r="AB856" s="83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</row>
    <row r="857" spans="1:45" ht="15.75">
      <c r="A857" s="226" t="s">
        <v>229</v>
      </c>
      <c r="B857" s="179"/>
      <c r="C857" s="218">
        <v>0</v>
      </c>
      <c r="D857" s="243">
        <v>1675</v>
      </c>
      <c r="E857" s="243"/>
      <c r="F857" s="106">
        <f>ROUND(D857*$C857,0)</f>
        <v>0</v>
      </c>
      <c r="G857" s="243">
        <v>1675</v>
      </c>
      <c r="H857" s="222"/>
      <c r="I857" s="106">
        <f>ROUND(G857*C857,0)</f>
        <v>0</v>
      </c>
      <c r="J857" s="243">
        <f>J839</f>
        <v>1675</v>
      </c>
      <c r="K857" s="222"/>
      <c r="L857" s="106">
        <f>ROUND(J857*$C857,0)</f>
        <v>0</v>
      </c>
      <c r="M857" s="106"/>
      <c r="N857" s="243">
        <f>N839</f>
        <v>0</v>
      </c>
      <c r="O857" s="222"/>
      <c r="P857" s="106">
        <f>ROUND(N857*$C857,0)</f>
        <v>0</v>
      </c>
      <c r="Q857" s="106"/>
      <c r="R857" s="243"/>
      <c r="S857" s="222"/>
      <c r="T857" s="106"/>
      <c r="U857" s="106"/>
      <c r="V857" s="243"/>
      <c r="W857" s="222"/>
      <c r="X857" s="106"/>
      <c r="Y857" s="82"/>
      <c r="Z857" s="83"/>
      <c r="AA857" s="83"/>
      <c r="AB857" s="83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</row>
    <row r="858" spans="1:45" ht="15.75">
      <c r="A858" s="226" t="s">
        <v>150</v>
      </c>
      <c r="B858" s="179"/>
      <c r="C858" s="218">
        <f>SUM(C856:C857)</f>
        <v>263.39393939393898</v>
      </c>
      <c r="D858" s="243" t="s">
        <v>108</v>
      </c>
      <c r="E858" s="243"/>
      <c r="F858" s="106" t="s">
        <v>108</v>
      </c>
      <c r="G858" s="243" t="s">
        <v>108</v>
      </c>
      <c r="H858" s="220"/>
      <c r="I858" s="106" t="s">
        <v>108</v>
      </c>
      <c r="J858" s="243" t="s">
        <v>108</v>
      </c>
      <c r="K858" s="220"/>
      <c r="L858" s="106" t="s">
        <v>108</v>
      </c>
      <c r="M858" s="106"/>
      <c r="N858" s="243" t="s">
        <v>108</v>
      </c>
      <c r="O858" s="220"/>
      <c r="P858" s="106" t="s">
        <v>108</v>
      </c>
      <c r="Q858" s="106"/>
      <c r="R858" s="243"/>
      <c r="S858" s="220"/>
      <c r="T858" s="106"/>
      <c r="U858" s="106"/>
      <c r="V858" s="243"/>
      <c r="W858" s="220"/>
      <c r="X858" s="106"/>
      <c r="Y858" s="82"/>
      <c r="Z858" s="83"/>
      <c r="AA858" s="83"/>
      <c r="AB858" s="83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</row>
    <row r="859" spans="1:45" ht="15.75">
      <c r="A859" s="226" t="s">
        <v>230</v>
      </c>
      <c r="B859" s="179"/>
      <c r="C859" s="218">
        <v>315169.15151515102</v>
      </c>
      <c r="D859" s="243">
        <v>1.06</v>
      </c>
      <c r="E859" s="243"/>
      <c r="F859" s="106">
        <f>ROUND(D859*$C859,0)</f>
        <v>334079</v>
      </c>
      <c r="G859" s="243">
        <v>1.06</v>
      </c>
      <c r="H859" s="220"/>
      <c r="I859" s="106">
        <f t="shared" ref="I859:I861" si="166">ROUND(G859*C859,0)</f>
        <v>334079</v>
      </c>
      <c r="J859" s="243">
        <f>J841</f>
        <v>1.0900000000000001</v>
      </c>
      <c r="K859" s="220"/>
      <c r="L859" s="106">
        <f>ROUND(J859*$C859,0)</f>
        <v>343534</v>
      </c>
      <c r="M859" s="106"/>
      <c r="N859" s="243">
        <f>N841</f>
        <v>1.1599999999999999</v>
      </c>
      <c r="O859" s="220"/>
      <c r="P859" s="106">
        <f>ROUND(N859*$C859,0)</f>
        <v>365596</v>
      </c>
      <c r="Q859" s="106"/>
      <c r="R859" s="243"/>
      <c r="S859" s="220"/>
      <c r="T859" s="106"/>
      <c r="U859" s="106"/>
      <c r="V859" s="243"/>
      <c r="W859" s="220"/>
      <c r="X859" s="106"/>
      <c r="Y859" s="82"/>
      <c r="Z859" s="83"/>
      <c r="AA859" s="83"/>
      <c r="AB859" s="83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</row>
    <row r="860" spans="1:45" ht="15.75">
      <c r="A860" s="226" t="s">
        <v>231</v>
      </c>
      <c r="B860" s="179"/>
      <c r="C860" s="218">
        <v>0</v>
      </c>
      <c r="D860" s="243">
        <v>0.96</v>
      </c>
      <c r="E860" s="243"/>
      <c r="F860" s="106">
        <f>ROUND(D860*$C860,0)</f>
        <v>0</v>
      </c>
      <c r="G860" s="243">
        <v>0.96</v>
      </c>
      <c r="H860" s="220"/>
      <c r="I860" s="106">
        <f t="shared" si="166"/>
        <v>0</v>
      </c>
      <c r="J860" s="243">
        <f t="shared" ref="J860:J864" si="167">J842</f>
        <v>0.98</v>
      </c>
      <c r="K860" s="220"/>
      <c r="L860" s="106">
        <f>ROUND(J860*$C860,0)</f>
        <v>0</v>
      </c>
      <c r="M860" s="106"/>
      <c r="N860" s="243"/>
      <c r="O860" s="220"/>
      <c r="P860" s="106"/>
      <c r="Q860" s="106"/>
      <c r="R860" s="243"/>
      <c r="S860" s="220"/>
      <c r="T860" s="106"/>
      <c r="U860" s="106"/>
      <c r="V860" s="243"/>
      <c r="W860" s="220"/>
      <c r="X860" s="106"/>
      <c r="Y860" s="82"/>
      <c r="Z860" s="83"/>
      <c r="AA860" s="83"/>
      <c r="AB860" s="83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</row>
    <row r="861" spans="1:45" ht="15.75">
      <c r="A861" s="138" t="s">
        <v>158</v>
      </c>
      <c r="B861" s="179"/>
      <c r="C861" s="218">
        <v>234019.363636364</v>
      </c>
      <c r="D861" s="243">
        <v>7.12</v>
      </c>
      <c r="E861" s="243"/>
      <c r="F861" s="106">
        <f>ROUND(D861*$C861,0)</f>
        <v>1666218</v>
      </c>
      <c r="G861" s="243">
        <v>7.55</v>
      </c>
      <c r="H861" s="220"/>
      <c r="I861" s="106">
        <f t="shared" si="166"/>
        <v>1766846</v>
      </c>
      <c r="J861" s="243">
        <f t="shared" si="167"/>
        <v>7.73</v>
      </c>
      <c r="K861" s="220"/>
      <c r="L861" s="106">
        <f>ROUND(J861*$C861,0)</f>
        <v>1808970</v>
      </c>
      <c r="M861" s="106"/>
      <c r="N861" s="243">
        <f>N843</f>
        <v>0.90739667413343461</v>
      </c>
      <c r="O861" s="220"/>
      <c r="P861" s="106">
        <f>ROUND(N861*$C861,0)</f>
        <v>212348</v>
      </c>
      <c r="Q861" s="106"/>
      <c r="R861" s="243">
        <f>R843</f>
        <v>1.3977685310072718</v>
      </c>
      <c r="S861" s="220"/>
      <c r="T861" s="106">
        <f>ROUND(R861*$C861,0)</f>
        <v>327105</v>
      </c>
      <c r="U861" s="106"/>
      <c r="V861" s="243">
        <f>V843</f>
        <v>5.4248347948592945</v>
      </c>
      <c r="W861" s="220"/>
      <c r="X861" s="106">
        <f>ROUND(V861*$C861,0)</f>
        <v>1269516</v>
      </c>
      <c r="Y861" s="82"/>
      <c r="Z861" s="83"/>
      <c r="AA861" s="83"/>
      <c r="AB861" s="83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</row>
    <row r="862" spans="1:45" ht="15.75">
      <c r="A862" s="226" t="s">
        <v>181</v>
      </c>
      <c r="B862" s="179"/>
      <c r="C862" s="218"/>
      <c r="D862" s="243" t="s">
        <v>108</v>
      </c>
      <c r="E862" s="243"/>
      <c r="F862" s="106"/>
      <c r="G862" s="243" t="s">
        <v>108</v>
      </c>
      <c r="H862" s="220"/>
      <c r="I862" s="106"/>
      <c r="J862" s="243">
        <f t="shared" si="167"/>
        <v>0</v>
      </c>
      <c r="K862" s="220"/>
      <c r="L862" s="106"/>
      <c r="M862" s="106"/>
      <c r="N862" s="243" t="s">
        <v>108</v>
      </c>
      <c r="O862" s="220"/>
      <c r="P862" s="106"/>
      <c r="Q862" s="106"/>
      <c r="R862" s="243" t="s">
        <v>108</v>
      </c>
      <c r="S862" s="220"/>
      <c r="T862" s="106"/>
      <c r="U862" s="106"/>
      <c r="V862" s="243" t="s">
        <v>108</v>
      </c>
      <c r="W862" s="220"/>
      <c r="X862" s="106"/>
      <c r="Y862" s="82"/>
      <c r="Z862" s="83"/>
      <c r="AA862" s="83"/>
      <c r="AB862" s="83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</row>
    <row r="863" spans="1:45" ht="15.75">
      <c r="A863" s="226" t="s">
        <v>219</v>
      </c>
      <c r="B863" s="179"/>
      <c r="C863" s="218">
        <v>106526781.81593531</v>
      </c>
      <c r="D863" s="337">
        <v>4.2460000000000004</v>
      </c>
      <c r="E863" s="220" t="s">
        <v>116</v>
      </c>
      <c r="F863" s="106">
        <f>ROUND(D863/100*$C863,0)</f>
        <v>4523127</v>
      </c>
      <c r="G863" s="337">
        <v>4.5140000000000002</v>
      </c>
      <c r="H863" s="220" t="s">
        <v>116</v>
      </c>
      <c r="I863" s="106">
        <f>ROUND(G863/100*C863,0)</f>
        <v>4808619</v>
      </c>
      <c r="J863" s="243">
        <f t="shared" si="167"/>
        <v>4.6289999999999996</v>
      </c>
      <c r="K863" s="220" t="s">
        <v>116</v>
      </c>
      <c r="L863" s="106">
        <f>ROUND(J863/100*$C863,0)</f>
        <v>4931125</v>
      </c>
      <c r="M863" s="106"/>
      <c r="N863" s="337" t="str">
        <f>N845</f>
        <v xml:space="preserve"> </v>
      </c>
      <c r="O863" s="220"/>
      <c r="P863" s="106"/>
      <c r="Q863" s="106"/>
      <c r="R863" s="337">
        <f>R845</f>
        <v>0.94835801247624862</v>
      </c>
      <c r="S863" s="220" t="s">
        <v>116</v>
      </c>
      <c r="T863" s="106">
        <f>ROUND(R863/100*$C863,0)</f>
        <v>1010255</v>
      </c>
      <c r="U863" s="106"/>
      <c r="V863" s="337">
        <f>V845</f>
        <v>3.6806419875237513</v>
      </c>
      <c r="W863" s="220" t="s">
        <v>116</v>
      </c>
      <c r="X863" s="106">
        <f>ROUND(V863/100*$C863,0)</f>
        <v>3920869</v>
      </c>
      <c r="Y863" s="82"/>
      <c r="Z863" s="83"/>
      <c r="AA863" s="83"/>
      <c r="AB863" s="83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</row>
    <row r="864" spans="1:45" ht="15.75">
      <c r="A864" s="226" t="s">
        <v>155</v>
      </c>
      <c r="B864" s="179"/>
      <c r="C864" s="218">
        <v>29387</v>
      </c>
      <c r="D864" s="243">
        <v>0.55000000000000004</v>
      </c>
      <c r="E864" s="220"/>
      <c r="F864" s="106">
        <f>ROUND(D864*$C864,0)</f>
        <v>16163</v>
      </c>
      <c r="G864" s="243">
        <v>0.55000000000000004</v>
      </c>
      <c r="H864" s="220"/>
      <c r="I864" s="106">
        <f>ROUND(G864*C864,0)</f>
        <v>16163</v>
      </c>
      <c r="J864" s="243">
        <f t="shared" si="167"/>
        <v>0.55000000000000004</v>
      </c>
      <c r="K864" s="220"/>
      <c r="L864" s="106">
        <f>ROUND(J864*$C864,0)</f>
        <v>16163</v>
      </c>
      <c r="M864" s="106"/>
      <c r="N864" s="243" t="str">
        <f>N846</f>
        <v xml:space="preserve"> </v>
      </c>
      <c r="O864" s="220"/>
      <c r="P864" s="106"/>
      <c r="Q864" s="106"/>
      <c r="R864" s="243">
        <f>R846</f>
        <v>0.11268025639704836</v>
      </c>
      <c r="S864" s="220"/>
      <c r="T864" s="106">
        <f>ROUND(R864*$C864,0)</f>
        <v>3311</v>
      </c>
      <c r="U864" s="106"/>
      <c r="V864" s="243">
        <f>V846</f>
        <v>0.43731974360295173</v>
      </c>
      <c r="W864" s="220"/>
      <c r="X864" s="106">
        <f>ROUND(V864*$C864,0)</f>
        <v>12852</v>
      </c>
      <c r="Y864" s="82"/>
      <c r="Z864" s="83"/>
      <c r="AA864" s="83"/>
      <c r="AB864" s="83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</row>
    <row r="865" spans="1:45" ht="15.75">
      <c r="A865" s="179" t="s">
        <v>134</v>
      </c>
      <c r="B865" s="179"/>
      <c r="C865" s="218">
        <f>C863</f>
        <v>106526781.81593531</v>
      </c>
      <c r="D865" s="229"/>
      <c r="E865" s="106"/>
      <c r="F865" s="106">
        <f>SUM(F856:F864)</f>
        <v>6904651</v>
      </c>
      <c r="G865" s="229"/>
      <c r="H865" s="179"/>
      <c r="I865" s="106">
        <f>SUM(I856:I864)</f>
        <v>7290771</v>
      </c>
      <c r="J865" s="229"/>
      <c r="K865" s="179"/>
      <c r="L865" s="106">
        <f>SUM(L856:L864)</f>
        <v>7464856</v>
      </c>
      <c r="M865" s="106"/>
      <c r="N865" s="229"/>
      <c r="O865" s="179"/>
      <c r="P865" s="106"/>
      <c r="Q865" s="106"/>
      <c r="R865" s="229"/>
      <c r="S865" s="179"/>
      <c r="T865" s="106">
        <f>SUM(T856:T864)</f>
        <v>1340671</v>
      </c>
      <c r="U865" s="106"/>
      <c r="V865" s="229"/>
      <c r="W865" s="179"/>
      <c r="X865" s="106">
        <f>SUM(X856:X864)</f>
        <v>5203237</v>
      </c>
      <c r="Y865" s="82"/>
      <c r="Z865" s="83"/>
      <c r="AA865" s="102"/>
      <c r="AB865" s="10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</row>
    <row r="866" spans="1:45" ht="15.75">
      <c r="A866" s="179" t="s">
        <v>119</v>
      </c>
      <c r="B866" s="179"/>
      <c r="C866" s="218">
        <f>C865/($C$865+$C$919)*$C$954</f>
        <v>-305760.36408051598</v>
      </c>
      <c r="D866" s="138"/>
      <c r="E866" s="138"/>
      <c r="F866" s="334">
        <f>I866</f>
        <v>-17282.278191490568</v>
      </c>
      <c r="G866" s="138"/>
      <c r="H866" s="138"/>
      <c r="I866" s="247">
        <f>I865/($I$865+$I$919)*$I$954</f>
        <v>-17282.278191490568</v>
      </c>
      <c r="J866" s="138"/>
      <c r="K866" s="138"/>
      <c r="L866" s="248">
        <f>I866</f>
        <v>-17282.278191490568</v>
      </c>
      <c r="M866" s="221"/>
      <c r="N866" s="138"/>
      <c r="O866" s="138"/>
      <c r="P866" s="248">
        <f>$L$866*Y851/($Y851+$Z$851+$AA$851)</f>
        <v>-1913.9048119705783</v>
      </c>
      <c r="Q866" s="137"/>
      <c r="R866" s="138"/>
      <c r="S866" s="138"/>
      <c r="T866" s="248">
        <f>$L$866*Z851/($Y851+$Z$851+$AA$851)</f>
        <v>-3107.8269708714797</v>
      </c>
      <c r="U866" s="137"/>
      <c r="V866" s="138"/>
      <c r="W866" s="138"/>
      <c r="X866" s="248">
        <f>$L$866*AA851/($Y851+$Z$851+$AA$851)</f>
        <v>-12260.54640864851</v>
      </c>
      <c r="Y866" s="172"/>
      <c r="Z866" s="102" t="s">
        <v>108</v>
      </c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</row>
    <row r="867" spans="1:45" ht="16.5" thickBot="1">
      <c r="A867" s="179" t="s">
        <v>135</v>
      </c>
      <c r="B867" s="179"/>
      <c r="C867" s="335">
        <f>SUM(C865)+C866</f>
        <v>106221021.4518548</v>
      </c>
      <c r="D867" s="268"/>
      <c r="E867" s="250"/>
      <c r="F867" s="251">
        <f>F865+F866</f>
        <v>6887368.721808509</v>
      </c>
      <c r="G867" s="268"/>
      <c r="H867" s="269"/>
      <c r="I867" s="251">
        <f>I865+I866</f>
        <v>7273488.721808509</v>
      </c>
      <c r="J867" s="268"/>
      <c r="K867" s="269"/>
      <c r="L867" s="251">
        <f>L865+L866</f>
        <v>7447573.721808509</v>
      </c>
      <c r="M867" s="251"/>
      <c r="N867" s="268"/>
      <c r="O867" s="269"/>
      <c r="P867" s="251">
        <f>P865+P866</f>
        <v>-1913.9048119705783</v>
      </c>
      <c r="Q867" s="251"/>
      <c r="R867" s="268"/>
      <c r="S867" s="269"/>
      <c r="T867" s="251">
        <f>T865+T866</f>
        <v>1337563.1730291285</v>
      </c>
      <c r="U867" s="251"/>
      <c r="V867" s="268"/>
      <c r="W867" s="269"/>
      <c r="X867" s="251">
        <f>X865+X866</f>
        <v>5190976.4535913514</v>
      </c>
      <c r="Y867" s="176"/>
      <c r="Z867" s="102" t="s">
        <v>108</v>
      </c>
      <c r="AA867" s="83"/>
      <c r="AB867" s="83"/>
      <c r="AC867" s="190" t="s">
        <v>108</v>
      </c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</row>
    <row r="868" spans="1:45" ht="16.5" thickTop="1">
      <c r="A868" s="179"/>
      <c r="B868" s="179"/>
      <c r="C868" s="205"/>
      <c r="D868" s="243"/>
      <c r="E868" s="106"/>
      <c r="F868" s="106"/>
      <c r="G868" s="243"/>
      <c r="H868" s="179"/>
      <c r="I868" s="106"/>
      <c r="J868" s="243"/>
      <c r="K868" s="179"/>
      <c r="L868" s="270"/>
      <c r="M868" s="270"/>
      <c r="N868" s="243"/>
      <c r="O868" s="179"/>
      <c r="P868" s="270"/>
      <c r="Q868" s="270"/>
      <c r="R868" s="243"/>
      <c r="S868" s="179"/>
      <c r="T868" s="270"/>
      <c r="U868" s="270"/>
      <c r="V868" s="243"/>
      <c r="W868" s="179"/>
      <c r="X868" s="270"/>
      <c r="Y868" s="82"/>
      <c r="Z868" s="83"/>
      <c r="AA868" s="83"/>
      <c r="AB868" s="83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</row>
    <row r="869" spans="1:45" ht="15.75">
      <c r="A869" s="178" t="s">
        <v>232</v>
      </c>
      <c r="B869" s="179"/>
      <c r="C869" s="179"/>
      <c r="D869" s="106"/>
      <c r="E869" s="106"/>
      <c r="F869" s="179"/>
      <c r="G869" s="106"/>
      <c r="H869" s="179"/>
      <c r="I869" s="179"/>
      <c r="J869" s="106"/>
      <c r="K869" s="179"/>
      <c r="L869" s="179"/>
      <c r="M869" s="179"/>
      <c r="N869" s="106"/>
      <c r="O869" s="179"/>
      <c r="P869" s="179"/>
      <c r="Q869" s="179"/>
      <c r="R869" s="106"/>
      <c r="S869" s="179"/>
      <c r="T869" s="179"/>
      <c r="U869" s="179"/>
      <c r="V869" s="106"/>
      <c r="W869" s="179"/>
      <c r="X869" s="179"/>
      <c r="Y869" s="82"/>
      <c r="Z869" s="83"/>
      <c r="AA869" s="83"/>
      <c r="AB869" s="83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</row>
    <row r="870" spans="1:45" ht="15.75">
      <c r="A870" s="138" t="s">
        <v>239</v>
      </c>
      <c r="B870" s="179"/>
      <c r="C870" s="179"/>
      <c r="D870" s="106"/>
      <c r="E870" s="106"/>
      <c r="F870" s="179"/>
      <c r="G870" s="106"/>
      <c r="H870" s="179"/>
      <c r="I870" s="179"/>
      <c r="J870" s="106"/>
      <c r="K870" s="179"/>
      <c r="L870" s="179"/>
      <c r="M870" s="179"/>
      <c r="N870" s="106"/>
      <c r="O870" s="179"/>
      <c r="P870" s="179"/>
      <c r="Q870" s="179"/>
      <c r="R870" s="106"/>
      <c r="S870" s="179"/>
      <c r="T870" s="179"/>
      <c r="U870" s="179"/>
      <c r="V870" s="106"/>
      <c r="W870" s="179"/>
      <c r="X870" s="179"/>
      <c r="Y870" s="82"/>
      <c r="Z870" s="83"/>
      <c r="AA870" s="83"/>
      <c r="AB870" s="83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</row>
    <row r="871" spans="1:45" ht="15.75">
      <c r="A871" s="226"/>
      <c r="B871" s="179"/>
      <c r="C871" s="179"/>
      <c r="D871" s="106"/>
      <c r="E871" s="106"/>
      <c r="F871" s="179"/>
      <c r="G871" s="106"/>
      <c r="H871" s="179"/>
      <c r="I871" s="179"/>
      <c r="J871" s="106"/>
      <c r="K871" s="179"/>
      <c r="L871" s="179"/>
      <c r="M871" s="179"/>
      <c r="N871" s="106"/>
      <c r="O871" s="179"/>
      <c r="P871" s="179"/>
      <c r="Q871" s="179"/>
      <c r="R871" s="106"/>
      <c r="S871" s="179"/>
      <c r="T871" s="179"/>
      <c r="U871" s="179"/>
      <c r="V871" s="106"/>
      <c r="W871" s="179"/>
      <c r="X871" s="179"/>
      <c r="Y871" s="82"/>
      <c r="Z871" s="83"/>
      <c r="AA871" s="83"/>
      <c r="AB871" s="83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</row>
    <row r="872" spans="1:45" ht="15.75">
      <c r="A872" s="226" t="s">
        <v>11</v>
      </c>
      <c r="B872" s="179"/>
      <c r="C872" s="218"/>
      <c r="D872" s="106"/>
      <c r="E872" s="106"/>
      <c r="F872" s="179"/>
      <c r="G872" s="106"/>
      <c r="H872" s="179"/>
      <c r="I872" s="179"/>
      <c r="J872" s="106"/>
      <c r="K872" s="179"/>
      <c r="L872" s="179"/>
      <c r="M872" s="179"/>
      <c r="N872" s="106"/>
      <c r="O872" s="179"/>
      <c r="P872" s="179"/>
      <c r="Q872" s="179"/>
      <c r="R872" s="106"/>
      <c r="S872" s="179"/>
      <c r="T872" s="179"/>
      <c r="U872" s="179"/>
      <c r="V872" s="106"/>
      <c r="W872" s="179"/>
      <c r="X872" s="179"/>
      <c r="Y872" s="82"/>
      <c r="Z872" s="83"/>
      <c r="AA872" s="83"/>
      <c r="AB872" s="83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</row>
    <row r="873" spans="1:45" ht="15.75">
      <c r="A873" s="226" t="s">
        <v>228</v>
      </c>
      <c r="B873" s="179"/>
      <c r="C873" s="218">
        <v>338.48484848484901</v>
      </c>
      <c r="D873" s="243">
        <v>1386</v>
      </c>
      <c r="E873" s="243"/>
      <c r="F873" s="106">
        <f>ROUND(D873*$C873,0)</f>
        <v>469140</v>
      </c>
      <c r="G873" s="243">
        <v>1386</v>
      </c>
      <c r="H873" s="220"/>
      <c r="I873" s="106">
        <f>ROUND(G873*C873,0)</f>
        <v>469140</v>
      </c>
      <c r="J873" s="243">
        <f>J838</f>
        <v>1386</v>
      </c>
      <c r="K873" s="220"/>
      <c r="L873" s="106">
        <f>ROUND(J873*$C873,0)</f>
        <v>469140</v>
      </c>
      <c r="M873" s="106"/>
      <c r="N873" s="243">
        <f>N838</f>
        <v>1386</v>
      </c>
      <c r="O873" s="220"/>
      <c r="P873" s="106">
        <f>ROUND(N873*$C873,0)</f>
        <v>469140</v>
      </c>
      <c r="Q873" s="106"/>
      <c r="R873" s="243"/>
      <c r="S873" s="220"/>
      <c r="T873" s="106"/>
      <c r="U873" s="106"/>
      <c r="V873" s="243"/>
      <c r="W873" s="220"/>
      <c r="X873" s="106"/>
      <c r="Y873" s="82"/>
      <c r="Z873" s="83"/>
      <c r="AA873" s="83"/>
      <c r="AB873" s="83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</row>
    <row r="874" spans="1:45" ht="15.75">
      <c r="A874" s="226" t="s">
        <v>229</v>
      </c>
      <c r="B874" s="179"/>
      <c r="C874" s="218">
        <v>0</v>
      </c>
      <c r="D874" s="243">
        <v>1675</v>
      </c>
      <c r="E874" s="243"/>
      <c r="F874" s="106">
        <f>ROUND(D874*$C874,0)</f>
        <v>0</v>
      </c>
      <c r="G874" s="243">
        <v>1675</v>
      </c>
      <c r="H874" s="222"/>
      <c r="I874" s="106">
        <f>ROUND(G874*C874,0)</f>
        <v>0</v>
      </c>
      <c r="J874" s="243">
        <f>J839</f>
        <v>1675</v>
      </c>
      <c r="K874" s="222"/>
      <c r="L874" s="106">
        <f>ROUND(J874*$C874,0)</f>
        <v>0</v>
      </c>
      <c r="M874" s="106"/>
      <c r="N874" s="243">
        <f>N839</f>
        <v>0</v>
      </c>
      <c r="O874" s="222"/>
      <c r="P874" s="106">
        <f>ROUND(N874*$C874,0)</f>
        <v>0</v>
      </c>
      <c r="Q874" s="106"/>
      <c r="R874" s="243"/>
      <c r="S874" s="222"/>
      <c r="T874" s="106"/>
      <c r="U874" s="106"/>
      <c r="V874" s="243"/>
      <c r="W874" s="222"/>
      <c r="X874" s="106"/>
      <c r="Y874" s="82"/>
      <c r="Z874" s="83"/>
      <c r="AA874" s="83"/>
      <c r="AB874" s="83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</row>
    <row r="875" spans="1:45" ht="15.75">
      <c r="A875" s="226" t="s">
        <v>150</v>
      </c>
      <c r="B875" s="179"/>
      <c r="C875" s="218">
        <f>SUM(C873:C874)</f>
        <v>338.48484848484901</v>
      </c>
      <c r="D875" s="243" t="s">
        <v>108</v>
      </c>
      <c r="E875" s="243"/>
      <c r="F875" s="106" t="s">
        <v>108</v>
      </c>
      <c r="G875" s="243" t="s">
        <v>108</v>
      </c>
      <c r="H875" s="220"/>
      <c r="I875" s="106" t="s">
        <v>108</v>
      </c>
      <c r="J875" s="243" t="s">
        <v>108</v>
      </c>
      <c r="K875" s="220"/>
      <c r="L875" s="106" t="s">
        <v>108</v>
      </c>
      <c r="M875" s="106"/>
      <c r="N875" s="243" t="s">
        <v>108</v>
      </c>
      <c r="O875" s="220"/>
      <c r="P875" s="106" t="s">
        <v>108</v>
      </c>
      <c r="Q875" s="106"/>
      <c r="R875" s="243" t="s">
        <v>108</v>
      </c>
      <c r="S875" s="220"/>
      <c r="T875" s="106" t="s">
        <v>108</v>
      </c>
      <c r="U875" s="106"/>
      <c r="V875" s="243" t="s">
        <v>108</v>
      </c>
      <c r="W875" s="220"/>
      <c r="X875" s="106" t="s">
        <v>108</v>
      </c>
      <c r="Y875" s="82"/>
      <c r="Z875" s="83"/>
      <c r="AA875" s="83"/>
      <c r="AB875" s="83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</row>
    <row r="876" spans="1:45" ht="15.75">
      <c r="A876" s="226" t="s">
        <v>230</v>
      </c>
      <c r="B876" s="179"/>
      <c r="C876" s="218">
        <v>546455.24242424197</v>
      </c>
      <c r="D876" s="243">
        <v>1.06</v>
      </c>
      <c r="E876" s="243"/>
      <c r="F876" s="106">
        <f>ROUND(D876*$C876,0)</f>
        <v>579243</v>
      </c>
      <c r="G876" s="243">
        <v>1.06</v>
      </c>
      <c r="H876" s="220"/>
      <c r="I876" s="106">
        <f t="shared" ref="I876:I878" si="168">ROUND(G876*C876,0)</f>
        <v>579243</v>
      </c>
      <c r="J876" s="243">
        <f>J841</f>
        <v>1.0900000000000001</v>
      </c>
      <c r="K876" s="220"/>
      <c r="L876" s="106">
        <f>ROUND(J876*$C876,0)</f>
        <v>595636</v>
      </c>
      <c r="M876" s="106"/>
      <c r="N876" s="243">
        <f>N841</f>
        <v>1.1599999999999999</v>
      </c>
      <c r="O876" s="220"/>
      <c r="P876" s="106">
        <f>ROUND(N876*$C876,0)</f>
        <v>633888</v>
      </c>
      <c r="Q876" s="106"/>
      <c r="R876" s="243"/>
      <c r="S876" s="220"/>
      <c r="T876" s="106"/>
      <c r="U876" s="106"/>
      <c r="V876" s="243"/>
      <c r="W876" s="220"/>
      <c r="X876" s="106"/>
      <c r="Y876" s="82"/>
      <c r="Z876" s="83"/>
      <c r="AA876" s="83"/>
      <c r="AB876" s="83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</row>
    <row r="877" spans="1:45" ht="15.75">
      <c r="A877" s="226" t="s">
        <v>231</v>
      </c>
      <c r="B877" s="179"/>
      <c r="C877" s="218">
        <v>0</v>
      </c>
      <c r="D877" s="243">
        <v>0.96</v>
      </c>
      <c r="E877" s="243"/>
      <c r="F877" s="106">
        <f>ROUND(D877*$C877,0)</f>
        <v>0</v>
      </c>
      <c r="G877" s="243">
        <v>0.96</v>
      </c>
      <c r="H877" s="220"/>
      <c r="I877" s="106">
        <f t="shared" si="168"/>
        <v>0</v>
      </c>
      <c r="J877" s="243">
        <f>J842</f>
        <v>0.98</v>
      </c>
      <c r="K877" s="220"/>
      <c r="L877" s="106">
        <f>ROUND(J877*$C877,0)</f>
        <v>0</v>
      </c>
      <c r="M877" s="106"/>
      <c r="N877" s="243"/>
      <c r="O877" s="220"/>
      <c r="P877" s="106"/>
      <c r="Q877" s="106"/>
      <c r="R877" s="243"/>
      <c r="S877" s="220"/>
      <c r="T877" s="106"/>
      <c r="U877" s="106"/>
      <c r="V877" s="243"/>
      <c r="W877" s="220"/>
      <c r="X877" s="106"/>
      <c r="Y877" s="82"/>
      <c r="Z877" s="83"/>
      <c r="AA877" s="83"/>
      <c r="AB877" s="83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</row>
    <row r="878" spans="1:45" ht="15.75">
      <c r="A878" s="138" t="s">
        <v>158</v>
      </c>
      <c r="B878" s="179"/>
      <c r="C878" s="218">
        <v>467259.454545455</v>
      </c>
      <c r="D878" s="243">
        <v>7.12</v>
      </c>
      <c r="E878" s="243"/>
      <c r="F878" s="106">
        <f>ROUND(D878*$C878,0)</f>
        <v>3326887</v>
      </c>
      <c r="G878" s="243">
        <v>7.55</v>
      </c>
      <c r="H878" s="220"/>
      <c r="I878" s="106">
        <f t="shared" si="168"/>
        <v>3527809</v>
      </c>
      <c r="J878" s="243">
        <f>J843</f>
        <v>7.73</v>
      </c>
      <c r="K878" s="220"/>
      <c r="L878" s="106">
        <f>ROUND(J878*$C878,0)</f>
        <v>3611916</v>
      </c>
      <c r="M878" s="106"/>
      <c r="N878" s="243">
        <f>N843</f>
        <v>0.90739667413343461</v>
      </c>
      <c r="O878" s="220"/>
      <c r="P878" s="106">
        <f>ROUND(N878*$C878,0)</f>
        <v>423990</v>
      </c>
      <c r="Q878" s="106"/>
      <c r="R878" s="243">
        <f>R843</f>
        <v>1.3977685310072718</v>
      </c>
      <c r="S878" s="220"/>
      <c r="T878" s="106">
        <f>ROUND(R878*$C878,0)</f>
        <v>653121</v>
      </c>
      <c r="U878" s="106"/>
      <c r="V878" s="243">
        <f>V843</f>
        <v>5.4248347948592945</v>
      </c>
      <c r="W878" s="220"/>
      <c r="X878" s="106">
        <f>ROUND(V878*$C878,0)</f>
        <v>2534805</v>
      </c>
      <c r="Y878" s="82"/>
      <c r="Z878" s="83"/>
      <c r="AA878" s="83"/>
      <c r="AB878" s="83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</row>
    <row r="879" spans="1:45" ht="15.75">
      <c r="A879" s="226" t="s">
        <v>181</v>
      </c>
      <c r="B879" s="179"/>
      <c r="C879" s="218"/>
      <c r="D879" s="243" t="s">
        <v>108</v>
      </c>
      <c r="E879" s="243"/>
      <c r="F879" s="106"/>
      <c r="G879" s="243" t="s">
        <v>108</v>
      </c>
      <c r="H879" s="220"/>
      <c r="I879" s="106"/>
      <c r="J879" s="243" t="s">
        <v>108</v>
      </c>
      <c r="K879" s="220"/>
      <c r="L879" s="106"/>
      <c r="M879" s="106"/>
      <c r="N879" s="243" t="s">
        <v>108</v>
      </c>
      <c r="O879" s="220"/>
      <c r="P879" s="106"/>
      <c r="Q879" s="106"/>
      <c r="R879" s="243" t="s">
        <v>108</v>
      </c>
      <c r="S879" s="220"/>
      <c r="T879" s="106"/>
      <c r="U879" s="106"/>
      <c r="V879" s="243" t="s">
        <v>108</v>
      </c>
      <c r="W879" s="220"/>
      <c r="X879" s="106"/>
      <c r="Y879" s="82"/>
      <c r="Z879" s="83"/>
      <c r="AA879" s="83"/>
      <c r="AB879" s="83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</row>
    <row r="880" spans="1:45" ht="15.75">
      <c r="A880" s="226" t="s">
        <v>219</v>
      </c>
      <c r="B880" s="179"/>
      <c r="C880" s="218">
        <v>213786555</v>
      </c>
      <c r="D880" s="337">
        <v>4.2460000000000004</v>
      </c>
      <c r="E880" s="220" t="s">
        <v>116</v>
      </c>
      <c r="F880" s="106">
        <f>ROUND(D880/100*$C880,0)</f>
        <v>9077377</v>
      </c>
      <c r="G880" s="337">
        <v>4.5140000000000002</v>
      </c>
      <c r="H880" s="220" t="s">
        <v>116</v>
      </c>
      <c r="I880" s="106">
        <f>ROUND(G880/100*C880,0)</f>
        <v>9650325</v>
      </c>
      <c r="J880" s="337">
        <f>J845</f>
        <v>4.6289999999999996</v>
      </c>
      <c r="K880" s="220" t="s">
        <v>116</v>
      </c>
      <c r="L880" s="106">
        <f>ROUND(J880/100*$C880,0)</f>
        <v>9896180</v>
      </c>
      <c r="M880" s="106"/>
      <c r="N880" s="337"/>
      <c r="O880" s="220"/>
      <c r="P880" s="106"/>
      <c r="Q880" s="106"/>
      <c r="R880" s="337">
        <f>R845</f>
        <v>0.94835801247624862</v>
      </c>
      <c r="S880" s="220" t="s">
        <v>116</v>
      </c>
      <c r="T880" s="106">
        <f>ROUND(R880/100*$C880,0)</f>
        <v>2027462</v>
      </c>
      <c r="U880" s="106"/>
      <c r="V880" s="337">
        <f>V845</f>
        <v>3.6806419875237513</v>
      </c>
      <c r="W880" s="220" t="s">
        <v>116</v>
      </c>
      <c r="X880" s="106">
        <f>ROUND(V880/100*$C880,0)</f>
        <v>7868718</v>
      </c>
      <c r="Y880" s="82"/>
      <c r="Z880" s="83"/>
      <c r="AA880" s="83"/>
      <c r="AB880" s="83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</row>
    <row r="881" spans="1:45" ht="15.75">
      <c r="A881" s="226" t="s">
        <v>155</v>
      </c>
      <c r="B881" s="179"/>
      <c r="C881" s="218">
        <v>135856.12121212101</v>
      </c>
      <c r="D881" s="243">
        <v>0.55000000000000004</v>
      </c>
      <c r="E881" s="220"/>
      <c r="F881" s="106">
        <f>ROUND(D881*$C881,0)</f>
        <v>74721</v>
      </c>
      <c r="G881" s="243">
        <v>0.55000000000000004</v>
      </c>
      <c r="H881" s="220"/>
      <c r="I881" s="106">
        <f>ROUND(G881*C881,0)</f>
        <v>74721</v>
      </c>
      <c r="J881" s="243">
        <f>J846</f>
        <v>0.55000000000000004</v>
      </c>
      <c r="K881" s="220"/>
      <c r="L881" s="106">
        <f>ROUND(J881*$C881,0)</f>
        <v>74721</v>
      </c>
      <c r="M881" s="106"/>
      <c r="N881" s="243"/>
      <c r="O881" s="220"/>
      <c r="P881" s="106"/>
      <c r="Q881" s="106"/>
      <c r="R881" s="243">
        <f>R846</f>
        <v>0.11268025639704836</v>
      </c>
      <c r="S881" s="220"/>
      <c r="T881" s="106">
        <f>ROUND(R881*$C881,0)</f>
        <v>15308</v>
      </c>
      <c r="U881" s="106"/>
      <c r="V881" s="243">
        <f>V846</f>
        <v>0.43731974360295173</v>
      </c>
      <c r="W881" s="220"/>
      <c r="X881" s="106">
        <f>ROUND(V881*$C881,0)</f>
        <v>59413</v>
      </c>
      <c r="Y881" s="82"/>
      <c r="Z881" s="83"/>
      <c r="AA881" s="83"/>
      <c r="AB881" s="83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</row>
    <row r="882" spans="1:45" ht="15.75">
      <c r="A882" s="179" t="s">
        <v>134</v>
      </c>
      <c r="B882" s="179"/>
      <c r="C882" s="218">
        <f>C880</f>
        <v>213786555</v>
      </c>
      <c r="D882" s="229"/>
      <c r="E882" s="106"/>
      <c r="F882" s="106">
        <f>SUM(F873:F881)</f>
        <v>13527368</v>
      </c>
      <c r="G882" s="229"/>
      <c r="H882" s="179"/>
      <c r="I882" s="106">
        <f>SUM(I873:I881)</f>
        <v>14301238</v>
      </c>
      <c r="J882" s="229"/>
      <c r="K882" s="179"/>
      <c r="L882" s="106">
        <f>SUM(L873:L881)</f>
        <v>14647593</v>
      </c>
      <c r="M882" s="106"/>
      <c r="N882" s="229"/>
      <c r="O882" s="179"/>
      <c r="P882" s="106"/>
      <c r="Q882" s="106"/>
      <c r="R882" s="229"/>
      <c r="S882" s="179"/>
      <c r="T882" s="106">
        <f>SUM(T873:T881)</f>
        <v>2695891</v>
      </c>
      <c r="U882" s="106"/>
      <c r="V882" s="229"/>
      <c r="W882" s="179"/>
      <c r="X882" s="106">
        <f>SUM(X873:X881)</f>
        <v>10462936</v>
      </c>
      <c r="Y882" s="209" t="s">
        <v>108</v>
      </c>
      <c r="Z882" s="83"/>
      <c r="AA882" s="83"/>
      <c r="AB882" s="83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</row>
    <row r="883" spans="1:45" ht="15.75">
      <c r="A883" s="179" t="s">
        <v>119</v>
      </c>
      <c r="B883" s="179"/>
      <c r="C883" s="218">
        <f>C882/($C$882+$C$936)*$C$972</f>
        <v>-3424334.6854361393</v>
      </c>
      <c r="D883" s="138"/>
      <c r="E883" s="138"/>
      <c r="F883" s="334">
        <f>I883</f>
        <v>-295740.50945887977</v>
      </c>
      <c r="G883" s="138"/>
      <c r="H883" s="138"/>
      <c r="I883" s="247">
        <f>I882/($I$882+$I$936)*$I$972</f>
        <v>-295740.50945887977</v>
      </c>
      <c r="J883" s="138"/>
      <c r="K883" s="138"/>
      <c r="L883" s="248">
        <f>I883</f>
        <v>-295740.50945887977</v>
      </c>
      <c r="M883" s="221"/>
      <c r="N883" s="138"/>
      <c r="O883" s="138"/>
      <c r="P883" s="248">
        <f>$L$883*Y851/($Y851+$Z$851+$AA$851)</f>
        <v>-32751.421882948067</v>
      </c>
      <c r="Q883" s="137"/>
      <c r="R883" s="138"/>
      <c r="S883" s="138"/>
      <c r="T883" s="248">
        <f>$L$883*Z851/($Y851+$Z$851+$AA$851)</f>
        <v>-53182.243769697525</v>
      </c>
      <c r="U883" s="137"/>
      <c r="V883" s="138"/>
      <c r="W883" s="138"/>
      <c r="X883" s="248">
        <f>$L$883*AA851/($Y851+$Z$851+$AA$851)</f>
        <v>-209806.84380623416</v>
      </c>
      <c r="Y883" s="172"/>
      <c r="Z883" s="168"/>
      <c r="AA883" s="83"/>
      <c r="AB883" s="83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</row>
    <row r="884" spans="1:45" ht="16.5" thickBot="1">
      <c r="A884" s="179" t="s">
        <v>135</v>
      </c>
      <c r="B884" s="179"/>
      <c r="C884" s="335">
        <f>SUM(C882)+C883</f>
        <v>210362220.31456387</v>
      </c>
      <c r="D884" s="268"/>
      <c r="E884" s="250"/>
      <c r="F884" s="251">
        <f>F882+F883</f>
        <v>13231627.490541121</v>
      </c>
      <c r="G884" s="268"/>
      <c r="H884" s="269"/>
      <c r="I884" s="251">
        <f>I882+I883</f>
        <v>14005497.490541121</v>
      </c>
      <c r="J884" s="268"/>
      <c r="K884" s="269"/>
      <c r="L884" s="251">
        <f>L882+L883</f>
        <v>14351852.490541121</v>
      </c>
      <c r="M884" s="251"/>
      <c r="N884" s="268"/>
      <c r="O884" s="269"/>
      <c r="P884" s="251">
        <f>P882+P883</f>
        <v>-32751.421882948067</v>
      </c>
      <c r="Q884" s="251"/>
      <c r="R884" s="268"/>
      <c r="S884" s="269"/>
      <c r="T884" s="251">
        <f>T882+T883</f>
        <v>2642708.7562303026</v>
      </c>
      <c r="U884" s="251"/>
      <c r="V884" s="268"/>
      <c r="W884" s="269"/>
      <c r="X884" s="251">
        <f>X882+X883</f>
        <v>10253129.156193767</v>
      </c>
      <c r="Y884" s="176"/>
      <c r="Z884" s="177"/>
      <c r="AA884" s="83"/>
      <c r="AB884" s="83"/>
      <c r="AC884" s="190" t="s">
        <v>108</v>
      </c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</row>
    <row r="885" spans="1:45" ht="16.5" thickTop="1">
      <c r="A885" s="179"/>
      <c r="B885" s="179"/>
      <c r="C885" s="205"/>
      <c r="D885" s="243"/>
      <c r="E885" s="106"/>
      <c r="F885" s="106"/>
      <c r="G885" s="243"/>
      <c r="H885" s="179"/>
      <c r="I885" s="106"/>
      <c r="J885" s="243"/>
      <c r="K885" s="179"/>
      <c r="L885" s="270"/>
      <c r="M885" s="270"/>
      <c r="N885" s="243"/>
      <c r="O885" s="179"/>
      <c r="P885" s="270"/>
      <c r="Q885" s="270"/>
      <c r="R885" s="243"/>
      <c r="S885" s="179"/>
      <c r="T885" s="270"/>
      <c r="U885" s="270"/>
      <c r="V885" s="243"/>
      <c r="W885" s="179"/>
      <c r="X885" s="270"/>
      <c r="Z885" s="83"/>
      <c r="AA885" s="102" t="s">
        <v>108</v>
      </c>
      <c r="AB885" s="10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</row>
    <row r="886" spans="1:45" ht="15.75">
      <c r="A886" s="179"/>
      <c r="B886" s="179"/>
      <c r="C886" s="205"/>
      <c r="D886" s="243"/>
      <c r="E886" s="106"/>
      <c r="F886" s="106"/>
      <c r="G886" s="243"/>
      <c r="H886" s="179"/>
      <c r="I886" s="106"/>
      <c r="J886" s="460"/>
      <c r="K886" s="179"/>
      <c r="L886" s="270"/>
      <c r="M886" s="270"/>
      <c r="N886" s="243"/>
      <c r="O886" s="179"/>
      <c r="P886" s="270"/>
      <c r="Q886" s="270"/>
      <c r="R886" s="243"/>
      <c r="S886" s="179"/>
      <c r="T886" s="270"/>
      <c r="U886" s="270"/>
      <c r="V886" s="243"/>
      <c r="W886" s="179"/>
      <c r="X886" s="270"/>
      <c r="Z886" s="83"/>
      <c r="AA886" s="102"/>
      <c r="AB886" s="10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</row>
    <row r="887" spans="1:45" ht="15.75">
      <c r="A887" s="178" t="s">
        <v>232</v>
      </c>
      <c r="B887" s="179"/>
      <c r="C887" s="179"/>
      <c r="D887" s="106"/>
      <c r="E887" s="106"/>
      <c r="F887" s="179"/>
      <c r="G887" s="106"/>
      <c r="H887" s="179"/>
      <c r="I887" s="179"/>
      <c r="J887" s="458"/>
      <c r="K887" s="179"/>
      <c r="L887" s="179"/>
      <c r="M887" s="179"/>
      <c r="N887" s="106"/>
      <c r="O887" s="179"/>
      <c r="P887" s="179"/>
      <c r="Q887" s="179"/>
      <c r="R887" s="106"/>
      <c r="S887" s="179"/>
      <c r="T887" s="179"/>
      <c r="U887" s="179"/>
      <c r="V887" s="106"/>
      <c r="W887" s="179"/>
      <c r="X887" s="179"/>
      <c r="Y887" s="82"/>
      <c r="Z887" s="83"/>
      <c r="AA887" s="83"/>
      <c r="AB887" s="83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</row>
    <row r="888" spans="1:45" ht="15.75">
      <c r="A888" s="138" t="s">
        <v>240</v>
      </c>
      <c r="B888" s="179"/>
      <c r="C888" s="179"/>
      <c r="D888" s="106"/>
      <c r="E888" s="106"/>
      <c r="F888" s="179"/>
      <c r="G888" s="106"/>
      <c r="H888" s="179"/>
      <c r="I888" s="179"/>
      <c r="J888" s="106"/>
      <c r="K888" s="179"/>
      <c r="L888" s="179"/>
      <c r="M888" s="179"/>
      <c r="N888" s="106"/>
      <c r="O888" s="179"/>
      <c r="P888" s="179"/>
      <c r="Q888" s="179"/>
      <c r="R888" s="106"/>
      <c r="S888" s="179"/>
      <c r="T888" s="179"/>
      <c r="U888" s="179"/>
      <c r="V888" s="106"/>
      <c r="W888" s="179"/>
      <c r="X888" s="179"/>
      <c r="Y888" s="82"/>
      <c r="Z888" s="83"/>
      <c r="AA888" s="83"/>
      <c r="AB888" s="83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</row>
    <row r="889" spans="1:45" ht="15.75">
      <c r="A889" s="179" t="s">
        <v>108</v>
      </c>
      <c r="B889" s="179"/>
      <c r="C889" s="153"/>
      <c r="D889" s="109"/>
      <c r="E889" s="109"/>
      <c r="F889" s="153"/>
      <c r="G889" s="109"/>
      <c r="H889" s="153"/>
      <c r="I889" s="153"/>
      <c r="J889" s="109"/>
      <c r="K889" s="153"/>
      <c r="L889" s="153"/>
      <c r="M889" s="153"/>
      <c r="N889" s="109"/>
      <c r="O889" s="153"/>
      <c r="P889" s="153"/>
      <c r="Q889" s="153"/>
      <c r="R889" s="109"/>
      <c r="S889" s="153"/>
      <c r="T889" s="153"/>
      <c r="U889" s="153"/>
      <c r="V889" s="109"/>
      <c r="W889" s="153"/>
      <c r="X889" s="153"/>
      <c r="Y889" s="82"/>
      <c r="Z889" s="83"/>
      <c r="AA889" s="83"/>
      <c r="AB889" s="83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</row>
    <row r="890" spans="1:45" ht="15.75">
      <c r="A890" s="226" t="s">
        <v>11</v>
      </c>
      <c r="B890" s="179"/>
      <c r="C890" s="152"/>
      <c r="D890" s="109"/>
      <c r="E890" s="109"/>
      <c r="F890" s="153"/>
      <c r="G890" s="109"/>
      <c r="H890" s="153"/>
      <c r="I890" s="153"/>
      <c r="J890" s="109"/>
      <c r="K890" s="153"/>
      <c r="L890" s="153"/>
      <c r="M890" s="153"/>
      <c r="N890" s="109"/>
      <c r="O890" s="153"/>
      <c r="P890" s="153"/>
      <c r="Q890" s="153"/>
      <c r="R890" s="109"/>
      <c r="S890" s="153"/>
      <c r="T890" s="153"/>
      <c r="U890" s="153"/>
      <c r="V890" s="109"/>
      <c r="W890" s="153"/>
      <c r="X890" s="153"/>
      <c r="Z890" s="83"/>
      <c r="AA890" s="83"/>
      <c r="AB890" s="83"/>
      <c r="AC890" s="150">
        <f>I902</f>
        <v>4756624.0031350246</v>
      </c>
      <c r="AD890" s="103">
        <f>'[3]Staff Actual &amp; Proposed'!$Q$41</f>
        <v>2.4139839901131159E-2</v>
      </c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</row>
    <row r="891" spans="1:45" ht="15.75">
      <c r="A891" s="226" t="s">
        <v>228</v>
      </c>
      <c r="B891" s="179"/>
      <c r="C891" s="152">
        <f t="shared" ref="C891:C896" si="169">C910+C927</f>
        <v>130.272727272727</v>
      </c>
      <c r="D891" s="238">
        <v>1419</v>
      </c>
      <c r="E891" s="238"/>
      <c r="F891" s="109">
        <f>ROUND(D891*$C891,0)</f>
        <v>184857</v>
      </c>
      <c r="G891" s="238">
        <v>1419</v>
      </c>
      <c r="H891" s="109"/>
      <c r="I891" s="109">
        <f>ROUND(G891*C891,0)</f>
        <v>184857</v>
      </c>
      <c r="J891" s="238">
        <v>1419</v>
      </c>
      <c r="K891" s="109"/>
      <c r="L891" s="109">
        <f>ROUND(J891*$C891,0)</f>
        <v>184857</v>
      </c>
      <c r="M891" s="109"/>
      <c r="N891" s="238">
        <v>1419</v>
      </c>
      <c r="O891" s="109"/>
      <c r="P891" s="109">
        <f>ROUND(N891*$C891,0)</f>
        <v>184857</v>
      </c>
      <c r="Q891" s="109"/>
      <c r="R891" s="238"/>
      <c r="S891" s="109"/>
      <c r="T891" s="109"/>
      <c r="U891" s="109"/>
      <c r="V891" s="238"/>
      <c r="W891" s="109"/>
      <c r="X891" s="109"/>
      <c r="Y891" s="82"/>
      <c r="AA891" s="350"/>
      <c r="AB891" s="102"/>
      <c r="AC891" s="454">
        <f>AC890*(1+AD890)</f>
        <v>4871448.1450405819</v>
      </c>
      <c r="AD891" s="102">
        <f>AD890*(1+((I891+I899-I901)/I902))</f>
        <v>2.523563266346384E-2</v>
      </c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</row>
    <row r="892" spans="1:45" ht="15.75">
      <c r="A892" s="226" t="s">
        <v>229</v>
      </c>
      <c r="B892" s="179"/>
      <c r="C892" s="152">
        <f t="shared" si="169"/>
        <v>0</v>
      </c>
      <c r="D892" s="238">
        <v>1707</v>
      </c>
      <c r="E892" s="238"/>
      <c r="F892" s="109">
        <f>ROUND(D892*$C892,0)</f>
        <v>0</v>
      </c>
      <c r="G892" s="238">
        <v>1707</v>
      </c>
      <c r="H892" s="195"/>
      <c r="I892" s="109">
        <f>ROUND(G892*C892,0)</f>
        <v>0</v>
      </c>
      <c r="J892" s="238">
        <v>1707</v>
      </c>
      <c r="K892" s="195"/>
      <c r="L892" s="109">
        <f>ROUND(J892*$C892,0)</f>
        <v>0</v>
      </c>
      <c r="M892" s="109"/>
      <c r="N892" s="238"/>
      <c r="O892" s="195"/>
      <c r="P892" s="109"/>
      <c r="Q892" s="109"/>
      <c r="R892" s="238"/>
      <c r="S892" s="195"/>
      <c r="T892" s="109"/>
      <c r="U892" s="109"/>
      <c r="V892" s="238"/>
      <c r="W892" s="195"/>
      <c r="X892" s="109"/>
      <c r="Y892" s="82"/>
      <c r="AA892" s="350"/>
      <c r="AB892" s="10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</row>
    <row r="893" spans="1:45" ht="15.75">
      <c r="A893" s="226" t="s">
        <v>150</v>
      </c>
      <c r="B893" s="179"/>
      <c r="C893" s="152">
        <f t="shared" si="169"/>
        <v>130.272727272727</v>
      </c>
      <c r="D893" s="238" t="s">
        <v>108</v>
      </c>
      <c r="E893" s="238"/>
      <c r="F893" s="109" t="s">
        <v>108</v>
      </c>
      <c r="G893" s="238" t="s">
        <v>108</v>
      </c>
      <c r="H893" s="109"/>
      <c r="I893" s="109" t="s">
        <v>108</v>
      </c>
      <c r="J893" s="238" t="s">
        <v>108</v>
      </c>
      <c r="K893" s="109"/>
      <c r="L893" s="109" t="s">
        <v>108</v>
      </c>
      <c r="M893" s="109"/>
      <c r="N893" s="238" t="s">
        <v>108</v>
      </c>
      <c r="O893" s="109"/>
      <c r="P893" s="109" t="s">
        <v>108</v>
      </c>
      <c r="Q893" s="109"/>
      <c r="R893" s="238" t="s">
        <v>108</v>
      </c>
      <c r="S893" s="109"/>
      <c r="T893" s="109" t="s">
        <v>108</v>
      </c>
      <c r="U893" s="109"/>
      <c r="V893" s="238" t="s">
        <v>108</v>
      </c>
      <c r="W893" s="109"/>
      <c r="X893" s="109" t="s">
        <v>108</v>
      </c>
      <c r="Y893" s="82"/>
      <c r="AA893" s="351"/>
      <c r="AB893" s="83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</row>
    <row r="894" spans="1:45" ht="15.75">
      <c r="A894" s="226" t="s">
        <v>230</v>
      </c>
      <c r="B894" s="179"/>
      <c r="C894" s="152">
        <f t="shared" si="169"/>
        <v>221683.454545455</v>
      </c>
      <c r="D894" s="238">
        <v>0.53</v>
      </c>
      <c r="E894" s="238"/>
      <c r="F894" s="109">
        <f>ROUND(D894*$C894,0)</f>
        <v>117492</v>
      </c>
      <c r="G894" s="238">
        <v>0.53</v>
      </c>
      <c r="H894" s="109"/>
      <c r="I894" s="109">
        <f t="shared" ref="I894:I896" si="170">ROUND(G894*C894,0)</f>
        <v>117492</v>
      </c>
      <c r="J894" s="238">
        <f>ROUND($G894*(1+$AD$891),2)</f>
        <v>0.54</v>
      </c>
      <c r="K894" s="109"/>
      <c r="L894" s="109">
        <f>ROUND(J894*$C894,0)</f>
        <v>119709</v>
      </c>
      <c r="M894" s="109"/>
      <c r="N894" s="238">
        <v>0.55000000000000004</v>
      </c>
      <c r="O894" s="109"/>
      <c r="P894" s="109">
        <f>ROUND(N894*$C894,0)</f>
        <v>121926</v>
      </c>
      <c r="Q894" s="109"/>
      <c r="R894" s="238"/>
      <c r="S894" s="109"/>
      <c r="T894" s="109"/>
      <c r="U894" s="109"/>
      <c r="V894" s="238"/>
      <c r="W894" s="109"/>
      <c r="X894" s="109"/>
      <c r="AA894" s="350"/>
      <c r="AB894" s="102"/>
      <c r="AC894" s="82" t="s">
        <v>108</v>
      </c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</row>
    <row r="895" spans="1:45" ht="15.75">
      <c r="A895" s="226" t="s">
        <v>231</v>
      </c>
      <c r="B895" s="179"/>
      <c r="C895" s="152">
        <f t="shared" si="169"/>
        <v>0</v>
      </c>
      <c r="D895" s="238">
        <v>0.43</v>
      </c>
      <c r="E895" s="238"/>
      <c r="F895" s="109">
        <f>ROUND(D895*$C895,0)</f>
        <v>0</v>
      </c>
      <c r="G895" s="238">
        <v>0.43</v>
      </c>
      <c r="H895" s="109"/>
      <c r="I895" s="109">
        <f t="shared" si="170"/>
        <v>0</v>
      </c>
      <c r="J895" s="238">
        <f t="shared" ref="J895:J898" si="171">ROUND($G895*(1+$AD$891),2)</f>
        <v>0.44</v>
      </c>
      <c r="K895" s="109"/>
      <c r="L895" s="109">
        <f>ROUND(J895*$C895,0)</f>
        <v>0</v>
      </c>
      <c r="M895" s="109"/>
      <c r="N895" s="238">
        <v>0.45</v>
      </c>
      <c r="O895" s="109"/>
      <c r="P895" s="109">
        <f>N895*C895</f>
        <v>0</v>
      </c>
      <c r="Q895" s="109"/>
      <c r="R895" s="238"/>
      <c r="S895" s="109"/>
      <c r="T895" s="109"/>
      <c r="U895" s="109"/>
      <c r="V895" s="238"/>
      <c r="W895" s="109"/>
      <c r="X895" s="109"/>
      <c r="Y895" s="82"/>
      <c r="AA895" s="350"/>
      <c r="AB895" s="10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</row>
    <row r="896" spans="1:45" ht="15.75">
      <c r="A896" s="138" t="s">
        <v>158</v>
      </c>
      <c r="B896" s="179"/>
      <c r="C896" s="152">
        <f t="shared" si="169"/>
        <v>178076.48484848501</v>
      </c>
      <c r="D896" s="238">
        <v>6.99</v>
      </c>
      <c r="E896" s="238"/>
      <c r="F896" s="109">
        <f>ROUND(D896*$C896,0)</f>
        <v>1244755</v>
      </c>
      <c r="G896" s="238">
        <v>7.4</v>
      </c>
      <c r="H896" s="109"/>
      <c r="I896" s="109">
        <f t="shared" si="170"/>
        <v>1317766</v>
      </c>
      <c r="J896" s="238">
        <f t="shared" si="171"/>
        <v>7.59</v>
      </c>
      <c r="K896" s="109"/>
      <c r="L896" s="109">
        <f>ROUND(J896*$C896,0)</f>
        <v>1351601</v>
      </c>
      <c r="M896" s="109"/>
      <c r="N896" s="238">
        <f>J896*AB817</f>
        <v>0.89096258171704634</v>
      </c>
      <c r="O896" s="109"/>
      <c r="P896" s="109">
        <f>N896*C896</f>
        <v>158659.4846837027</v>
      </c>
      <c r="Q896" s="109"/>
      <c r="R896" s="238">
        <f>J896*AA817</f>
        <v>1.3724531889191709</v>
      </c>
      <c r="S896" s="109"/>
      <c r="T896" s="109">
        <f>R896*C896</f>
        <v>244401.63950181968</v>
      </c>
      <c r="U896" s="109"/>
      <c r="V896" s="238">
        <f>J896*Z817</f>
        <v>5.3265842293637826</v>
      </c>
      <c r="W896" s="109"/>
      <c r="X896" s="109">
        <f>V896*C896</f>
        <v>948539.39581447886</v>
      </c>
      <c r="Y896" s="82"/>
      <c r="AA896" s="350"/>
      <c r="AB896" s="10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</row>
    <row r="897" spans="1:45" ht="15.75">
      <c r="A897" s="226" t="s">
        <v>181</v>
      </c>
      <c r="B897" s="179"/>
      <c r="C897" s="152"/>
      <c r="D897" s="238" t="s">
        <v>108</v>
      </c>
      <c r="E897" s="238"/>
      <c r="F897" s="109"/>
      <c r="G897" s="238" t="s">
        <v>108</v>
      </c>
      <c r="H897" s="109"/>
      <c r="I897" s="109"/>
      <c r="J897" s="238"/>
      <c r="K897" s="109"/>
      <c r="L897" s="109"/>
      <c r="M897" s="109"/>
      <c r="N897" s="238" t="s">
        <v>108</v>
      </c>
      <c r="O897" s="109"/>
      <c r="P897" s="109"/>
      <c r="Q897" s="109"/>
      <c r="R897" s="238" t="s">
        <v>108</v>
      </c>
      <c r="S897" s="109"/>
      <c r="T897" s="109"/>
      <c r="U897" s="109"/>
      <c r="V897" s="238" t="s">
        <v>108</v>
      </c>
      <c r="W897" s="109"/>
      <c r="X897" s="109"/>
      <c r="Y897" s="82"/>
      <c r="AA897" s="351"/>
      <c r="AB897" s="83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</row>
    <row r="898" spans="1:45" ht="15.75">
      <c r="A898" s="226" t="s">
        <v>219</v>
      </c>
      <c r="B898" s="179"/>
      <c r="C898" s="152">
        <f>C917+C934</f>
        <v>70618436.012304217</v>
      </c>
      <c r="D898" s="284">
        <v>4.1920000000000002</v>
      </c>
      <c r="E898" s="109" t="s">
        <v>116</v>
      </c>
      <c r="F898" s="109">
        <f>ROUND(D898/100*$C898,0)</f>
        <v>2960325</v>
      </c>
      <c r="G898" s="284">
        <v>4.4589999999999996</v>
      </c>
      <c r="H898" s="109" t="s">
        <v>116</v>
      </c>
      <c r="I898" s="109">
        <f>ROUND(G898/100*C898,0)</f>
        <v>3148876</v>
      </c>
      <c r="J898" s="238">
        <f t="shared" si="171"/>
        <v>4.57</v>
      </c>
      <c r="K898" s="109" t="s">
        <v>116</v>
      </c>
      <c r="L898" s="109">
        <f>ROUND(J898/100*$C898,0)</f>
        <v>3227263</v>
      </c>
      <c r="M898" s="109"/>
      <c r="N898" s="284"/>
      <c r="O898" s="109"/>
      <c r="P898" s="109"/>
      <c r="Q898" s="109"/>
      <c r="R898" s="284">
        <f>$J898*($AA$817/($AA$817+$Z$817))</f>
        <v>0.9362704940627472</v>
      </c>
      <c r="S898" s="109" t="s">
        <v>116</v>
      </c>
      <c r="T898" s="109">
        <f>R898*C898/100</f>
        <v>661179.57975178573</v>
      </c>
      <c r="U898" s="109"/>
      <c r="V898" s="284">
        <f>$J898*($Z$817/($Z$817+$AA$817))</f>
        <v>3.6337295059372532</v>
      </c>
      <c r="W898" s="109" t="s">
        <v>116</v>
      </c>
      <c r="X898" s="109">
        <f>V898*C898/100</f>
        <v>2566082.946010517</v>
      </c>
      <c r="Y898" s="464"/>
      <c r="AA898" s="350"/>
      <c r="AB898" s="10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</row>
    <row r="899" spans="1:45" ht="15.75">
      <c r="A899" s="226" t="s">
        <v>155</v>
      </c>
      <c r="B899" s="179"/>
      <c r="C899" s="152">
        <f>C918+C935</f>
        <v>17311.333333333299</v>
      </c>
      <c r="D899" s="238">
        <v>0.54</v>
      </c>
      <c r="E899" s="109"/>
      <c r="F899" s="109">
        <f>ROUND(D899*$C899,0)</f>
        <v>9348</v>
      </c>
      <c r="G899" s="238">
        <v>0.54</v>
      </c>
      <c r="H899" s="109"/>
      <c r="I899" s="109">
        <f>ROUND(G899*C899,0)</f>
        <v>9348</v>
      </c>
      <c r="J899" s="238">
        <f t="shared" ref="J899" si="172">G899*(1+AD896)</f>
        <v>0.54</v>
      </c>
      <c r="K899" s="109"/>
      <c r="L899" s="109">
        <f>ROUND(J899*$C899,0)</f>
        <v>9348</v>
      </c>
      <c r="M899" s="109"/>
      <c r="N899" s="238"/>
      <c r="O899" s="109"/>
      <c r="P899" s="109"/>
      <c r="Q899" s="109"/>
      <c r="R899" s="463">
        <f>$J899*($AA$817/($AA$817+$Z$817))</f>
        <v>0.11063152446255657</v>
      </c>
      <c r="S899" s="109"/>
      <c r="T899" s="109">
        <f>R899*C899</f>
        <v>1915.1791971461339</v>
      </c>
      <c r="U899" s="109"/>
      <c r="V899" s="238">
        <v>0.43</v>
      </c>
      <c r="W899" s="109"/>
      <c r="X899" s="109">
        <f>V899*C899</f>
        <v>7443.8733333333184</v>
      </c>
      <c r="Y899" s="82"/>
      <c r="AA899" s="350"/>
      <c r="AB899" s="10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</row>
    <row r="900" spans="1:45" ht="15.75">
      <c r="A900" s="179" t="s">
        <v>134</v>
      </c>
      <c r="B900" s="179"/>
      <c r="C900" s="152">
        <f>C898</f>
        <v>70618436.012304217</v>
      </c>
      <c r="D900" s="230"/>
      <c r="E900" s="109"/>
      <c r="F900" s="109">
        <f>SUM(F891:F899)</f>
        <v>4516777</v>
      </c>
      <c r="G900" s="230"/>
      <c r="H900" s="153"/>
      <c r="I900" s="109">
        <f>SUM(I891:I899)</f>
        <v>4778339</v>
      </c>
      <c r="J900" s="230"/>
      <c r="K900" s="153"/>
      <c r="L900" s="109">
        <f>SUM(L891:L899)</f>
        <v>4892778</v>
      </c>
      <c r="M900" s="109"/>
      <c r="N900" s="230"/>
      <c r="O900" s="153"/>
      <c r="P900" s="109"/>
      <c r="Q900" s="109"/>
      <c r="R900" s="230"/>
      <c r="S900" s="153"/>
      <c r="T900" s="109">
        <f>SUM(T891:T899)</f>
        <v>907496.39845075156</v>
      </c>
      <c r="U900" s="109"/>
      <c r="V900" s="230"/>
      <c r="W900" s="153"/>
      <c r="X900" s="109">
        <f>SUM(X891:X899)</f>
        <v>3522066.2151583293</v>
      </c>
      <c r="Y900" s="82"/>
      <c r="Z900" s="83"/>
      <c r="AA900" s="83"/>
      <c r="AB900" s="83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</row>
    <row r="901" spans="1:45" ht="15.75">
      <c r="A901" s="179" t="s">
        <v>119</v>
      </c>
      <c r="B901" s="179"/>
      <c r="C901" s="152">
        <f>C920+C937</f>
        <v>-299271.03833494976</v>
      </c>
      <c r="D901" s="153"/>
      <c r="E901" s="153"/>
      <c r="F901" s="198">
        <f>I901</f>
        <v>-21714.996864975801</v>
      </c>
      <c r="G901" s="153"/>
      <c r="H901" s="153"/>
      <c r="I901" s="197">
        <f>I920+I937</f>
        <v>-21714.996864975801</v>
      </c>
      <c r="J901" s="153"/>
      <c r="K901" s="153"/>
      <c r="L901" s="198">
        <f>I901</f>
        <v>-21714.996864975801</v>
      </c>
      <c r="M901" s="169"/>
      <c r="N901" s="153"/>
      <c r="O901" s="153"/>
      <c r="P901" s="352">
        <f>$L$901*Y904/(Y904+$Z$904+$AA$904)</f>
        <v>-2404.8008330444936</v>
      </c>
      <c r="Q901" s="169"/>
      <c r="R901" s="153"/>
      <c r="S901" s="153"/>
      <c r="T901" s="352">
        <f>$L$901*Z904/(Y904+$Z$904+$AA$904)</f>
        <v>-3904.9511980770189</v>
      </c>
      <c r="U901" s="169"/>
      <c r="V901" s="153"/>
      <c r="W901" s="153"/>
      <c r="X901" s="352">
        <f>$L$901*AA904/(Y904+$Z$904+$AA$904)</f>
        <v>-15405.244833854287</v>
      </c>
      <c r="Y901" s="172"/>
      <c r="Z901" s="168"/>
      <c r="AA901" s="83"/>
      <c r="AB901" s="83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</row>
    <row r="902" spans="1:45" ht="16.5" thickBot="1">
      <c r="A902" s="179" t="s">
        <v>135</v>
      </c>
      <c r="B902" s="179"/>
      <c r="C902" s="173">
        <f>SUM(C900)+C901</f>
        <v>70319164.973969266</v>
      </c>
      <c r="D902" s="354"/>
      <c r="E902" s="355"/>
      <c r="F902" s="175">
        <f>F900+F901</f>
        <v>4495062.0031350246</v>
      </c>
      <c r="G902" s="354"/>
      <c r="H902" s="253"/>
      <c r="I902" s="175">
        <f>I900+I901</f>
        <v>4756624.0031350246</v>
      </c>
      <c r="J902" s="354"/>
      <c r="K902" s="253"/>
      <c r="L902" s="175">
        <f>L900+L901</f>
        <v>4871063.0031350246</v>
      </c>
      <c r="M902" s="175"/>
      <c r="N902" s="354"/>
      <c r="O902" s="253"/>
      <c r="P902" s="175">
        <f>P900+P901</f>
        <v>-2404.8008330444936</v>
      </c>
      <c r="Q902" s="175"/>
      <c r="R902" s="354"/>
      <c r="S902" s="253"/>
      <c r="T902" s="175">
        <f>T900+T901</f>
        <v>903591.44725267449</v>
      </c>
      <c r="U902" s="175"/>
      <c r="V902" s="354"/>
      <c r="W902" s="253"/>
      <c r="X902" s="175">
        <f>X900+X901</f>
        <v>3506660.9703244749</v>
      </c>
      <c r="Y902" s="176" t="s">
        <v>108</v>
      </c>
      <c r="Z902" s="102" t="s">
        <v>108</v>
      </c>
      <c r="AA902" s="356">
        <f>(L902-I902)/I902</f>
        <v>2.4058870308978565E-2</v>
      </c>
      <c r="AB902" s="83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</row>
    <row r="903" spans="1:45" ht="16.5" thickTop="1">
      <c r="A903" s="179"/>
      <c r="B903" s="179"/>
      <c r="C903" s="205"/>
      <c r="D903" s="243" t="s">
        <v>108</v>
      </c>
      <c r="E903" s="106"/>
      <c r="F903" s="106"/>
      <c r="G903" s="243" t="s">
        <v>108</v>
      </c>
      <c r="H903" s="179"/>
      <c r="I903" s="106"/>
      <c r="J903" s="275" t="s">
        <v>108</v>
      </c>
      <c r="K903" s="179"/>
      <c r="L903" s="267"/>
      <c r="M903" s="106"/>
      <c r="N903" s="275" t="s">
        <v>108</v>
      </c>
      <c r="O903" s="179"/>
      <c r="P903" s="106" t="s">
        <v>108</v>
      </c>
      <c r="Q903" s="106"/>
      <c r="R903" s="275" t="s">
        <v>108</v>
      </c>
      <c r="S903" s="179"/>
      <c r="T903" s="106" t="s">
        <v>108</v>
      </c>
      <c r="U903" s="106"/>
      <c r="V903" s="275" t="s">
        <v>108</v>
      </c>
      <c r="W903" s="179"/>
      <c r="X903" s="106" t="s">
        <v>108</v>
      </c>
      <c r="Y903" s="353">
        <f>Y850</f>
        <v>0.11074377988620418</v>
      </c>
      <c r="Z903" s="353">
        <f>Z850</f>
        <v>0.17982738944693696</v>
      </c>
      <c r="AA903" s="353">
        <f>AA850</f>
        <v>0.7094288306668588</v>
      </c>
      <c r="AB903" s="83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</row>
    <row r="904" spans="1:45" ht="15.75">
      <c r="A904" s="179"/>
      <c r="B904" s="179"/>
      <c r="C904" s="205"/>
      <c r="D904" s="243" t="s">
        <v>108</v>
      </c>
      <c r="E904" s="106"/>
      <c r="F904" s="106"/>
      <c r="G904" s="243" t="s">
        <v>108</v>
      </c>
      <c r="H904" s="179"/>
      <c r="I904" s="106"/>
      <c r="J904" s="457"/>
      <c r="K904" s="179"/>
      <c r="L904" s="106" t="s">
        <v>108</v>
      </c>
      <c r="M904" s="106"/>
      <c r="N904" s="275" t="s">
        <v>108</v>
      </c>
      <c r="O904" s="179"/>
      <c r="P904" s="106" t="s">
        <v>108</v>
      </c>
      <c r="Q904" s="106"/>
      <c r="R904" s="275" t="s">
        <v>108</v>
      </c>
      <c r="S904" s="179"/>
      <c r="T904" s="106" t="s">
        <v>108</v>
      </c>
      <c r="U904" s="106"/>
      <c r="V904" s="275" t="s">
        <v>108</v>
      </c>
      <c r="W904" s="179"/>
      <c r="X904" s="106" t="s">
        <v>108</v>
      </c>
      <c r="Y904" s="176">
        <f>Y903*L902</f>
        <v>539439.92903101782</v>
      </c>
      <c r="Z904" s="176">
        <f>Z903*L902</f>
        <v>875950.54368532845</v>
      </c>
      <c r="AA904" s="176">
        <f>AA903*L902</f>
        <v>3455672.5304186782</v>
      </c>
      <c r="AB904" s="83" t="s">
        <v>237</v>
      </c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</row>
    <row r="905" spans="1:45" ht="15.75">
      <c r="A905" s="179"/>
      <c r="B905" s="179"/>
      <c r="C905" s="205"/>
      <c r="D905" s="243"/>
      <c r="E905" s="106"/>
      <c r="F905" s="106"/>
      <c r="G905" s="243"/>
      <c r="H905" s="179"/>
      <c r="I905" s="106"/>
      <c r="J905" s="243"/>
      <c r="K905" s="179"/>
      <c r="L905" s="270"/>
      <c r="M905" s="270"/>
      <c r="N905" s="243"/>
      <c r="O905" s="179"/>
      <c r="P905" s="270"/>
      <c r="Q905" s="270"/>
      <c r="R905" s="243"/>
      <c r="S905" s="179"/>
      <c r="T905" s="270"/>
      <c r="U905" s="270"/>
      <c r="V905" s="243"/>
      <c r="W905" s="179"/>
      <c r="X905" s="270"/>
      <c r="Y905" s="82"/>
      <c r="Z905" s="83"/>
      <c r="AA905" s="83"/>
      <c r="AB905" s="83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</row>
    <row r="906" spans="1:45" ht="15.75">
      <c r="A906" s="178" t="s">
        <v>232</v>
      </c>
      <c r="B906" s="179"/>
      <c r="C906" s="179"/>
      <c r="D906" s="106"/>
      <c r="E906" s="106"/>
      <c r="F906" s="179"/>
      <c r="G906" s="106"/>
      <c r="H906" s="179"/>
      <c r="I906" s="179"/>
      <c r="J906" s="106"/>
      <c r="K906" s="179"/>
      <c r="L906" s="179"/>
      <c r="M906" s="179"/>
      <c r="N906" s="106"/>
      <c r="O906" s="179"/>
      <c r="P906" s="179"/>
      <c r="Q906" s="179"/>
      <c r="R906" s="106"/>
      <c r="S906" s="179"/>
      <c r="T906" s="179"/>
      <c r="U906" s="179"/>
      <c r="V906" s="106"/>
      <c r="W906" s="179"/>
      <c r="X906" s="179"/>
      <c r="Y906" s="82"/>
      <c r="Z906" s="83"/>
      <c r="AA906" s="83"/>
      <c r="AB906" s="83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</row>
    <row r="907" spans="1:45" ht="15.75">
      <c r="A907" s="138" t="s">
        <v>241</v>
      </c>
      <c r="B907" s="179"/>
      <c r="C907" s="179"/>
      <c r="D907" s="106"/>
      <c r="E907" s="106"/>
      <c r="F907" s="179"/>
      <c r="G907" s="106"/>
      <c r="H907" s="179"/>
      <c r="I907" s="179"/>
      <c r="J907" s="106"/>
      <c r="K907" s="179"/>
      <c r="L907" s="179"/>
      <c r="M907" s="179"/>
      <c r="N907" s="106"/>
      <c r="O907" s="179"/>
      <c r="P907" s="179"/>
      <c r="Q907" s="179"/>
      <c r="R907" s="106"/>
      <c r="S907" s="179"/>
      <c r="T907" s="179"/>
      <c r="U907" s="179"/>
      <c r="V907" s="106"/>
      <c r="W907" s="179"/>
      <c r="X907" s="179"/>
      <c r="Y907" s="82"/>
      <c r="Z907" s="83"/>
      <c r="AA907" s="83"/>
      <c r="AB907" s="83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</row>
    <row r="908" spans="1:45" ht="15.75">
      <c r="A908" s="179" t="s">
        <v>108</v>
      </c>
      <c r="B908" s="179"/>
      <c r="C908" s="179"/>
      <c r="D908" s="106"/>
      <c r="E908" s="106"/>
      <c r="F908" s="179"/>
      <c r="G908" s="106"/>
      <c r="H908" s="179"/>
      <c r="I908" s="179"/>
      <c r="J908" s="106"/>
      <c r="K908" s="179"/>
      <c r="L908" s="179"/>
      <c r="M908" s="179"/>
      <c r="N908" s="106"/>
      <c r="O908" s="179"/>
      <c r="P908" s="179"/>
      <c r="Q908" s="179"/>
      <c r="R908" s="106"/>
      <c r="S908" s="179"/>
      <c r="T908" s="179"/>
      <c r="U908" s="179"/>
      <c r="V908" s="106"/>
      <c r="W908" s="179"/>
      <c r="X908" s="179"/>
      <c r="Y908" s="82"/>
      <c r="Z908" s="83"/>
      <c r="AA908" s="83"/>
      <c r="AB908" s="83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</row>
    <row r="909" spans="1:45" ht="15.75">
      <c r="A909" s="226" t="s">
        <v>11</v>
      </c>
      <c r="B909" s="179"/>
      <c r="C909" s="218"/>
      <c r="D909" s="106"/>
      <c r="E909" s="106"/>
      <c r="F909" s="179"/>
      <c r="G909" s="106"/>
      <c r="H909" s="179"/>
      <c r="I909" s="179"/>
      <c r="J909" s="106"/>
      <c r="K909" s="179"/>
      <c r="L909" s="179"/>
      <c r="M909" s="179"/>
      <c r="N909" s="106"/>
      <c r="O909" s="179"/>
      <c r="P909" s="179"/>
      <c r="Q909" s="179"/>
      <c r="R909" s="106"/>
      <c r="S909" s="179"/>
      <c r="T909" s="179"/>
      <c r="U909" s="179"/>
      <c r="V909" s="106"/>
      <c r="W909" s="179"/>
      <c r="X909" s="179"/>
      <c r="Z909" s="83"/>
      <c r="AA909" s="83"/>
      <c r="AB909" s="83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</row>
    <row r="910" spans="1:45" ht="15.75">
      <c r="A910" s="226" t="s">
        <v>228</v>
      </c>
      <c r="B910" s="179"/>
      <c r="C910" s="218">
        <v>106.272727272727</v>
      </c>
      <c r="D910" s="243">
        <v>1419</v>
      </c>
      <c r="E910" s="243"/>
      <c r="F910" s="106">
        <f>ROUND(D910*$C910,0)</f>
        <v>150801</v>
      </c>
      <c r="G910" s="243">
        <v>1419</v>
      </c>
      <c r="H910" s="220"/>
      <c r="I910" s="106">
        <f>ROUND(G910*C910,0)</f>
        <v>150801</v>
      </c>
      <c r="J910" s="243">
        <f>J891</f>
        <v>1419</v>
      </c>
      <c r="K910" s="220"/>
      <c r="L910" s="106">
        <f>ROUND(J910*$C910,0)</f>
        <v>150801</v>
      </c>
      <c r="M910" s="106"/>
      <c r="N910" s="243">
        <f>N891</f>
        <v>1419</v>
      </c>
      <c r="O910" s="220"/>
      <c r="P910" s="106">
        <f>ROUND(N910*$C910,0)</f>
        <v>150801</v>
      </c>
      <c r="Q910" s="106"/>
      <c r="R910" s="243"/>
      <c r="S910" s="220"/>
      <c r="T910" s="106"/>
      <c r="U910" s="106"/>
      <c r="V910" s="243"/>
      <c r="W910" s="220"/>
      <c r="X910" s="106"/>
      <c r="Y910" s="82"/>
      <c r="Z910" s="83"/>
      <c r="AA910" s="83"/>
      <c r="AB910" s="83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</row>
    <row r="911" spans="1:45" ht="15.75">
      <c r="A911" s="226" t="s">
        <v>229</v>
      </c>
      <c r="B911" s="179"/>
      <c r="C911" s="218">
        <v>0</v>
      </c>
      <c r="D911" s="243">
        <v>1707</v>
      </c>
      <c r="E911" s="243"/>
      <c r="F911" s="106">
        <f>ROUND(D911*$C911,0)</f>
        <v>0</v>
      </c>
      <c r="G911" s="243">
        <v>1707</v>
      </c>
      <c r="H911" s="222"/>
      <c r="I911" s="106">
        <f>ROUND(G911*C911,0)</f>
        <v>0</v>
      </c>
      <c r="J911" s="243">
        <f>J892</f>
        <v>1707</v>
      </c>
      <c r="K911" s="222"/>
      <c r="L911" s="106">
        <f>ROUND(J911*$C911,0)</f>
        <v>0</v>
      </c>
      <c r="M911" s="106"/>
      <c r="N911" s="243"/>
      <c r="O911" s="222"/>
      <c r="P911" s="106"/>
      <c r="Q911" s="106"/>
      <c r="R911" s="243"/>
      <c r="S911" s="222"/>
      <c r="T911" s="106"/>
      <c r="U911" s="106"/>
      <c r="V911" s="243"/>
      <c r="W911" s="222"/>
      <c r="X911" s="106"/>
      <c r="Y911" s="82"/>
      <c r="Z911" s="83"/>
      <c r="AA911" s="83"/>
      <c r="AB911" s="83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</row>
    <row r="912" spans="1:45" ht="15.75">
      <c r="A912" s="226" t="s">
        <v>150</v>
      </c>
      <c r="B912" s="179"/>
      <c r="C912" s="218">
        <f>SUM(C910:C911)</f>
        <v>106.272727272727</v>
      </c>
      <c r="D912" s="243" t="s">
        <v>108</v>
      </c>
      <c r="E912" s="243"/>
      <c r="F912" s="106" t="s">
        <v>108</v>
      </c>
      <c r="G912" s="243" t="s">
        <v>108</v>
      </c>
      <c r="H912" s="220"/>
      <c r="I912" s="106" t="s">
        <v>108</v>
      </c>
      <c r="J912" s="243" t="s">
        <v>108</v>
      </c>
      <c r="K912" s="220"/>
      <c r="L912" s="106" t="s">
        <v>108</v>
      </c>
      <c r="M912" s="106"/>
      <c r="N912" s="243" t="s">
        <v>108</v>
      </c>
      <c r="O912" s="220"/>
      <c r="P912" s="106" t="s">
        <v>108</v>
      </c>
      <c r="Q912" s="106"/>
      <c r="R912" s="243"/>
      <c r="S912" s="220"/>
      <c r="T912" s="106"/>
      <c r="U912" s="106"/>
      <c r="V912" s="243"/>
      <c r="W912" s="220"/>
      <c r="X912" s="106"/>
      <c r="Y912" s="82"/>
      <c r="Z912" s="83"/>
      <c r="AA912" s="83"/>
      <c r="AB912" s="83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</row>
    <row r="913" spans="1:45" ht="15.75">
      <c r="A913" s="226" t="s">
        <v>230</v>
      </c>
      <c r="B913" s="179"/>
      <c r="C913" s="218">
        <v>191834.454545455</v>
      </c>
      <c r="D913" s="243">
        <v>0.53</v>
      </c>
      <c r="E913" s="243"/>
      <c r="F913" s="106">
        <f>ROUND(D913*$C913,0)</f>
        <v>101672</v>
      </c>
      <c r="G913" s="243">
        <v>0.53</v>
      </c>
      <c r="H913" s="220"/>
      <c r="I913" s="106">
        <f t="shared" ref="I913:I915" si="173">ROUND(G913*C913,0)</f>
        <v>101672</v>
      </c>
      <c r="J913" s="243">
        <f>J894</f>
        <v>0.54</v>
      </c>
      <c r="K913" s="220"/>
      <c r="L913" s="106">
        <f>ROUND(J913*$C913,0)</f>
        <v>103591</v>
      </c>
      <c r="M913" s="106"/>
      <c r="N913" s="243">
        <f>N894</f>
        <v>0.55000000000000004</v>
      </c>
      <c r="O913" s="220"/>
      <c r="P913" s="106">
        <f>ROUND(N913*$C913,0)</f>
        <v>105509</v>
      </c>
      <c r="Q913" s="106"/>
      <c r="R913" s="243"/>
      <c r="S913" s="220"/>
      <c r="T913" s="106"/>
      <c r="U913" s="106"/>
      <c r="V913" s="243"/>
      <c r="W913" s="220"/>
      <c r="X913" s="106"/>
      <c r="Y913" s="209" t="s">
        <v>108</v>
      </c>
      <c r="Z913" s="83"/>
      <c r="AA913" s="83" t="s">
        <v>108</v>
      </c>
      <c r="AB913" s="83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</row>
    <row r="914" spans="1:45" ht="15.75">
      <c r="A914" s="226" t="s">
        <v>231</v>
      </c>
      <c r="B914" s="179"/>
      <c r="C914" s="218">
        <v>0</v>
      </c>
      <c r="D914" s="243">
        <v>0.43</v>
      </c>
      <c r="E914" s="243"/>
      <c r="F914" s="106">
        <f>ROUND(D914*$C914,0)</f>
        <v>0</v>
      </c>
      <c r="G914" s="243">
        <v>0.43</v>
      </c>
      <c r="H914" s="220"/>
      <c r="I914" s="106">
        <f t="shared" si="173"/>
        <v>0</v>
      </c>
      <c r="J914" s="243">
        <f>J895</f>
        <v>0.44</v>
      </c>
      <c r="K914" s="220"/>
      <c r="L914" s="106">
        <f>ROUND(J914*$C914,0)</f>
        <v>0</v>
      </c>
      <c r="M914" s="106"/>
      <c r="N914" s="243">
        <f>N895</f>
        <v>0.45</v>
      </c>
      <c r="O914" s="220"/>
      <c r="P914" s="106">
        <f>ROUND(N914*$C914,0)</f>
        <v>0</v>
      </c>
      <c r="Q914" s="106"/>
      <c r="R914" s="243"/>
      <c r="S914" s="220"/>
      <c r="T914" s="106"/>
      <c r="U914" s="106"/>
      <c r="V914" s="243"/>
      <c r="W914" s="220"/>
      <c r="X914" s="106"/>
      <c r="Y914" s="82"/>
      <c r="Z914" s="83"/>
      <c r="AA914" s="83"/>
      <c r="AB914" s="83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</row>
    <row r="915" spans="1:45" ht="15.75">
      <c r="A915" s="138" t="s">
        <v>158</v>
      </c>
      <c r="B915" s="179"/>
      <c r="C915" s="218">
        <v>152726.48484848501</v>
      </c>
      <c r="D915" s="243">
        <v>6.99</v>
      </c>
      <c r="E915" s="243"/>
      <c r="F915" s="106">
        <f>ROUND(D915*$C915,0)</f>
        <v>1067558</v>
      </c>
      <c r="G915" s="243">
        <v>7.4</v>
      </c>
      <c r="H915" s="220"/>
      <c r="I915" s="106">
        <f t="shared" si="173"/>
        <v>1130176</v>
      </c>
      <c r="J915" s="243">
        <f>J896</f>
        <v>7.59</v>
      </c>
      <c r="K915" s="220"/>
      <c r="L915" s="106">
        <f>ROUND(J915*$C915,0)</f>
        <v>1159194</v>
      </c>
      <c r="M915" s="106"/>
      <c r="N915" s="243">
        <f>N896</f>
        <v>0.89096258171704634</v>
      </c>
      <c r="O915" s="220"/>
      <c r="P915" s="106">
        <f>ROUND(N915*$C915,0)</f>
        <v>136074</v>
      </c>
      <c r="Q915" s="106"/>
      <c r="R915" s="243">
        <f>R896</f>
        <v>1.3724531889191709</v>
      </c>
      <c r="S915" s="220"/>
      <c r="T915" s="106">
        <f>ROUND(R915*$C915,0)</f>
        <v>209610</v>
      </c>
      <c r="U915" s="106"/>
      <c r="V915" s="243">
        <f>V896</f>
        <v>5.3265842293637826</v>
      </c>
      <c r="W915" s="220"/>
      <c r="X915" s="106">
        <f>ROUND(V915*$C915,0)</f>
        <v>813510</v>
      </c>
      <c r="Y915" s="82"/>
      <c r="Z915" s="83"/>
      <c r="AA915" s="83"/>
      <c r="AB915" s="83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</row>
    <row r="916" spans="1:45" ht="15.75">
      <c r="A916" s="226" t="s">
        <v>181</v>
      </c>
      <c r="B916" s="179"/>
      <c r="C916" s="218"/>
      <c r="D916" s="243" t="s">
        <v>108</v>
      </c>
      <c r="E916" s="243"/>
      <c r="F916" s="106"/>
      <c r="G916" s="243" t="s">
        <v>108</v>
      </c>
      <c r="H916" s="220"/>
      <c r="I916" s="106"/>
      <c r="J916" s="243" t="s">
        <v>108</v>
      </c>
      <c r="K916" s="220"/>
      <c r="L916" s="106"/>
      <c r="M916" s="106"/>
      <c r="N916" s="243" t="s">
        <v>108</v>
      </c>
      <c r="O916" s="220"/>
      <c r="P916" s="106"/>
      <c r="Q916" s="106"/>
      <c r="R916" s="243" t="s">
        <v>108</v>
      </c>
      <c r="S916" s="220"/>
      <c r="T916" s="106"/>
      <c r="U916" s="106"/>
      <c r="V916" s="243" t="s">
        <v>108</v>
      </c>
      <c r="W916" s="220"/>
      <c r="X916" s="106"/>
      <c r="Y916" s="82"/>
      <c r="Z916" s="83"/>
      <c r="AA916" s="83"/>
      <c r="AB916" s="83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</row>
    <row r="917" spans="1:45" ht="15.75">
      <c r="A917" s="226" t="s">
        <v>219</v>
      </c>
      <c r="B917" s="179"/>
      <c r="C917" s="218">
        <v>63272636.012304217</v>
      </c>
      <c r="D917" s="337">
        <v>4.1920000000000002</v>
      </c>
      <c r="E917" s="220" t="s">
        <v>116</v>
      </c>
      <c r="F917" s="106">
        <f>ROUND(D917/100*$C917,0)</f>
        <v>2652389</v>
      </c>
      <c r="G917" s="337">
        <v>4.4589999999999996</v>
      </c>
      <c r="H917" s="220" t="s">
        <v>116</v>
      </c>
      <c r="I917" s="106">
        <f>ROUND(G917/100*C917,0)</f>
        <v>2821327</v>
      </c>
      <c r="J917" s="337">
        <f>J898</f>
        <v>4.57</v>
      </c>
      <c r="K917" s="220" t="s">
        <v>116</v>
      </c>
      <c r="L917" s="106">
        <f>ROUND(J917/100*$C917,0)</f>
        <v>2891559</v>
      </c>
      <c r="M917" s="106"/>
      <c r="N917" s="337"/>
      <c r="O917" s="220"/>
      <c r="P917" s="106"/>
      <c r="Q917" s="106"/>
      <c r="R917" s="337">
        <f>R898</f>
        <v>0.9362704940627472</v>
      </c>
      <c r="S917" s="220" t="s">
        <v>116</v>
      </c>
      <c r="T917" s="106">
        <f>ROUND(R917/100*$C917,0)</f>
        <v>592403</v>
      </c>
      <c r="U917" s="106"/>
      <c r="V917" s="337">
        <f>V898</f>
        <v>3.6337295059372532</v>
      </c>
      <c r="W917" s="220" t="s">
        <v>116</v>
      </c>
      <c r="X917" s="106">
        <f>ROUND(V917/100*$C917,0)</f>
        <v>2299156</v>
      </c>
      <c r="Y917" s="82"/>
      <c r="Z917" s="83"/>
      <c r="AA917" s="83"/>
      <c r="AB917" s="83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</row>
    <row r="918" spans="1:45" ht="15.75">
      <c r="A918" s="226" t="s">
        <v>155</v>
      </c>
      <c r="B918" s="179"/>
      <c r="C918" s="218">
        <v>12916.333333333299</v>
      </c>
      <c r="D918" s="243">
        <v>0.54</v>
      </c>
      <c r="E918" s="220"/>
      <c r="F918" s="106">
        <f>ROUND(D918*$C918,0)</f>
        <v>6975</v>
      </c>
      <c r="G918" s="243">
        <v>0.54</v>
      </c>
      <c r="H918" s="220"/>
      <c r="I918" s="106">
        <f>ROUND(G918*C918,0)</f>
        <v>6975</v>
      </c>
      <c r="J918" s="243">
        <f>J899</f>
        <v>0.54</v>
      </c>
      <c r="K918" s="220"/>
      <c r="L918" s="106">
        <f>ROUND(J918*$C918,0)</f>
        <v>6975</v>
      </c>
      <c r="M918" s="106"/>
      <c r="N918" s="243"/>
      <c r="O918" s="220"/>
      <c r="P918" s="106"/>
      <c r="Q918" s="106"/>
      <c r="R918" s="243">
        <f>R899</f>
        <v>0.11063152446255657</v>
      </c>
      <c r="S918" s="220"/>
      <c r="T918" s="106">
        <f>ROUND(R918*$C918,0)</f>
        <v>1429</v>
      </c>
      <c r="U918" s="106"/>
      <c r="V918" s="243">
        <f>V899</f>
        <v>0.43</v>
      </c>
      <c r="W918" s="220"/>
      <c r="X918" s="106">
        <f>ROUND(V918*$C918,0)</f>
        <v>5554</v>
      </c>
      <c r="Y918" s="82"/>
      <c r="Z918" s="83"/>
      <c r="AA918" s="83"/>
      <c r="AB918" s="83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</row>
    <row r="919" spans="1:45" ht="15.75">
      <c r="A919" s="179" t="s">
        <v>134</v>
      </c>
      <c r="B919" s="179"/>
      <c r="C919" s="218">
        <f>C917</f>
        <v>63272636.012304217</v>
      </c>
      <c r="D919" s="229"/>
      <c r="E919" s="106"/>
      <c r="F919" s="106">
        <f>SUM(F910:F918)</f>
        <v>3979395</v>
      </c>
      <c r="G919" s="229"/>
      <c r="H919" s="179"/>
      <c r="I919" s="106">
        <f>SUM(I910:I918)</f>
        <v>4210951</v>
      </c>
      <c r="J919" s="229"/>
      <c r="K919" s="179"/>
      <c r="L919" s="106">
        <f>SUM(L910:L918)</f>
        <v>4312120</v>
      </c>
      <c r="M919" s="106"/>
      <c r="N919" s="229"/>
      <c r="O919" s="179"/>
      <c r="P919" s="106"/>
      <c r="Q919" s="106"/>
      <c r="R919" s="229"/>
      <c r="S919" s="179"/>
      <c r="T919" s="106">
        <f>SUM(T910:T918)</f>
        <v>803442</v>
      </c>
      <c r="U919" s="106"/>
      <c r="V919" s="229"/>
      <c r="W919" s="179"/>
      <c r="X919" s="106">
        <f>SUM(X910:X918)</f>
        <v>3118220</v>
      </c>
      <c r="Y919" s="82"/>
      <c r="Z919" s="83"/>
      <c r="AA919" s="83"/>
      <c r="AB919" s="83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</row>
    <row r="920" spans="1:45" ht="15.75">
      <c r="A920" s="179" t="s">
        <v>119</v>
      </c>
      <c r="B920" s="179"/>
      <c r="C920" s="218">
        <f>C919/($C$865+$C$919)*$C$954</f>
        <v>-181609.39337193142</v>
      </c>
      <c r="D920" s="138"/>
      <c r="E920" s="138"/>
      <c r="F920" s="334">
        <f>I920</f>
        <v>-9981.7737565389725</v>
      </c>
      <c r="G920" s="138"/>
      <c r="H920" s="138"/>
      <c r="I920" s="247">
        <f>I919/($I$865+$I$919)*$I$954</f>
        <v>-9981.7737565389725</v>
      </c>
      <c r="J920" s="138"/>
      <c r="K920" s="138"/>
      <c r="L920" s="248">
        <f>I920</f>
        <v>-9981.7737565389725</v>
      </c>
      <c r="M920" s="221"/>
      <c r="N920" s="138"/>
      <c r="O920" s="138"/>
      <c r="P920" s="248">
        <f>$L$920*Y904/(Y904+$Z$904+$AA$904)</f>
        <v>-1105.4193557680412</v>
      </c>
      <c r="Q920" s="137"/>
      <c r="R920" s="138"/>
      <c r="S920" s="138"/>
      <c r="T920" s="248">
        <f>$L$920*Z904/(Y904+$Z$904+$AA$904)</f>
        <v>-1794.996316688349</v>
      </c>
      <c r="U920" s="137"/>
      <c r="V920" s="138"/>
      <c r="W920" s="138"/>
      <c r="X920" s="248">
        <f>$L$920*AA904/(Y904+$Z$904+$AA$904)</f>
        <v>-7081.3580840825816</v>
      </c>
      <c r="Y920" s="172"/>
      <c r="Z920" s="168"/>
      <c r="AA920" s="83"/>
      <c r="AB920" s="83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</row>
    <row r="921" spans="1:45" ht="16.5" thickBot="1">
      <c r="A921" s="179" t="s">
        <v>135</v>
      </c>
      <c r="B921" s="179"/>
      <c r="C921" s="335">
        <f>SUM(C919)+C920</f>
        <v>63091026.618932284</v>
      </c>
      <c r="D921" s="268"/>
      <c r="E921" s="250"/>
      <c r="F921" s="251">
        <f>F919+F920</f>
        <v>3969413.226243461</v>
      </c>
      <c r="G921" s="268"/>
      <c r="H921" s="269"/>
      <c r="I921" s="251">
        <f>I919+I920</f>
        <v>4200969.2262434615</v>
      </c>
      <c r="J921" s="268"/>
      <c r="K921" s="269"/>
      <c r="L921" s="251">
        <f>L919+L920</f>
        <v>4302138.2262434615</v>
      </c>
      <c r="M921" s="251"/>
      <c r="N921" s="268"/>
      <c r="O921" s="269"/>
      <c r="P921" s="251">
        <f>P919+P920</f>
        <v>-1105.4193557680412</v>
      </c>
      <c r="Q921" s="251"/>
      <c r="R921" s="268"/>
      <c r="S921" s="269"/>
      <c r="T921" s="251">
        <f>T919+T920</f>
        <v>801647.00368331163</v>
      </c>
      <c r="U921" s="251"/>
      <c r="V921" s="268"/>
      <c r="W921" s="269"/>
      <c r="X921" s="251">
        <f>X919+X920</f>
        <v>3111138.6419159174</v>
      </c>
      <c r="Y921" s="176" t="s">
        <v>108</v>
      </c>
      <c r="Z921" s="177"/>
      <c r="AA921" s="83"/>
      <c r="AB921" s="83"/>
      <c r="AC921" s="190" t="s">
        <v>108</v>
      </c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</row>
    <row r="922" spans="1:45" ht="16.5" thickTop="1">
      <c r="A922" s="179"/>
      <c r="B922" s="179"/>
      <c r="C922" s="205"/>
      <c r="D922" s="243" t="s">
        <v>108</v>
      </c>
      <c r="E922" s="106"/>
      <c r="F922" s="106"/>
      <c r="G922" s="243" t="s">
        <v>108</v>
      </c>
      <c r="H922" s="179"/>
      <c r="I922" s="106"/>
      <c r="J922" s="275" t="s">
        <v>108</v>
      </c>
      <c r="K922" s="179"/>
      <c r="L922" s="106" t="s">
        <v>108</v>
      </c>
      <c r="M922" s="106"/>
      <c r="N922" s="275" t="s">
        <v>108</v>
      </c>
      <c r="O922" s="179"/>
      <c r="P922" s="106" t="s">
        <v>108</v>
      </c>
      <c r="Q922" s="106"/>
      <c r="R922" s="275" t="s">
        <v>108</v>
      </c>
      <c r="S922" s="179"/>
      <c r="T922" s="106" t="s">
        <v>108</v>
      </c>
      <c r="U922" s="106"/>
      <c r="V922" s="275" t="s">
        <v>108</v>
      </c>
      <c r="W922" s="179"/>
      <c r="X922" s="106" t="s">
        <v>108</v>
      </c>
      <c r="Y922" s="82"/>
      <c r="Z922" s="83"/>
      <c r="AA922" s="83"/>
      <c r="AB922" s="83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</row>
    <row r="923" spans="1:45" ht="15.75">
      <c r="A923" s="178" t="s">
        <v>232</v>
      </c>
      <c r="B923" s="179"/>
      <c r="C923" s="179"/>
      <c r="D923" s="106"/>
      <c r="E923" s="106"/>
      <c r="F923" s="179"/>
      <c r="G923" s="106"/>
      <c r="H923" s="179"/>
      <c r="I923" s="179"/>
      <c r="J923" s="106"/>
      <c r="K923" s="179"/>
      <c r="L923" s="179"/>
      <c r="M923" s="179"/>
      <c r="N923" s="106"/>
      <c r="O923" s="179"/>
      <c r="P923" s="179"/>
      <c r="Q923" s="179"/>
      <c r="R923" s="106"/>
      <c r="S923" s="179"/>
      <c r="T923" s="179"/>
      <c r="U923" s="179"/>
      <c r="V923" s="106"/>
      <c r="W923" s="179"/>
      <c r="X923" s="179"/>
      <c r="Y923" s="82"/>
      <c r="Z923" s="83"/>
      <c r="AA923" s="83"/>
      <c r="AB923" s="83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</row>
    <row r="924" spans="1:45" ht="15.75">
      <c r="A924" s="138" t="s">
        <v>242</v>
      </c>
      <c r="B924" s="179"/>
      <c r="C924" s="179"/>
      <c r="D924" s="106"/>
      <c r="E924" s="106"/>
      <c r="F924" s="179"/>
      <c r="G924" s="106"/>
      <c r="H924" s="179"/>
      <c r="I924" s="179"/>
      <c r="J924" s="106"/>
      <c r="K924" s="179"/>
      <c r="L924" s="179"/>
      <c r="M924" s="179"/>
      <c r="N924" s="106"/>
      <c r="O924" s="179"/>
      <c r="P924" s="179"/>
      <c r="Q924" s="179"/>
      <c r="R924" s="106"/>
      <c r="S924" s="179"/>
      <c r="T924" s="179"/>
      <c r="U924" s="179"/>
      <c r="V924" s="106"/>
      <c r="W924" s="179"/>
      <c r="X924" s="179"/>
      <c r="Y924" s="82"/>
      <c r="Z924" s="83"/>
      <c r="AA924" s="83"/>
      <c r="AB924" s="83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</row>
    <row r="925" spans="1:45" ht="15.75">
      <c r="A925" s="179" t="s">
        <v>108</v>
      </c>
      <c r="B925" s="179"/>
      <c r="C925" s="179"/>
      <c r="D925" s="106"/>
      <c r="E925" s="106"/>
      <c r="F925" s="179"/>
      <c r="G925" s="106"/>
      <c r="H925" s="179"/>
      <c r="I925" s="179"/>
      <c r="J925" s="106"/>
      <c r="K925" s="179"/>
      <c r="L925" s="179"/>
      <c r="M925" s="179"/>
      <c r="N925" s="106"/>
      <c r="O925" s="179"/>
      <c r="P925" s="179"/>
      <c r="Q925" s="179"/>
      <c r="R925" s="106"/>
      <c r="S925" s="179"/>
      <c r="T925" s="179"/>
      <c r="U925" s="179"/>
      <c r="V925" s="106"/>
      <c r="W925" s="179"/>
      <c r="X925" s="179"/>
      <c r="Y925" s="82"/>
      <c r="Z925" s="83"/>
      <c r="AA925" s="83"/>
      <c r="AB925" s="83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</row>
    <row r="926" spans="1:45" ht="15.75">
      <c r="A926" s="226" t="s">
        <v>11</v>
      </c>
      <c r="B926" s="179"/>
      <c r="C926" s="218"/>
      <c r="D926" s="106"/>
      <c r="E926" s="106"/>
      <c r="F926" s="179"/>
      <c r="G926" s="106"/>
      <c r="H926" s="179"/>
      <c r="I926" s="179"/>
      <c r="J926" s="106"/>
      <c r="K926" s="179"/>
      <c r="L926" s="179"/>
      <c r="M926" s="179"/>
      <c r="N926" s="106"/>
      <c r="O926" s="179"/>
      <c r="P926" s="179"/>
      <c r="Q926" s="179"/>
      <c r="R926" s="106"/>
      <c r="S926" s="179"/>
      <c r="T926" s="179"/>
      <c r="U926" s="179"/>
      <c r="V926" s="106"/>
      <c r="W926" s="179"/>
      <c r="X926" s="179"/>
      <c r="Z926" s="83"/>
      <c r="AA926" s="83"/>
      <c r="AB926" s="83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</row>
    <row r="927" spans="1:45" ht="15.75">
      <c r="A927" s="226" t="s">
        <v>228</v>
      </c>
      <c r="B927" s="179"/>
      <c r="C927" s="218">
        <v>24</v>
      </c>
      <c r="D927" s="243">
        <v>1419</v>
      </c>
      <c r="E927" s="243"/>
      <c r="F927" s="106">
        <f>ROUND(D927*$C927,0)</f>
        <v>34056</v>
      </c>
      <c r="G927" s="243">
        <v>1419</v>
      </c>
      <c r="H927" s="220"/>
      <c r="I927" s="106">
        <f>ROUND(G927*C927,0)</f>
        <v>34056</v>
      </c>
      <c r="J927" s="243">
        <f>J891</f>
        <v>1419</v>
      </c>
      <c r="K927" s="220"/>
      <c r="L927" s="106">
        <f>ROUND(J927*$C927,0)</f>
        <v>34056</v>
      </c>
      <c r="M927" s="106"/>
      <c r="N927" s="243">
        <f>N891</f>
        <v>1419</v>
      </c>
      <c r="O927" s="220"/>
      <c r="P927" s="106">
        <f>ROUND(N927*$C927,0)</f>
        <v>34056</v>
      </c>
      <c r="Q927" s="106"/>
      <c r="R927" s="243"/>
      <c r="S927" s="220"/>
      <c r="T927" s="106"/>
      <c r="U927" s="106"/>
      <c r="V927" s="243"/>
      <c r="W927" s="220"/>
      <c r="X927" s="106"/>
      <c r="Y927" s="82"/>
      <c r="Z927" s="83"/>
      <c r="AA927" s="83"/>
      <c r="AB927" s="83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</row>
    <row r="928" spans="1:45" ht="15.75">
      <c r="A928" s="226" t="s">
        <v>229</v>
      </c>
      <c r="B928" s="179"/>
      <c r="C928" s="218">
        <v>0</v>
      </c>
      <c r="D928" s="243">
        <v>1707</v>
      </c>
      <c r="E928" s="243"/>
      <c r="F928" s="106">
        <f>ROUND(D928*$C928,0)</f>
        <v>0</v>
      </c>
      <c r="G928" s="243">
        <v>1707</v>
      </c>
      <c r="H928" s="222"/>
      <c r="I928" s="106">
        <f>ROUND(G928*C928,0)</f>
        <v>0</v>
      </c>
      <c r="J928" s="243">
        <f>J892</f>
        <v>1707</v>
      </c>
      <c r="K928" s="222"/>
      <c r="L928" s="106">
        <f>ROUND(J928*$C928,0)</f>
        <v>0</v>
      </c>
      <c r="M928" s="106"/>
      <c r="N928" s="243">
        <f>N892</f>
        <v>0</v>
      </c>
      <c r="O928" s="222"/>
      <c r="P928" s="106">
        <f>ROUND(N928*$C928,0)</f>
        <v>0</v>
      </c>
      <c r="Q928" s="106"/>
      <c r="R928" s="243"/>
      <c r="S928" s="222"/>
      <c r="T928" s="106"/>
      <c r="U928" s="106"/>
      <c r="V928" s="243"/>
      <c r="W928" s="222"/>
      <c r="X928" s="106"/>
      <c r="Y928" s="82"/>
      <c r="Z928" s="83"/>
      <c r="AA928" s="83"/>
      <c r="AB928" s="83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</row>
    <row r="929" spans="1:45" ht="15.75">
      <c r="A929" s="226" t="s">
        <v>150</v>
      </c>
      <c r="B929" s="179"/>
      <c r="C929" s="218">
        <f>SUM(C927:C928)</f>
        <v>24</v>
      </c>
      <c r="D929" s="243" t="s">
        <v>108</v>
      </c>
      <c r="E929" s="243"/>
      <c r="F929" s="106" t="s">
        <v>108</v>
      </c>
      <c r="G929" s="243" t="s">
        <v>108</v>
      </c>
      <c r="H929" s="220"/>
      <c r="I929" s="106" t="s">
        <v>108</v>
      </c>
      <c r="J929" s="243" t="s">
        <v>108</v>
      </c>
      <c r="K929" s="220"/>
      <c r="L929" s="106" t="s">
        <v>108</v>
      </c>
      <c r="M929" s="106"/>
      <c r="N929" s="243" t="s">
        <v>108</v>
      </c>
      <c r="O929" s="220"/>
      <c r="P929" s="106" t="s">
        <v>108</v>
      </c>
      <c r="Q929" s="106"/>
      <c r="R929" s="243"/>
      <c r="S929" s="220"/>
      <c r="T929" s="106"/>
      <c r="U929" s="106"/>
      <c r="V929" s="243"/>
      <c r="W929" s="220"/>
      <c r="X929" s="106"/>
      <c r="Y929" s="82"/>
      <c r="Z929" s="83"/>
      <c r="AA929" s="83"/>
      <c r="AB929" s="83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</row>
    <row r="930" spans="1:45" ht="15.75">
      <c r="A930" s="226" t="s">
        <v>230</v>
      </c>
      <c r="B930" s="179"/>
      <c r="C930" s="218">
        <v>29849</v>
      </c>
      <c r="D930" s="243">
        <v>0.53</v>
      </c>
      <c r="E930" s="243"/>
      <c r="F930" s="106">
        <f>ROUND(D930*$C930,0)</f>
        <v>15820</v>
      </c>
      <c r="G930" s="243">
        <v>0.53</v>
      </c>
      <c r="H930" s="220"/>
      <c r="I930" s="106">
        <f t="shared" ref="I930:I932" si="174">ROUND(G930*C930,0)</f>
        <v>15820</v>
      </c>
      <c r="J930" s="243">
        <f>J894</f>
        <v>0.54</v>
      </c>
      <c r="K930" s="220"/>
      <c r="L930" s="106">
        <f>ROUND(J930*$C930,0)</f>
        <v>16118</v>
      </c>
      <c r="M930" s="106"/>
      <c r="N930" s="243">
        <f>N894</f>
        <v>0.55000000000000004</v>
      </c>
      <c r="O930" s="220"/>
      <c r="P930" s="106">
        <f>ROUND(N930*$C930,0)</f>
        <v>16417</v>
      </c>
      <c r="Q930" s="106"/>
      <c r="R930" s="243"/>
      <c r="S930" s="220"/>
      <c r="T930" s="106"/>
      <c r="U930" s="106"/>
      <c r="V930" s="243"/>
      <c r="W930" s="220"/>
      <c r="X930" s="106"/>
      <c r="Y930" s="209" t="s">
        <v>108</v>
      </c>
      <c r="Z930" s="83"/>
      <c r="AA930" s="83" t="s">
        <v>108</v>
      </c>
      <c r="AB930" s="83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</row>
    <row r="931" spans="1:45" ht="15.75">
      <c r="A931" s="226" t="s">
        <v>231</v>
      </c>
      <c r="B931" s="179"/>
      <c r="C931" s="218">
        <v>0</v>
      </c>
      <c r="D931" s="243">
        <v>0.43</v>
      </c>
      <c r="E931" s="243"/>
      <c r="F931" s="106">
        <f>ROUND(D931*$C931,0)</f>
        <v>0</v>
      </c>
      <c r="G931" s="243">
        <v>0.43</v>
      </c>
      <c r="H931" s="220"/>
      <c r="I931" s="106">
        <f t="shared" si="174"/>
        <v>0</v>
      </c>
      <c r="J931" s="243">
        <f>J895</f>
        <v>0.44</v>
      </c>
      <c r="K931" s="220"/>
      <c r="L931" s="106">
        <f>ROUND(J931*$C931,0)</f>
        <v>0</v>
      </c>
      <c r="M931" s="106"/>
      <c r="N931" s="243">
        <f>N895</f>
        <v>0.45</v>
      </c>
      <c r="O931" s="220"/>
      <c r="P931" s="106">
        <f>ROUND(N931*$C931,0)</f>
        <v>0</v>
      </c>
      <c r="Q931" s="106"/>
      <c r="R931" s="243"/>
      <c r="S931" s="220"/>
      <c r="T931" s="106"/>
      <c r="U931" s="106"/>
      <c r="V931" s="243"/>
      <c r="W931" s="220"/>
      <c r="X931" s="106"/>
      <c r="Y931" s="82"/>
      <c r="Z931" s="83"/>
      <c r="AA931" s="83"/>
      <c r="AB931" s="83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</row>
    <row r="932" spans="1:45" ht="15.75">
      <c r="A932" s="138" t="s">
        <v>158</v>
      </c>
      <c r="B932" s="179"/>
      <c r="C932" s="218">
        <v>25350</v>
      </c>
      <c r="D932" s="243">
        <v>6.99</v>
      </c>
      <c r="E932" s="243"/>
      <c r="F932" s="106">
        <f>ROUND(D932*$C932,0)</f>
        <v>177197</v>
      </c>
      <c r="G932" s="243">
        <v>7.4</v>
      </c>
      <c r="H932" s="220"/>
      <c r="I932" s="106">
        <f t="shared" si="174"/>
        <v>187590</v>
      </c>
      <c r="J932" s="243">
        <f>J896</f>
        <v>7.59</v>
      </c>
      <c r="K932" s="220"/>
      <c r="L932" s="106">
        <f>ROUND(J932*$C932,0)</f>
        <v>192407</v>
      </c>
      <c r="M932" s="106"/>
      <c r="N932" s="243">
        <f>N896</f>
        <v>0.89096258171704634</v>
      </c>
      <c r="O932" s="220"/>
      <c r="P932" s="106">
        <f>ROUND(N932*$C932,0)</f>
        <v>22586</v>
      </c>
      <c r="Q932" s="106"/>
      <c r="R932" s="243">
        <f>R896</f>
        <v>1.3724531889191709</v>
      </c>
      <c r="S932" s="220"/>
      <c r="T932" s="106">
        <f>ROUND(R932*$C932,0)</f>
        <v>34792</v>
      </c>
      <c r="U932" s="106"/>
      <c r="V932" s="243">
        <f>V896</f>
        <v>5.3265842293637826</v>
      </c>
      <c r="W932" s="220"/>
      <c r="X932" s="106">
        <f>ROUND(V932*$C932,0)</f>
        <v>135029</v>
      </c>
      <c r="Y932" s="82"/>
      <c r="Z932" s="83"/>
      <c r="AA932" s="83"/>
      <c r="AB932" s="83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</row>
    <row r="933" spans="1:45" ht="15.75">
      <c r="A933" s="226" t="s">
        <v>181</v>
      </c>
      <c r="B933" s="179"/>
      <c r="C933" s="218"/>
      <c r="D933" s="243" t="s">
        <v>108</v>
      </c>
      <c r="E933" s="243"/>
      <c r="F933" s="106"/>
      <c r="G933" s="243" t="s">
        <v>108</v>
      </c>
      <c r="H933" s="220"/>
      <c r="I933" s="106"/>
      <c r="J933" s="243" t="s">
        <v>108</v>
      </c>
      <c r="K933" s="220"/>
      <c r="L933" s="106"/>
      <c r="M933" s="106"/>
      <c r="N933" s="243" t="s">
        <v>108</v>
      </c>
      <c r="O933" s="220"/>
      <c r="P933" s="106"/>
      <c r="Q933" s="106"/>
      <c r="R933" s="243" t="s">
        <v>108</v>
      </c>
      <c r="S933" s="220"/>
      <c r="T933" s="106"/>
      <c r="U933" s="106"/>
      <c r="V933" s="243" t="s">
        <v>108</v>
      </c>
      <c r="W933" s="220"/>
      <c r="X933" s="106"/>
      <c r="Y933" s="82"/>
      <c r="Z933" s="83"/>
      <c r="AA933" s="83"/>
      <c r="AB933" s="83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</row>
    <row r="934" spans="1:45" ht="15.75">
      <c r="A934" s="226" t="s">
        <v>219</v>
      </c>
      <c r="B934" s="179"/>
      <c r="C934" s="218">
        <v>7345800</v>
      </c>
      <c r="D934" s="337">
        <v>4.1920000000000002</v>
      </c>
      <c r="E934" s="220" t="s">
        <v>116</v>
      </c>
      <c r="F934" s="106">
        <f>ROUND(D934/100*$C934,0)</f>
        <v>307936</v>
      </c>
      <c r="G934" s="337">
        <v>4.4589999999999996</v>
      </c>
      <c r="H934" s="220" t="s">
        <v>116</v>
      </c>
      <c r="I934" s="106">
        <f>ROUND(G934/100*C934,0)</f>
        <v>327549</v>
      </c>
      <c r="J934" s="337">
        <f>J898</f>
        <v>4.57</v>
      </c>
      <c r="K934" s="220" t="s">
        <v>116</v>
      </c>
      <c r="L934" s="106">
        <f>ROUND(J934/100*$C934,0)</f>
        <v>335703</v>
      </c>
      <c r="M934" s="106"/>
      <c r="N934" s="337">
        <f>N898</f>
        <v>0</v>
      </c>
      <c r="O934" s="220" t="s">
        <v>116</v>
      </c>
      <c r="P934" s="106">
        <f>ROUND(N934/100*$C934,0)</f>
        <v>0</v>
      </c>
      <c r="Q934" s="106"/>
      <c r="R934" s="337">
        <f>R898</f>
        <v>0.9362704940627472</v>
      </c>
      <c r="S934" s="220" t="s">
        <v>116</v>
      </c>
      <c r="T934" s="106">
        <f>ROUND(R934/100*$C934,0)</f>
        <v>68777</v>
      </c>
      <c r="U934" s="106"/>
      <c r="V934" s="337">
        <f>V898</f>
        <v>3.6337295059372532</v>
      </c>
      <c r="W934" s="220" t="s">
        <v>116</v>
      </c>
      <c r="X934" s="106">
        <f>ROUND(V934/100*$C934,0)</f>
        <v>266927</v>
      </c>
      <c r="Y934" s="82"/>
      <c r="Z934" s="83"/>
      <c r="AA934" s="83"/>
      <c r="AB934" s="83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</row>
    <row r="935" spans="1:45" ht="15.75">
      <c r="A935" s="226" t="s">
        <v>155</v>
      </c>
      <c r="B935" s="179"/>
      <c r="C935" s="218">
        <v>4395</v>
      </c>
      <c r="D935" s="243">
        <v>0.54</v>
      </c>
      <c r="E935" s="220"/>
      <c r="F935" s="106">
        <f>ROUND(D935*$C935,0)</f>
        <v>2373</v>
      </c>
      <c r="G935" s="243">
        <v>0.54</v>
      </c>
      <c r="H935" s="220"/>
      <c r="I935" s="106">
        <f>ROUND(G935*C935,0)</f>
        <v>2373</v>
      </c>
      <c r="J935" s="243">
        <f>J899</f>
        <v>0.54</v>
      </c>
      <c r="K935" s="220"/>
      <c r="L935" s="106">
        <f>ROUND(J935*$C935,0)</f>
        <v>2373</v>
      </c>
      <c r="M935" s="106"/>
      <c r="N935" s="243">
        <f>N899</f>
        <v>0</v>
      </c>
      <c r="O935" s="220"/>
      <c r="P935" s="106">
        <f>ROUND(N935*$C935,0)</f>
        <v>0</v>
      </c>
      <c r="Q935" s="106"/>
      <c r="R935" s="243">
        <f>R899</f>
        <v>0.11063152446255657</v>
      </c>
      <c r="S935" s="220"/>
      <c r="T935" s="106">
        <f>ROUND(R935*$C935,0)</f>
        <v>486</v>
      </c>
      <c r="U935" s="106"/>
      <c r="V935" s="243">
        <f>V899</f>
        <v>0.43</v>
      </c>
      <c r="W935" s="220"/>
      <c r="X935" s="106">
        <f>ROUND(V935*$C935,0)</f>
        <v>1890</v>
      </c>
      <c r="Y935" s="82"/>
      <c r="Z935" s="83"/>
      <c r="AA935" s="83"/>
      <c r="AB935" s="83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</row>
    <row r="936" spans="1:45" ht="15.75">
      <c r="A936" s="179" t="s">
        <v>134</v>
      </c>
      <c r="B936" s="179"/>
      <c r="C936" s="218">
        <f>C934</f>
        <v>7345800</v>
      </c>
      <c r="D936" s="229"/>
      <c r="E936" s="106"/>
      <c r="F936" s="106">
        <f>SUM(F927:F935)</f>
        <v>537382</v>
      </c>
      <c r="G936" s="229"/>
      <c r="H936" s="179"/>
      <c r="I936" s="106">
        <f>SUM(I927:I935)</f>
        <v>567388</v>
      </c>
      <c r="J936" s="229"/>
      <c r="K936" s="179"/>
      <c r="L936" s="106">
        <f>SUM(L927:L935)</f>
        <v>580657</v>
      </c>
      <c r="M936" s="106"/>
      <c r="N936" s="229"/>
      <c r="O936" s="179"/>
      <c r="P936" s="106">
        <f>SUM(P927:P935)</f>
        <v>73059</v>
      </c>
      <c r="Q936" s="106"/>
      <c r="R936" s="229"/>
      <c r="S936" s="179"/>
      <c r="T936" s="106">
        <f>SUM(T927:T935)</f>
        <v>104055</v>
      </c>
      <c r="U936" s="106"/>
      <c r="V936" s="229"/>
      <c r="W936" s="179"/>
      <c r="X936" s="106">
        <f>SUM(X927:X935)</f>
        <v>403846</v>
      </c>
      <c r="Y936" s="82"/>
      <c r="Z936" s="83"/>
      <c r="AA936" s="83"/>
      <c r="AB936" s="83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</row>
    <row r="937" spans="1:45" ht="15.75">
      <c r="A937" s="179" t="s">
        <v>119</v>
      </c>
      <c r="B937" s="179"/>
      <c r="C937" s="218">
        <f>C936/($C$882+$C$936)*$C$972</f>
        <v>-117661.64496301836</v>
      </c>
      <c r="D937" s="138"/>
      <c r="E937" s="138"/>
      <c r="F937" s="334">
        <f>I937</f>
        <v>-11733.223108436829</v>
      </c>
      <c r="G937" s="138"/>
      <c r="H937" s="138"/>
      <c r="I937" s="247">
        <f>I936/($I$882+$I$936)*$I$972</f>
        <v>-11733.223108436829</v>
      </c>
      <c r="J937" s="138"/>
      <c r="K937" s="138"/>
      <c r="L937" s="248">
        <f>I937</f>
        <v>-11733.223108436829</v>
      </c>
      <c r="M937" s="221"/>
      <c r="N937" s="138"/>
      <c r="O937" s="138"/>
      <c r="P937" s="248">
        <f>$L$937*Y904/(Y904+$Z$904+$AA$904)</f>
        <v>-1299.3814772764524</v>
      </c>
      <c r="Q937" s="137"/>
      <c r="R937" s="138"/>
      <c r="S937" s="138"/>
      <c r="T937" s="248">
        <f>$L$937*Z904/(Y904+$Z$904+$AA$904)</f>
        <v>-2109.9548813886699</v>
      </c>
      <c r="U937" s="137"/>
      <c r="V937" s="138"/>
      <c r="W937" s="138"/>
      <c r="X937" s="248">
        <f>$L$937*AA904/(Y904+$Z$904+$AA$904)</f>
        <v>-8323.8867497717074</v>
      </c>
      <c r="Y937" s="172"/>
      <c r="Z937" s="168"/>
      <c r="AA937" s="83"/>
      <c r="AB937" s="83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</row>
    <row r="938" spans="1:45" ht="16.5" thickBot="1">
      <c r="A938" s="179" t="s">
        <v>135</v>
      </c>
      <c r="B938" s="179"/>
      <c r="C938" s="335">
        <f>SUM(C936)+C937</f>
        <v>7228138.3550369814</v>
      </c>
      <c r="D938" s="268"/>
      <c r="E938" s="250"/>
      <c r="F938" s="251">
        <f>F936+F937</f>
        <v>525648.7768915632</v>
      </c>
      <c r="G938" s="268"/>
      <c r="H938" s="269"/>
      <c r="I938" s="251">
        <f>I936+I937</f>
        <v>555654.7768915632</v>
      </c>
      <c r="J938" s="268"/>
      <c r="K938" s="269"/>
      <c r="L938" s="251">
        <f>L936+L937</f>
        <v>568923.7768915632</v>
      </c>
      <c r="M938" s="251"/>
      <c r="N938" s="268"/>
      <c r="O938" s="269"/>
      <c r="P938" s="251">
        <f>P936+P937</f>
        <v>71759.618522723555</v>
      </c>
      <c r="Q938" s="251"/>
      <c r="R938" s="268"/>
      <c r="S938" s="269"/>
      <c r="T938" s="251">
        <f>T936+T937</f>
        <v>101945.04511861134</v>
      </c>
      <c r="U938" s="251"/>
      <c r="V938" s="268"/>
      <c r="W938" s="269"/>
      <c r="X938" s="251">
        <f>X936+X937</f>
        <v>395522.11325022829</v>
      </c>
      <c r="Y938" s="176" t="s">
        <v>108</v>
      </c>
      <c r="Z938" s="177"/>
      <c r="AA938" s="83"/>
      <c r="AB938" s="83"/>
      <c r="AC938" s="190" t="s">
        <v>108</v>
      </c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</row>
    <row r="939" spans="1:45" ht="16.5" thickTop="1">
      <c r="A939" s="179"/>
      <c r="B939" s="179"/>
      <c r="C939" s="205"/>
      <c r="D939" s="243" t="s">
        <v>108</v>
      </c>
      <c r="E939" s="106"/>
      <c r="F939" s="106"/>
      <c r="G939" s="243" t="s">
        <v>108</v>
      </c>
      <c r="H939" s="179"/>
      <c r="I939" s="106"/>
      <c r="J939" s="275" t="s">
        <v>108</v>
      </c>
      <c r="K939" s="179"/>
      <c r="L939" s="106" t="s">
        <v>108</v>
      </c>
      <c r="M939" s="106"/>
      <c r="N939" s="275" t="s">
        <v>108</v>
      </c>
      <c r="O939" s="179"/>
      <c r="P939" s="106" t="s">
        <v>108</v>
      </c>
      <c r="Q939" s="106"/>
      <c r="R939" s="275" t="s">
        <v>108</v>
      </c>
      <c r="S939" s="179"/>
      <c r="T939" s="106" t="s">
        <v>108</v>
      </c>
      <c r="U939" s="106"/>
      <c r="V939" s="275" t="s">
        <v>108</v>
      </c>
      <c r="W939" s="179"/>
      <c r="X939" s="106" t="s">
        <v>108</v>
      </c>
      <c r="Y939" s="82"/>
      <c r="Z939" s="83"/>
      <c r="AA939" s="83"/>
      <c r="AB939" s="83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</row>
    <row r="940" spans="1:45" ht="15.75">
      <c r="A940" s="178" t="s">
        <v>232</v>
      </c>
      <c r="B940" s="179"/>
      <c r="C940" s="179"/>
      <c r="D940" s="106"/>
      <c r="E940" s="106"/>
      <c r="F940" s="179"/>
      <c r="G940" s="106"/>
      <c r="H940" s="179"/>
      <c r="I940" s="179"/>
      <c r="J940" s="465"/>
      <c r="K940" s="179"/>
      <c r="L940" s="179"/>
      <c r="M940" s="179"/>
      <c r="N940" s="106"/>
      <c r="O940" s="179"/>
      <c r="P940" s="179"/>
      <c r="Q940" s="179"/>
      <c r="R940" s="106"/>
      <c r="S940" s="179"/>
      <c r="T940" s="179"/>
      <c r="U940" s="179"/>
      <c r="V940" s="106"/>
      <c r="W940" s="179"/>
      <c r="X940" s="179"/>
      <c r="Y940" s="82"/>
      <c r="Z940" s="83"/>
      <c r="AA940" s="83"/>
      <c r="AB940" s="83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</row>
    <row r="941" spans="1:45" ht="15.75">
      <c r="A941" s="138" t="s">
        <v>243</v>
      </c>
      <c r="B941" s="179"/>
      <c r="C941" s="179"/>
      <c r="D941" s="106"/>
      <c r="E941" s="106"/>
      <c r="F941" s="179"/>
      <c r="G941" s="106"/>
      <c r="H941" s="179"/>
      <c r="I941" s="179"/>
      <c r="J941" s="106"/>
      <c r="K941" s="179"/>
      <c r="L941" s="179"/>
      <c r="M941" s="179"/>
      <c r="N941" s="106"/>
      <c r="O941" s="179"/>
      <c r="P941" s="179"/>
      <c r="Q941" s="179"/>
      <c r="R941" s="106"/>
      <c r="S941" s="179"/>
      <c r="T941" s="179"/>
      <c r="U941" s="179"/>
      <c r="V941" s="106"/>
      <c r="W941" s="179"/>
      <c r="X941" s="179"/>
      <c r="Y941" s="82"/>
      <c r="Z941" s="83"/>
      <c r="AA941" s="83"/>
      <c r="AB941" s="83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</row>
    <row r="942" spans="1:45" ht="15.75">
      <c r="A942" s="226"/>
      <c r="B942" s="179"/>
      <c r="C942" s="179"/>
      <c r="D942" s="106"/>
      <c r="E942" s="106"/>
      <c r="F942" s="179"/>
      <c r="G942" s="106"/>
      <c r="H942" s="179"/>
      <c r="I942" s="179"/>
      <c r="J942" s="106"/>
      <c r="K942" s="179"/>
      <c r="L942" s="179"/>
      <c r="M942" s="179"/>
      <c r="N942" s="106"/>
      <c r="O942" s="179"/>
      <c r="P942" s="179"/>
      <c r="Q942" s="179"/>
      <c r="R942" s="106"/>
      <c r="S942" s="179"/>
      <c r="T942" s="179"/>
      <c r="U942" s="179"/>
      <c r="V942" s="106"/>
      <c r="W942" s="179"/>
      <c r="X942" s="179"/>
      <c r="Y942" s="82"/>
      <c r="Z942" s="83"/>
      <c r="AA942" s="83"/>
      <c r="AB942" s="83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</row>
    <row r="943" spans="1:45" ht="15.75">
      <c r="A943" s="226" t="s">
        <v>11</v>
      </c>
      <c r="B943" s="179"/>
      <c r="C943" s="218"/>
      <c r="D943" s="106"/>
      <c r="E943" s="106"/>
      <c r="F943" s="179"/>
      <c r="G943" s="106"/>
      <c r="H943" s="179"/>
      <c r="I943" s="179"/>
      <c r="J943" s="106"/>
      <c r="K943" s="179"/>
      <c r="L943" s="179"/>
      <c r="M943" s="179"/>
      <c r="N943" s="106"/>
      <c r="O943" s="179"/>
      <c r="P943" s="179"/>
      <c r="Q943" s="179"/>
      <c r="R943" s="106"/>
      <c r="S943" s="179"/>
      <c r="T943" s="179"/>
      <c r="U943" s="179"/>
      <c r="V943" s="106"/>
      <c r="W943" s="179"/>
      <c r="X943" s="179"/>
      <c r="Y943" s="82"/>
      <c r="Z943" s="83"/>
      <c r="AA943" s="83"/>
      <c r="AB943" s="83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</row>
    <row r="944" spans="1:45" ht="15.75">
      <c r="A944" s="226" t="s">
        <v>228</v>
      </c>
      <c r="B944" s="179"/>
      <c r="C944" s="218">
        <f t="shared" ref="C944:C949" si="175">C910+C856</f>
        <v>369.66666666666595</v>
      </c>
      <c r="D944" s="243"/>
      <c r="E944" s="243"/>
      <c r="F944" s="106">
        <f>F910+F856</f>
        <v>515865</v>
      </c>
      <c r="G944" s="243"/>
      <c r="H944" s="220"/>
      <c r="I944" s="106">
        <f>I910+I856</f>
        <v>515865</v>
      </c>
      <c r="J944" s="243"/>
      <c r="K944" s="220"/>
      <c r="L944" s="106">
        <f>L910+L856</f>
        <v>515865</v>
      </c>
      <c r="M944" s="106"/>
      <c r="N944" s="243"/>
      <c r="O944" s="220"/>
      <c r="P944" s="106">
        <f>P910+P856</f>
        <v>515865</v>
      </c>
      <c r="Q944" s="106"/>
      <c r="R944" s="243"/>
      <c r="S944" s="220"/>
      <c r="T944" s="106"/>
      <c r="U944" s="106"/>
      <c r="V944" s="243"/>
      <c r="W944" s="220"/>
      <c r="X944" s="106"/>
      <c r="Y944" s="82"/>
      <c r="Z944" s="83"/>
      <c r="AA944" s="83"/>
      <c r="AB944" s="83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</row>
    <row r="945" spans="1:45" ht="15.75">
      <c r="A945" s="226" t="s">
        <v>229</v>
      </c>
      <c r="B945" s="179"/>
      <c r="C945" s="218">
        <f t="shared" si="175"/>
        <v>0</v>
      </c>
      <c r="D945" s="243"/>
      <c r="E945" s="243"/>
      <c r="F945" s="106">
        <f>F911+F857</f>
        <v>0</v>
      </c>
      <c r="G945" s="243"/>
      <c r="H945" s="222"/>
      <c r="I945" s="106">
        <f>I911+I857</f>
        <v>0</v>
      </c>
      <c r="J945" s="243"/>
      <c r="K945" s="222"/>
      <c r="L945" s="106">
        <f>L911+L857</f>
        <v>0</v>
      </c>
      <c r="M945" s="106"/>
      <c r="N945" s="243"/>
      <c r="O945" s="222"/>
      <c r="P945" s="106">
        <f>P911+P857</f>
        <v>0</v>
      </c>
      <c r="Q945" s="106"/>
      <c r="R945" s="243"/>
      <c r="S945" s="222"/>
      <c r="T945" s="106"/>
      <c r="U945" s="106"/>
      <c r="V945" s="243"/>
      <c r="W945" s="222"/>
      <c r="X945" s="106"/>
      <c r="Y945" s="82"/>
      <c r="Z945" s="83"/>
      <c r="AA945" s="83"/>
      <c r="AB945" s="83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</row>
    <row r="946" spans="1:45" ht="15.75">
      <c r="A946" s="226" t="s">
        <v>150</v>
      </c>
      <c r="B946" s="179"/>
      <c r="C946" s="218">
        <f t="shared" si="175"/>
        <v>369.66666666666595</v>
      </c>
      <c r="D946" s="243"/>
      <c r="E946" s="243"/>
      <c r="F946" s="106" t="s">
        <v>108</v>
      </c>
      <c r="G946" s="243"/>
      <c r="H946" s="220"/>
      <c r="I946" s="106" t="s">
        <v>108</v>
      </c>
      <c r="J946" s="243"/>
      <c r="K946" s="220"/>
      <c r="L946" s="106" t="s">
        <v>108</v>
      </c>
      <c r="M946" s="106"/>
      <c r="N946" s="243"/>
      <c r="O946" s="220"/>
      <c r="P946" s="106" t="s">
        <v>108</v>
      </c>
      <c r="Q946" s="106"/>
      <c r="R946" s="243"/>
      <c r="S946" s="220"/>
      <c r="T946" s="106"/>
      <c r="U946" s="106"/>
      <c r="V946" s="243"/>
      <c r="W946" s="220"/>
      <c r="X946" s="106"/>
      <c r="Y946" s="82"/>
      <c r="Z946" s="83"/>
      <c r="AA946" s="83"/>
      <c r="AB946" s="83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</row>
    <row r="947" spans="1:45" ht="15.75">
      <c r="A947" s="226" t="s">
        <v>230</v>
      </c>
      <c r="B947" s="179"/>
      <c r="C947" s="218">
        <f t="shared" si="175"/>
        <v>507003.60606060602</v>
      </c>
      <c r="D947" s="243"/>
      <c r="E947" s="243"/>
      <c r="F947" s="106">
        <f>F913+F859</f>
        <v>435751</v>
      </c>
      <c r="G947" s="243"/>
      <c r="H947" s="220"/>
      <c r="I947" s="106">
        <f>I913+I859</f>
        <v>435751</v>
      </c>
      <c r="J947" s="243"/>
      <c r="K947" s="220"/>
      <c r="L947" s="106">
        <f>L913+L859</f>
        <v>447125</v>
      </c>
      <c r="M947" s="106"/>
      <c r="N947" s="243"/>
      <c r="O947" s="220"/>
      <c r="P947" s="106">
        <f>P913+P859</f>
        <v>471105</v>
      </c>
      <c r="Q947" s="106"/>
      <c r="R947" s="243"/>
      <c r="S947" s="220"/>
      <c r="T947" s="106"/>
      <c r="U947" s="106"/>
      <c r="V947" s="243"/>
      <c r="W947" s="220"/>
      <c r="X947" s="106"/>
      <c r="Y947" s="82"/>
      <c r="Z947" s="83"/>
      <c r="AA947" s="83"/>
      <c r="AB947" s="83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</row>
    <row r="948" spans="1:45" ht="15.75">
      <c r="A948" s="226" t="s">
        <v>231</v>
      </c>
      <c r="B948" s="179"/>
      <c r="C948" s="218">
        <f t="shared" si="175"/>
        <v>0</v>
      </c>
      <c r="D948" s="243"/>
      <c r="E948" s="243"/>
      <c r="F948" s="106">
        <f>F914+F860</f>
        <v>0</v>
      </c>
      <c r="G948" s="243"/>
      <c r="H948" s="220"/>
      <c r="I948" s="106">
        <f>I914+I860</f>
        <v>0</v>
      </c>
      <c r="J948" s="243"/>
      <c r="K948" s="220"/>
      <c r="L948" s="106">
        <f>L914+L860</f>
        <v>0</v>
      </c>
      <c r="M948" s="106"/>
      <c r="N948" s="243"/>
      <c r="O948" s="220"/>
      <c r="P948" s="106"/>
      <c r="Q948" s="106"/>
      <c r="R948" s="243"/>
      <c r="S948" s="220"/>
      <c r="T948" s="106"/>
      <c r="U948" s="106"/>
      <c r="V948" s="243"/>
      <c r="W948" s="220"/>
      <c r="X948" s="106"/>
      <c r="Y948" s="82"/>
      <c r="Z948" s="83"/>
      <c r="AA948" s="83"/>
      <c r="AB948" s="83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</row>
    <row r="949" spans="1:45" ht="15.75">
      <c r="A949" s="138" t="s">
        <v>158</v>
      </c>
      <c r="B949" s="179"/>
      <c r="C949" s="218">
        <f t="shared" si="175"/>
        <v>386745.84848484898</v>
      </c>
      <c r="D949" s="243"/>
      <c r="E949" s="243"/>
      <c r="F949" s="106">
        <f>F915+F861</f>
        <v>2733776</v>
      </c>
      <c r="G949" s="243"/>
      <c r="H949" s="220"/>
      <c r="I949" s="106">
        <f>I915+I861</f>
        <v>2897022</v>
      </c>
      <c r="J949" s="243"/>
      <c r="K949" s="220"/>
      <c r="L949" s="106">
        <f>L915+L861</f>
        <v>2968164</v>
      </c>
      <c r="M949" s="106"/>
      <c r="N949" s="243"/>
      <c r="O949" s="220"/>
      <c r="P949" s="106">
        <f>P915+P861</f>
        <v>348422</v>
      </c>
      <c r="Q949" s="106"/>
      <c r="R949" s="243"/>
      <c r="S949" s="220"/>
      <c r="T949" s="106">
        <f>T915+T861</f>
        <v>536715</v>
      </c>
      <c r="U949" s="106"/>
      <c r="V949" s="243"/>
      <c r="W949" s="220"/>
      <c r="X949" s="106">
        <f>X915+X861</f>
        <v>2083026</v>
      </c>
      <c r="Y949" s="82"/>
      <c r="Z949" s="83"/>
      <c r="AA949" s="83"/>
      <c r="AB949" s="83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</row>
    <row r="950" spans="1:45" ht="15.75">
      <c r="A950" s="226" t="s">
        <v>181</v>
      </c>
      <c r="B950" s="179"/>
      <c r="C950" s="218"/>
      <c r="D950" s="243"/>
      <c r="E950" s="243"/>
      <c r="F950" s="106"/>
      <c r="G950" s="243"/>
      <c r="H950" s="220"/>
      <c r="I950" s="106"/>
      <c r="J950" s="243"/>
      <c r="K950" s="220"/>
      <c r="L950" s="106"/>
      <c r="M950" s="106"/>
      <c r="N950" s="243"/>
      <c r="O950" s="220"/>
      <c r="P950" s="106"/>
      <c r="Q950" s="106"/>
      <c r="R950" s="243"/>
      <c r="S950" s="220"/>
      <c r="T950" s="106"/>
      <c r="U950" s="106"/>
      <c r="V950" s="243"/>
      <c r="W950" s="220"/>
      <c r="X950" s="106"/>
      <c r="Y950" s="82"/>
      <c r="Z950" s="83"/>
      <c r="AA950" s="83"/>
      <c r="AB950" s="83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</row>
    <row r="951" spans="1:45" ht="15.75">
      <c r="A951" s="226" t="s">
        <v>219</v>
      </c>
      <c r="B951" s="179"/>
      <c r="C951" s="218">
        <f>C917+C863</f>
        <v>169799417.82823953</v>
      </c>
      <c r="D951" s="337"/>
      <c r="E951" s="101" t="s">
        <v>108</v>
      </c>
      <c r="F951" s="106">
        <f>F917+F863</f>
        <v>7175516</v>
      </c>
      <c r="G951" s="337"/>
      <c r="H951" s="220"/>
      <c r="I951" s="106">
        <f>I917+I863</f>
        <v>7629946</v>
      </c>
      <c r="J951" s="337"/>
      <c r="K951" s="220"/>
      <c r="L951" s="106">
        <f>L917+L863</f>
        <v>7822684</v>
      </c>
      <c r="M951" s="106"/>
      <c r="N951" s="337"/>
      <c r="O951" s="220"/>
      <c r="P951" s="106"/>
      <c r="Q951" s="106"/>
      <c r="R951" s="337"/>
      <c r="S951" s="220"/>
      <c r="T951" s="106">
        <f>T917+T863</f>
        <v>1602658</v>
      </c>
      <c r="U951" s="106"/>
      <c r="V951" s="337"/>
      <c r="W951" s="220"/>
      <c r="X951" s="106">
        <f>X917+X863</f>
        <v>6220025</v>
      </c>
      <c r="Y951" s="82"/>
      <c r="Z951" s="83"/>
      <c r="AA951" s="83"/>
      <c r="AB951" s="83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</row>
    <row r="952" spans="1:45" ht="15.75">
      <c r="A952" s="226" t="s">
        <v>155</v>
      </c>
      <c r="B952" s="179"/>
      <c r="C952" s="218">
        <f>C918+C864</f>
        <v>42303.333333333299</v>
      </c>
      <c r="D952" s="243"/>
      <c r="E952" s="220"/>
      <c r="F952" s="106">
        <f>F918+F864</f>
        <v>23138</v>
      </c>
      <c r="G952" s="243"/>
      <c r="H952" s="220"/>
      <c r="I952" s="106">
        <f>I918+I864</f>
        <v>23138</v>
      </c>
      <c r="J952" s="243"/>
      <c r="K952" s="220"/>
      <c r="L952" s="106">
        <f>L918+L864</f>
        <v>23138</v>
      </c>
      <c r="M952" s="106"/>
      <c r="N952" s="243"/>
      <c r="O952" s="220"/>
      <c r="P952" s="106"/>
      <c r="Q952" s="106"/>
      <c r="R952" s="243"/>
      <c r="S952" s="220"/>
      <c r="T952" s="106">
        <f>T918+T864</f>
        <v>4740</v>
      </c>
      <c r="U952" s="106"/>
      <c r="V952" s="243"/>
      <c r="W952" s="220"/>
      <c r="X952" s="106">
        <f>X918+X864</f>
        <v>18406</v>
      </c>
      <c r="Y952" s="82"/>
      <c r="Z952" s="83"/>
      <c r="AA952" s="83"/>
      <c r="AB952" s="83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</row>
    <row r="953" spans="1:45" ht="15.75">
      <c r="A953" s="179" t="s">
        <v>134</v>
      </c>
      <c r="B953" s="179"/>
      <c r="C953" s="218">
        <f>C919+C865</f>
        <v>169799417.82823953</v>
      </c>
      <c r="D953" s="229"/>
      <c r="E953" s="106"/>
      <c r="F953" s="106">
        <f>F919+F865</f>
        <v>10884046</v>
      </c>
      <c r="G953" s="229"/>
      <c r="H953" s="179"/>
      <c r="I953" s="106">
        <f>I919+I865</f>
        <v>11501722</v>
      </c>
      <c r="J953" s="229"/>
      <c r="K953" s="179"/>
      <c r="L953" s="106">
        <f>L919+L865</f>
        <v>11776976</v>
      </c>
      <c r="M953" s="106"/>
      <c r="N953" s="229"/>
      <c r="O953" s="179"/>
      <c r="P953" s="106"/>
      <c r="Q953" s="106"/>
      <c r="R953" s="229"/>
      <c r="S953" s="179"/>
      <c r="T953" s="106">
        <f>T919+T865</f>
        <v>2144113</v>
      </c>
      <c r="U953" s="106"/>
      <c r="V953" s="229"/>
      <c r="W953" s="179"/>
      <c r="X953" s="106">
        <f>X919+X865</f>
        <v>8321457</v>
      </c>
      <c r="Y953" s="82"/>
      <c r="Z953" s="83"/>
      <c r="AA953" s="83"/>
      <c r="AB953" s="83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</row>
    <row r="954" spans="1:45" ht="15.75">
      <c r="A954" s="179" t="s">
        <v>119</v>
      </c>
      <c r="B954" s="179"/>
      <c r="C954" s="247">
        <v>-487369.75745244743</v>
      </c>
      <c r="D954" s="138"/>
      <c r="E954" s="138"/>
      <c r="F954" s="334">
        <f>I954</f>
        <v>-27264.051948029541</v>
      </c>
      <c r="G954" s="138"/>
      <c r="H954" s="138"/>
      <c r="I954" s="334">
        <v>-27264.051948029541</v>
      </c>
      <c r="J954" s="138"/>
      <c r="K954" s="138"/>
      <c r="L954" s="334">
        <f>I954</f>
        <v>-27264.051948029541</v>
      </c>
      <c r="M954" s="137"/>
      <c r="N954" s="138"/>
      <c r="O954" s="138"/>
      <c r="P954" s="334">
        <f>$L$954*Y904/(Y904+$Z$904+$AA$904)</f>
        <v>-3019.3241677386195</v>
      </c>
      <c r="Q954" s="137"/>
      <c r="R954" s="138"/>
      <c r="S954" s="138"/>
      <c r="T954" s="334">
        <f>$L$954*Z904/(Y904+$Z$904+$AA$904)</f>
        <v>-4902.8232875598287</v>
      </c>
      <c r="U954" s="137"/>
      <c r="V954" s="138"/>
      <c r="W954" s="138"/>
      <c r="X954" s="334">
        <f>$L$954*AA904/(Y904+$Z$904+$AA$904)</f>
        <v>-19341.90449273109</v>
      </c>
      <c r="Y954" s="172"/>
      <c r="Z954" s="168"/>
      <c r="AA954" s="83"/>
      <c r="AB954" s="83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</row>
    <row r="955" spans="1:45" ht="16.5" thickBot="1">
      <c r="A955" s="179" t="s">
        <v>135</v>
      </c>
      <c r="B955" s="179"/>
      <c r="C955" s="357">
        <f>C953+C954</f>
        <v>169312048.07078707</v>
      </c>
      <c r="D955" s="268"/>
      <c r="E955" s="250"/>
      <c r="F955" s="347">
        <f>F953+F954</f>
        <v>10856781.94805197</v>
      </c>
      <c r="G955" s="268"/>
      <c r="H955" s="269"/>
      <c r="I955" s="347">
        <f>I953+I954</f>
        <v>11474457.94805197</v>
      </c>
      <c r="J955" s="268"/>
      <c r="K955" s="269"/>
      <c r="L955" s="347">
        <f>L953+L954</f>
        <v>11749711.94805197</v>
      </c>
      <c r="M955" s="137"/>
      <c r="N955" s="268"/>
      <c r="O955" s="269"/>
      <c r="P955" s="347">
        <f>P953+P954</f>
        <v>-3019.3241677386195</v>
      </c>
      <c r="Q955" s="137"/>
      <c r="R955" s="268"/>
      <c r="S955" s="269"/>
      <c r="T955" s="347">
        <f>T953+T954</f>
        <v>2139210.1767124403</v>
      </c>
      <c r="U955" s="137"/>
      <c r="V955" s="268"/>
      <c r="W955" s="269"/>
      <c r="X955" s="347">
        <f>X953+X954</f>
        <v>8302115.0955072688</v>
      </c>
      <c r="Y955" s="176"/>
      <c r="Z955" s="177"/>
      <c r="AA955" s="83"/>
      <c r="AB955" s="83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</row>
    <row r="956" spans="1:45" ht="16.5" thickTop="1">
      <c r="A956" s="179"/>
      <c r="B956" s="179"/>
      <c r="C956" s="205"/>
      <c r="D956" s="243" t="s">
        <v>108</v>
      </c>
      <c r="E956" s="106"/>
      <c r="F956" s="106"/>
      <c r="G956" s="243" t="s">
        <v>108</v>
      </c>
      <c r="H956" s="179"/>
      <c r="I956" s="106"/>
      <c r="J956" s="275" t="s">
        <v>108</v>
      </c>
      <c r="K956" s="179"/>
      <c r="L956" s="106" t="s">
        <v>108</v>
      </c>
      <c r="M956" s="106"/>
      <c r="N956" s="275" t="s">
        <v>108</v>
      </c>
      <c r="O956" s="179"/>
      <c r="P956" s="106" t="s">
        <v>108</v>
      </c>
      <c r="Q956" s="106"/>
      <c r="R956" s="275" t="s">
        <v>108</v>
      </c>
      <c r="S956" s="179"/>
      <c r="T956" s="106" t="s">
        <v>108</v>
      </c>
      <c r="U956" s="106"/>
      <c r="V956" s="275" t="s">
        <v>108</v>
      </c>
      <c r="W956" s="179"/>
      <c r="X956" s="106" t="s">
        <v>108</v>
      </c>
      <c r="Y956" s="82"/>
      <c r="Z956" s="83"/>
      <c r="AA956" s="83"/>
      <c r="AB956" s="83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</row>
    <row r="957" spans="1:45" ht="15.75">
      <c r="A957" s="179"/>
      <c r="B957" s="179"/>
      <c r="C957" s="205"/>
      <c r="D957" s="243"/>
      <c r="E957" s="106"/>
      <c r="F957" s="106"/>
      <c r="G957" s="243"/>
      <c r="H957" s="179"/>
      <c r="I957" s="106"/>
      <c r="J957" s="243"/>
      <c r="K957" s="179"/>
      <c r="L957" s="270"/>
      <c r="M957" s="270"/>
      <c r="N957" s="243"/>
      <c r="O957" s="179"/>
      <c r="P957" s="270"/>
      <c r="Q957" s="270"/>
      <c r="R957" s="243"/>
      <c r="S957" s="179"/>
      <c r="T957" s="270"/>
      <c r="U957" s="270"/>
      <c r="V957" s="243"/>
      <c r="W957" s="179"/>
      <c r="X957" s="270"/>
      <c r="Y957" s="82"/>
      <c r="Z957" s="83"/>
      <c r="AA957" s="83"/>
      <c r="AB957" s="83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</row>
    <row r="958" spans="1:45" ht="15.75">
      <c r="A958" s="178" t="s">
        <v>232</v>
      </c>
      <c r="B958" s="179"/>
      <c r="C958" s="179"/>
      <c r="D958" s="106"/>
      <c r="E958" s="106"/>
      <c r="F958" s="179"/>
      <c r="G958" s="106"/>
      <c r="H958" s="179"/>
      <c r="I958" s="179"/>
      <c r="J958" s="106"/>
      <c r="K958" s="179"/>
      <c r="L958" s="179"/>
      <c r="M958" s="179"/>
      <c r="N958" s="106"/>
      <c r="O958" s="179"/>
      <c r="P958" s="179"/>
      <c r="Q958" s="179"/>
      <c r="R958" s="106"/>
      <c r="S958" s="179"/>
      <c r="T958" s="179"/>
      <c r="U958" s="179"/>
      <c r="V958" s="106"/>
      <c r="W958" s="179"/>
      <c r="X958" s="179"/>
      <c r="Y958" s="82"/>
      <c r="Z958" s="83"/>
      <c r="AA958" s="83"/>
      <c r="AB958" s="83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</row>
    <row r="959" spans="1:45" ht="15.75">
      <c r="A959" s="138" t="s">
        <v>244</v>
      </c>
      <c r="B959" s="179"/>
      <c r="C959" s="179"/>
      <c r="D959" s="106"/>
      <c r="E959" s="106"/>
      <c r="F959" s="179"/>
      <c r="G959" s="106"/>
      <c r="H959" s="179"/>
      <c r="I959" s="179"/>
      <c r="J959" s="106"/>
      <c r="K959" s="179"/>
      <c r="L959" s="179"/>
      <c r="M959" s="179"/>
      <c r="N959" s="106"/>
      <c r="O959" s="179"/>
      <c r="P959" s="179"/>
      <c r="Q959" s="179"/>
      <c r="R959" s="106"/>
      <c r="S959" s="179"/>
      <c r="T959" s="179"/>
      <c r="U959" s="179"/>
      <c r="V959" s="106"/>
      <c r="W959" s="179"/>
      <c r="X959" s="179"/>
      <c r="Y959" s="82"/>
      <c r="Z959" s="83"/>
      <c r="AA959" s="83"/>
      <c r="AB959" s="83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</row>
    <row r="960" spans="1:45" ht="15.75">
      <c r="A960" s="226"/>
      <c r="B960" s="179"/>
      <c r="C960" s="179"/>
      <c r="D960" s="106"/>
      <c r="E960" s="106"/>
      <c r="F960" s="179"/>
      <c r="G960" s="106"/>
      <c r="H960" s="179"/>
      <c r="I960" s="179"/>
      <c r="J960" s="106"/>
      <c r="K960" s="179"/>
      <c r="L960" s="179"/>
      <c r="M960" s="179"/>
      <c r="N960" s="106"/>
      <c r="O960" s="179"/>
      <c r="P960" s="179"/>
      <c r="Q960" s="179"/>
      <c r="R960" s="106"/>
      <c r="S960" s="179"/>
      <c r="T960" s="179"/>
      <c r="U960" s="179"/>
      <c r="V960" s="106"/>
      <c r="W960" s="179"/>
      <c r="X960" s="179"/>
      <c r="Y960" s="82"/>
      <c r="Z960" s="83"/>
      <c r="AA960" s="83"/>
      <c r="AB960" s="83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</row>
    <row r="961" spans="1:45" ht="15.75">
      <c r="A961" s="226" t="s">
        <v>11</v>
      </c>
      <c r="B961" s="179"/>
      <c r="C961" s="218"/>
      <c r="D961" s="106"/>
      <c r="E961" s="106"/>
      <c r="F961" s="179"/>
      <c r="G961" s="106"/>
      <c r="H961" s="179"/>
      <c r="I961" s="179"/>
      <c r="J961" s="106"/>
      <c r="K961" s="179"/>
      <c r="L961" s="179"/>
      <c r="M961" s="179"/>
      <c r="N961" s="106"/>
      <c r="O961" s="179"/>
      <c r="P961" s="179"/>
      <c r="Q961" s="179"/>
      <c r="R961" s="106"/>
      <c r="S961" s="179"/>
      <c r="T961" s="179"/>
      <c r="U961" s="179"/>
      <c r="V961" s="106"/>
      <c r="W961" s="179"/>
      <c r="X961" s="179"/>
      <c r="Y961" s="82"/>
      <c r="Z961" s="83"/>
      <c r="AA961" s="83"/>
      <c r="AB961" s="83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</row>
    <row r="962" spans="1:45" ht="15.75">
      <c r="A962" s="226" t="s">
        <v>228</v>
      </c>
      <c r="B962" s="179"/>
      <c r="C962" s="218">
        <f t="shared" ref="C962:C967" si="176">C927+C873</f>
        <v>362.48484848484901</v>
      </c>
      <c r="D962" s="243"/>
      <c r="E962" s="243"/>
      <c r="F962" s="106">
        <f>F927+F873</f>
        <v>503196</v>
      </c>
      <c r="G962" s="243"/>
      <c r="H962" s="220"/>
      <c r="I962" s="106">
        <f>I927+I873</f>
        <v>503196</v>
      </c>
      <c r="J962" s="243"/>
      <c r="K962" s="220"/>
      <c r="L962" s="106">
        <f>L927+L873</f>
        <v>503196</v>
      </c>
      <c r="M962" s="106"/>
      <c r="N962" s="243"/>
      <c r="O962" s="220"/>
      <c r="P962" s="106">
        <f>P927+P873</f>
        <v>503196</v>
      </c>
      <c r="Q962" s="106"/>
      <c r="R962" s="243"/>
      <c r="S962" s="220"/>
      <c r="T962" s="106"/>
      <c r="U962" s="106"/>
      <c r="V962" s="243"/>
      <c r="W962" s="220"/>
      <c r="X962" s="106"/>
      <c r="Y962" s="82"/>
      <c r="Z962" s="83"/>
      <c r="AA962" s="83"/>
      <c r="AB962" s="83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</row>
    <row r="963" spans="1:45" ht="15.75">
      <c r="A963" s="226" t="s">
        <v>229</v>
      </c>
      <c r="B963" s="179"/>
      <c r="C963" s="218">
        <f t="shared" si="176"/>
        <v>0</v>
      </c>
      <c r="D963" s="243"/>
      <c r="E963" s="243"/>
      <c r="F963" s="106">
        <f>F928+F874</f>
        <v>0</v>
      </c>
      <c r="G963" s="243"/>
      <c r="H963" s="222"/>
      <c r="I963" s="106">
        <f>I928+I874</f>
        <v>0</v>
      </c>
      <c r="J963" s="243"/>
      <c r="K963" s="222"/>
      <c r="L963" s="106">
        <f>L928+L874</f>
        <v>0</v>
      </c>
      <c r="M963" s="106"/>
      <c r="N963" s="243"/>
      <c r="O963" s="222"/>
      <c r="P963" s="106"/>
      <c r="Q963" s="106"/>
      <c r="R963" s="243"/>
      <c r="S963" s="222"/>
      <c r="T963" s="106"/>
      <c r="U963" s="106"/>
      <c r="V963" s="243"/>
      <c r="W963" s="222"/>
      <c r="X963" s="106"/>
      <c r="Y963" s="82"/>
      <c r="Z963" s="83"/>
      <c r="AA963" s="83"/>
      <c r="AB963" s="83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</row>
    <row r="964" spans="1:45" ht="15.75">
      <c r="A964" s="226" t="s">
        <v>150</v>
      </c>
      <c r="B964" s="179"/>
      <c r="C964" s="218">
        <f t="shared" si="176"/>
        <v>362.48484848484901</v>
      </c>
      <c r="D964" s="243"/>
      <c r="E964" s="243"/>
      <c r="F964" s="106" t="s">
        <v>108</v>
      </c>
      <c r="G964" s="243"/>
      <c r="H964" s="220"/>
      <c r="I964" s="106" t="s">
        <v>108</v>
      </c>
      <c r="J964" s="243"/>
      <c r="K964" s="220"/>
      <c r="L964" s="106" t="s">
        <v>108</v>
      </c>
      <c r="M964" s="106"/>
      <c r="N964" s="243"/>
      <c r="O964" s="220"/>
      <c r="P964" s="106" t="s">
        <v>108</v>
      </c>
      <c r="Q964" s="106"/>
      <c r="R964" s="243"/>
      <c r="S964" s="220"/>
      <c r="T964" s="106" t="s">
        <v>108</v>
      </c>
      <c r="U964" s="106"/>
      <c r="V964" s="243"/>
      <c r="W964" s="220"/>
      <c r="X964" s="106" t="s">
        <v>108</v>
      </c>
      <c r="Y964" s="82"/>
      <c r="Z964" s="83"/>
      <c r="AA964" s="83"/>
      <c r="AB964" s="83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</row>
    <row r="965" spans="1:45" ht="15.75">
      <c r="A965" s="226" t="s">
        <v>230</v>
      </c>
      <c r="B965" s="179"/>
      <c r="C965" s="218">
        <f t="shared" si="176"/>
        <v>576304.24242424197</v>
      </c>
      <c r="D965" s="243"/>
      <c r="E965" s="243"/>
      <c r="F965" s="106">
        <f>F930+F876</f>
        <v>595063</v>
      </c>
      <c r="G965" s="243"/>
      <c r="H965" s="220"/>
      <c r="I965" s="106">
        <f>I930+I876</f>
        <v>595063</v>
      </c>
      <c r="J965" s="243"/>
      <c r="K965" s="220"/>
      <c r="L965" s="106">
        <f>L930+L876</f>
        <v>611754</v>
      </c>
      <c r="M965" s="106"/>
      <c r="N965" s="243"/>
      <c r="O965" s="220"/>
      <c r="P965" s="106">
        <f>P930+P876</f>
        <v>650305</v>
      </c>
      <c r="Q965" s="106"/>
      <c r="R965" s="243"/>
      <c r="S965" s="220"/>
      <c r="T965" s="106"/>
      <c r="U965" s="106"/>
      <c r="V965" s="243"/>
      <c r="W965" s="220"/>
      <c r="X965" s="106"/>
      <c r="Y965" s="82"/>
      <c r="Z965" s="83"/>
      <c r="AA965" s="83"/>
      <c r="AB965" s="83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</row>
    <row r="966" spans="1:45" ht="15.75">
      <c r="A966" s="226" t="s">
        <v>231</v>
      </c>
      <c r="B966" s="179"/>
      <c r="C966" s="218">
        <f t="shared" si="176"/>
        <v>0</v>
      </c>
      <c r="D966" s="243"/>
      <c r="E966" s="243"/>
      <c r="F966" s="106">
        <f>F931+F877</f>
        <v>0</v>
      </c>
      <c r="G966" s="243"/>
      <c r="H966" s="220"/>
      <c r="I966" s="106">
        <f>I931+I877</f>
        <v>0</v>
      </c>
      <c r="J966" s="243"/>
      <c r="K966" s="220"/>
      <c r="L966" s="106">
        <f>L931+L877</f>
        <v>0</v>
      </c>
      <c r="M966" s="106"/>
      <c r="N966" s="243"/>
      <c r="O966" s="220"/>
      <c r="P966" s="106"/>
      <c r="Q966" s="106"/>
      <c r="R966" s="243"/>
      <c r="S966" s="220"/>
      <c r="T966" s="106"/>
      <c r="U966" s="106"/>
      <c r="V966" s="243"/>
      <c r="W966" s="220"/>
      <c r="X966" s="106"/>
      <c r="Y966" s="82"/>
      <c r="Z966" s="83"/>
      <c r="AA966" s="83"/>
      <c r="AB966" s="83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</row>
    <row r="967" spans="1:45" ht="15.75">
      <c r="A967" s="138" t="s">
        <v>158</v>
      </c>
      <c r="B967" s="179"/>
      <c r="C967" s="218">
        <f t="shared" si="176"/>
        <v>492609.454545455</v>
      </c>
      <c r="D967" s="243"/>
      <c r="E967" s="243"/>
      <c r="F967" s="106">
        <f>F932+F878</f>
        <v>3504084</v>
      </c>
      <c r="G967" s="243"/>
      <c r="H967" s="220"/>
      <c r="I967" s="106">
        <f>I932+I878</f>
        <v>3715399</v>
      </c>
      <c r="J967" s="243"/>
      <c r="K967" s="220"/>
      <c r="L967" s="106">
        <f>L932+L878</f>
        <v>3804323</v>
      </c>
      <c r="M967" s="106"/>
      <c r="N967" s="243"/>
      <c r="O967" s="220"/>
      <c r="P967" s="106">
        <f>P932+P878</f>
        <v>446576</v>
      </c>
      <c r="Q967" s="106"/>
      <c r="R967" s="243"/>
      <c r="S967" s="220"/>
      <c r="T967" s="106">
        <f>T932+T878</f>
        <v>687913</v>
      </c>
      <c r="U967" s="106"/>
      <c r="V967" s="243"/>
      <c r="W967" s="220"/>
      <c r="X967" s="106">
        <f>X932+X878</f>
        <v>2669834</v>
      </c>
      <c r="Y967" s="82"/>
      <c r="Z967" s="83"/>
      <c r="AA967" s="83"/>
      <c r="AB967" s="83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</row>
    <row r="968" spans="1:45" ht="15.75">
      <c r="A968" s="226" t="s">
        <v>181</v>
      </c>
      <c r="B968" s="179"/>
      <c r="C968" s="218"/>
      <c r="D968" s="243"/>
      <c r="E968" s="243"/>
      <c r="F968" s="106"/>
      <c r="G968" s="243"/>
      <c r="H968" s="220"/>
      <c r="I968" s="106"/>
      <c r="J968" s="243"/>
      <c r="K968" s="220"/>
      <c r="L968" s="106"/>
      <c r="M968" s="106"/>
      <c r="N968" s="243"/>
      <c r="O968" s="220"/>
      <c r="P968" s="106"/>
      <c r="Q968" s="106"/>
      <c r="R968" s="243"/>
      <c r="S968" s="220"/>
      <c r="T968" s="106"/>
      <c r="U968" s="106"/>
      <c r="V968" s="243"/>
      <c r="W968" s="220"/>
      <c r="X968" s="106"/>
      <c r="Y968" s="82"/>
      <c r="Z968" s="83"/>
      <c r="AA968" s="83"/>
      <c r="AB968" s="83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</row>
    <row r="969" spans="1:45" ht="15.75">
      <c r="A969" s="226" t="s">
        <v>219</v>
      </c>
      <c r="B969" s="179"/>
      <c r="C969" s="218">
        <f>C934+C880</f>
        <v>221132355</v>
      </c>
      <c r="D969" s="337"/>
      <c r="E969" s="220"/>
      <c r="F969" s="106">
        <f>F934+F880</f>
        <v>9385313</v>
      </c>
      <c r="G969" s="337"/>
      <c r="H969" s="220"/>
      <c r="I969" s="106">
        <f>I934+I880</f>
        <v>9977874</v>
      </c>
      <c r="J969" s="337"/>
      <c r="K969" s="220"/>
      <c r="L969" s="106">
        <f>L934+L880</f>
        <v>10231883</v>
      </c>
      <c r="M969" s="106"/>
      <c r="N969" s="337"/>
      <c r="O969" s="220"/>
      <c r="P969" s="106"/>
      <c r="Q969" s="106"/>
      <c r="R969" s="337"/>
      <c r="S969" s="220"/>
      <c r="T969" s="106">
        <f>T934+T880</f>
        <v>2096239</v>
      </c>
      <c r="U969" s="106"/>
      <c r="V969" s="337"/>
      <c r="W969" s="220"/>
      <c r="X969" s="106">
        <f>X934+X880</f>
        <v>8135645</v>
      </c>
      <c r="Y969" s="82"/>
      <c r="Z969" s="83"/>
      <c r="AA969" s="83"/>
      <c r="AB969" s="83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</row>
    <row r="970" spans="1:45" ht="15.75">
      <c r="A970" s="226" t="s">
        <v>155</v>
      </c>
      <c r="B970" s="179"/>
      <c r="C970" s="218">
        <f>C935+C881</f>
        <v>140251.12121212101</v>
      </c>
      <c r="D970" s="243"/>
      <c r="E970" s="220"/>
      <c r="F970" s="106">
        <f>F935+F881</f>
        <v>77094</v>
      </c>
      <c r="G970" s="243"/>
      <c r="H970" s="220"/>
      <c r="I970" s="106">
        <f>I935+I881</f>
        <v>77094</v>
      </c>
      <c r="J970" s="243"/>
      <c r="K970" s="220"/>
      <c r="L970" s="106">
        <f>L935+L881</f>
        <v>77094</v>
      </c>
      <c r="M970" s="106"/>
      <c r="N970" s="243"/>
      <c r="O970" s="220"/>
      <c r="P970" s="106"/>
      <c r="Q970" s="106"/>
      <c r="R970" s="243"/>
      <c r="S970" s="220"/>
      <c r="T970" s="106">
        <f>T935+T881</f>
        <v>15794</v>
      </c>
      <c r="U970" s="106"/>
      <c r="V970" s="243"/>
      <c r="W970" s="220"/>
      <c r="X970" s="106">
        <f>X935+X881</f>
        <v>61303</v>
      </c>
      <c r="Y970" s="82"/>
      <c r="Z970" s="83"/>
      <c r="AA970" s="83"/>
      <c r="AB970" s="83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</row>
    <row r="971" spans="1:45" ht="15.75">
      <c r="A971" s="179" t="s">
        <v>134</v>
      </c>
      <c r="B971" s="179"/>
      <c r="C971" s="148">
        <f>C936+C882</f>
        <v>221132355</v>
      </c>
      <c r="D971" s="229"/>
      <c r="E971" s="106"/>
      <c r="F971" s="137">
        <f>F936+F882</f>
        <v>14064750</v>
      </c>
      <c r="G971" s="229"/>
      <c r="H971" s="179"/>
      <c r="I971" s="137">
        <f>I936+I882</f>
        <v>14868626</v>
      </c>
      <c r="J971" s="229"/>
      <c r="K971" s="179"/>
      <c r="L971" s="137">
        <f>L936+L882</f>
        <v>15228250</v>
      </c>
      <c r="M971" s="137"/>
      <c r="N971" s="229"/>
      <c r="O971" s="179"/>
      <c r="P971" s="137">
        <f>P936+P882</f>
        <v>73059</v>
      </c>
      <c r="Q971" s="137"/>
      <c r="R971" s="229"/>
      <c r="S971" s="179"/>
      <c r="T971" s="137">
        <f>T936+T882</f>
        <v>2799946</v>
      </c>
      <c r="U971" s="137"/>
      <c r="V971" s="229"/>
      <c r="W971" s="179"/>
      <c r="X971" s="137">
        <f>X936+X882</f>
        <v>10866782</v>
      </c>
      <c r="Y971" s="82"/>
      <c r="Z971" s="83"/>
      <c r="AA971" s="83"/>
      <c r="AB971" s="83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</row>
    <row r="972" spans="1:45" ht="15.75">
      <c r="A972" s="179" t="s">
        <v>119</v>
      </c>
      <c r="B972" s="179"/>
      <c r="C972" s="247">
        <v>-3541996.3303991579</v>
      </c>
      <c r="D972" s="138"/>
      <c r="E972" s="138"/>
      <c r="F972" s="334">
        <f>I972</f>
        <v>-307473.73256731662</v>
      </c>
      <c r="G972" s="138"/>
      <c r="H972" s="138"/>
      <c r="I972" s="334">
        <v>-307473.73256731662</v>
      </c>
      <c r="J972" s="138"/>
      <c r="K972" s="138"/>
      <c r="L972" s="334">
        <f>I972</f>
        <v>-307473.73256731662</v>
      </c>
      <c r="M972" s="137"/>
      <c r="N972" s="138"/>
      <c r="O972" s="138"/>
      <c r="P972" s="334">
        <f>$L$972*Y904/(Y904+$Z$904+$AA$904)</f>
        <v>-34050.80336022452</v>
      </c>
      <c r="Q972" s="137"/>
      <c r="R972" s="138"/>
      <c r="S972" s="138"/>
      <c r="T972" s="334">
        <f>$L$972*Z904/(Y904+$Z$904+$AA$904)</f>
        <v>-55292.198651086197</v>
      </c>
      <c r="U972" s="137"/>
      <c r="V972" s="138"/>
      <c r="W972" s="138"/>
      <c r="X972" s="334">
        <f>$L$972*AA904/(Y904+$Z$904+$AA$904)</f>
        <v>-218130.7305560059</v>
      </c>
      <c r="Y972" s="172"/>
      <c r="Z972" s="168"/>
      <c r="AA972" s="83"/>
      <c r="AB972" s="83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</row>
    <row r="973" spans="1:45" ht="16.5" thickBot="1">
      <c r="A973" s="179" t="s">
        <v>135</v>
      </c>
      <c r="B973" s="179"/>
      <c r="C973" s="357">
        <f>C971+C972</f>
        <v>217590358.66960084</v>
      </c>
      <c r="D973" s="268"/>
      <c r="E973" s="250"/>
      <c r="F973" s="339">
        <f>F971+F972</f>
        <v>13757276.267432684</v>
      </c>
      <c r="G973" s="268"/>
      <c r="H973" s="269"/>
      <c r="I973" s="339">
        <f>I971+I972</f>
        <v>14561152.267432684</v>
      </c>
      <c r="J973" s="268"/>
      <c r="K973" s="269"/>
      <c r="L973" s="339">
        <f>L971+L972</f>
        <v>14920776.267432684</v>
      </c>
      <c r="M973" s="137"/>
      <c r="N973" s="268"/>
      <c r="O973" s="269"/>
      <c r="P973" s="339">
        <f>P971+P972</f>
        <v>39008.19663977548</v>
      </c>
      <c r="Q973" s="137"/>
      <c r="R973" s="268"/>
      <c r="S973" s="269"/>
      <c r="T973" s="339">
        <f>T971+T972</f>
        <v>2744653.8013489139</v>
      </c>
      <c r="U973" s="137"/>
      <c r="V973" s="268"/>
      <c r="W973" s="269"/>
      <c r="X973" s="339">
        <f>X971+X972</f>
        <v>10648651.269443994</v>
      </c>
      <c r="Y973" s="176"/>
      <c r="Z973" s="177"/>
      <c r="AA973" s="83"/>
      <c r="AB973" s="83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</row>
    <row r="974" spans="1:45" ht="16.5" thickTop="1">
      <c r="A974" s="179"/>
      <c r="B974" s="179"/>
      <c r="C974" s="205"/>
      <c r="D974" s="243" t="s">
        <v>108</v>
      </c>
      <c r="E974" s="106"/>
      <c r="F974" s="106"/>
      <c r="G974" s="243" t="s">
        <v>108</v>
      </c>
      <c r="H974" s="179"/>
      <c r="I974" s="106"/>
      <c r="J974" s="275" t="s">
        <v>108</v>
      </c>
      <c r="K974" s="179"/>
      <c r="L974" s="106" t="s">
        <v>108</v>
      </c>
      <c r="M974" s="106"/>
      <c r="N974" s="275" t="s">
        <v>108</v>
      </c>
      <c r="O974" s="179"/>
      <c r="P974" s="106" t="s">
        <v>108</v>
      </c>
      <c r="Q974" s="106"/>
      <c r="R974" s="275" t="s">
        <v>108</v>
      </c>
      <c r="S974" s="179"/>
      <c r="T974" s="106" t="s">
        <v>108</v>
      </c>
      <c r="U974" s="106"/>
      <c r="V974" s="275" t="s">
        <v>108</v>
      </c>
      <c r="W974" s="179"/>
      <c r="X974" s="106" t="s">
        <v>108</v>
      </c>
      <c r="Y974" s="82"/>
      <c r="Z974" s="83"/>
      <c r="AA974" s="83"/>
      <c r="AB974" s="83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</row>
    <row r="975" spans="1:45" ht="15.75">
      <c r="A975" s="178" t="s">
        <v>232</v>
      </c>
      <c r="B975" s="179"/>
      <c r="C975" s="179"/>
      <c r="D975" s="106"/>
      <c r="E975" s="106"/>
      <c r="F975" s="179"/>
      <c r="G975" s="106"/>
      <c r="H975" s="179"/>
      <c r="I975" s="179"/>
      <c r="J975" s="106"/>
      <c r="K975" s="179"/>
      <c r="L975" s="179"/>
      <c r="M975" s="179"/>
      <c r="N975" s="106"/>
      <c r="O975" s="179"/>
      <c r="P975" s="179"/>
      <c r="Q975" s="179"/>
      <c r="R975" s="106"/>
      <c r="S975" s="179"/>
      <c r="T975" s="179"/>
      <c r="U975" s="179"/>
      <c r="V975" s="106"/>
      <c r="W975" s="179"/>
      <c r="X975" s="179"/>
      <c r="Y975" s="82"/>
      <c r="Z975" s="102"/>
      <c r="AA975" s="83"/>
      <c r="AB975" s="83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</row>
    <row r="976" spans="1:45" ht="15.75">
      <c r="A976" s="331" t="s">
        <v>245</v>
      </c>
      <c r="B976" s="179"/>
      <c r="C976" s="179"/>
      <c r="D976" s="106"/>
      <c r="E976" s="106"/>
      <c r="F976" s="179"/>
      <c r="G976" s="106"/>
      <c r="H976" s="179"/>
      <c r="I976" s="179"/>
      <c r="J976" s="106"/>
      <c r="K976" s="179"/>
      <c r="L976" s="179"/>
      <c r="M976" s="179"/>
      <c r="N976" s="106"/>
      <c r="O976" s="179"/>
      <c r="P976" s="179"/>
      <c r="Q976" s="179"/>
      <c r="R976" s="106"/>
      <c r="S976" s="179"/>
      <c r="T976" s="179"/>
      <c r="U976" s="179"/>
      <c r="V976" s="106"/>
      <c r="W976" s="179"/>
      <c r="X976" s="179"/>
      <c r="Y976" s="82"/>
      <c r="Z976" s="102">
        <f>Unbundled!F25</f>
        <v>0.7606117852257972</v>
      </c>
      <c r="AA976" s="102">
        <f>Unbundled!G25</f>
        <v>0.19545011700569084</v>
      </c>
      <c r="AB976" s="102">
        <f>(Unbundled!H25+Unbundled!I25+Unbundled!J25)</f>
        <v>4.3938097768511902E-2</v>
      </c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</row>
    <row r="977" spans="1:45" ht="15.75">
      <c r="A977" s="226"/>
      <c r="B977" s="179"/>
      <c r="C977" s="179"/>
      <c r="D977" s="106"/>
      <c r="E977" s="106"/>
      <c r="F977" s="179"/>
      <c r="G977" s="106"/>
      <c r="H977" s="179"/>
      <c r="I977" s="179"/>
      <c r="J977" s="106"/>
      <c r="K977" s="179"/>
      <c r="L977" s="179"/>
      <c r="M977" s="179"/>
      <c r="N977" s="106"/>
      <c r="O977" s="179"/>
      <c r="P977" s="179"/>
      <c r="Q977" s="179"/>
      <c r="R977" s="106"/>
      <c r="S977" s="179"/>
      <c r="T977" s="179"/>
      <c r="U977" s="179"/>
      <c r="V977" s="106"/>
      <c r="W977" s="179"/>
      <c r="X977" s="179"/>
      <c r="Y977" s="82"/>
      <c r="Z977" s="83"/>
      <c r="AA977" s="83"/>
      <c r="AB977" s="83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</row>
    <row r="978" spans="1:45" ht="15.75">
      <c r="A978" s="226" t="s">
        <v>11</v>
      </c>
      <c r="B978" s="179"/>
      <c r="C978" s="152"/>
      <c r="D978" s="109"/>
      <c r="E978" s="109"/>
      <c r="F978" s="153"/>
      <c r="G978" s="109"/>
      <c r="H978" s="153"/>
      <c r="I978" s="153"/>
      <c r="J978" s="109"/>
      <c r="K978" s="153"/>
      <c r="L978" s="153" t="s">
        <v>108</v>
      </c>
      <c r="M978" s="153"/>
      <c r="N978" s="109"/>
      <c r="O978" s="153"/>
      <c r="P978" s="153"/>
      <c r="Q978" s="153"/>
      <c r="R978" s="109"/>
      <c r="S978" s="153"/>
      <c r="T978" s="153"/>
      <c r="U978" s="153"/>
      <c r="V978" s="109"/>
      <c r="W978" s="153"/>
      <c r="X978" s="153"/>
      <c r="Y978" s="82"/>
      <c r="AK978" s="82"/>
      <c r="AL978" s="82"/>
      <c r="AM978" s="82"/>
      <c r="AN978" s="82"/>
      <c r="AO978" s="82"/>
      <c r="AP978" s="82"/>
      <c r="AQ978" s="82"/>
      <c r="AR978" s="82"/>
      <c r="AS978" s="82"/>
    </row>
    <row r="979" spans="1:45" ht="15.75">
      <c r="A979" s="138" t="s">
        <v>246</v>
      </c>
      <c r="B979" s="179"/>
      <c r="C979" s="152">
        <v>0</v>
      </c>
      <c r="D979" s="238" t="s">
        <v>108</v>
      </c>
      <c r="E979" s="238"/>
      <c r="F979" s="109" t="e">
        <f>ROUND(D979*$C979,0)</f>
        <v>#VALUE!</v>
      </c>
      <c r="G979" s="238">
        <v>0</v>
      </c>
      <c r="H979" s="109"/>
      <c r="I979" s="109">
        <f>ROUND(C979*G979,0)</f>
        <v>0</v>
      </c>
      <c r="J979" s="238">
        <v>0</v>
      </c>
      <c r="K979" s="109"/>
      <c r="L979" s="109">
        <f>ROUND(J979*$C979,0)</f>
        <v>0</v>
      </c>
      <c r="M979" s="109"/>
      <c r="N979" s="238" t="s">
        <v>108</v>
      </c>
      <c r="O979" s="109"/>
      <c r="P979" s="109"/>
      <c r="Q979" s="109"/>
      <c r="R979" s="238"/>
      <c r="S979" s="109"/>
      <c r="T979" s="109"/>
      <c r="U979" s="109"/>
      <c r="V979" s="238"/>
      <c r="W979" s="109"/>
      <c r="X979" s="109"/>
      <c r="Y979" s="82"/>
      <c r="AA979" s="358"/>
      <c r="AB979" s="358"/>
      <c r="AD979" s="192"/>
      <c r="AE979" s="342"/>
      <c r="AF979" s="192"/>
      <c r="AG979" s="342"/>
      <c r="AH979" s="192"/>
      <c r="AI979" s="192"/>
      <c r="AJ979" s="342"/>
      <c r="AK979" s="82"/>
      <c r="AL979" s="82"/>
      <c r="AM979" s="82"/>
      <c r="AN979" s="82"/>
      <c r="AO979" s="82"/>
      <c r="AP979" s="82"/>
      <c r="AQ979" s="82"/>
      <c r="AR979" s="82"/>
      <c r="AS979" s="82"/>
    </row>
    <row r="980" spans="1:45" ht="15.75">
      <c r="A980" s="138" t="s">
        <v>247</v>
      </c>
      <c r="B980" s="179"/>
      <c r="C980" s="152">
        <v>12</v>
      </c>
      <c r="D980" s="238">
        <v>2528</v>
      </c>
      <c r="E980" s="238"/>
      <c r="F980" s="109">
        <f>ROUND(D980*$C980,0)</f>
        <v>30336</v>
      </c>
      <c r="G980" s="238">
        <v>2528</v>
      </c>
      <c r="H980" s="195"/>
      <c r="I980" s="109">
        <f>ROUND(C980*G980,0)</f>
        <v>30336</v>
      </c>
      <c r="J980" s="238">
        <v>2854</v>
      </c>
      <c r="K980" s="195"/>
      <c r="L980" s="109">
        <f>ROUND(J980*$C980,0)</f>
        <v>34248</v>
      </c>
      <c r="M980" s="109"/>
      <c r="N980" s="238">
        <f>J980</f>
        <v>2854</v>
      </c>
      <c r="O980" s="195"/>
      <c r="P980" s="109">
        <f t="shared" ref="P980:P984" si="177">ROUND(N980*$C980,0)</f>
        <v>34248</v>
      </c>
      <c r="Q980" s="109"/>
      <c r="R980" s="238"/>
      <c r="S980" s="195"/>
      <c r="T980" s="109"/>
      <c r="U980" s="109"/>
      <c r="V980" s="238"/>
      <c r="W980" s="195"/>
      <c r="X980" s="109"/>
      <c r="Y980" s="82"/>
      <c r="AA980" s="102">
        <f>(J980-G980)/G980</f>
        <v>0.12895569620253164</v>
      </c>
      <c r="AB980" s="102"/>
      <c r="AD980" s="192"/>
      <c r="AE980" s="342"/>
      <c r="AF980" s="192"/>
      <c r="AG980" s="342"/>
      <c r="AH980" s="192"/>
      <c r="AI980" s="192"/>
      <c r="AJ980" s="342"/>
      <c r="AK980" s="82"/>
      <c r="AL980" s="82"/>
      <c r="AM980" s="82"/>
      <c r="AN980" s="82"/>
      <c r="AO980" s="82"/>
      <c r="AP980" s="82"/>
      <c r="AQ980" s="82"/>
      <c r="AR980" s="82"/>
      <c r="AS980" s="82"/>
    </row>
    <row r="981" spans="1:45" ht="15.75">
      <c r="A981" s="226" t="s">
        <v>150</v>
      </c>
      <c r="B981" s="179"/>
      <c r="C981" s="152">
        <f>SUM(C979:C980)</f>
        <v>12</v>
      </c>
      <c r="D981" s="238" t="s">
        <v>108</v>
      </c>
      <c r="E981" s="238"/>
      <c r="F981" s="109" t="s">
        <v>108</v>
      </c>
      <c r="G981" s="238" t="s">
        <v>108</v>
      </c>
      <c r="H981" s="109"/>
      <c r="I981" s="109" t="s">
        <v>108</v>
      </c>
      <c r="J981" s="238" t="s">
        <v>108</v>
      </c>
      <c r="K981" s="109"/>
      <c r="L981" s="109" t="s">
        <v>108</v>
      </c>
      <c r="M981" s="109"/>
      <c r="N981" s="238" t="s">
        <v>108</v>
      </c>
      <c r="O981" s="109"/>
      <c r="P981" s="109" t="s">
        <v>108</v>
      </c>
      <c r="Q981" s="109"/>
      <c r="R981" s="238" t="s">
        <v>108</v>
      </c>
      <c r="S981" s="109"/>
      <c r="T981" s="109" t="s">
        <v>108</v>
      </c>
      <c r="U981" s="109"/>
      <c r="V981" s="238" t="s">
        <v>108</v>
      </c>
      <c r="W981" s="109"/>
      <c r="X981" s="109" t="s">
        <v>108</v>
      </c>
      <c r="Y981" s="82"/>
      <c r="AA981" s="219"/>
      <c r="AD981" s="192"/>
      <c r="AE981" s="342"/>
      <c r="AF981" s="192"/>
      <c r="AG981" s="342"/>
      <c r="AH981" s="192"/>
      <c r="AI981" s="192"/>
      <c r="AJ981" s="342"/>
      <c r="AK981" s="82"/>
      <c r="AL981" s="82"/>
      <c r="AM981" s="82"/>
      <c r="AN981" s="82"/>
      <c r="AO981" s="82"/>
      <c r="AP981" s="82"/>
      <c r="AQ981" s="82"/>
      <c r="AR981" s="82"/>
      <c r="AS981" s="82"/>
    </row>
    <row r="982" spans="1:45" ht="15.75">
      <c r="A982" s="226" t="s">
        <v>230</v>
      </c>
      <c r="B982" s="179"/>
      <c r="C982" s="152">
        <v>0</v>
      </c>
      <c r="D982" s="238" t="s">
        <v>108</v>
      </c>
      <c r="E982" s="238"/>
      <c r="F982" s="109" t="e">
        <f>ROUND(D982*$C982,0)</f>
        <v>#VALUE!</v>
      </c>
      <c r="G982" s="238">
        <v>0</v>
      </c>
      <c r="H982" s="109"/>
      <c r="I982" s="109">
        <f t="shared" ref="I982:I984" si="178">ROUND(C982*G982,0)</f>
        <v>0</v>
      </c>
      <c r="J982" s="238">
        <v>0</v>
      </c>
      <c r="K982" s="109"/>
      <c r="L982" s="109">
        <f>ROUND(J982*$C982,0)</f>
        <v>0</v>
      </c>
      <c r="M982" s="109"/>
      <c r="N982" s="238" t="s">
        <v>108</v>
      </c>
      <c r="O982" s="109"/>
      <c r="P982" s="109"/>
      <c r="Q982" s="109"/>
      <c r="R982" s="238"/>
      <c r="S982" s="109"/>
      <c r="T982" s="109"/>
      <c r="U982" s="109"/>
      <c r="V982" s="238"/>
      <c r="W982" s="109"/>
      <c r="X982" s="109"/>
      <c r="Y982" s="82"/>
      <c r="AA982" s="219"/>
      <c r="AD982" s="192"/>
      <c r="AE982" s="342"/>
      <c r="AF982" s="192"/>
      <c r="AG982" s="342"/>
      <c r="AH982" s="192"/>
      <c r="AI982" s="192"/>
      <c r="AJ982" s="342"/>
      <c r="AK982" s="82"/>
      <c r="AL982" s="82"/>
      <c r="AM982" s="82"/>
      <c r="AN982" s="82"/>
      <c r="AO982" s="82"/>
      <c r="AP982" s="82"/>
      <c r="AQ982" s="82"/>
      <c r="AR982" s="82"/>
      <c r="AS982" s="82"/>
    </row>
    <row r="983" spans="1:45" ht="15.75">
      <c r="A983" s="138" t="s">
        <v>248</v>
      </c>
      <c r="B983" s="179"/>
      <c r="C983" s="152">
        <v>693243</v>
      </c>
      <c r="D983" s="238">
        <v>0.23</v>
      </c>
      <c r="E983" s="238"/>
      <c r="F983" s="109">
        <f>ROUND(D983*$C983,0)</f>
        <v>159446</v>
      </c>
      <c r="G983" s="238">
        <v>0.23</v>
      </c>
      <c r="H983" s="109"/>
      <c r="I983" s="109">
        <f t="shared" si="178"/>
        <v>159446</v>
      </c>
      <c r="J983" s="238">
        <f ca="1">ROUND(($G983*(1+$AB$990)),2)</f>
        <v>0.24</v>
      </c>
      <c r="K983" s="109"/>
      <c r="L983" s="109">
        <f ca="1">ROUND(J983*$C983,0)</f>
        <v>166378</v>
      </c>
      <c r="M983" s="109"/>
      <c r="N983" s="238">
        <v>0.24</v>
      </c>
      <c r="O983" s="109"/>
      <c r="P983" s="109">
        <f t="shared" si="177"/>
        <v>166378</v>
      </c>
      <c r="Q983" s="109"/>
      <c r="R983" s="238" t="s">
        <v>108</v>
      </c>
      <c r="S983" s="109"/>
      <c r="T983" s="109"/>
      <c r="U983" s="109"/>
      <c r="V983" s="238"/>
      <c r="W983" s="109"/>
      <c r="X983" s="109"/>
      <c r="Y983" s="82"/>
      <c r="AA983" s="102">
        <f ca="1">(J983-G983)/G983</f>
        <v>4.3478260869565133E-2</v>
      </c>
      <c r="AB983" s="102"/>
      <c r="AD983" s="192"/>
      <c r="AE983" s="342"/>
      <c r="AF983" s="192"/>
      <c r="AG983" s="342"/>
      <c r="AH983" s="192"/>
      <c r="AI983" s="192"/>
      <c r="AJ983" s="342"/>
      <c r="AK983" s="82"/>
      <c r="AL983" s="82"/>
      <c r="AM983" s="82"/>
      <c r="AN983" s="82"/>
      <c r="AO983" s="82"/>
      <c r="AP983" s="82"/>
      <c r="AQ983" s="82"/>
      <c r="AR983" s="82"/>
      <c r="AS983" s="82"/>
    </row>
    <row r="984" spans="1:45" ht="15.75">
      <c r="A984" s="138" t="s">
        <v>158</v>
      </c>
      <c r="B984" s="179"/>
      <c r="C984" s="152">
        <v>681696</v>
      </c>
      <c r="D984" s="238">
        <v>6.95</v>
      </c>
      <c r="E984" s="238"/>
      <c r="F984" s="109">
        <f>ROUND(D984*$C984,0)</f>
        <v>4737787</v>
      </c>
      <c r="G984" s="238">
        <v>7.35</v>
      </c>
      <c r="H984" s="109"/>
      <c r="I984" s="109">
        <f t="shared" si="178"/>
        <v>5010466</v>
      </c>
      <c r="J984" s="238">
        <f ca="1">ROUND($G984*(1+$AB$990),5)</f>
        <v>7.6103500000000004</v>
      </c>
      <c r="K984" s="109"/>
      <c r="L984" s="109">
        <f ca="1">ROUND(J984*$C984,0)</f>
        <v>5187945</v>
      </c>
      <c r="M984" s="109"/>
      <c r="N984" s="238">
        <f ca="1">J984*AB976</f>
        <v>0.33438430235259459</v>
      </c>
      <c r="O984" s="109"/>
      <c r="P984" s="109">
        <f t="shared" ca="1" si="177"/>
        <v>227948</v>
      </c>
      <c r="Q984" s="109"/>
      <c r="R984" s="238">
        <f ca="1">J984*AA976</f>
        <v>1.4874437979542594</v>
      </c>
      <c r="S984" s="109"/>
      <c r="T984" s="109">
        <f ca="1">ROUND(R984*$C984,0)</f>
        <v>1013984</v>
      </c>
      <c r="U984" s="109"/>
      <c r="V984" s="238">
        <f ca="1">J984*Z976</f>
        <v>5.788521899693146</v>
      </c>
      <c r="W984" s="109"/>
      <c r="X984" s="109">
        <f ca="1">ROUND(V984*$C984,0)</f>
        <v>3946012</v>
      </c>
      <c r="Y984" s="82"/>
      <c r="AA984" s="102">
        <f ca="1">(J984-G984)/G984</f>
        <v>3.5421768707483099E-2</v>
      </c>
      <c r="AB984" s="102"/>
      <c r="AC984" s="83"/>
      <c r="AD984" s="343"/>
      <c r="AE984" s="342"/>
      <c r="AF984" s="343"/>
      <c r="AG984" s="342"/>
      <c r="AH984" s="343"/>
      <c r="AI984" s="83"/>
      <c r="AJ984" s="342"/>
      <c r="AK984" s="82"/>
      <c r="AL984" s="82"/>
      <c r="AM984" s="82"/>
      <c r="AN984" s="82"/>
      <c r="AO984" s="82"/>
      <c r="AP984" s="82"/>
      <c r="AQ984" s="82"/>
      <c r="AR984" s="82"/>
      <c r="AS984" s="82"/>
    </row>
    <row r="985" spans="1:45" ht="15.75">
      <c r="A985" s="226" t="s">
        <v>181</v>
      </c>
      <c r="B985" s="179"/>
      <c r="C985" s="152" t="s">
        <v>108</v>
      </c>
      <c r="D985" s="238" t="s">
        <v>108</v>
      </c>
      <c r="E985" s="238"/>
      <c r="F985" s="109"/>
      <c r="G985" s="153" t="s">
        <v>108</v>
      </c>
      <c r="H985" s="109"/>
      <c r="I985" s="109"/>
      <c r="J985" s="238"/>
      <c r="K985" s="109"/>
      <c r="L985" s="109"/>
      <c r="M985" s="109"/>
      <c r="N985" s="153"/>
      <c r="O985" s="109"/>
      <c r="P985" s="109"/>
      <c r="Q985" s="109"/>
      <c r="R985" s="153" t="s">
        <v>108</v>
      </c>
      <c r="S985" s="109"/>
      <c r="T985" s="109"/>
      <c r="U985" s="109"/>
      <c r="V985" s="153" t="s">
        <v>108</v>
      </c>
      <c r="W985" s="109"/>
      <c r="X985" s="109"/>
      <c r="Y985" s="82"/>
      <c r="AA985" s="359"/>
      <c r="AC985" s="83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</row>
    <row r="986" spans="1:45" ht="15.75">
      <c r="A986" s="226" t="s">
        <v>219</v>
      </c>
      <c r="B986" s="179"/>
      <c r="C986" s="152">
        <v>455274000</v>
      </c>
      <c r="D986" s="153">
        <v>4.1870000000000003</v>
      </c>
      <c r="E986" s="109" t="s">
        <v>116</v>
      </c>
      <c r="F986" s="109">
        <f>ROUND(D986/100*$C986,0)</f>
        <v>19062322</v>
      </c>
      <c r="G986" s="319">
        <v>4.43</v>
      </c>
      <c r="H986" s="109" t="s">
        <v>116</v>
      </c>
      <c r="I986" s="109">
        <f>ROUND(C986/100*G986,0)</f>
        <v>20168638</v>
      </c>
      <c r="J986" s="546">
        <f ca="1">ROUND($G986*(1+$AB$990),3)</f>
        <v>4.5869999999999997</v>
      </c>
      <c r="K986" s="109" t="s">
        <v>116</v>
      </c>
      <c r="L986" s="109">
        <f ca="1">ROUND(J986/100*$C986,0)</f>
        <v>20883418</v>
      </c>
      <c r="M986" s="109"/>
      <c r="N986" s="319"/>
      <c r="O986" s="109" t="s">
        <v>108</v>
      </c>
      <c r="P986" s="109"/>
      <c r="Q986" s="109"/>
      <c r="R986" s="319">
        <f ca="1">$J986*($AA$976/($AA$976+$Z$976))</f>
        <v>0.93773183997036857</v>
      </c>
      <c r="S986" s="109" t="s">
        <v>116</v>
      </c>
      <c r="T986" s="109">
        <f ca="1">R986*C986/100</f>
        <v>4269249.2571066953</v>
      </c>
      <c r="U986" s="109"/>
      <c r="V986" s="319">
        <f ca="1">$J986*($Z$976/($Z$976+$AA$976))</f>
        <v>3.6492681600296311</v>
      </c>
      <c r="W986" s="109" t="s">
        <v>116</v>
      </c>
      <c r="X986" s="109">
        <f ca="1">V986*C986/100</f>
        <v>16614169.122893302</v>
      </c>
      <c r="Y986" s="82"/>
      <c r="AA986" s="102">
        <f ca="1">(J986-G986)/G986</f>
        <v>3.5440180586907455E-2</v>
      </c>
      <c r="AB986" s="102"/>
      <c r="AC986" s="83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</row>
    <row r="987" spans="1:45" ht="15.75">
      <c r="A987" s="226" t="s">
        <v>155</v>
      </c>
      <c r="B987" s="179"/>
      <c r="C987" s="152">
        <v>183315</v>
      </c>
      <c r="D987" s="238">
        <v>0.53</v>
      </c>
      <c r="E987" s="109"/>
      <c r="F987" s="109">
        <f>ROUND(D987*$C987,0)</f>
        <v>97157</v>
      </c>
      <c r="G987" s="238">
        <v>0.53</v>
      </c>
      <c r="H987" s="109"/>
      <c r="I987" s="109">
        <f>ROUND(C987*G987,0)</f>
        <v>97157</v>
      </c>
      <c r="J987" s="238">
        <v>0.53</v>
      </c>
      <c r="K987" s="109"/>
      <c r="L987" s="109">
        <f>ROUND(J987*$C987,0)</f>
        <v>97157</v>
      </c>
      <c r="M987" s="109"/>
      <c r="N987" s="313"/>
      <c r="O987" s="109"/>
      <c r="P987" s="109"/>
      <c r="Q987" s="109"/>
      <c r="R987" s="319">
        <f>$J987*($AA$976/($AA$976+$Z$976))</f>
        <v>0.10834922066367896</v>
      </c>
      <c r="S987" s="109"/>
      <c r="T987" s="109">
        <f>ROUND(R987*$C987,0)</f>
        <v>19862</v>
      </c>
      <c r="U987" s="109"/>
      <c r="V987" s="470">
        <f>$J987*($Z$976/($Z$976+$AA$976))</f>
        <v>0.42165077933632106</v>
      </c>
      <c r="W987" s="109"/>
      <c r="X987" s="109">
        <f>ROUND(V987*$C987,0)</f>
        <v>77295</v>
      </c>
      <c r="Y987" s="82"/>
      <c r="AA987" s="350"/>
      <c r="AB987" s="102"/>
      <c r="AC987" s="83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</row>
    <row r="988" spans="1:45" ht="15.75">
      <c r="A988" s="179" t="s">
        <v>134</v>
      </c>
      <c r="B988" s="179"/>
      <c r="C988" s="152">
        <f>C986</f>
        <v>455274000</v>
      </c>
      <c r="D988" s="230"/>
      <c r="E988" s="109"/>
      <c r="F988" s="109" t="e">
        <f>SUM(F979:F987)</f>
        <v>#VALUE!</v>
      </c>
      <c r="G988" s="230"/>
      <c r="H988" s="153"/>
      <c r="I988" s="109">
        <f>SUM(I979:I987)</f>
        <v>25466043</v>
      </c>
      <c r="J988" s="230"/>
      <c r="K988" s="153"/>
      <c r="L988" s="109">
        <f ca="1">SUM(L979:L987)</f>
        <v>26369146</v>
      </c>
      <c r="M988" s="109"/>
      <c r="N988" s="539"/>
      <c r="O988" s="153"/>
      <c r="P988" s="109">
        <f ca="1">SUM(P980:P984)</f>
        <v>428574</v>
      </c>
      <c r="Q988" s="109"/>
      <c r="R988" s="230"/>
      <c r="S988" s="153"/>
      <c r="T988" s="109">
        <f ca="1">SUM(T979:T987)</f>
        <v>5303095.2571066953</v>
      </c>
      <c r="U988" s="109"/>
      <c r="V988" s="230"/>
      <c r="W988" s="153"/>
      <c r="X988" s="109">
        <f ca="1">SUM(X979:X987)</f>
        <v>20637476.122893304</v>
      </c>
      <c r="Y988" s="150"/>
      <c r="Z988" s="83"/>
      <c r="AA988" s="83"/>
      <c r="AB988" s="83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</row>
    <row r="989" spans="1:45" ht="15.75">
      <c r="A989" s="179" t="s">
        <v>119</v>
      </c>
      <c r="B989" s="179"/>
      <c r="C989" s="152">
        <v>-7292369.4830914559</v>
      </c>
      <c r="D989" s="153"/>
      <c r="E989" s="153"/>
      <c r="F989" s="198">
        <f>I989</f>
        <v>-525378.60504138179</v>
      </c>
      <c r="G989" s="153"/>
      <c r="H989" s="153"/>
      <c r="I989" s="198">
        <v>-525378.60504138179</v>
      </c>
      <c r="J989" s="153"/>
      <c r="K989" s="153"/>
      <c r="L989" s="198">
        <f>I989</f>
        <v>-525378.60504138179</v>
      </c>
      <c r="M989" s="169"/>
      <c r="N989" s="153"/>
      <c r="O989" s="153"/>
      <c r="P989" s="198">
        <f>L989*AB976</f>
        <v>-23084.136513792633</v>
      </c>
      <c r="Q989" s="169"/>
      <c r="R989" s="153"/>
      <c r="S989" s="153"/>
      <c r="T989" s="198">
        <f>L989*AA976</f>
        <v>-102685.3098276247</v>
      </c>
      <c r="U989" s="169"/>
      <c r="V989" s="153"/>
      <c r="W989" s="153"/>
      <c r="X989" s="198">
        <f>L989*Z976</f>
        <v>-399609.15869996441</v>
      </c>
      <c r="Y989" s="443"/>
      <c r="Z989" s="168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</row>
    <row r="990" spans="1:45" ht="16.5" thickBot="1">
      <c r="A990" s="179" t="s">
        <v>135</v>
      </c>
      <c r="B990" s="179"/>
      <c r="C990" s="335">
        <f>SUM(C988)+C989</f>
        <v>447981630.51690853</v>
      </c>
      <c r="D990" s="268"/>
      <c r="E990" s="250"/>
      <c r="F990" s="251" t="e">
        <f>F988+F989</f>
        <v>#VALUE!</v>
      </c>
      <c r="G990" s="268"/>
      <c r="H990" s="269"/>
      <c r="I990" s="251">
        <f>I988+I989</f>
        <v>24940664.394958619</v>
      </c>
      <c r="J990" s="268"/>
      <c r="K990" s="269"/>
      <c r="L990" s="251">
        <f ca="1">L988+L989</f>
        <v>25843767.394958619</v>
      </c>
      <c r="M990" s="251"/>
      <c r="N990" s="545"/>
      <c r="O990" s="269"/>
      <c r="P990" s="251">
        <f ca="1">P988+P989</f>
        <v>405489.86348620738</v>
      </c>
      <c r="Q990" s="251"/>
      <c r="R990" s="268"/>
      <c r="S990" s="269"/>
      <c r="T990" s="251">
        <f ca="1">T988+T989</f>
        <v>5200409.9472790705</v>
      </c>
      <c r="U990" s="251"/>
      <c r="V990" s="268"/>
      <c r="W990" s="269"/>
      <c r="X990" s="251">
        <f ca="1">X988+X989</f>
        <v>20237866.96419334</v>
      </c>
      <c r="Y990" s="143" t="s">
        <v>120</v>
      </c>
      <c r="Z990" s="538">
        <f>'[1]Summary Table'!$R$58</f>
        <v>25843759.863241833</v>
      </c>
      <c r="AA990" s="469">
        <v>3.6200000000000003E-2</v>
      </c>
      <c r="AB990" s="102">
        <f ca="1">AA990*(1-((I980-L989)/L990))</f>
        <v>3.5421596898197509E-2</v>
      </c>
      <c r="AC990" s="190" t="s">
        <v>108</v>
      </c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</row>
    <row r="991" spans="1:45" ht="16.5" thickTop="1">
      <c r="A991" s="179"/>
      <c r="B991" s="179"/>
      <c r="C991" s="205"/>
      <c r="D991" s="243" t="s">
        <v>108</v>
      </c>
      <c r="E991" s="106"/>
      <c r="F991" s="270" t="s">
        <v>108</v>
      </c>
      <c r="G991" s="243" t="s">
        <v>108</v>
      </c>
      <c r="H991" s="179"/>
      <c r="I991" s="106"/>
      <c r="J991" s="275" t="s">
        <v>108</v>
      </c>
      <c r="K991" s="179"/>
      <c r="L991" s="106"/>
      <c r="M991" s="106"/>
      <c r="N991" s="275" t="s">
        <v>108</v>
      </c>
      <c r="O991" s="179"/>
      <c r="P991" s="106" t="s">
        <v>108</v>
      </c>
      <c r="Q991" s="106"/>
      <c r="R991" s="275" t="s">
        <v>108</v>
      </c>
      <c r="S991" s="179"/>
      <c r="T991" s="106" t="s">
        <v>108</v>
      </c>
      <c r="U991" s="106"/>
      <c r="V991" s="275" t="s">
        <v>108</v>
      </c>
      <c r="W991" s="179"/>
      <c r="X991" s="106" t="s">
        <v>108</v>
      </c>
      <c r="Y991" s="154" t="s">
        <v>122</v>
      </c>
      <c r="Z991" s="201">
        <f ca="1">Z990-L990</f>
        <v>-7.5317167863249779</v>
      </c>
      <c r="AA991" s="349"/>
      <c r="AB991" s="83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</row>
    <row r="992" spans="1:45" ht="15.75" hidden="1">
      <c r="A992" s="179"/>
      <c r="B992" s="179"/>
      <c r="C992" s="205"/>
      <c r="D992" s="243"/>
      <c r="E992" s="106"/>
      <c r="F992" s="270"/>
      <c r="G992" s="243"/>
      <c r="H992" s="179"/>
      <c r="I992" s="106"/>
      <c r="J992" s="275"/>
      <c r="K992" s="179"/>
      <c r="L992" s="106"/>
      <c r="M992" s="106"/>
      <c r="N992" s="275"/>
      <c r="O992" s="179"/>
      <c r="P992" s="106"/>
      <c r="Q992" s="106"/>
      <c r="R992" s="275"/>
      <c r="S992" s="179"/>
      <c r="T992" s="106"/>
      <c r="U992" s="106"/>
      <c r="V992" s="275"/>
      <c r="W992" s="179"/>
      <c r="X992" s="106"/>
      <c r="Y992" s="353">
        <f>'[2]Exhibit No.__(JRS-6) p11'!J38+'[2]Exhibit No.__(JRS-6) p11'!K38+'[2]Exhibit No.__(JRS-6) p11'!L38</f>
        <v>3.6195744191889215E-2</v>
      </c>
      <c r="Z992" s="353">
        <f>'[2]Exhibit No.__(JRS-6) p11'!I38</f>
        <v>0.19479635018145056</v>
      </c>
      <c r="AA992" s="353">
        <f>'[2]Exhibit No.__(JRS-6) p11'!H38</f>
        <v>0.7690079056266601</v>
      </c>
      <c r="AB992" s="83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</row>
    <row r="993" spans="1:45" ht="15.75" hidden="1">
      <c r="A993" s="179"/>
      <c r="B993" s="179"/>
      <c r="C993" s="205"/>
      <c r="D993" s="243"/>
      <c r="E993" s="106"/>
      <c r="F993" s="270"/>
      <c r="G993" s="243"/>
      <c r="H993" s="179"/>
      <c r="I993" s="106"/>
      <c r="J993" s="275"/>
      <c r="K993" s="179"/>
      <c r="L993" s="106"/>
      <c r="M993" s="106"/>
      <c r="N993" s="275"/>
      <c r="O993" s="179"/>
      <c r="P993" s="106"/>
      <c r="Q993" s="106"/>
      <c r="R993" s="275"/>
      <c r="S993" s="179"/>
      <c r="T993" s="106"/>
      <c r="U993" s="106"/>
      <c r="V993" s="275"/>
      <c r="W993" s="179"/>
      <c r="X993" s="106"/>
      <c r="Y993" s="176">
        <f ca="1">Y992*L990</f>
        <v>935434.39358260925</v>
      </c>
      <c r="Z993" s="176">
        <f ca="1">Z992*L990</f>
        <v>5034271.5634763129</v>
      </c>
      <c r="AA993" s="176">
        <f ca="1">AA992*L990</f>
        <v>19874061.437899694</v>
      </c>
      <c r="AB993" s="83" t="s">
        <v>237</v>
      </c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</row>
    <row r="994" spans="1:45" ht="15.75">
      <c r="A994" s="178" t="s">
        <v>249</v>
      </c>
      <c r="B994" s="179"/>
      <c r="C994" s="179"/>
      <c r="D994" s="179"/>
      <c r="E994" s="179"/>
      <c r="F994" s="106"/>
      <c r="G994" s="179"/>
      <c r="H994" s="179"/>
      <c r="I994" s="106"/>
      <c r="J994" s="179"/>
      <c r="K994" s="179"/>
      <c r="L994" s="179"/>
      <c r="M994" s="179"/>
      <c r="N994" s="179"/>
      <c r="O994" s="179"/>
      <c r="P994" s="106" t="s">
        <v>108</v>
      </c>
      <c r="Q994" s="179"/>
      <c r="R994" s="179"/>
      <c r="S994" s="179"/>
      <c r="T994" s="106" t="s">
        <v>108</v>
      </c>
      <c r="U994" s="179"/>
      <c r="V994" s="179"/>
      <c r="W994" s="179"/>
      <c r="X994" s="106" t="s">
        <v>108</v>
      </c>
      <c r="Z994" s="84"/>
      <c r="AA994" s="84"/>
      <c r="AB994" s="84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</row>
    <row r="995" spans="1:45" ht="15.75">
      <c r="A995" s="179" t="s">
        <v>250</v>
      </c>
      <c r="B995" s="179"/>
      <c r="C995" s="179"/>
      <c r="D995" s="179"/>
      <c r="E995" s="179"/>
      <c r="F995" s="106"/>
      <c r="G995" s="179"/>
      <c r="H995" s="179"/>
      <c r="I995" s="106"/>
      <c r="J995" s="179"/>
      <c r="K995" s="179"/>
      <c r="L995" s="179"/>
      <c r="M995" s="179"/>
      <c r="N995" s="179"/>
      <c r="O995" s="179"/>
      <c r="P995" s="179"/>
      <c r="Q995" s="179"/>
      <c r="R995" s="179"/>
      <c r="S995" s="179"/>
      <c r="T995" s="179"/>
      <c r="U995" s="179"/>
      <c r="V995" s="179"/>
      <c r="W995" s="179"/>
      <c r="X995" s="179"/>
      <c r="Z995" s="84"/>
      <c r="AA995" s="84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82"/>
      <c r="AP995" s="82"/>
      <c r="AQ995" s="82"/>
      <c r="AR995" s="82"/>
      <c r="AS995" s="82"/>
    </row>
    <row r="996" spans="1:45" ht="15.75">
      <c r="A996" s="179" t="s">
        <v>251</v>
      </c>
      <c r="B996" s="179"/>
      <c r="C996" s="179"/>
      <c r="D996" s="179"/>
      <c r="E996" s="179"/>
      <c r="F996" s="106"/>
      <c r="G996" s="179"/>
      <c r="H996" s="179"/>
      <c r="I996" s="106"/>
      <c r="J996" s="179"/>
      <c r="K996" s="179"/>
      <c r="L996" s="179"/>
      <c r="M996" s="179"/>
      <c r="N996" s="179"/>
      <c r="O996" s="179"/>
      <c r="P996" s="179"/>
      <c r="Q996" s="179"/>
      <c r="R996" s="179"/>
      <c r="S996" s="179"/>
      <c r="T996" s="179"/>
      <c r="U996" s="179"/>
      <c r="V996" s="179"/>
      <c r="W996" s="179"/>
      <c r="X996" s="179"/>
      <c r="Y996" s="159"/>
      <c r="Z996" s="159"/>
      <c r="AA996" s="176" t="s">
        <v>108</v>
      </c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82"/>
      <c r="AP996" s="82"/>
      <c r="AQ996" s="82"/>
      <c r="AR996" s="82"/>
      <c r="AS996" s="82"/>
    </row>
    <row r="997" spans="1:45" ht="15.75">
      <c r="A997" s="179" t="s">
        <v>252</v>
      </c>
      <c r="B997" s="179"/>
      <c r="C997" s="153"/>
      <c r="D997" s="153"/>
      <c r="E997" s="153"/>
      <c r="F997" s="109"/>
      <c r="G997" s="153"/>
      <c r="H997" s="153"/>
      <c r="I997" s="109"/>
      <c r="J997" s="153"/>
      <c r="K997" s="153"/>
      <c r="L997" s="153"/>
      <c r="M997" s="153"/>
      <c r="N997" s="153"/>
      <c r="O997" s="153"/>
      <c r="P997" s="153"/>
      <c r="Q997" s="153"/>
      <c r="R997" s="153"/>
      <c r="S997" s="153"/>
      <c r="T997" s="153"/>
      <c r="U997" s="153"/>
      <c r="V997" s="153"/>
      <c r="W997" s="153"/>
      <c r="X997" s="153"/>
      <c r="Y997" s="159"/>
      <c r="Z997" s="159"/>
      <c r="AA997" s="83"/>
      <c r="AB997" s="83"/>
      <c r="AC997" s="160"/>
      <c r="AD997" s="160"/>
      <c r="AE997" s="161"/>
      <c r="AF997" s="161"/>
      <c r="AG997" s="161"/>
      <c r="AH997" s="161"/>
      <c r="AI997" s="162"/>
      <c r="AJ997" s="163"/>
      <c r="AK997" s="159"/>
      <c r="AL997" s="159"/>
      <c r="AM997" s="159"/>
      <c r="AN997" s="159"/>
      <c r="AO997" s="82"/>
      <c r="AP997" s="82"/>
      <c r="AQ997" s="82"/>
      <c r="AR997" s="82"/>
      <c r="AS997" s="82"/>
    </row>
    <row r="998" spans="1:45" ht="15.75">
      <c r="A998" s="84" t="s">
        <v>112</v>
      </c>
      <c r="C998" s="164">
        <v>14351.0304600299</v>
      </c>
      <c r="D998" s="107">
        <v>8.4600000000000009</v>
      </c>
      <c r="E998" s="108"/>
      <c r="F998" s="109">
        <f t="shared" ref="F998:F1007" si="179">ROUND(D998*$C998,0)</f>
        <v>121410</v>
      </c>
      <c r="G998" s="107">
        <v>8.4600000000000009</v>
      </c>
      <c r="H998" s="108"/>
      <c r="I998" s="109">
        <f>ROUND(C998*G998,0)</f>
        <v>121410</v>
      </c>
      <c r="J998" s="107">
        <f>G998</f>
        <v>8.4600000000000009</v>
      </c>
      <c r="K998" s="108"/>
      <c r="L998" s="109">
        <f>ROUND(J998*$C998,0)</f>
        <v>121410</v>
      </c>
      <c r="M998" s="109"/>
      <c r="N998" s="107">
        <f>$J998*$AB$12</f>
        <v>4.9626038321339614</v>
      </c>
      <c r="O998" s="108"/>
      <c r="P998" s="109">
        <f>ROUND(N998*$C998,0)</f>
        <v>71218</v>
      </c>
      <c r="Q998" s="109"/>
      <c r="R998" s="107">
        <f>$J998*$AA$12</f>
        <v>0.70309583893038596</v>
      </c>
      <c r="S998" s="108"/>
      <c r="T998" s="109">
        <f>ROUND(R998*$C998,0)</f>
        <v>10090</v>
      </c>
      <c r="U998" s="109"/>
      <c r="V998" s="107">
        <f>$J998*$Z$12</f>
        <v>2.7943003289356554</v>
      </c>
      <c r="W998" s="108"/>
      <c r="X998" s="109">
        <f>ROUND(V998*$C998,0)</f>
        <v>40101</v>
      </c>
      <c r="Y998" s="228"/>
      <c r="AA998" s="162"/>
      <c r="AB998" s="162"/>
      <c r="AC998" s="83"/>
      <c r="AD998" s="360"/>
      <c r="AE998" s="360"/>
      <c r="AF998" s="165"/>
      <c r="AG998" s="165"/>
      <c r="AH998" s="165"/>
      <c r="AI998" s="166"/>
      <c r="AJ998" s="159"/>
      <c r="AK998" s="162"/>
      <c r="AL998" s="162"/>
      <c r="AM998" s="167"/>
      <c r="AN998" s="162"/>
      <c r="AO998" s="82"/>
      <c r="AP998" s="82"/>
      <c r="AQ998" s="82"/>
      <c r="AR998" s="82"/>
      <c r="AS998" s="82"/>
    </row>
    <row r="999" spans="1:45" ht="15.75">
      <c r="A999" s="84" t="s">
        <v>253</v>
      </c>
      <c r="C999" s="164">
        <v>17709.609827367789</v>
      </c>
      <c r="D999" s="107">
        <v>10.15</v>
      </c>
      <c r="E999" s="108"/>
      <c r="F999" s="109">
        <f t="shared" si="179"/>
        <v>179753</v>
      </c>
      <c r="G999" s="107">
        <v>10.15</v>
      </c>
      <c r="H999" s="108"/>
      <c r="I999" s="109">
        <f t="shared" ref="I999:I1020" si="180">ROUND(C999*G999,0)</f>
        <v>179753</v>
      </c>
      <c r="J999" s="107">
        <f t="shared" ref="J999:J1020" si="181">G999</f>
        <v>10.15</v>
      </c>
      <c r="K999" s="108"/>
      <c r="L999" s="109">
        <f t="shared" ref="L999:L1017" si="182">ROUND(J999*$C999,0)</f>
        <v>179753</v>
      </c>
      <c r="M999" s="109"/>
      <c r="N999" s="107">
        <f t="shared" ref="N999:N1007" si="183">$J999*$AB$12</f>
        <v>5.9539514061654497</v>
      </c>
      <c r="O999" s="108"/>
      <c r="P999" s="109">
        <f t="shared" ref="P999:P1006" si="184">ROUND(N999*$C999,0)</f>
        <v>105442</v>
      </c>
      <c r="Q999" s="109"/>
      <c r="R999" s="107">
        <f t="shared" ref="R999:R1007" si="185">$J999*$AA$12</f>
        <v>0.84354879020607776</v>
      </c>
      <c r="S999" s="108"/>
      <c r="T999" s="109">
        <f t="shared" ref="T999:T1006" si="186">ROUND(R999*$C999,0)</f>
        <v>14939</v>
      </c>
      <c r="U999" s="109"/>
      <c r="V999" s="107">
        <f t="shared" ref="V999:V1007" si="187">$J999*$Z$12</f>
        <v>3.3524998036284752</v>
      </c>
      <c r="W999" s="108"/>
      <c r="X999" s="109">
        <f t="shared" ref="X999:X1006" si="188">ROUND(V999*$C999,0)</f>
        <v>59371</v>
      </c>
      <c r="Y999" s="228"/>
      <c r="AA999" s="162"/>
      <c r="AB999" s="162"/>
      <c r="AC999" s="83"/>
      <c r="AD999" s="360"/>
      <c r="AE999" s="360"/>
      <c r="AF999" s="165"/>
      <c r="AG999" s="165"/>
      <c r="AH999" s="165"/>
      <c r="AI999" s="159"/>
      <c r="AJ999" s="159"/>
      <c r="AK999" s="162"/>
      <c r="AL999" s="162"/>
      <c r="AM999" s="167"/>
      <c r="AN999" s="162"/>
      <c r="AO999" s="82"/>
      <c r="AP999" s="82"/>
      <c r="AQ999" s="82"/>
      <c r="AR999" s="82"/>
      <c r="AS999" s="82"/>
    </row>
    <row r="1000" spans="1:45" ht="15.75">
      <c r="A1000" s="84" t="s">
        <v>254</v>
      </c>
      <c r="C1000" s="164">
        <v>0</v>
      </c>
      <c r="D1000" s="107">
        <v>32.24</v>
      </c>
      <c r="E1000" s="108"/>
      <c r="F1000" s="109">
        <f t="shared" si="179"/>
        <v>0</v>
      </c>
      <c r="G1000" s="107">
        <v>32.24</v>
      </c>
      <c r="H1000" s="108"/>
      <c r="I1000" s="109">
        <f t="shared" si="180"/>
        <v>0</v>
      </c>
      <c r="J1000" s="107">
        <f t="shared" si="181"/>
        <v>32.24</v>
      </c>
      <c r="K1000" s="108"/>
      <c r="L1000" s="109">
        <f t="shared" si="182"/>
        <v>0</v>
      </c>
      <c r="M1000" s="109"/>
      <c r="N1000" s="107">
        <f t="shared" si="183"/>
        <v>18.911861412293014</v>
      </c>
      <c r="O1000" s="108"/>
      <c r="P1000" s="109">
        <f t="shared" si="184"/>
        <v>0</v>
      </c>
      <c r="Q1000" s="109"/>
      <c r="R1000" s="107">
        <f t="shared" si="185"/>
        <v>2.6794101474131966</v>
      </c>
      <c r="S1000" s="108"/>
      <c r="T1000" s="109">
        <f t="shared" si="186"/>
        <v>0</v>
      </c>
      <c r="U1000" s="109"/>
      <c r="V1000" s="107">
        <f t="shared" si="187"/>
        <v>10.648728440293798</v>
      </c>
      <c r="W1000" s="108"/>
      <c r="X1000" s="109">
        <f t="shared" si="188"/>
        <v>0</v>
      </c>
      <c r="Y1000" s="228"/>
      <c r="AA1000" s="162"/>
      <c r="AB1000" s="162"/>
      <c r="AC1000" s="83"/>
      <c r="AD1000" s="360"/>
      <c r="AE1000" s="360"/>
      <c r="AF1000" s="165"/>
      <c r="AG1000" s="165"/>
      <c r="AH1000" s="165"/>
      <c r="AI1000" s="159"/>
      <c r="AJ1000" s="159"/>
      <c r="AK1000" s="162"/>
      <c r="AL1000" s="162"/>
      <c r="AM1000" s="167"/>
      <c r="AN1000" s="162"/>
      <c r="AO1000" s="82"/>
      <c r="AP1000" s="82"/>
      <c r="AQ1000" s="82"/>
      <c r="AR1000" s="82"/>
      <c r="AS1000" s="82"/>
    </row>
    <row r="1001" spans="1:45" ht="15.75">
      <c r="A1001" s="84" t="s">
        <v>255</v>
      </c>
      <c r="C1001" s="164">
        <v>0</v>
      </c>
      <c r="D1001" s="107">
        <v>25.07</v>
      </c>
      <c r="E1001" s="108"/>
      <c r="F1001" s="109">
        <f t="shared" si="179"/>
        <v>0</v>
      </c>
      <c r="G1001" s="107">
        <v>25.07</v>
      </c>
      <c r="H1001" s="108"/>
      <c r="I1001" s="109">
        <f t="shared" si="180"/>
        <v>0</v>
      </c>
      <c r="J1001" s="107">
        <f t="shared" si="181"/>
        <v>25.07</v>
      </c>
      <c r="K1001" s="108"/>
      <c r="L1001" s="109">
        <f t="shared" si="182"/>
        <v>0</v>
      </c>
      <c r="M1001" s="109"/>
      <c r="N1001" s="107">
        <f t="shared" si="183"/>
        <v>14.705966675129835</v>
      </c>
      <c r="O1001" s="108"/>
      <c r="P1001" s="109">
        <f t="shared" si="184"/>
        <v>0</v>
      </c>
      <c r="Q1001" s="109"/>
      <c r="R1001" s="107">
        <f t="shared" si="185"/>
        <v>2.0835239576814155</v>
      </c>
      <c r="S1001" s="108"/>
      <c r="T1001" s="109">
        <f t="shared" si="186"/>
        <v>0</v>
      </c>
      <c r="U1001" s="109"/>
      <c r="V1001" s="107">
        <f t="shared" si="187"/>
        <v>8.2805093671887562</v>
      </c>
      <c r="W1001" s="108"/>
      <c r="X1001" s="109">
        <f t="shared" si="188"/>
        <v>0</v>
      </c>
      <c r="Y1001" s="228"/>
      <c r="AA1001" s="162"/>
      <c r="AB1001" s="162"/>
      <c r="AC1001" s="83"/>
      <c r="AD1001" s="360"/>
      <c r="AE1001" s="360"/>
      <c r="AF1001" s="165"/>
      <c r="AG1001" s="165"/>
      <c r="AH1001" s="165"/>
      <c r="AI1001" s="159"/>
      <c r="AJ1001" s="159"/>
      <c r="AK1001" s="162"/>
      <c r="AL1001" s="162"/>
      <c r="AM1001" s="167"/>
      <c r="AN1001" s="162"/>
      <c r="AO1001" s="82"/>
      <c r="AP1001" s="82"/>
      <c r="AQ1001" s="82"/>
      <c r="AR1001" s="82"/>
      <c r="AS1001" s="82"/>
    </row>
    <row r="1002" spans="1:45" ht="15.75">
      <c r="A1002" s="84" t="s">
        <v>256</v>
      </c>
      <c r="C1002" s="164">
        <v>831.58410223590397</v>
      </c>
      <c r="D1002" s="107">
        <v>12.97</v>
      </c>
      <c r="E1002" s="108"/>
      <c r="F1002" s="109">
        <f t="shared" si="179"/>
        <v>10786</v>
      </c>
      <c r="G1002" s="107">
        <v>12.97</v>
      </c>
      <c r="H1002" s="108"/>
      <c r="I1002" s="109">
        <f t="shared" si="180"/>
        <v>10786</v>
      </c>
      <c r="J1002" s="107">
        <f t="shared" si="181"/>
        <v>12.97</v>
      </c>
      <c r="K1002" s="108"/>
      <c r="L1002" s="109">
        <f t="shared" si="182"/>
        <v>10786</v>
      </c>
      <c r="M1002" s="109"/>
      <c r="N1002" s="107">
        <f t="shared" si="183"/>
        <v>7.6081526835434365</v>
      </c>
      <c r="O1002" s="108"/>
      <c r="P1002" s="109">
        <f t="shared" si="184"/>
        <v>6327</v>
      </c>
      <c r="Q1002" s="109"/>
      <c r="R1002" s="107">
        <f t="shared" si="185"/>
        <v>1.0779140698495397</v>
      </c>
      <c r="S1002" s="108"/>
      <c r="T1002" s="109">
        <f t="shared" si="186"/>
        <v>896</v>
      </c>
      <c r="U1002" s="109"/>
      <c r="V1002" s="107">
        <f t="shared" si="187"/>
        <v>4.2839332466070275</v>
      </c>
      <c r="W1002" s="108"/>
      <c r="X1002" s="109">
        <f t="shared" si="188"/>
        <v>3562</v>
      </c>
      <c r="Y1002" s="228"/>
      <c r="AA1002" s="162"/>
      <c r="AB1002" s="162"/>
      <c r="AC1002" s="83"/>
      <c r="AD1002" s="360"/>
      <c r="AE1002" s="360"/>
      <c r="AF1002" s="165"/>
      <c r="AG1002" s="165"/>
      <c r="AH1002" s="165"/>
      <c r="AI1002" s="159"/>
      <c r="AJ1002" s="159"/>
      <c r="AK1002" s="162"/>
      <c r="AL1002" s="162"/>
      <c r="AM1002" s="167"/>
      <c r="AN1002" s="162"/>
      <c r="AO1002" s="82"/>
      <c r="AP1002" s="82"/>
      <c r="AQ1002" s="82"/>
      <c r="AR1002" s="82"/>
      <c r="AS1002" s="82"/>
    </row>
    <row r="1003" spans="1:45" ht="15.75">
      <c r="A1003" s="84" t="s">
        <v>257</v>
      </c>
      <c r="C1003" s="164">
        <v>0</v>
      </c>
      <c r="D1003" s="107">
        <v>33.4</v>
      </c>
      <c r="E1003" s="108"/>
      <c r="F1003" s="109">
        <f t="shared" si="179"/>
        <v>0</v>
      </c>
      <c r="G1003" s="107">
        <v>33.4</v>
      </c>
      <c r="H1003" s="108"/>
      <c r="I1003" s="109">
        <f t="shared" si="180"/>
        <v>0</v>
      </c>
      <c r="J1003" s="107">
        <f t="shared" si="181"/>
        <v>33.4</v>
      </c>
      <c r="K1003" s="108"/>
      <c r="L1003" s="109">
        <f t="shared" si="182"/>
        <v>0</v>
      </c>
      <c r="M1003" s="109"/>
      <c r="N1003" s="107">
        <f t="shared" si="183"/>
        <v>19.592313001569064</v>
      </c>
      <c r="O1003" s="108"/>
      <c r="P1003" s="109">
        <f t="shared" si="184"/>
        <v>0</v>
      </c>
      <c r="Q1003" s="109"/>
      <c r="R1003" s="107">
        <f t="shared" si="185"/>
        <v>2.775815723436748</v>
      </c>
      <c r="S1003" s="108"/>
      <c r="T1003" s="109">
        <f t="shared" si="186"/>
        <v>0</v>
      </c>
      <c r="U1003" s="109"/>
      <c r="V1003" s="107">
        <f t="shared" si="187"/>
        <v>11.031871274994193</v>
      </c>
      <c r="W1003" s="108"/>
      <c r="X1003" s="109">
        <f t="shared" si="188"/>
        <v>0</v>
      </c>
      <c r="Y1003" s="228"/>
      <c r="AA1003" s="162"/>
      <c r="AB1003" s="162"/>
      <c r="AC1003" s="83"/>
      <c r="AD1003" s="360"/>
      <c r="AE1003" s="360"/>
      <c r="AF1003" s="165"/>
      <c r="AG1003" s="165"/>
      <c r="AH1003" s="165"/>
      <c r="AI1003" s="159"/>
      <c r="AJ1003" s="159"/>
      <c r="AK1003" s="162"/>
      <c r="AL1003" s="162"/>
      <c r="AM1003" s="167"/>
      <c r="AN1003" s="162"/>
      <c r="AO1003" s="82"/>
      <c r="AP1003" s="82"/>
      <c r="AQ1003" s="82"/>
      <c r="AR1003" s="82"/>
      <c r="AS1003" s="82"/>
    </row>
    <row r="1004" spans="1:45" ht="15.75">
      <c r="A1004" s="84" t="s">
        <v>258</v>
      </c>
      <c r="C1004" s="164">
        <v>0</v>
      </c>
      <c r="D1004" s="107">
        <v>26.27</v>
      </c>
      <c r="E1004" s="108"/>
      <c r="F1004" s="109">
        <f t="shared" si="179"/>
        <v>0</v>
      </c>
      <c r="G1004" s="107">
        <v>26.27</v>
      </c>
      <c r="H1004" s="108"/>
      <c r="I1004" s="109">
        <f t="shared" si="180"/>
        <v>0</v>
      </c>
      <c r="J1004" s="107">
        <f t="shared" si="181"/>
        <v>26.27</v>
      </c>
      <c r="K1004" s="108"/>
      <c r="L1004" s="109">
        <f t="shared" si="182"/>
        <v>0</v>
      </c>
      <c r="M1004" s="109"/>
      <c r="N1004" s="107">
        <f t="shared" si="183"/>
        <v>15.409882112311955</v>
      </c>
      <c r="O1004" s="108"/>
      <c r="P1004" s="109">
        <f t="shared" si="184"/>
        <v>0</v>
      </c>
      <c r="Q1004" s="109"/>
      <c r="R1004" s="107">
        <f t="shared" si="185"/>
        <v>2.1832538639126757</v>
      </c>
      <c r="S1004" s="108"/>
      <c r="T1004" s="109">
        <f t="shared" si="186"/>
        <v>0</v>
      </c>
      <c r="U1004" s="109"/>
      <c r="V1004" s="107">
        <f t="shared" si="187"/>
        <v>8.6768640237753729</v>
      </c>
      <c r="W1004" s="108"/>
      <c r="X1004" s="109">
        <f t="shared" si="188"/>
        <v>0</v>
      </c>
      <c r="Y1004" s="228"/>
      <c r="AA1004" s="162"/>
      <c r="AB1004" s="162"/>
      <c r="AC1004" s="83"/>
      <c r="AD1004" s="360"/>
      <c r="AE1004" s="360"/>
      <c r="AF1004" s="165"/>
      <c r="AG1004" s="165"/>
      <c r="AH1004" s="165"/>
      <c r="AI1004" s="159"/>
      <c r="AJ1004" s="159"/>
      <c r="AK1004" s="162"/>
      <c r="AL1004" s="162"/>
      <c r="AM1004" s="167"/>
      <c r="AN1004" s="162"/>
      <c r="AO1004" s="82"/>
      <c r="AP1004" s="82"/>
      <c r="AQ1004" s="82"/>
      <c r="AR1004" s="82"/>
      <c r="AS1004" s="82"/>
    </row>
    <row r="1005" spans="1:45" ht="15.75">
      <c r="A1005" s="84" t="s">
        <v>113</v>
      </c>
      <c r="C1005" s="164">
        <v>19415.719457651699</v>
      </c>
      <c r="D1005" s="107">
        <v>14.81</v>
      </c>
      <c r="E1005" s="108"/>
      <c r="F1005" s="109">
        <f t="shared" si="179"/>
        <v>287547</v>
      </c>
      <c r="G1005" s="107">
        <v>14.81</v>
      </c>
      <c r="H1005" s="108"/>
      <c r="I1005" s="109">
        <f t="shared" si="180"/>
        <v>287547</v>
      </c>
      <c r="J1005" s="107">
        <f t="shared" si="181"/>
        <v>14.81</v>
      </c>
      <c r="K1005" s="108"/>
      <c r="L1005" s="109">
        <f t="shared" si="182"/>
        <v>287547</v>
      </c>
      <c r="M1005" s="109"/>
      <c r="N1005" s="107">
        <f t="shared" si="183"/>
        <v>8.6874896872226905</v>
      </c>
      <c r="O1005" s="108"/>
      <c r="P1005" s="109">
        <f t="shared" si="184"/>
        <v>168674</v>
      </c>
      <c r="Q1005" s="109"/>
      <c r="R1005" s="107">
        <f t="shared" si="185"/>
        <v>1.2308332594041391</v>
      </c>
      <c r="S1005" s="108"/>
      <c r="T1005" s="109">
        <f t="shared" si="186"/>
        <v>23898</v>
      </c>
      <c r="U1005" s="109"/>
      <c r="V1005" s="107">
        <f t="shared" si="187"/>
        <v>4.8916770533731739</v>
      </c>
      <c r="W1005" s="108"/>
      <c r="X1005" s="109">
        <f t="shared" si="188"/>
        <v>94975</v>
      </c>
      <c r="Y1005" s="228"/>
      <c r="AA1005" s="162"/>
      <c r="AB1005" s="162"/>
      <c r="AC1005" s="83"/>
      <c r="AD1005" s="360"/>
      <c r="AE1005" s="360"/>
      <c r="AF1005" s="165"/>
      <c r="AG1005" s="165"/>
      <c r="AH1005" s="165"/>
      <c r="AI1005" s="159"/>
      <c r="AJ1005" s="159"/>
      <c r="AK1005" s="162"/>
      <c r="AL1005" s="162"/>
      <c r="AM1005" s="167"/>
      <c r="AN1005" s="162"/>
      <c r="AO1005" s="82"/>
      <c r="AP1005" s="82"/>
      <c r="AQ1005" s="82"/>
      <c r="AR1005" s="82"/>
      <c r="AS1005" s="82"/>
    </row>
    <row r="1006" spans="1:45" ht="15.75">
      <c r="A1006" s="84" t="s">
        <v>259</v>
      </c>
      <c r="C1006" s="164">
        <v>1586.8222491951999</v>
      </c>
      <c r="D1006" s="107">
        <v>18.79</v>
      </c>
      <c r="E1006" s="108"/>
      <c r="F1006" s="109">
        <f t="shared" si="179"/>
        <v>29816</v>
      </c>
      <c r="G1006" s="107">
        <v>18.79</v>
      </c>
      <c r="H1006" s="108"/>
      <c r="I1006" s="109">
        <f t="shared" si="180"/>
        <v>29816</v>
      </c>
      <c r="J1006" s="107">
        <f t="shared" si="181"/>
        <v>18.79</v>
      </c>
      <c r="K1006" s="108"/>
      <c r="L1006" s="109">
        <f t="shared" si="182"/>
        <v>29816</v>
      </c>
      <c r="M1006" s="109"/>
      <c r="N1006" s="107">
        <f t="shared" si="183"/>
        <v>11.022142553876728</v>
      </c>
      <c r="O1006" s="108"/>
      <c r="P1006" s="109">
        <f t="shared" si="184"/>
        <v>17490</v>
      </c>
      <c r="Q1006" s="109"/>
      <c r="R1006" s="107">
        <f t="shared" si="185"/>
        <v>1.5616041150711526</v>
      </c>
      <c r="S1006" s="108"/>
      <c r="T1006" s="109">
        <f t="shared" si="186"/>
        <v>2478</v>
      </c>
      <c r="U1006" s="109"/>
      <c r="V1006" s="107">
        <f t="shared" si="187"/>
        <v>6.2062533310521228</v>
      </c>
      <c r="W1006" s="108"/>
      <c r="X1006" s="109">
        <f t="shared" si="188"/>
        <v>9848</v>
      </c>
      <c r="Y1006" s="228"/>
      <c r="AA1006" s="162"/>
      <c r="AB1006" s="162"/>
      <c r="AC1006" s="83"/>
      <c r="AD1006" s="360"/>
      <c r="AE1006" s="360"/>
      <c r="AF1006" s="165"/>
      <c r="AG1006" s="165"/>
      <c r="AH1006" s="165"/>
      <c r="AI1006" s="159"/>
      <c r="AJ1006" s="159"/>
      <c r="AK1006" s="162"/>
      <c r="AL1006" s="162"/>
      <c r="AM1006" s="167"/>
      <c r="AN1006" s="162"/>
      <c r="AO1006" s="82"/>
      <c r="AP1006" s="82"/>
      <c r="AQ1006" s="82"/>
      <c r="AR1006" s="82"/>
      <c r="AS1006" s="82"/>
    </row>
    <row r="1007" spans="1:45" ht="15.75">
      <c r="A1007" s="84" t="s">
        <v>114</v>
      </c>
      <c r="C1007" s="164">
        <v>2398.8688877327099</v>
      </c>
      <c r="D1007" s="107">
        <v>24.8</v>
      </c>
      <c r="E1007" s="108"/>
      <c r="F1007" s="109">
        <f t="shared" si="179"/>
        <v>59492</v>
      </c>
      <c r="G1007" s="107">
        <v>24.8</v>
      </c>
      <c r="H1007" s="108"/>
      <c r="I1007" s="109">
        <f t="shared" si="180"/>
        <v>59492</v>
      </c>
      <c r="J1007" s="107">
        <f t="shared" si="181"/>
        <v>24.8</v>
      </c>
      <c r="K1007" s="108"/>
      <c r="L1007" s="109">
        <f>ROUND(J1007*$C1007,0)</f>
        <v>59492</v>
      </c>
      <c r="M1007" s="109"/>
      <c r="N1007" s="107">
        <f t="shared" si="183"/>
        <v>14.547585701763857</v>
      </c>
      <c r="O1007" s="108"/>
      <c r="P1007" s="109">
        <f>ROUND(N1007*$C1007,0)</f>
        <v>34898</v>
      </c>
      <c r="Q1007" s="109"/>
      <c r="R1007" s="107">
        <f t="shared" si="185"/>
        <v>2.0610847287793819</v>
      </c>
      <c r="S1007" s="108"/>
      <c r="T1007" s="109">
        <f>ROUND(R1007*$C1007,0)</f>
        <v>4944</v>
      </c>
      <c r="U1007" s="109"/>
      <c r="V1007" s="107">
        <f t="shared" si="187"/>
        <v>8.1913295694567676</v>
      </c>
      <c r="W1007" s="108"/>
      <c r="X1007" s="109">
        <f>ROUND(V1007*$C1007,0)</f>
        <v>19650</v>
      </c>
      <c r="Y1007" s="228"/>
      <c r="AA1007" s="162"/>
      <c r="AB1007" s="162"/>
      <c r="AC1007" s="83"/>
      <c r="AD1007" s="360"/>
      <c r="AE1007" s="360"/>
      <c r="AF1007" s="165"/>
      <c r="AG1007" s="165"/>
      <c r="AH1007" s="165"/>
      <c r="AI1007" s="159"/>
      <c r="AJ1007" s="159"/>
      <c r="AK1007" s="162"/>
      <c r="AL1007" s="162"/>
      <c r="AM1007" s="167"/>
      <c r="AN1007" s="162"/>
      <c r="AO1007" s="82"/>
      <c r="AP1007" s="82"/>
      <c r="AQ1007" s="82"/>
      <c r="AR1007" s="82"/>
      <c r="AS1007" s="82"/>
    </row>
    <row r="1008" spans="1:45" ht="15.75">
      <c r="A1008" s="361" t="s">
        <v>260</v>
      </c>
      <c r="C1008" s="164"/>
      <c r="D1008" s="107"/>
      <c r="E1008" s="108"/>
      <c r="F1008" s="109"/>
      <c r="G1008" s="107"/>
      <c r="H1008" s="108"/>
      <c r="I1008" s="109"/>
      <c r="J1008" s="107">
        <f t="shared" si="181"/>
        <v>0</v>
      </c>
      <c r="K1008" s="108"/>
      <c r="L1008" s="109"/>
      <c r="M1008" s="109"/>
      <c r="N1008" s="107"/>
      <c r="O1008" s="108"/>
      <c r="P1008" s="109"/>
      <c r="Q1008" s="109"/>
      <c r="R1008" s="107"/>
      <c r="S1008" s="108"/>
      <c r="T1008" s="109"/>
      <c r="U1008" s="109"/>
      <c r="V1008" s="107"/>
      <c r="W1008" s="108"/>
      <c r="X1008" s="109"/>
      <c r="AA1008" s="162"/>
      <c r="AB1008" s="162"/>
      <c r="AC1008" s="83"/>
      <c r="AD1008" s="360"/>
      <c r="AE1008" s="360"/>
      <c r="AF1008" s="165"/>
      <c r="AG1008" s="165"/>
      <c r="AH1008" s="165"/>
      <c r="AI1008" s="159"/>
      <c r="AJ1008" s="159"/>
      <c r="AK1008" s="162"/>
      <c r="AL1008" s="162"/>
      <c r="AM1008" s="167"/>
      <c r="AN1008" s="162"/>
      <c r="AO1008" s="82"/>
      <c r="AP1008" s="82"/>
      <c r="AQ1008" s="82"/>
      <c r="AR1008" s="82"/>
      <c r="AS1008" s="82"/>
    </row>
    <row r="1009" spans="1:45" ht="15.75">
      <c r="A1009" s="121" t="s">
        <v>261</v>
      </c>
      <c r="C1009" s="164">
        <v>0</v>
      </c>
      <c r="D1009" s="107">
        <v>24.8</v>
      </c>
      <c r="E1009" s="108"/>
      <c r="F1009" s="109">
        <f t="shared" ref="F1009:F1012" si="189">ROUND(D1009*$C1009,0)</f>
        <v>0</v>
      </c>
      <c r="G1009" s="107">
        <v>9.35</v>
      </c>
      <c r="H1009" s="108"/>
      <c r="I1009" s="109">
        <f t="shared" ref="I1009:I1012" si="190">ROUND(C1009*G1009,0)</f>
        <v>0</v>
      </c>
      <c r="J1009" s="107">
        <f t="shared" si="181"/>
        <v>9.35</v>
      </c>
      <c r="K1009" s="108"/>
      <c r="L1009" s="109">
        <f>ROUND(J1009*$C1009,0)</f>
        <v>0</v>
      </c>
      <c r="M1009" s="109"/>
      <c r="N1009" s="107"/>
      <c r="O1009" s="108"/>
      <c r="P1009" s="109"/>
      <c r="Q1009" s="109"/>
      <c r="R1009" s="107"/>
      <c r="S1009" s="108"/>
      <c r="T1009" s="109"/>
      <c r="U1009" s="109"/>
      <c r="V1009" s="107"/>
      <c r="W1009" s="108"/>
      <c r="X1009" s="109"/>
      <c r="AA1009" s="162"/>
      <c r="AB1009" s="162"/>
      <c r="AC1009" s="83"/>
      <c r="AD1009" s="360"/>
      <c r="AE1009" s="360"/>
      <c r="AF1009" s="165"/>
      <c r="AG1009" s="165"/>
      <c r="AH1009" s="165"/>
      <c r="AI1009" s="159"/>
      <c r="AJ1009" s="159"/>
      <c r="AK1009" s="162"/>
      <c r="AL1009" s="162"/>
      <c r="AM1009" s="167"/>
      <c r="AN1009" s="162"/>
      <c r="AO1009" s="82"/>
      <c r="AP1009" s="82"/>
      <c r="AQ1009" s="82"/>
      <c r="AR1009" s="82"/>
      <c r="AS1009" s="82"/>
    </row>
    <row r="1010" spans="1:45" ht="15.75">
      <c r="A1010" s="121" t="s">
        <v>262</v>
      </c>
      <c r="C1010" s="164">
        <v>0</v>
      </c>
      <c r="D1010" s="107">
        <v>24.8</v>
      </c>
      <c r="E1010" s="108"/>
      <c r="F1010" s="109">
        <f t="shared" si="189"/>
        <v>0</v>
      </c>
      <c r="G1010" s="107">
        <v>11.79</v>
      </c>
      <c r="H1010" s="108"/>
      <c r="I1010" s="109">
        <f t="shared" si="190"/>
        <v>0</v>
      </c>
      <c r="J1010" s="107">
        <f t="shared" si="181"/>
        <v>11.79</v>
      </c>
      <c r="K1010" s="108"/>
      <c r="L1010" s="109">
        <f>ROUND(J1010*$C1010,0)</f>
        <v>0</v>
      </c>
      <c r="M1010" s="109"/>
      <c r="N1010" s="107"/>
      <c r="O1010" s="108"/>
      <c r="P1010" s="109"/>
      <c r="Q1010" s="109"/>
      <c r="R1010" s="107"/>
      <c r="S1010" s="108"/>
      <c r="T1010" s="109"/>
      <c r="U1010" s="109"/>
      <c r="V1010" s="107"/>
      <c r="W1010" s="108"/>
      <c r="X1010" s="109"/>
      <c r="AA1010" s="162"/>
      <c r="AB1010" s="162"/>
      <c r="AC1010" s="83"/>
      <c r="AD1010" s="360"/>
      <c r="AE1010" s="360"/>
      <c r="AF1010" s="165"/>
      <c r="AG1010" s="165"/>
      <c r="AH1010" s="165"/>
      <c r="AI1010" s="159"/>
      <c r="AJ1010" s="159"/>
      <c r="AK1010" s="162"/>
      <c r="AL1010" s="162"/>
      <c r="AM1010" s="167"/>
      <c r="AN1010" s="162"/>
      <c r="AO1010" s="82"/>
      <c r="AP1010" s="82"/>
      <c r="AQ1010" s="82"/>
      <c r="AR1010" s="82"/>
      <c r="AS1010" s="82"/>
    </row>
    <row r="1011" spans="1:45" ht="15.75">
      <c r="A1011" s="121" t="s">
        <v>263</v>
      </c>
      <c r="C1011" s="164">
        <v>0</v>
      </c>
      <c r="D1011" s="107">
        <v>24.8</v>
      </c>
      <c r="E1011" s="108"/>
      <c r="F1011" s="109">
        <f t="shared" si="189"/>
        <v>0</v>
      </c>
      <c r="G1011" s="107">
        <v>19.600000000000001</v>
      </c>
      <c r="H1011" s="108"/>
      <c r="I1011" s="109">
        <f t="shared" si="190"/>
        <v>0</v>
      </c>
      <c r="J1011" s="107">
        <f t="shared" si="181"/>
        <v>19.600000000000001</v>
      </c>
      <c r="K1011" s="108"/>
      <c r="L1011" s="109">
        <f>ROUND(J1011*$C1011,0)</f>
        <v>0</v>
      </c>
      <c r="M1011" s="109"/>
      <c r="N1011" s="107"/>
      <c r="O1011" s="108"/>
      <c r="P1011" s="109"/>
      <c r="Q1011" s="109"/>
      <c r="R1011" s="107"/>
      <c r="S1011" s="108"/>
      <c r="T1011" s="109"/>
      <c r="U1011" s="109"/>
      <c r="V1011" s="107"/>
      <c r="W1011" s="108"/>
      <c r="X1011" s="109"/>
      <c r="AA1011" s="162"/>
      <c r="AB1011" s="162"/>
      <c r="AC1011" s="83"/>
      <c r="AD1011" s="360"/>
      <c r="AE1011" s="360"/>
      <c r="AF1011" s="165"/>
      <c r="AG1011" s="165"/>
      <c r="AH1011" s="165"/>
      <c r="AI1011" s="159"/>
      <c r="AJ1011" s="159"/>
      <c r="AK1011" s="162"/>
      <c r="AL1011" s="162"/>
      <c r="AM1011" s="167"/>
      <c r="AN1011" s="162"/>
      <c r="AO1011" s="82"/>
      <c r="AP1011" s="82"/>
      <c r="AQ1011" s="82"/>
      <c r="AR1011" s="82"/>
      <c r="AS1011" s="82"/>
    </row>
    <row r="1012" spans="1:45" ht="15.75">
      <c r="A1012" s="121" t="s">
        <v>264</v>
      </c>
      <c r="C1012" s="164">
        <v>0</v>
      </c>
      <c r="D1012" s="107">
        <v>24.8</v>
      </c>
      <c r="E1012" s="108"/>
      <c r="F1012" s="109">
        <f t="shared" si="189"/>
        <v>0</v>
      </c>
      <c r="G1012" s="107">
        <v>24.73</v>
      </c>
      <c r="H1012" s="108"/>
      <c r="I1012" s="109">
        <f t="shared" si="190"/>
        <v>0</v>
      </c>
      <c r="J1012" s="107">
        <f t="shared" si="181"/>
        <v>24.73</v>
      </c>
      <c r="K1012" s="108"/>
      <c r="L1012" s="109">
        <f>ROUND(J1012*$C1012,0)</f>
        <v>0</v>
      </c>
      <c r="M1012" s="109"/>
      <c r="N1012" s="107"/>
      <c r="O1012" s="108"/>
      <c r="P1012" s="109"/>
      <c r="Q1012" s="109"/>
      <c r="R1012" s="107"/>
      <c r="S1012" s="108"/>
      <c r="T1012" s="109"/>
      <c r="U1012" s="109"/>
      <c r="V1012" s="107"/>
      <c r="W1012" s="108"/>
      <c r="X1012" s="109"/>
      <c r="AA1012" s="162"/>
      <c r="AB1012" s="162"/>
      <c r="AC1012" s="83"/>
      <c r="AD1012" s="360"/>
      <c r="AE1012" s="360"/>
      <c r="AF1012" s="165"/>
      <c r="AG1012" s="165"/>
      <c r="AH1012" s="165"/>
      <c r="AI1012" s="159"/>
      <c r="AJ1012" s="159"/>
      <c r="AK1012" s="162"/>
      <c r="AL1012" s="162"/>
      <c r="AM1012" s="167"/>
      <c r="AN1012" s="162"/>
      <c r="AO1012" s="82"/>
      <c r="AP1012" s="82"/>
      <c r="AQ1012" s="82"/>
      <c r="AR1012" s="82"/>
      <c r="AS1012" s="82"/>
    </row>
    <row r="1013" spans="1:45" ht="15.75">
      <c r="A1013" s="84" t="s">
        <v>265</v>
      </c>
      <c r="C1013" s="164"/>
      <c r="D1013" s="107"/>
      <c r="E1013" s="108"/>
      <c r="F1013" s="109"/>
      <c r="G1013" s="107"/>
      <c r="H1013" s="108"/>
      <c r="I1013" s="109"/>
      <c r="J1013" s="107">
        <f t="shared" si="181"/>
        <v>0</v>
      </c>
      <c r="K1013" s="108"/>
      <c r="L1013" s="109"/>
      <c r="M1013" s="109"/>
      <c r="N1013" s="107"/>
      <c r="O1013" s="108"/>
      <c r="P1013" s="109"/>
      <c r="Q1013" s="109"/>
      <c r="R1013" s="107"/>
      <c r="S1013" s="108"/>
      <c r="T1013" s="109"/>
      <c r="U1013" s="109"/>
      <c r="V1013" s="107"/>
      <c r="W1013" s="108"/>
      <c r="X1013" s="109"/>
      <c r="AA1013" s="162"/>
      <c r="AB1013" s="162"/>
      <c r="AC1013" s="83"/>
      <c r="AD1013" s="360"/>
      <c r="AE1013" s="360"/>
      <c r="AF1013" s="165"/>
      <c r="AG1013" s="165"/>
      <c r="AH1013" s="165"/>
      <c r="AI1013" s="159"/>
      <c r="AJ1013" s="159"/>
      <c r="AK1013" s="162"/>
      <c r="AL1013" s="162"/>
      <c r="AM1013" s="167"/>
      <c r="AN1013" s="162"/>
      <c r="AO1013" s="82"/>
      <c r="AP1013" s="82"/>
      <c r="AQ1013" s="82"/>
      <c r="AR1013" s="82"/>
      <c r="AS1013" s="82"/>
    </row>
    <row r="1014" spans="1:45" ht="15.75">
      <c r="A1014" s="84" t="s">
        <v>266</v>
      </c>
      <c r="C1014" s="164">
        <v>0</v>
      </c>
      <c r="D1014" s="107">
        <v>30.92</v>
      </c>
      <c r="E1014" s="108"/>
      <c r="F1014" s="109">
        <f t="shared" ref="F1014:F1020" si="191">ROUND(D1014*$C1014,0)</f>
        <v>0</v>
      </c>
      <c r="G1014" s="107">
        <v>30.92</v>
      </c>
      <c r="H1014" s="108"/>
      <c r="I1014" s="109">
        <f t="shared" si="180"/>
        <v>0</v>
      </c>
      <c r="J1014" s="107">
        <f t="shared" si="181"/>
        <v>30.92</v>
      </c>
      <c r="K1014" s="108"/>
      <c r="L1014" s="109">
        <f>ROUND(J1014*$C1014,0)</f>
        <v>0</v>
      </c>
      <c r="M1014" s="109"/>
      <c r="N1014" s="107"/>
      <c r="O1014" s="108"/>
      <c r="P1014" s="109"/>
      <c r="Q1014" s="109"/>
      <c r="R1014" s="107"/>
      <c r="S1014" s="108"/>
      <c r="T1014" s="109"/>
      <c r="U1014" s="109"/>
      <c r="V1014" s="107"/>
      <c r="W1014" s="108"/>
      <c r="X1014" s="109"/>
      <c r="AA1014" s="162"/>
      <c r="AB1014" s="162"/>
      <c r="AC1014" s="83"/>
      <c r="AD1014" s="360"/>
      <c r="AE1014" s="360"/>
      <c r="AF1014" s="165"/>
      <c r="AG1014" s="165"/>
      <c r="AH1014" s="165"/>
      <c r="AI1014" s="159"/>
      <c r="AJ1014" s="159"/>
      <c r="AK1014" s="162"/>
      <c r="AL1014" s="162"/>
      <c r="AM1014" s="167"/>
      <c r="AN1014" s="162"/>
      <c r="AO1014" s="82"/>
      <c r="AP1014" s="82"/>
      <c r="AQ1014" s="82"/>
      <c r="AR1014" s="82"/>
      <c r="AS1014" s="82"/>
    </row>
    <row r="1015" spans="1:45" ht="15.75">
      <c r="A1015" s="84" t="s">
        <v>267</v>
      </c>
      <c r="C1015" s="164">
        <v>0</v>
      </c>
      <c r="D1015" s="107">
        <v>25.79</v>
      </c>
      <c r="E1015" s="108"/>
      <c r="F1015" s="109">
        <f t="shared" si="191"/>
        <v>0</v>
      </c>
      <c r="G1015" s="107">
        <v>25.79</v>
      </c>
      <c r="H1015" s="108"/>
      <c r="I1015" s="109">
        <f t="shared" si="180"/>
        <v>0</v>
      </c>
      <c r="J1015" s="107">
        <f t="shared" si="181"/>
        <v>25.79</v>
      </c>
      <c r="K1015" s="108"/>
      <c r="L1015" s="109">
        <f t="shared" si="182"/>
        <v>0</v>
      </c>
      <c r="M1015" s="109"/>
      <c r="N1015" s="107"/>
      <c r="O1015" s="108"/>
      <c r="P1015" s="109"/>
      <c r="Q1015" s="109"/>
      <c r="R1015" s="107"/>
      <c r="S1015" s="108"/>
      <c r="T1015" s="109"/>
      <c r="U1015" s="109"/>
      <c r="V1015" s="107"/>
      <c r="W1015" s="108"/>
      <c r="X1015" s="109"/>
      <c r="AA1015" s="162"/>
      <c r="AB1015" s="162"/>
      <c r="AC1015" s="83"/>
      <c r="AD1015" s="360"/>
      <c r="AE1015" s="360"/>
      <c r="AF1015" s="165"/>
      <c r="AG1015" s="165"/>
      <c r="AH1015" s="165"/>
      <c r="AI1015" s="159"/>
      <c r="AJ1015" s="159"/>
      <c r="AK1015" s="162"/>
      <c r="AL1015" s="162"/>
      <c r="AM1015" s="167"/>
      <c r="AN1015" s="162"/>
      <c r="AO1015" s="82"/>
      <c r="AP1015" s="82"/>
      <c r="AQ1015" s="82"/>
      <c r="AR1015" s="82"/>
      <c r="AS1015" s="82"/>
    </row>
    <row r="1016" spans="1:45" ht="15.75">
      <c r="A1016" s="84" t="s">
        <v>268</v>
      </c>
      <c r="C1016" s="164">
        <v>0</v>
      </c>
      <c r="D1016" s="107">
        <v>23.77</v>
      </c>
      <c r="E1016" s="108"/>
      <c r="F1016" s="109">
        <f t="shared" si="191"/>
        <v>0</v>
      </c>
      <c r="G1016" s="107">
        <v>23.77</v>
      </c>
      <c r="H1016" s="108"/>
      <c r="I1016" s="109">
        <f t="shared" si="180"/>
        <v>0</v>
      </c>
      <c r="J1016" s="107">
        <f t="shared" si="181"/>
        <v>23.77</v>
      </c>
      <c r="K1016" s="108"/>
      <c r="L1016" s="109">
        <f>ROUND(J1016*$C1016,0)</f>
        <v>0</v>
      </c>
      <c r="M1016" s="109"/>
      <c r="N1016" s="107"/>
      <c r="O1016" s="108"/>
      <c r="P1016" s="109"/>
      <c r="Q1016" s="109"/>
      <c r="R1016" s="107"/>
      <c r="S1016" s="108"/>
      <c r="T1016" s="109"/>
      <c r="U1016" s="109"/>
      <c r="V1016" s="107"/>
      <c r="W1016" s="108"/>
      <c r="X1016" s="109"/>
      <c r="AA1016" s="162"/>
      <c r="AB1016" s="162"/>
      <c r="AC1016" s="83"/>
      <c r="AD1016" s="360"/>
      <c r="AE1016" s="360"/>
      <c r="AF1016" s="165"/>
      <c r="AG1016" s="165"/>
      <c r="AH1016" s="165"/>
      <c r="AI1016" s="159"/>
      <c r="AJ1016" s="159"/>
      <c r="AK1016" s="162"/>
      <c r="AL1016" s="162"/>
      <c r="AM1016" s="167"/>
      <c r="AN1016" s="162"/>
      <c r="AO1016" s="82"/>
      <c r="AP1016" s="82"/>
      <c r="AQ1016" s="82"/>
      <c r="AR1016" s="82"/>
      <c r="AS1016" s="82"/>
    </row>
    <row r="1017" spans="1:45" ht="15.75">
      <c r="A1017" s="84" t="s">
        <v>269</v>
      </c>
      <c r="C1017" s="164">
        <v>0</v>
      </c>
      <c r="D1017" s="107">
        <v>34.74</v>
      </c>
      <c r="E1017" s="108"/>
      <c r="F1017" s="109">
        <f t="shared" si="191"/>
        <v>0</v>
      </c>
      <c r="G1017" s="107">
        <v>34.74</v>
      </c>
      <c r="H1017" s="108"/>
      <c r="I1017" s="109">
        <f t="shared" si="180"/>
        <v>0</v>
      </c>
      <c r="J1017" s="107">
        <f t="shared" si="181"/>
        <v>34.74</v>
      </c>
      <c r="K1017" s="108"/>
      <c r="L1017" s="109">
        <f t="shared" si="182"/>
        <v>0</v>
      </c>
      <c r="M1017" s="109"/>
      <c r="N1017" s="107"/>
      <c r="O1017" s="108"/>
      <c r="P1017" s="109"/>
      <c r="Q1017" s="109"/>
      <c r="R1017" s="107"/>
      <c r="S1017" s="108"/>
      <c r="T1017" s="109"/>
      <c r="U1017" s="109"/>
      <c r="V1017" s="107"/>
      <c r="W1017" s="108"/>
      <c r="X1017" s="109"/>
      <c r="AA1017" s="162"/>
      <c r="AB1017" s="162"/>
      <c r="AC1017" s="83"/>
      <c r="AD1017" s="360"/>
      <c r="AE1017" s="360"/>
      <c r="AF1017" s="165"/>
      <c r="AG1017" s="165"/>
      <c r="AH1017" s="165"/>
      <c r="AI1017" s="159"/>
      <c r="AJ1017" s="159"/>
      <c r="AK1017" s="162"/>
      <c r="AL1017" s="162"/>
      <c r="AM1017" s="167"/>
      <c r="AN1017" s="162"/>
      <c r="AO1017" s="82"/>
      <c r="AP1017" s="82"/>
      <c r="AQ1017" s="82"/>
      <c r="AR1017" s="82"/>
      <c r="AS1017" s="82"/>
    </row>
    <row r="1018" spans="1:45" ht="15.75">
      <c r="A1018" s="84" t="s">
        <v>270</v>
      </c>
      <c r="C1018" s="164">
        <v>0</v>
      </c>
      <c r="D1018" s="107">
        <v>27.97</v>
      </c>
      <c r="E1018" s="108"/>
      <c r="F1018" s="109">
        <f t="shared" si="191"/>
        <v>0</v>
      </c>
      <c r="G1018" s="107">
        <v>27.97</v>
      </c>
      <c r="H1018" s="108"/>
      <c r="I1018" s="109">
        <f t="shared" si="180"/>
        <v>0</v>
      </c>
      <c r="J1018" s="107">
        <f t="shared" si="181"/>
        <v>27.97</v>
      </c>
      <c r="K1018" s="108"/>
      <c r="L1018" s="109">
        <f>ROUND(J1018*$C1018,0)</f>
        <v>0</v>
      </c>
      <c r="M1018" s="109"/>
      <c r="N1018" s="107"/>
      <c r="O1018" s="108"/>
      <c r="P1018" s="109"/>
      <c r="Q1018" s="109"/>
      <c r="R1018" s="107"/>
      <c r="S1018" s="108"/>
      <c r="T1018" s="109"/>
      <c r="U1018" s="109"/>
      <c r="V1018" s="107"/>
      <c r="W1018" s="108"/>
      <c r="X1018" s="109"/>
      <c r="AA1018" s="162"/>
      <c r="AB1018" s="162"/>
      <c r="AC1018" s="83"/>
      <c r="AD1018" s="360"/>
      <c r="AE1018" s="360"/>
      <c r="AF1018" s="165"/>
      <c r="AG1018" s="165"/>
      <c r="AH1018" s="165"/>
      <c r="AI1018" s="159"/>
      <c r="AJ1018" s="159"/>
      <c r="AK1018" s="162"/>
      <c r="AL1018" s="162"/>
      <c r="AM1018" s="167"/>
      <c r="AN1018" s="162"/>
      <c r="AO1018" s="82"/>
      <c r="AP1018" s="82"/>
      <c r="AQ1018" s="82"/>
      <c r="AR1018" s="82"/>
      <c r="AS1018" s="82"/>
    </row>
    <row r="1019" spans="1:45" ht="15.75">
      <c r="A1019" s="84" t="s">
        <v>271</v>
      </c>
      <c r="C1019" s="164">
        <v>0</v>
      </c>
      <c r="D1019" s="107">
        <v>27.49</v>
      </c>
      <c r="E1019" s="108"/>
      <c r="F1019" s="109">
        <f t="shared" si="191"/>
        <v>0</v>
      </c>
      <c r="G1019" s="107">
        <v>27.49</v>
      </c>
      <c r="H1019" s="108"/>
      <c r="I1019" s="109">
        <f t="shared" si="180"/>
        <v>0</v>
      </c>
      <c r="J1019" s="107">
        <f t="shared" si="181"/>
        <v>27.49</v>
      </c>
      <c r="K1019" s="108"/>
      <c r="L1019" s="109">
        <f>ROUND(J1019*$C1019,0)</f>
        <v>0</v>
      </c>
      <c r="M1019" s="109"/>
      <c r="N1019" s="107"/>
      <c r="O1019" s="108"/>
      <c r="P1019" s="109"/>
      <c r="Q1019" s="109"/>
      <c r="R1019" s="107"/>
      <c r="S1019" s="108"/>
      <c r="T1019" s="109"/>
      <c r="U1019" s="109"/>
      <c r="V1019" s="107"/>
      <c r="W1019" s="108"/>
      <c r="X1019" s="109"/>
      <c r="AA1019" s="162"/>
      <c r="AB1019" s="162"/>
      <c r="AC1019" s="83"/>
      <c r="AD1019" s="360"/>
      <c r="AE1019" s="360"/>
      <c r="AF1019" s="165"/>
      <c r="AG1019" s="165"/>
      <c r="AH1019" s="165"/>
      <c r="AI1019" s="159"/>
      <c r="AJ1019" s="159"/>
      <c r="AK1019" s="162"/>
      <c r="AL1019" s="162"/>
      <c r="AM1019" s="167"/>
      <c r="AN1019" s="162"/>
      <c r="AO1019" s="82"/>
      <c r="AP1019" s="82"/>
      <c r="AQ1019" s="82"/>
      <c r="AR1019" s="82"/>
      <c r="AS1019" s="82"/>
    </row>
    <row r="1020" spans="1:45" ht="15.75">
      <c r="A1020" s="84" t="s">
        <v>272</v>
      </c>
      <c r="C1020" s="164">
        <v>0</v>
      </c>
      <c r="D1020" s="107">
        <v>29.93</v>
      </c>
      <c r="E1020" s="108"/>
      <c r="F1020" s="109">
        <f t="shared" si="191"/>
        <v>0</v>
      </c>
      <c r="G1020" s="107">
        <v>29.93</v>
      </c>
      <c r="H1020" s="108"/>
      <c r="I1020" s="109">
        <f t="shared" si="180"/>
        <v>0</v>
      </c>
      <c r="J1020" s="107">
        <f t="shared" si="181"/>
        <v>29.93</v>
      </c>
      <c r="K1020" s="108"/>
      <c r="L1020" s="109">
        <f>ROUND(J1020*$C1020,0)</f>
        <v>0</v>
      </c>
      <c r="M1020" s="109"/>
      <c r="N1020" s="107"/>
      <c r="O1020" s="108"/>
      <c r="P1020" s="109"/>
      <c r="Q1020" s="109"/>
      <c r="R1020" s="107"/>
      <c r="S1020" s="108"/>
      <c r="T1020" s="109"/>
      <c r="U1020" s="109"/>
      <c r="V1020" s="107"/>
      <c r="W1020" s="108"/>
      <c r="X1020" s="109"/>
      <c r="AA1020" s="162"/>
      <c r="AB1020" s="162"/>
      <c r="AC1020" s="83"/>
      <c r="AD1020" s="360"/>
      <c r="AE1020" s="360"/>
      <c r="AF1020" s="165"/>
      <c r="AG1020" s="165"/>
      <c r="AH1020" s="165"/>
      <c r="AI1020" s="159"/>
      <c r="AJ1020" s="159"/>
      <c r="AK1020" s="162"/>
      <c r="AL1020" s="162"/>
      <c r="AM1020" s="167"/>
      <c r="AN1020" s="162"/>
      <c r="AO1020" s="82"/>
      <c r="AP1020" s="82"/>
      <c r="AQ1020" s="82"/>
      <c r="AR1020" s="82"/>
      <c r="AS1020" s="82"/>
    </row>
    <row r="1021" spans="1:45" ht="15.75">
      <c r="A1021" s="84" t="s">
        <v>117</v>
      </c>
      <c r="C1021" s="164">
        <v>1956</v>
      </c>
      <c r="D1021" s="107"/>
      <c r="E1021" s="108"/>
      <c r="F1021" s="109"/>
      <c r="G1021" s="107"/>
      <c r="H1021" s="108"/>
      <c r="I1021" s="109"/>
      <c r="J1021" s="107"/>
      <c r="K1021" s="108"/>
      <c r="L1021" s="109"/>
      <c r="M1021" s="109"/>
      <c r="N1021" s="107"/>
      <c r="O1021" s="108"/>
      <c r="P1021" s="109"/>
      <c r="Q1021" s="109"/>
      <c r="R1021" s="107"/>
      <c r="S1021" s="108"/>
      <c r="T1021" s="109"/>
      <c r="U1021" s="109"/>
      <c r="V1021" s="107"/>
      <c r="W1021" s="108"/>
      <c r="X1021" s="109"/>
      <c r="AA1021" s="162"/>
      <c r="AB1021" s="162"/>
      <c r="AC1021" s="83"/>
      <c r="AD1021" s="360"/>
      <c r="AE1021" s="360"/>
      <c r="AF1021" s="165"/>
      <c r="AG1021" s="165"/>
      <c r="AH1021" s="165"/>
      <c r="AI1021" s="159"/>
      <c r="AJ1021" s="159"/>
      <c r="AK1021" s="162"/>
      <c r="AL1021" s="162"/>
      <c r="AM1021" s="162"/>
      <c r="AN1021" s="162"/>
      <c r="AO1021" s="82"/>
      <c r="AP1021" s="82"/>
      <c r="AQ1021" s="82"/>
      <c r="AR1021" s="82"/>
      <c r="AS1021" s="82"/>
    </row>
    <row r="1022" spans="1:45" ht="15.75">
      <c r="A1022" s="84" t="s">
        <v>134</v>
      </c>
      <c r="C1022" s="164">
        <v>3532347.7960070018</v>
      </c>
      <c r="D1022" s="119"/>
      <c r="E1022" s="120"/>
      <c r="F1022" s="169">
        <f>SUM(F998:F1015)</f>
        <v>688804</v>
      </c>
      <c r="G1022" s="119"/>
      <c r="H1022" s="120"/>
      <c r="I1022" s="169">
        <f>SUM(I998:I1020)</f>
        <v>688804</v>
      </c>
      <c r="J1022" s="119"/>
      <c r="K1022" s="120"/>
      <c r="L1022" s="169">
        <f>SUM(L998:L1021)</f>
        <v>688804</v>
      </c>
      <c r="M1022" s="169"/>
      <c r="N1022" s="119"/>
      <c r="O1022" s="120"/>
      <c r="P1022" s="169">
        <f>SUM(P998:P1021)</f>
        <v>404049</v>
      </c>
      <c r="Q1022" s="169"/>
      <c r="R1022" s="119"/>
      <c r="S1022" s="120"/>
      <c r="T1022" s="169">
        <f>SUM(T998:T1021)</f>
        <v>57245</v>
      </c>
      <c r="U1022" s="169"/>
      <c r="V1022" s="119"/>
      <c r="W1022" s="120"/>
      <c r="X1022" s="169">
        <f>SUM(X998:X1021)</f>
        <v>227507</v>
      </c>
      <c r="AA1022" s="162"/>
      <c r="AB1022" s="162"/>
      <c r="AC1022" s="362"/>
      <c r="AD1022" s="82"/>
      <c r="AE1022" s="82"/>
      <c r="AF1022" s="168"/>
      <c r="AG1022" s="168"/>
      <c r="AH1022" s="168"/>
      <c r="AI1022" s="159"/>
      <c r="AJ1022" s="159"/>
      <c r="AK1022" s="171"/>
      <c r="AL1022" s="159"/>
      <c r="AM1022" s="159"/>
      <c r="AN1022" s="159"/>
      <c r="AO1022" s="82"/>
      <c r="AP1022" s="82"/>
      <c r="AQ1022" s="82"/>
      <c r="AR1022" s="82"/>
      <c r="AS1022" s="82"/>
    </row>
    <row r="1023" spans="1:45" ht="15.75">
      <c r="A1023" s="84" t="s">
        <v>119</v>
      </c>
      <c r="C1023" s="164">
        <v>-345752.19227076345</v>
      </c>
      <c r="D1023" s="119"/>
      <c r="E1023" s="120"/>
      <c r="F1023" s="169">
        <f>I1023</f>
        <v>-67823.106174674016</v>
      </c>
      <c r="G1023" s="119"/>
      <c r="H1023" s="120"/>
      <c r="I1023" s="169">
        <v>-67823.106174674016</v>
      </c>
      <c r="J1023" s="119"/>
      <c r="K1023" s="120"/>
      <c r="L1023" s="169">
        <f>I1023</f>
        <v>-67823.106174674016</v>
      </c>
      <c r="M1023" s="169"/>
      <c r="N1023" s="119"/>
      <c r="O1023" s="120"/>
      <c r="P1023" s="169">
        <f>L1023*AB12</f>
        <v>-39784.776194995953</v>
      </c>
      <c r="Q1023" s="169"/>
      <c r="R1023" s="153"/>
      <c r="S1023" s="153"/>
      <c r="T1023" s="169">
        <f>L1023*AA12</f>
        <v>-5636.6600159275495</v>
      </c>
      <c r="U1023" s="169"/>
      <c r="V1023" s="153"/>
      <c r="W1023" s="153"/>
      <c r="X1023" s="169">
        <f>L1023*Z12</f>
        <v>-22401.669963750526</v>
      </c>
      <c r="Y1023" s="296"/>
      <c r="AA1023" s="168"/>
      <c r="AB1023" s="168"/>
      <c r="AC1023" s="360"/>
      <c r="AD1023" s="82"/>
      <c r="AE1023" s="82"/>
      <c r="AF1023" s="82"/>
      <c r="AG1023" s="82"/>
      <c r="AH1023" s="82"/>
      <c r="AI1023" s="162"/>
      <c r="AJ1023" s="159"/>
      <c r="AK1023" s="82"/>
      <c r="AL1023" s="82"/>
      <c r="AM1023" s="82"/>
      <c r="AN1023" s="82"/>
      <c r="AO1023" s="82"/>
      <c r="AP1023" s="82"/>
      <c r="AQ1023" s="82"/>
      <c r="AR1023" s="82"/>
      <c r="AS1023" s="82"/>
    </row>
    <row r="1024" spans="1:45" ht="16.5" thickBot="1">
      <c r="A1024" s="84" t="s">
        <v>3</v>
      </c>
      <c r="C1024" s="173">
        <f>C1022+C1023</f>
        <v>3186595.6037362386</v>
      </c>
      <c r="D1024" s="174"/>
      <c r="E1024" s="174"/>
      <c r="F1024" s="174">
        <f>F1022+F1023</f>
        <v>620980.893825326</v>
      </c>
      <c r="G1024" s="175"/>
      <c r="H1024" s="175"/>
      <c r="I1024" s="174">
        <f>I1022+I1023</f>
        <v>620980.893825326</v>
      </c>
      <c r="J1024" s="175"/>
      <c r="K1024" s="175"/>
      <c r="L1024" s="174">
        <f>L1022+L1023</f>
        <v>620980.893825326</v>
      </c>
      <c r="M1024" s="175"/>
      <c r="N1024" s="175"/>
      <c r="O1024" s="174"/>
      <c r="P1024" s="174">
        <f>P1022+P1023</f>
        <v>364264.22380500403</v>
      </c>
      <c r="Q1024" s="175"/>
      <c r="R1024" s="175"/>
      <c r="S1024" s="174"/>
      <c r="T1024" s="174">
        <f>T1022+T1023</f>
        <v>51608.339984072452</v>
      </c>
      <c r="U1024" s="175"/>
      <c r="V1024" s="175"/>
      <c r="W1024" s="174"/>
      <c r="X1024" s="174">
        <f>X1022+X1023</f>
        <v>205105.33003624948</v>
      </c>
      <c r="Y1024" s="363" t="s">
        <v>162</v>
      </c>
      <c r="Z1024" s="364">
        <f>I1024</f>
        <v>620980.893825326</v>
      </c>
      <c r="AA1024" s="255">
        <f>(L1024-I1024)/I1024</f>
        <v>0</v>
      </c>
      <c r="AB1024" s="102"/>
      <c r="AI1024" s="159"/>
      <c r="AJ1024" s="159"/>
      <c r="AK1024" s="82"/>
      <c r="AL1024" s="82"/>
      <c r="AM1024" s="82"/>
      <c r="AN1024" s="82"/>
      <c r="AO1024" s="82"/>
      <c r="AP1024" s="82"/>
      <c r="AQ1024" s="82"/>
      <c r="AR1024" s="82"/>
      <c r="AS1024" s="82"/>
    </row>
    <row r="1025" spans="1:45" ht="16.5" thickTop="1">
      <c r="A1025" s="147" t="s">
        <v>121</v>
      </c>
      <c r="C1025" s="365"/>
      <c r="D1025" s="169"/>
      <c r="E1025" s="169"/>
      <c r="F1025" s="169"/>
      <c r="G1025" s="169"/>
      <c r="H1025" s="169"/>
      <c r="I1025" s="169"/>
      <c r="J1025" s="169"/>
      <c r="K1025" s="169"/>
      <c r="L1025" s="169"/>
      <c r="M1025" s="169"/>
      <c r="N1025" s="169"/>
      <c r="O1025" s="169"/>
      <c r="P1025" s="169"/>
      <c r="Q1025" s="169"/>
      <c r="R1025" s="169"/>
      <c r="S1025" s="169"/>
      <c r="T1025" s="169"/>
      <c r="U1025" s="169"/>
      <c r="V1025" s="169"/>
      <c r="W1025" s="169"/>
      <c r="X1025" s="169"/>
      <c r="Y1025" s="366"/>
      <c r="Z1025" s="367"/>
      <c r="AA1025" s="368"/>
      <c r="AB1025" s="102"/>
      <c r="AI1025" s="159"/>
      <c r="AJ1025" s="159"/>
      <c r="AK1025" s="82"/>
      <c r="AL1025" s="82"/>
      <c r="AM1025" s="82"/>
      <c r="AN1025" s="82"/>
      <c r="AO1025" s="82"/>
      <c r="AP1025" s="82"/>
      <c r="AQ1025" s="82"/>
      <c r="AR1025" s="82"/>
      <c r="AS1025" s="82"/>
    </row>
    <row r="1026" spans="1:45" ht="15.75">
      <c r="C1026" s="365"/>
      <c r="D1026" s="169"/>
      <c r="E1026" s="169"/>
      <c r="F1026" s="169"/>
      <c r="G1026" s="169"/>
      <c r="H1026" s="169"/>
      <c r="I1026" s="169"/>
      <c r="J1026" s="169"/>
      <c r="K1026" s="169"/>
      <c r="L1026" s="169"/>
      <c r="M1026" s="169"/>
      <c r="N1026" s="169"/>
      <c r="O1026" s="169"/>
      <c r="P1026" s="169"/>
      <c r="Q1026" s="169"/>
      <c r="R1026" s="169"/>
      <c r="S1026" s="169"/>
      <c r="T1026" s="169"/>
      <c r="U1026" s="169"/>
      <c r="V1026" s="169"/>
      <c r="W1026" s="169"/>
      <c r="X1026" s="169" t="s">
        <v>108</v>
      </c>
      <c r="Y1026" s="369" t="s">
        <v>122</v>
      </c>
      <c r="Z1026" s="201">
        <f>Z1024-L1024</f>
        <v>0</v>
      </c>
      <c r="AA1026" s="370">
        <v>-0.13519999999999999</v>
      </c>
      <c r="AB1026" s="102"/>
      <c r="AI1026" s="159"/>
      <c r="AJ1026" s="159"/>
      <c r="AK1026" s="82"/>
      <c r="AL1026" s="82"/>
      <c r="AM1026" s="82"/>
      <c r="AN1026" s="82"/>
      <c r="AO1026" s="82"/>
      <c r="AP1026" s="82"/>
      <c r="AQ1026" s="82"/>
      <c r="AR1026" s="82"/>
      <c r="AS1026" s="82"/>
    </row>
    <row r="1027" spans="1:45" ht="15.75" hidden="1">
      <c r="C1027" s="365"/>
      <c r="D1027" s="169"/>
      <c r="E1027" s="169"/>
      <c r="F1027" s="169"/>
      <c r="G1027" s="169"/>
      <c r="H1027" s="169"/>
      <c r="I1027" s="169"/>
      <c r="J1027" s="169"/>
      <c r="K1027" s="169"/>
      <c r="L1027" s="169"/>
      <c r="M1027" s="169"/>
      <c r="N1027" s="169"/>
      <c r="O1027" s="169"/>
      <c r="P1027" s="169"/>
      <c r="Q1027" s="169"/>
      <c r="R1027" s="169"/>
      <c r="S1027" s="169"/>
      <c r="T1027" s="169"/>
      <c r="U1027" s="169"/>
      <c r="V1027" s="169"/>
      <c r="W1027" s="169"/>
      <c r="X1027" s="169" t="s">
        <v>108</v>
      </c>
      <c r="Y1027" s="103">
        <f>Y29</f>
        <v>0.58786795947824033</v>
      </c>
      <c r="Z1027" s="103">
        <f>Z29</f>
        <v>8.2825357684735992E-2</v>
      </c>
      <c r="AA1027" s="103">
        <f>AA29</f>
        <v>0.32930668283702352</v>
      </c>
      <c r="AB1027" s="102"/>
      <c r="AI1027" s="159"/>
      <c r="AJ1027" s="159"/>
      <c r="AK1027" s="82"/>
      <c r="AL1027" s="82"/>
      <c r="AM1027" s="82"/>
      <c r="AN1027" s="82"/>
      <c r="AO1027" s="82"/>
      <c r="AP1027" s="82"/>
      <c r="AQ1027" s="82"/>
      <c r="AR1027" s="82"/>
      <c r="AS1027" s="82"/>
    </row>
    <row r="1028" spans="1:45" ht="15.75" hidden="1">
      <c r="C1028" s="365"/>
      <c r="D1028" s="169"/>
      <c r="E1028" s="169"/>
      <c r="F1028" s="169"/>
      <c r="G1028" s="169"/>
      <c r="H1028" s="169"/>
      <c r="I1028" s="169"/>
      <c r="J1028" s="169"/>
      <c r="K1028" s="169"/>
      <c r="L1028" s="169"/>
      <c r="M1028" s="169"/>
      <c r="N1028" s="169"/>
      <c r="O1028" s="169"/>
      <c r="P1028" s="169"/>
      <c r="Q1028" s="169"/>
      <c r="R1028" s="169"/>
      <c r="S1028" s="169"/>
      <c r="T1028" s="169"/>
      <c r="U1028" s="169"/>
      <c r="V1028" s="169"/>
      <c r="W1028" s="169"/>
      <c r="X1028" s="169"/>
      <c r="Y1028" s="150">
        <f>L1024*Y1027</f>
        <v>365054.7709280682</v>
      </c>
      <c r="Z1028" s="150">
        <f>L1024*Z1027</f>
        <v>51432.964646469693</v>
      </c>
      <c r="AA1028" s="150">
        <f>L1024*AA1027</f>
        <v>204493.15825078799</v>
      </c>
      <c r="AB1028" s="102"/>
      <c r="AI1028" s="159"/>
      <c r="AJ1028" s="159"/>
      <c r="AK1028" s="82"/>
      <c r="AL1028" s="82"/>
      <c r="AM1028" s="82"/>
      <c r="AN1028" s="82"/>
      <c r="AO1028" s="82"/>
      <c r="AP1028" s="82"/>
      <c r="AQ1028" s="82"/>
      <c r="AR1028" s="82"/>
      <c r="AS1028" s="82"/>
    </row>
    <row r="1029" spans="1:45" ht="15.75" hidden="1">
      <c r="A1029" s="179"/>
      <c r="B1029" s="179"/>
      <c r="C1029" s="152"/>
      <c r="D1029" s="152" t="s">
        <v>108</v>
      </c>
      <c r="E1029" s="152"/>
      <c r="F1029" s="109"/>
      <c r="G1029" s="152" t="s">
        <v>108</v>
      </c>
      <c r="H1029" s="152"/>
      <c r="I1029" s="109"/>
      <c r="J1029" s="152" t="s">
        <v>108</v>
      </c>
      <c r="K1029" s="152"/>
      <c r="L1029" s="109" t="s">
        <v>108</v>
      </c>
      <c r="M1029" s="109"/>
      <c r="N1029" s="152" t="s">
        <v>108</v>
      </c>
      <c r="O1029" s="152"/>
      <c r="P1029" s="109" t="s">
        <v>108</v>
      </c>
      <c r="Q1029" s="109"/>
      <c r="R1029" s="152" t="s">
        <v>108</v>
      </c>
      <c r="S1029" s="152"/>
      <c r="T1029" s="109" t="s">
        <v>108</v>
      </c>
      <c r="U1029" s="109"/>
      <c r="V1029" s="152" t="s">
        <v>108</v>
      </c>
      <c r="W1029" s="152"/>
      <c r="X1029" s="109" t="s">
        <v>108</v>
      </c>
      <c r="Z1029" s="84"/>
      <c r="AA1029" s="84"/>
      <c r="AB1029" s="157"/>
      <c r="AD1029" s="371"/>
      <c r="AE1029" s="371"/>
      <c r="AF1029" s="371"/>
      <c r="AG1029" s="371"/>
      <c r="AH1029" s="371"/>
      <c r="AI1029" s="159"/>
      <c r="AJ1029" s="159"/>
      <c r="AK1029" s="82"/>
      <c r="AL1029" s="82"/>
      <c r="AM1029" s="82"/>
      <c r="AN1029" s="82"/>
      <c r="AO1029" s="82"/>
      <c r="AP1029" s="82"/>
      <c r="AQ1029" s="82"/>
      <c r="AR1029" s="82"/>
      <c r="AS1029" s="82"/>
    </row>
    <row r="1030" spans="1:45" ht="15.75">
      <c r="A1030" s="178" t="s">
        <v>273</v>
      </c>
      <c r="B1030" s="179"/>
      <c r="C1030" s="153"/>
      <c r="D1030" s="153"/>
      <c r="E1030" s="153"/>
      <c r="F1030" s="153"/>
      <c r="G1030" s="153"/>
      <c r="H1030" s="153"/>
      <c r="I1030" s="153"/>
      <c r="J1030" s="153"/>
      <c r="K1030" s="153"/>
      <c r="L1030" s="153"/>
      <c r="M1030" s="153"/>
      <c r="N1030" s="153"/>
      <c r="O1030" s="153"/>
      <c r="P1030" s="153"/>
      <c r="Q1030" s="153"/>
      <c r="R1030" s="153"/>
      <c r="S1030" s="153"/>
      <c r="T1030" s="153"/>
      <c r="U1030" s="153"/>
      <c r="V1030" s="153"/>
      <c r="W1030" s="153"/>
      <c r="X1030" s="153"/>
      <c r="Y1030" s="159"/>
      <c r="Z1030" s="168"/>
      <c r="AA1030" s="159"/>
      <c r="AB1030" s="159"/>
      <c r="AC1030" s="82"/>
      <c r="AD1030" s="82"/>
      <c r="AE1030" s="82"/>
      <c r="AF1030" s="82"/>
      <c r="AG1030" s="82"/>
      <c r="AH1030" s="82"/>
      <c r="AI1030" s="82"/>
      <c r="AJ1030" s="159"/>
      <c r="AK1030" s="159"/>
      <c r="AL1030" s="159"/>
      <c r="AM1030" s="159"/>
      <c r="AN1030" s="159"/>
      <c r="AO1030" s="82"/>
      <c r="AP1030" s="82"/>
      <c r="AQ1030" s="82"/>
      <c r="AR1030" s="82"/>
      <c r="AS1030" s="82"/>
    </row>
    <row r="1031" spans="1:45" ht="15.75">
      <c r="A1031" s="179" t="s">
        <v>274</v>
      </c>
      <c r="B1031" s="179"/>
      <c r="C1031" s="153"/>
      <c r="D1031" s="153"/>
      <c r="E1031" s="153"/>
      <c r="F1031" s="153"/>
      <c r="G1031" s="153"/>
      <c r="H1031" s="153"/>
      <c r="I1031" s="153"/>
      <c r="J1031" s="153"/>
      <c r="K1031" s="153"/>
      <c r="L1031" s="153"/>
      <c r="M1031" s="153"/>
      <c r="N1031" s="153"/>
      <c r="O1031" s="153"/>
      <c r="P1031" s="153"/>
      <c r="Q1031" s="153"/>
      <c r="R1031" s="153"/>
      <c r="S1031" s="153"/>
      <c r="T1031" s="153"/>
      <c r="U1031" s="153"/>
      <c r="V1031" s="153"/>
      <c r="W1031" s="153"/>
      <c r="X1031" s="153"/>
      <c r="Y1031" s="82"/>
      <c r="Z1031" s="83"/>
      <c r="AA1031" s="83"/>
      <c r="AB1031" s="83"/>
      <c r="AC1031" s="82"/>
      <c r="AD1031" s="82"/>
      <c r="AE1031" s="82"/>
      <c r="AF1031" s="82"/>
      <c r="AG1031" s="82"/>
      <c r="AH1031" s="82"/>
      <c r="AI1031" s="82"/>
      <c r="AJ1031" s="159"/>
      <c r="AK1031" s="159"/>
      <c r="AL1031" s="159"/>
      <c r="AM1031" s="159"/>
      <c r="AN1031" s="159"/>
      <c r="AO1031" s="82"/>
      <c r="AP1031" s="82"/>
      <c r="AQ1031" s="82"/>
      <c r="AR1031" s="82"/>
      <c r="AS1031" s="82"/>
    </row>
    <row r="1032" spans="1:45" ht="15.75">
      <c r="A1032" s="179"/>
      <c r="B1032" s="179"/>
      <c r="C1032" s="153"/>
      <c r="D1032" s="153"/>
      <c r="E1032" s="153"/>
      <c r="F1032" s="153"/>
      <c r="G1032" s="153"/>
      <c r="H1032" s="153"/>
      <c r="I1032" s="153"/>
      <c r="J1032" s="153"/>
      <c r="K1032" s="153"/>
      <c r="L1032" s="153"/>
      <c r="M1032" s="153"/>
      <c r="N1032" s="153"/>
      <c r="O1032" s="153"/>
      <c r="P1032" s="153"/>
      <c r="Q1032" s="153"/>
      <c r="R1032" s="153"/>
      <c r="S1032" s="153"/>
      <c r="T1032" s="153"/>
      <c r="U1032" s="153"/>
      <c r="V1032" s="153"/>
      <c r="W1032" s="153"/>
      <c r="X1032" s="153"/>
      <c r="Y1032" s="82"/>
      <c r="Z1032" s="83"/>
      <c r="AA1032" s="83" t="s">
        <v>108</v>
      </c>
      <c r="AB1032" s="83"/>
      <c r="AC1032" s="82"/>
      <c r="AD1032" s="82"/>
      <c r="AE1032" s="82"/>
      <c r="AF1032" s="82"/>
      <c r="AG1032" s="82"/>
      <c r="AH1032" s="82"/>
      <c r="AI1032" s="82"/>
      <c r="AJ1032" s="159"/>
      <c r="AK1032" s="159"/>
      <c r="AL1032" s="159"/>
      <c r="AM1032" s="159"/>
      <c r="AN1032" s="159"/>
      <c r="AO1032" s="82"/>
      <c r="AP1032" s="82"/>
      <c r="AQ1032" s="82"/>
      <c r="AR1032" s="82"/>
      <c r="AS1032" s="82"/>
    </row>
    <row r="1033" spans="1:45" ht="15.75">
      <c r="A1033" s="179" t="s">
        <v>275</v>
      </c>
      <c r="B1033" s="179"/>
      <c r="C1033" s="152"/>
      <c r="D1033" s="186"/>
      <c r="E1033" s="153"/>
      <c r="F1033" s="109">
        <f>I1033</f>
        <v>19991.993064481801</v>
      </c>
      <c r="G1033" s="186"/>
      <c r="H1033" s="153"/>
      <c r="I1033" s="109">
        <v>19991.993064481801</v>
      </c>
      <c r="J1033" s="186"/>
      <c r="K1033" s="153"/>
      <c r="L1033" s="109">
        <v>19991.993064481801</v>
      </c>
      <c r="M1033" s="109"/>
      <c r="N1033" s="186"/>
      <c r="O1033" s="153"/>
      <c r="P1033" s="109">
        <f>L1033</f>
        <v>19991.993064481801</v>
      </c>
      <c r="Q1033" s="109"/>
      <c r="R1033" s="186"/>
      <c r="S1033" s="153"/>
      <c r="T1033" s="109" t="s">
        <v>108</v>
      </c>
      <c r="U1033" s="109"/>
      <c r="V1033" s="186"/>
      <c r="W1033" s="153"/>
      <c r="X1033" s="109" t="str">
        <f>T1033</f>
        <v xml:space="preserve"> </v>
      </c>
      <c r="Y1033" s="82"/>
      <c r="Z1033" s="83"/>
      <c r="AA1033" s="83" t="s">
        <v>108</v>
      </c>
      <c r="AB1033" s="83"/>
      <c r="AC1033" s="82"/>
      <c r="AD1033" s="82"/>
      <c r="AE1033" s="82"/>
      <c r="AF1033" s="82"/>
      <c r="AG1033" s="82"/>
      <c r="AH1033" s="82"/>
      <c r="AI1033" s="82"/>
      <c r="AJ1033" s="82"/>
      <c r="AK1033" s="82"/>
      <c r="AL1033" s="82"/>
      <c r="AM1033" s="82"/>
      <c r="AN1033" s="82"/>
      <c r="AO1033" s="82"/>
      <c r="AP1033" s="82"/>
      <c r="AQ1033" s="82"/>
      <c r="AR1033" s="82"/>
      <c r="AS1033" s="82"/>
    </row>
    <row r="1034" spans="1:45" ht="15.75">
      <c r="A1034" s="179" t="s">
        <v>276</v>
      </c>
      <c r="B1034" s="179"/>
      <c r="C1034" s="164">
        <v>219861.25205811099</v>
      </c>
      <c r="D1034" s="153">
        <v>7.8140000000000001</v>
      </c>
      <c r="E1034" s="153" t="s">
        <v>116</v>
      </c>
      <c r="F1034" s="372">
        <f>ROUND(C1034*D1034/100,0)</f>
        <v>17180</v>
      </c>
      <c r="G1034" s="319">
        <v>7.8140000000000001</v>
      </c>
      <c r="H1034" s="153" t="s">
        <v>116</v>
      </c>
      <c r="I1034" s="372">
        <f>ROUND(G1034*C1034/100,0)</f>
        <v>17180</v>
      </c>
      <c r="J1034" s="319">
        <f>G1034</f>
        <v>7.8140000000000001</v>
      </c>
      <c r="K1034" s="319" t="str">
        <f>H1034</f>
        <v>¢</v>
      </c>
      <c r="L1034" s="109">
        <f>ROUND(J1034*$C1034/100,0)</f>
        <v>17180</v>
      </c>
      <c r="M1034" s="109"/>
      <c r="N1034" s="319">
        <f>$J1034*$AB$12</f>
        <v>4.583662688450918</v>
      </c>
      <c r="O1034" s="153" t="s">
        <v>116</v>
      </c>
      <c r="P1034" s="109">
        <f>ROUND(N1034*$C1034/100,0)</f>
        <v>10078</v>
      </c>
      <c r="Q1034" s="109"/>
      <c r="R1034" s="319">
        <f>$J1034*$AA$12</f>
        <v>0.64940790607589072</v>
      </c>
      <c r="S1034" s="153" t="s">
        <v>116</v>
      </c>
      <c r="T1034" s="109">
        <f>ROUND(R1034*$C1034/100,0)</f>
        <v>1428</v>
      </c>
      <c r="U1034" s="109"/>
      <c r="V1034" s="319">
        <f>$J1034*$Z$12</f>
        <v>2.5809294054731926</v>
      </c>
      <c r="W1034" s="153" t="s">
        <v>116</v>
      </c>
      <c r="X1034" s="109">
        <f>ROUND(V1034*$C1034/100,0)</f>
        <v>5674</v>
      </c>
      <c r="Y1034" s="455"/>
      <c r="Z1034" s="83"/>
      <c r="AA1034" s="83"/>
      <c r="AB1034" s="83"/>
      <c r="AC1034" s="82"/>
      <c r="AD1034" s="82"/>
      <c r="AE1034" s="82"/>
      <c r="AF1034" s="82"/>
      <c r="AG1034" s="82"/>
      <c r="AH1034" s="82"/>
      <c r="AI1034" s="82"/>
      <c r="AJ1034" s="82"/>
      <c r="AK1034" s="82"/>
      <c r="AL1034" s="82"/>
      <c r="AM1034" s="82"/>
      <c r="AN1034" s="82"/>
      <c r="AO1034" s="82"/>
      <c r="AP1034" s="82"/>
      <c r="AQ1034" s="82"/>
      <c r="AR1034" s="82"/>
      <c r="AS1034" s="82"/>
    </row>
    <row r="1035" spans="1:45" ht="15.75">
      <c r="A1035" s="179" t="s">
        <v>277</v>
      </c>
      <c r="B1035" s="179"/>
      <c r="C1035" s="164">
        <v>0</v>
      </c>
      <c r="D1035" s="319">
        <v>8.7439999999999998</v>
      </c>
      <c r="E1035" s="153" t="s">
        <v>116</v>
      </c>
      <c r="F1035" s="372">
        <f>ROUND(C1035*D1035/100,0)</f>
        <v>0</v>
      </c>
      <c r="G1035" s="319">
        <v>8.7439999999999998</v>
      </c>
      <c r="H1035" s="153" t="s">
        <v>116</v>
      </c>
      <c r="I1035" s="372">
        <f>ROUND(G1035*C1035/100,0)</f>
        <v>0</v>
      </c>
      <c r="J1035" s="319">
        <f>G1035</f>
        <v>8.7439999999999998</v>
      </c>
      <c r="K1035" s="153" t="s">
        <v>116</v>
      </c>
      <c r="L1035" s="109">
        <f>ROUND(J1035*$C1035/100,0)</f>
        <v>0</v>
      </c>
      <c r="M1035" s="109"/>
      <c r="N1035" s="319">
        <f>$J1035*$AB$12</f>
        <v>5.1291971522670625</v>
      </c>
      <c r="O1035" s="153" t="s">
        <v>116</v>
      </c>
      <c r="P1035" s="109">
        <f>ROUND(N1035*$C1035/100,0)</f>
        <v>0</v>
      </c>
      <c r="Q1035" s="109"/>
      <c r="R1035" s="319">
        <f>$J1035*$AA$12</f>
        <v>0.7266985834051175</v>
      </c>
      <c r="S1035" s="153" t="s">
        <v>116</v>
      </c>
      <c r="T1035" s="109">
        <f>ROUND(R1035*$C1035/100,0)</f>
        <v>0</v>
      </c>
      <c r="U1035" s="109"/>
      <c r="V1035" s="319">
        <f>$J1035*$Z$12</f>
        <v>2.8881042643278212</v>
      </c>
      <c r="W1035" s="153" t="s">
        <v>116</v>
      </c>
      <c r="X1035" s="109">
        <f>ROUND(V1035*$C1035/100,0)</f>
        <v>0</v>
      </c>
      <c r="Y1035" s="82"/>
      <c r="Z1035" s="83"/>
      <c r="AA1035" s="82"/>
      <c r="AB1035" s="82"/>
      <c r="AC1035" s="82"/>
      <c r="AD1035" s="82"/>
      <c r="AE1035" s="82"/>
      <c r="AF1035" s="82"/>
      <c r="AG1035" s="82"/>
      <c r="AH1035" s="82"/>
      <c r="AI1035" s="82"/>
      <c r="AJ1035" s="82"/>
      <c r="AK1035" s="82"/>
      <c r="AL1035" s="82"/>
      <c r="AM1035" s="82"/>
      <c r="AN1035" s="82"/>
      <c r="AO1035" s="82"/>
      <c r="AP1035" s="82"/>
      <c r="AQ1035" s="82"/>
      <c r="AR1035" s="82"/>
      <c r="AS1035" s="82"/>
    </row>
    <row r="1036" spans="1:45" ht="15.75">
      <c r="A1036" s="179" t="s">
        <v>117</v>
      </c>
      <c r="B1036" s="179"/>
      <c r="C1036" s="164">
        <v>180</v>
      </c>
      <c r="D1036" s="373"/>
      <c r="E1036" s="153"/>
      <c r="F1036" s="109"/>
      <c r="G1036" s="373"/>
      <c r="H1036" s="153"/>
      <c r="I1036" s="109"/>
      <c r="J1036" s="373"/>
      <c r="K1036" s="153"/>
      <c r="L1036" s="109"/>
      <c r="M1036" s="109"/>
      <c r="N1036" s="373"/>
      <c r="O1036" s="153"/>
      <c r="P1036" s="109"/>
      <c r="Q1036" s="109"/>
      <c r="R1036" s="373"/>
      <c r="S1036" s="153"/>
      <c r="T1036" s="109"/>
      <c r="U1036" s="109"/>
      <c r="V1036" s="373"/>
      <c r="W1036" s="153"/>
      <c r="X1036" s="109"/>
      <c r="Y1036" s="82"/>
      <c r="Z1036" s="83"/>
      <c r="AA1036" s="83"/>
      <c r="AB1036" s="83"/>
      <c r="AC1036" s="82"/>
      <c r="AD1036" s="82"/>
      <c r="AE1036" s="82"/>
      <c r="AF1036" s="82"/>
      <c r="AG1036" s="82"/>
      <c r="AH1036" s="82"/>
      <c r="AI1036" s="82"/>
      <c r="AJ1036" s="82"/>
      <c r="AK1036" s="82"/>
      <c r="AL1036" s="82"/>
      <c r="AM1036" s="82"/>
      <c r="AN1036" s="82"/>
      <c r="AO1036" s="82"/>
      <c r="AP1036" s="82"/>
      <c r="AQ1036" s="82"/>
      <c r="AR1036" s="82"/>
      <c r="AS1036" s="82"/>
    </row>
    <row r="1037" spans="1:45" ht="15.75">
      <c r="A1037" s="84" t="s">
        <v>278</v>
      </c>
      <c r="C1037" s="164">
        <f>SUM(C1034:C1035)</f>
        <v>219861.25205811099</v>
      </c>
      <c r="D1037" s="119"/>
      <c r="E1037" s="120"/>
      <c r="F1037" s="169">
        <f>SUM(F1033:F1035)</f>
        <v>37171.993064481801</v>
      </c>
      <c r="G1037" s="119"/>
      <c r="H1037" s="120"/>
      <c r="I1037" s="169">
        <f>SUM(I1033:I1035)</f>
        <v>37171.993064481801</v>
      </c>
      <c r="J1037" s="119"/>
      <c r="K1037" s="120"/>
      <c r="L1037" s="169">
        <f>SUM(L1033:L1036)</f>
        <v>37171.993064481801</v>
      </c>
      <c r="M1037" s="169"/>
      <c r="N1037" s="119"/>
      <c r="O1037" s="120"/>
      <c r="P1037" s="169">
        <f>SUM(P1033:P1036)</f>
        <v>30069.993064481801</v>
      </c>
      <c r="Q1037" s="169"/>
      <c r="R1037" s="119"/>
      <c r="S1037" s="120"/>
      <c r="T1037" s="169">
        <f>SUM(T1033:T1036)</f>
        <v>1428</v>
      </c>
      <c r="U1037" s="169"/>
      <c r="V1037" s="119"/>
      <c r="W1037" s="120"/>
      <c r="X1037" s="169">
        <f>SUM(X1033:X1036)</f>
        <v>5674</v>
      </c>
      <c r="Y1037" s="82"/>
      <c r="Z1037" s="83"/>
      <c r="AA1037" s="83"/>
      <c r="AB1037" s="83"/>
      <c r="AC1037" s="82"/>
      <c r="AD1037" s="82"/>
      <c r="AE1037" s="82"/>
      <c r="AF1037" s="82"/>
      <c r="AG1037" s="82"/>
      <c r="AH1037" s="82"/>
      <c r="AI1037" s="82"/>
      <c r="AJ1037" s="82"/>
      <c r="AK1037" s="82"/>
      <c r="AL1037" s="82"/>
      <c r="AM1037" s="82"/>
      <c r="AN1037" s="82"/>
      <c r="AO1037" s="82"/>
      <c r="AP1037" s="82"/>
      <c r="AQ1037" s="82"/>
      <c r="AR1037" s="82"/>
      <c r="AS1037" s="82"/>
    </row>
    <row r="1038" spans="1:45" ht="15.75">
      <c r="A1038" s="84" t="s">
        <v>279</v>
      </c>
      <c r="C1038" s="104">
        <v>-21520.392182337586</v>
      </c>
      <c r="D1038" s="118"/>
      <c r="E1038" s="82"/>
      <c r="F1038" s="135">
        <f>I1038</f>
        <v>-3660.1423456783405</v>
      </c>
      <c r="G1038" s="118"/>
      <c r="H1038" s="82"/>
      <c r="I1038" s="135">
        <v>-3660.1423456783405</v>
      </c>
      <c r="J1038" s="118"/>
      <c r="K1038" s="82"/>
      <c r="L1038" s="135">
        <f>I1038</f>
        <v>-3660.1423456783405</v>
      </c>
      <c r="M1038" s="135"/>
      <c r="N1038" s="118"/>
      <c r="O1038" s="82"/>
      <c r="P1038" s="135">
        <f>$L$1038*Y1042/($Y$1042+$Z$1042+$AA$1042)</f>
        <v>-2151.6804121538266</v>
      </c>
      <c r="Q1038" s="137"/>
      <c r="R1038" s="138"/>
      <c r="S1038" s="138"/>
      <c r="T1038" s="135">
        <f>$L$1038*Z1042/($Y$1042+$Z$1042+$AA$1042)</f>
        <v>-303.15259895785726</v>
      </c>
      <c r="U1038" s="137"/>
      <c r="V1038" s="138"/>
      <c r="W1038" s="138"/>
      <c r="X1038" s="135">
        <f>$L$1038*AA1042/($Y$1042+$Z$1042+$AA$1042)</f>
        <v>-1205.3093345666568</v>
      </c>
      <c r="Y1038" s="296"/>
      <c r="Z1038" s="297"/>
      <c r="AA1038" s="83"/>
      <c r="AB1038" s="83"/>
      <c r="AC1038" s="82"/>
      <c r="AD1038" s="82"/>
      <c r="AE1038" s="82"/>
      <c r="AF1038" s="82"/>
      <c r="AG1038" s="82"/>
      <c r="AH1038" s="82"/>
      <c r="AI1038" s="82"/>
      <c r="AJ1038" s="82"/>
      <c r="AK1038" s="82"/>
      <c r="AL1038" s="82"/>
      <c r="AM1038" s="82"/>
      <c r="AN1038" s="82"/>
      <c r="AO1038" s="82"/>
      <c r="AP1038" s="82"/>
      <c r="AQ1038" s="82"/>
      <c r="AR1038" s="82"/>
      <c r="AS1038" s="82"/>
    </row>
    <row r="1039" spans="1:45" ht="16.5" thickBot="1">
      <c r="A1039" s="179" t="s">
        <v>3</v>
      </c>
      <c r="B1039" s="179"/>
      <c r="C1039" s="335">
        <f>C1037+C1038</f>
        <v>198340.8598757734</v>
      </c>
      <c r="D1039" s="374"/>
      <c r="E1039" s="375"/>
      <c r="F1039" s="141">
        <f>F1037+F1038</f>
        <v>33511.850718803464</v>
      </c>
      <c r="G1039" s="376"/>
      <c r="H1039" s="269"/>
      <c r="I1039" s="141">
        <f>I1037+I1038</f>
        <v>33511.850718803464</v>
      </c>
      <c r="J1039" s="376"/>
      <c r="K1039" s="269"/>
      <c r="L1039" s="141">
        <f>L1037+L1038</f>
        <v>33511.850718803464</v>
      </c>
      <c r="M1039" s="142"/>
      <c r="N1039" s="376"/>
      <c r="O1039" s="269"/>
      <c r="P1039" s="141">
        <f>P1037+P1038</f>
        <v>27918.312652327975</v>
      </c>
      <c r="Q1039" s="142"/>
      <c r="R1039" s="376"/>
      <c r="S1039" s="269"/>
      <c r="T1039" s="141">
        <f>T1037+T1038</f>
        <v>1124.8474010421428</v>
      </c>
      <c r="U1039" s="142"/>
      <c r="V1039" s="376"/>
      <c r="W1039" s="269"/>
      <c r="X1039" s="141">
        <f>X1037+X1038</f>
        <v>4468.6906654333434</v>
      </c>
      <c r="Y1039" s="363" t="s">
        <v>162</v>
      </c>
      <c r="Z1039" s="144">
        <f>I1039</f>
        <v>33511.850718803464</v>
      </c>
      <c r="AA1039" s="255">
        <f>(L1039-I1039)/I1039</f>
        <v>0</v>
      </c>
      <c r="AB1039" s="350"/>
      <c r="AC1039" s="82"/>
      <c r="AD1039" s="82"/>
      <c r="AE1039" s="82"/>
      <c r="AF1039" s="82"/>
      <c r="AG1039" s="82"/>
      <c r="AH1039" s="82"/>
      <c r="AI1039" s="82"/>
      <c r="AJ1039" s="82"/>
      <c r="AK1039" s="82"/>
      <c r="AL1039" s="82"/>
      <c r="AM1039" s="82"/>
      <c r="AN1039" s="82"/>
      <c r="AO1039" s="82"/>
      <c r="AP1039" s="82"/>
      <c r="AQ1039" s="82"/>
      <c r="AR1039" s="82"/>
      <c r="AS1039" s="82"/>
    </row>
    <row r="1040" spans="1:45" ht="16.5" thickTop="1">
      <c r="A1040" s="179"/>
      <c r="B1040" s="179"/>
      <c r="C1040" s="179"/>
      <c r="D1040" s="206" t="s">
        <v>108</v>
      </c>
      <c r="E1040" s="179"/>
      <c r="F1040" s="179"/>
      <c r="G1040" s="206" t="s">
        <v>108</v>
      </c>
      <c r="H1040" s="179"/>
      <c r="I1040" s="179"/>
      <c r="J1040" s="206" t="s">
        <v>108</v>
      </c>
      <c r="K1040" s="179"/>
      <c r="L1040" s="106" t="s">
        <v>108</v>
      </c>
      <c r="M1040" s="106"/>
      <c r="N1040" s="206" t="s">
        <v>108</v>
      </c>
      <c r="O1040" s="179"/>
      <c r="P1040" s="106" t="s">
        <v>108</v>
      </c>
      <c r="Q1040" s="106"/>
      <c r="R1040" s="206" t="s">
        <v>108</v>
      </c>
      <c r="S1040" s="179"/>
      <c r="T1040" s="106" t="s">
        <v>108</v>
      </c>
      <c r="U1040" s="106"/>
      <c r="V1040" s="206" t="s">
        <v>108</v>
      </c>
      <c r="W1040" s="179"/>
      <c r="X1040" s="106" t="s">
        <v>108</v>
      </c>
      <c r="Y1040" s="369" t="s">
        <v>122</v>
      </c>
      <c r="Z1040" s="155">
        <f>Z1039-L1039</f>
        <v>0</v>
      </c>
      <c r="AA1040" s="261" t="s">
        <v>108</v>
      </c>
      <c r="AB1040" s="157"/>
      <c r="AC1040" s="82"/>
      <c r="AD1040" s="82"/>
      <c r="AE1040" s="82"/>
      <c r="AF1040" s="82"/>
      <c r="AG1040" s="82"/>
      <c r="AH1040" s="82"/>
      <c r="AI1040" s="82"/>
      <c r="AJ1040" s="82"/>
      <c r="AK1040" s="82"/>
      <c r="AL1040" s="82"/>
      <c r="AM1040" s="82"/>
      <c r="AN1040" s="82"/>
      <c r="AO1040" s="82"/>
      <c r="AP1040" s="82"/>
      <c r="AQ1040" s="82"/>
      <c r="AR1040" s="82"/>
      <c r="AS1040" s="82"/>
    </row>
    <row r="1041" spans="1:45" ht="15.75" hidden="1">
      <c r="A1041" s="179"/>
      <c r="B1041" s="179"/>
      <c r="C1041" s="179"/>
      <c r="D1041" s="206"/>
      <c r="E1041" s="179"/>
      <c r="F1041" s="179"/>
      <c r="G1041" s="206"/>
      <c r="H1041" s="179"/>
      <c r="I1041" s="179"/>
      <c r="J1041" s="206"/>
      <c r="K1041" s="179"/>
      <c r="L1041" s="106"/>
      <c r="M1041" s="106"/>
      <c r="N1041" s="206"/>
      <c r="O1041" s="179"/>
      <c r="P1041" s="106"/>
      <c r="Q1041" s="106"/>
      <c r="R1041" s="206"/>
      <c r="S1041" s="179"/>
      <c r="T1041" s="106"/>
      <c r="U1041" s="106"/>
      <c r="V1041" s="206"/>
      <c r="W1041" s="179"/>
      <c r="X1041" s="106"/>
      <c r="Y1041" s="103">
        <f>Y1027</f>
        <v>0.58786795947824033</v>
      </c>
      <c r="Z1041" s="103">
        <f>Z1027</f>
        <v>8.2825357684735992E-2</v>
      </c>
      <c r="AA1041" s="103">
        <f>AA1027</f>
        <v>0.32930668283702352</v>
      </c>
      <c r="AB1041" s="157"/>
      <c r="AC1041" s="82"/>
      <c r="AD1041" s="82"/>
      <c r="AE1041" s="82"/>
      <c r="AF1041" s="82"/>
      <c r="AG1041" s="82"/>
      <c r="AH1041" s="82"/>
      <c r="AI1041" s="82"/>
      <c r="AJ1041" s="82"/>
      <c r="AK1041" s="82"/>
      <c r="AL1041" s="82"/>
      <c r="AM1041" s="82"/>
      <c r="AN1041" s="82"/>
      <c r="AO1041" s="82"/>
      <c r="AP1041" s="82"/>
      <c r="AQ1041" s="82"/>
      <c r="AR1041" s="82"/>
      <c r="AS1041" s="82"/>
    </row>
    <row r="1042" spans="1:45" ht="15.75" hidden="1">
      <c r="A1042" s="179"/>
      <c r="B1042" s="179"/>
      <c r="C1042" s="179"/>
      <c r="D1042" s="206"/>
      <c r="E1042" s="179"/>
      <c r="F1042" s="179"/>
      <c r="G1042" s="206"/>
      <c r="H1042" s="179"/>
      <c r="I1042" s="179"/>
      <c r="J1042" s="206"/>
      <c r="K1042" s="179"/>
      <c r="L1042" s="106"/>
      <c r="M1042" s="106"/>
      <c r="N1042" s="206"/>
      <c r="O1042" s="179"/>
      <c r="P1042" s="106"/>
      <c r="Q1042" s="106"/>
      <c r="R1042" s="206"/>
      <c r="S1042" s="179"/>
      <c r="T1042" s="106"/>
      <c r="U1042" s="106"/>
      <c r="V1042" s="206"/>
      <c r="W1042" s="179"/>
      <c r="X1042" s="106"/>
      <c r="Y1042" s="150">
        <f>L1039*Y1041</f>
        <v>19700.543300402394</v>
      </c>
      <c r="Z1042" s="150">
        <f>L1039*Z1041</f>
        <v>2775.6310224623739</v>
      </c>
      <c r="AA1042" s="150">
        <f>L1039*AA1041</f>
        <v>11035.676395938692</v>
      </c>
      <c r="AB1042" s="157"/>
      <c r="AC1042" s="82"/>
      <c r="AD1042" s="82"/>
      <c r="AE1042" s="82"/>
      <c r="AF1042" s="82"/>
      <c r="AG1042" s="82"/>
      <c r="AH1042" s="82"/>
      <c r="AI1042" s="82"/>
      <c r="AJ1042" s="82"/>
      <c r="AK1042" s="82"/>
      <c r="AL1042" s="82"/>
      <c r="AM1042" s="82"/>
      <c r="AN1042" s="82"/>
      <c r="AO1042" s="82"/>
      <c r="AP1042" s="82"/>
      <c r="AQ1042" s="82"/>
      <c r="AR1042" s="82"/>
      <c r="AS1042" s="82"/>
    </row>
    <row r="1043" spans="1:45" ht="15.75">
      <c r="A1043" s="178" t="s">
        <v>280</v>
      </c>
      <c r="B1043" s="179"/>
      <c r="C1043" s="179"/>
      <c r="D1043" s="179"/>
      <c r="E1043" s="179"/>
      <c r="F1043" s="179"/>
      <c r="G1043" s="179"/>
      <c r="H1043" s="179"/>
      <c r="I1043" s="179"/>
      <c r="J1043" s="179"/>
      <c r="K1043" s="179"/>
      <c r="L1043" s="179"/>
      <c r="M1043" s="179"/>
      <c r="N1043" s="179"/>
      <c r="O1043" s="179"/>
      <c r="P1043" s="179"/>
      <c r="Q1043" s="179"/>
      <c r="R1043" s="179"/>
      <c r="S1043" s="179"/>
      <c r="T1043" s="179"/>
      <c r="U1043" s="179"/>
      <c r="V1043" s="179"/>
      <c r="W1043" s="179"/>
      <c r="X1043" s="179"/>
      <c r="Y1043" s="82"/>
      <c r="Z1043" s="83"/>
      <c r="AA1043" s="83"/>
      <c r="AB1043" s="83"/>
      <c r="AC1043" s="82"/>
      <c r="AD1043" s="82"/>
      <c r="AE1043" s="82"/>
      <c r="AF1043" s="82"/>
      <c r="AG1043" s="82"/>
      <c r="AH1043" s="82"/>
      <c r="AI1043" s="82"/>
      <c r="AJ1043" s="82"/>
      <c r="AK1043" s="82"/>
      <c r="AL1043" s="82"/>
      <c r="AM1043" s="82"/>
      <c r="AN1043" s="82"/>
      <c r="AO1043" s="82"/>
      <c r="AP1043" s="82"/>
      <c r="AQ1043" s="82"/>
      <c r="AR1043" s="82"/>
      <c r="AS1043" s="82"/>
    </row>
    <row r="1044" spans="1:45" ht="15.75">
      <c r="A1044" s="179" t="s">
        <v>281</v>
      </c>
      <c r="B1044" s="179"/>
      <c r="C1044" s="179"/>
      <c r="D1044" s="179"/>
      <c r="E1044" s="179"/>
      <c r="F1044" s="179"/>
      <c r="G1044" s="179"/>
      <c r="H1044" s="179"/>
      <c r="I1044" s="179"/>
      <c r="J1044" s="179"/>
      <c r="K1044" s="179"/>
      <c r="L1044" s="179"/>
      <c r="M1044" s="179"/>
      <c r="N1044" s="179"/>
      <c r="O1044" s="179"/>
      <c r="P1044" s="179"/>
      <c r="Q1044" s="179"/>
      <c r="R1044" s="179"/>
      <c r="S1044" s="179"/>
      <c r="T1044" s="179"/>
      <c r="U1044" s="179"/>
      <c r="V1044" s="179"/>
      <c r="W1044" s="179"/>
      <c r="X1044" s="179"/>
      <c r="Y1044" s="82"/>
      <c r="Z1044" s="83"/>
      <c r="AA1044" s="83"/>
      <c r="AB1044" s="83"/>
      <c r="AC1044" s="82"/>
      <c r="AD1044" s="82"/>
      <c r="AE1044" s="82"/>
      <c r="AF1044" s="82"/>
      <c r="AG1044" s="82"/>
      <c r="AH1044" s="82"/>
      <c r="AI1044" s="82"/>
      <c r="AJ1044" s="82"/>
      <c r="AK1044" s="82"/>
      <c r="AL1044" s="82"/>
      <c r="AM1044" s="82"/>
      <c r="AN1044" s="82"/>
      <c r="AO1044" s="82"/>
      <c r="AP1044" s="82"/>
      <c r="AQ1044" s="82"/>
      <c r="AR1044" s="82"/>
      <c r="AS1044" s="82"/>
    </row>
    <row r="1045" spans="1:45" ht="15.75">
      <c r="A1045" s="179"/>
      <c r="B1045" s="179"/>
      <c r="C1045" s="179"/>
      <c r="D1045" s="206"/>
      <c r="E1045" s="179"/>
      <c r="F1045" s="179"/>
      <c r="G1045" s="206"/>
      <c r="H1045" s="179"/>
      <c r="I1045" s="179"/>
      <c r="J1045" s="206"/>
      <c r="K1045" s="179"/>
      <c r="L1045" s="179"/>
      <c r="M1045" s="179"/>
      <c r="N1045" s="206"/>
      <c r="O1045" s="179"/>
      <c r="P1045" s="179"/>
      <c r="Q1045" s="179"/>
      <c r="R1045" s="206"/>
      <c r="S1045" s="179"/>
      <c r="T1045" s="179"/>
      <c r="U1045" s="179"/>
      <c r="V1045" s="206"/>
      <c r="W1045" s="179"/>
      <c r="X1045" s="179"/>
      <c r="Y1045" s="82"/>
      <c r="Z1045" s="83"/>
      <c r="AA1045" s="83"/>
      <c r="AB1045" s="83"/>
      <c r="AC1045" s="82"/>
      <c r="AD1045" s="82"/>
      <c r="AE1045" s="82"/>
      <c r="AF1045" s="82"/>
      <c r="AG1045" s="82"/>
      <c r="AH1045" s="82"/>
      <c r="AI1045" s="82"/>
      <c r="AJ1045" s="82"/>
      <c r="AK1045" s="82"/>
      <c r="AL1045" s="82"/>
      <c r="AM1045" s="82"/>
      <c r="AN1045" s="82"/>
      <c r="AO1045" s="82"/>
      <c r="AP1045" s="82"/>
      <c r="AQ1045" s="82"/>
      <c r="AR1045" s="82"/>
      <c r="AS1045" s="82"/>
    </row>
    <row r="1046" spans="1:45" ht="15.75">
      <c r="A1046" s="179" t="s">
        <v>275</v>
      </c>
      <c r="B1046" s="179"/>
      <c r="C1046" s="205"/>
      <c r="D1046" s="210"/>
      <c r="E1046" s="179"/>
      <c r="F1046" s="106">
        <f>I1046</f>
        <v>2258.3975613477051</v>
      </c>
      <c r="G1046" s="210"/>
      <c r="H1046" s="179"/>
      <c r="I1046" s="106">
        <f>I1060+I1087</f>
        <v>2258.3975613477051</v>
      </c>
      <c r="J1046" s="210"/>
      <c r="K1046" s="179"/>
      <c r="L1046" s="106">
        <f>L1060+L1087</f>
        <v>2258.3975613477051</v>
      </c>
      <c r="M1046" s="106"/>
      <c r="N1046" s="210"/>
      <c r="O1046" s="179"/>
      <c r="P1046" s="106">
        <f>P1060+P1087</f>
        <v>2258.3975613477051</v>
      </c>
      <c r="Q1046" s="106"/>
      <c r="R1046" s="210"/>
      <c r="S1046" s="179"/>
      <c r="T1046" s="106"/>
      <c r="U1046" s="106"/>
      <c r="V1046" s="210"/>
      <c r="W1046" s="179"/>
      <c r="X1046" s="106"/>
      <c r="Y1046" s="82"/>
      <c r="Z1046" s="83"/>
      <c r="AA1046" s="83"/>
      <c r="AB1046" s="83"/>
      <c r="AC1046" s="82"/>
      <c r="AD1046" s="82"/>
      <c r="AE1046" s="82"/>
      <c r="AF1046" s="82"/>
      <c r="AG1046" s="82"/>
      <c r="AH1046" s="82"/>
      <c r="AI1046" s="82"/>
      <c r="AJ1046" s="82"/>
      <c r="AK1046" s="82"/>
      <c r="AL1046" s="82"/>
      <c r="AM1046" s="82"/>
      <c r="AN1046" s="82"/>
      <c r="AO1046" s="82"/>
      <c r="AP1046" s="82"/>
      <c r="AQ1046" s="82"/>
      <c r="AR1046" s="82"/>
      <c r="AS1046" s="82"/>
    </row>
    <row r="1047" spans="1:45" ht="15.75">
      <c r="A1047" s="179" t="s">
        <v>282</v>
      </c>
      <c r="B1047" s="179"/>
      <c r="C1047" s="104">
        <f>C1076+C1088+C1089</f>
        <v>2344657.3691355633</v>
      </c>
      <c r="D1047" s="327" t="s">
        <v>108</v>
      </c>
      <c r="E1047" s="179" t="s">
        <v>116</v>
      </c>
      <c r="F1047" s="377">
        <f>F1076+F1088+F1089</f>
        <v>160210</v>
      </c>
      <c r="G1047" s="327" t="s">
        <v>108</v>
      </c>
      <c r="H1047" s="179" t="s">
        <v>108</v>
      </c>
      <c r="I1047" s="377">
        <f>I1076+I1089</f>
        <v>160210</v>
      </c>
      <c r="J1047" s="327" t="s">
        <v>108</v>
      </c>
      <c r="K1047" s="179" t="s">
        <v>108</v>
      </c>
      <c r="L1047" s="106">
        <f>I1047</f>
        <v>160210</v>
      </c>
      <c r="M1047" s="106"/>
      <c r="N1047" s="327" t="s">
        <v>108</v>
      </c>
      <c r="O1047" s="179" t="s">
        <v>108</v>
      </c>
      <c r="P1047" s="106">
        <f>P1076+P1089</f>
        <v>95946.031485709362</v>
      </c>
      <c r="Q1047" s="106"/>
      <c r="R1047" s="327" t="s">
        <v>108</v>
      </c>
      <c r="S1047" s="179" t="s">
        <v>108</v>
      </c>
      <c r="T1047" s="106">
        <f>T1076+T1089</f>
        <v>13554.343012555901</v>
      </c>
      <c r="U1047" s="106"/>
      <c r="V1047" s="327" t="s">
        <v>108</v>
      </c>
      <c r="W1047" s="179" t="s">
        <v>108</v>
      </c>
      <c r="X1047" s="106">
        <f>X1076+X1089</f>
        <v>53880.225139781804</v>
      </c>
      <c r="Y1047" s="82"/>
      <c r="Z1047" s="83"/>
      <c r="AA1047" s="83"/>
      <c r="AB1047" s="83"/>
      <c r="AC1047" s="82"/>
      <c r="AD1047" s="82"/>
      <c r="AE1047" s="82"/>
      <c r="AF1047" s="82"/>
      <c r="AG1047" s="82"/>
      <c r="AH1047" s="82"/>
      <c r="AI1047" s="82"/>
      <c r="AJ1047" s="82"/>
      <c r="AK1047" s="82"/>
      <c r="AL1047" s="82"/>
      <c r="AM1047" s="82"/>
      <c r="AN1047" s="82"/>
      <c r="AO1047" s="82"/>
      <c r="AP1047" s="82"/>
      <c r="AQ1047" s="82"/>
      <c r="AR1047" s="82"/>
      <c r="AS1047" s="82"/>
    </row>
    <row r="1048" spans="1:45" ht="15.75">
      <c r="A1048" s="179" t="s">
        <v>283</v>
      </c>
      <c r="B1048" s="179"/>
      <c r="C1048" s="104">
        <f>C1077</f>
        <v>2268876.9813546995</v>
      </c>
      <c r="D1048" s="378" t="s">
        <v>108</v>
      </c>
      <c r="E1048" s="179" t="s">
        <v>116</v>
      </c>
      <c r="F1048" s="377">
        <f>SUM(F1062:F1074)</f>
        <v>155023.69771631877</v>
      </c>
      <c r="G1048" s="378" t="s">
        <v>108</v>
      </c>
      <c r="H1048" s="179" t="s">
        <v>108</v>
      </c>
      <c r="I1048" s="106">
        <f>I1062+I1063+I1064+I1065+I1066+I1067+I1070+I1071+I1072+I1073+I1074</f>
        <v>155023.69771631877</v>
      </c>
      <c r="J1048" s="378" t="s">
        <v>108</v>
      </c>
      <c r="K1048" s="179" t="s">
        <v>108</v>
      </c>
      <c r="L1048" s="106">
        <f>I1048</f>
        <v>155023.69771631877</v>
      </c>
      <c r="M1048" s="106"/>
      <c r="N1048" s="378" t="s">
        <v>108</v>
      </c>
      <c r="O1048" s="179" t="s">
        <v>108</v>
      </c>
      <c r="P1048" s="106">
        <f>P1062+P1063+P1064+P1065+P1066+P1067+P1070+P1071+P1072+P1073+P1074</f>
        <v>90936.311626309689</v>
      </c>
      <c r="Q1048" s="106"/>
      <c r="R1048" s="378" t="s">
        <v>108</v>
      </c>
      <c r="S1048" s="179" t="s">
        <v>108</v>
      </c>
      <c r="T1048" s="106">
        <f>T1062+T1063+T1064+T1065+T1066+T1067+T1070+T1071+T1072+T1073+T1074</f>
        <v>12883.749030726438</v>
      </c>
      <c r="U1048" s="106"/>
      <c r="V1048" s="378" t="s">
        <v>108</v>
      </c>
      <c r="W1048" s="179" t="s">
        <v>108</v>
      </c>
      <c r="X1048" s="106">
        <f>X1062+X1063+X1064+X1065+X1066+X1067+X1070+X1071+X1072+X1073+X1074</f>
        <v>51203.637059282621</v>
      </c>
      <c r="Y1048" s="82"/>
      <c r="Z1048" s="83"/>
      <c r="AA1048" s="266" t="s">
        <v>108</v>
      </c>
      <c r="AC1048" s="82"/>
      <c r="AD1048" s="82"/>
      <c r="AE1048" s="82"/>
      <c r="AF1048" s="82"/>
      <c r="AG1048" s="82"/>
      <c r="AH1048" s="82"/>
      <c r="AI1048" s="82"/>
      <c r="AJ1048" s="82"/>
      <c r="AK1048" s="82"/>
      <c r="AL1048" s="82"/>
      <c r="AM1048" s="82"/>
      <c r="AN1048" s="82"/>
      <c r="AO1048" s="82"/>
      <c r="AP1048" s="82"/>
      <c r="AQ1048" s="82"/>
      <c r="AR1048" s="82"/>
      <c r="AS1048" s="82"/>
    </row>
    <row r="1049" spans="1:45" ht="15.75">
      <c r="A1049" s="179" t="s">
        <v>117</v>
      </c>
      <c r="B1049" s="179"/>
      <c r="C1049" s="104">
        <f>C1078+C1090</f>
        <v>2605</v>
      </c>
      <c r="D1049" s="379"/>
      <c r="E1049" s="179"/>
      <c r="F1049" s="106"/>
      <c r="G1049" s="379"/>
      <c r="H1049" s="179"/>
      <c r="I1049" s="106"/>
      <c r="J1049" s="379"/>
      <c r="K1049" s="179"/>
      <c r="L1049" s="106"/>
      <c r="M1049" s="106"/>
      <c r="N1049" s="379"/>
      <c r="O1049" s="179"/>
      <c r="P1049" s="106"/>
      <c r="Q1049" s="106"/>
      <c r="R1049" s="379"/>
      <c r="S1049" s="179"/>
      <c r="T1049" s="106"/>
      <c r="U1049" s="106"/>
      <c r="V1049" s="379"/>
      <c r="W1049" s="179"/>
      <c r="X1049" s="106"/>
      <c r="Y1049" s="82"/>
      <c r="Z1049" s="83"/>
      <c r="AA1049" s="83"/>
      <c r="AB1049" s="83"/>
      <c r="AC1049" s="82"/>
      <c r="AD1049" s="82"/>
      <c r="AE1049" s="82"/>
      <c r="AF1049" s="82"/>
      <c r="AG1049" s="82"/>
      <c r="AH1049" s="82"/>
      <c r="AI1049" s="82"/>
      <c r="AJ1049" s="82"/>
      <c r="AK1049" s="82"/>
      <c r="AL1049" s="82"/>
      <c r="AM1049" s="82"/>
      <c r="AN1049" s="82"/>
      <c r="AO1049" s="82"/>
      <c r="AP1049" s="82"/>
      <c r="AQ1049" s="82"/>
      <c r="AR1049" s="82"/>
      <c r="AS1049" s="82"/>
    </row>
    <row r="1050" spans="1:45" ht="15.75">
      <c r="A1050" s="84" t="s">
        <v>278</v>
      </c>
      <c r="C1050" s="104">
        <f>C1079+C1091</f>
        <v>4613534.3504902627</v>
      </c>
      <c r="D1050" s="118"/>
      <c r="E1050" s="82"/>
      <c r="F1050" s="135">
        <f>F1046+F1047+F1048</f>
        <v>317492.09527766646</v>
      </c>
      <c r="G1050" s="118"/>
      <c r="H1050" s="82"/>
      <c r="I1050" s="169">
        <f>I1079+I1091</f>
        <v>317492.09527766646</v>
      </c>
      <c r="J1050" s="119"/>
      <c r="K1050" s="120"/>
      <c r="L1050" s="169">
        <f>L1079+L1091</f>
        <v>317492.44138069951</v>
      </c>
      <c r="M1050" s="169"/>
      <c r="N1050" s="119"/>
      <c r="O1050" s="120"/>
      <c r="P1050" s="169">
        <f>P1079+P1091</f>
        <v>189140.74067336676</v>
      </c>
      <c r="Q1050" s="169"/>
      <c r="R1050" s="119"/>
      <c r="S1050" s="120"/>
      <c r="T1050" s="169">
        <f>T1079+T1091</f>
        <v>26438.09204328234</v>
      </c>
      <c r="U1050" s="169"/>
      <c r="V1050" s="119"/>
      <c r="W1050" s="120"/>
      <c r="X1050" s="169">
        <f>X1079+X1091</f>
        <v>105083.86219906443</v>
      </c>
      <c r="AA1050" s="83"/>
      <c r="AB1050" s="83"/>
      <c r="AC1050" s="82"/>
      <c r="AD1050" s="82"/>
      <c r="AE1050" s="82"/>
      <c r="AF1050" s="82"/>
      <c r="AG1050" s="82"/>
      <c r="AH1050" s="82"/>
      <c r="AI1050" s="82"/>
      <c r="AJ1050" s="82"/>
      <c r="AK1050" s="82"/>
      <c r="AL1050" s="82"/>
      <c r="AM1050" s="82"/>
      <c r="AN1050" s="82"/>
      <c r="AO1050" s="82"/>
      <c r="AP1050" s="82"/>
      <c r="AQ1050" s="82"/>
      <c r="AR1050" s="82"/>
      <c r="AS1050" s="82"/>
    </row>
    <row r="1051" spans="1:45" ht="15.75">
      <c r="A1051" s="84" t="s">
        <v>279</v>
      </c>
      <c r="C1051" s="104">
        <f>C1080+C1092</f>
        <v>-451580.56565144623</v>
      </c>
      <c r="D1051" s="118"/>
      <c r="E1051" s="82"/>
      <c r="F1051" s="135">
        <f>I1051</f>
        <v>-31262.808254224292</v>
      </c>
      <c r="G1051" s="118"/>
      <c r="H1051" s="82"/>
      <c r="I1051" s="135">
        <f>I1080+I1092</f>
        <v>-31262.808254224292</v>
      </c>
      <c r="J1051" s="118"/>
      <c r="K1051" s="82"/>
      <c r="L1051" s="135">
        <f>I1051</f>
        <v>-31262.808254224292</v>
      </c>
      <c r="M1051" s="135"/>
      <c r="N1051" s="118"/>
      <c r="O1051" s="82"/>
      <c r="P1051" s="135">
        <f>P1080+P1092</f>
        <v>-18338.644449844287</v>
      </c>
      <c r="Q1051" s="135"/>
      <c r="R1051" s="118"/>
      <c r="S1051" s="82"/>
      <c r="T1051" s="135">
        <f>T1080+T1092</f>
        <v>-2598.1974464330524</v>
      </c>
      <c r="U1051" s="135"/>
      <c r="V1051" s="118"/>
      <c r="W1051" s="82"/>
      <c r="X1051" s="135">
        <f>X1080+X1092</f>
        <v>-10325.966357946956</v>
      </c>
      <c r="Y1051" s="296"/>
      <c r="Z1051" s="297"/>
      <c r="AA1051" s="83"/>
      <c r="AB1051" s="83"/>
      <c r="AC1051" s="82"/>
      <c r="AD1051" s="82"/>
      <c r="AE1051" s="82"/>
      <c r="AF1051" s="82"/>
      <c r="AG1051" s="82"/>
      <c r="AH1051" s="82"/>
      <c r="AI1051" s="82"/>
      <c r="AJ1051" s="82"/>
      <c r="AK1051" s="82"/>
      <c r="AL1051" s="82"/>
      <c r="AM1051" s="82"/>
      <c r="AN1051" s="82"/>
      <c r="AO1051" s="82"/>
      <c r="AP1051" s="82"/>
      <c r="AQ1051" s="82"/>
      <c r="AR1051" s="82"/>
      <c r="AS1051" s="82"/>
    </row>
    <row r="1052" spans="1:45" ht="16.5" thickBot="1">
      <c r="A1052" s="179" t="s">
        <v>3</v>
      </c>
      <c r="B1052" s="179"/>
      <c r="C1052" s="335">
        <f>C1050+C1051</f>
        <v>4161953.7848388166</v>
      </c>
      <c r="D1052" s="374"/>
      <c r="E1052" s="375"/>
      <c r="F1052" s="141">
        <f>F1050+F1051</f>
        <v>286229.28702344216</v>
      </c>
      <c r="G1052" s="376"/>
      <c r="H1052" s="269"/>
      <c r="I1052" s="141">
        <f>I1050+I1051</f>
        <v>286229.28702344216</v>
      </c>
      <c r="J1052" s="376"/>
      <c r="K1052" s="269"/>
      <c r="L1052" s="141">
        <f>L1050+L1051</f>
        <v>286229.63312647521</v>
      </c>
      <c r="M1052" s="142"/>
      <c r="N1052" s="376"/>
      <c r="O1052" s="269"/>
      <c r="P1052" s="141">
        <f>P1050+P1051</f>
        <v>170802.09622352247</v>
      </c>
      <c r="Q1052" s="142"/>
      <c r="R1052" s="376"/>
      <c r="S1052" s="269"/>
      <c r="T1052" s="141">
        <f>T1050+T1051</f>
        <v>23839.894596849288</v>
      </c>
      <c r="U1052" s="142"/>
      <c r="V1052" s="376"/>
      <c r="W1052" s="269"/>
      <c r="X1052" s="141">
        <f>X1050+X1051</f>
        <v>94757.895841117483</v>
      </c>
      <c r="Y1052" s="363" t="s">
        <v>162</v>
      </c>
      <c r="Z1052" s="144">
        <f>I1052</f>
        <v>286229.28702344216</v>
      </c>
      <c r="AA1052" s="255">
        <f>(L1052-I1052)/I1052</f>
        <v>1.2091810612746589E-6</v>
      </c>
      <c r="AB1052" s="350"/>
      <c r="AC1052" s="82"/>
      <c r="AD1052" s="82"/>
      <c r="AE1052" s="82"/>
      <c r="AF1052" s="82"/>
      <c r="AG1052" s="82"/>
      <c r="AH1052" s="82"/>
      <c r="AI1052" s="82"/>
      <c r="AJ1052" s="82"/>
      <c r="AK1052" s="82"/>
      <c r="AL1052" s="82"/>
      <c r="AM1052" s="82"/>
      <c r="AN1052" s="82"/>
      <c r="AO1052" s="82"/>
      <c r="AP1052" s="82"/>
      <c r="AQ1052" s="82"/>
      <c r="AR1052" s="82"/>
      <c r="AS1052" s="82"/>
    </row>
    <row r="1053" spans="1:45" ht="16.5" thickTop="1">
      <c r="A1053" s="380" t="s">
        <v>121</v>
      </c>
      <c r="B1053" s="179"/>
      <c r="C1053" s="298"/>
      <c r="D1053" s="381"/>
      <c r="E1053" s="259"/>
      <c r="F1053" s="137"/>
      <c r="G1053" s="381"/>
      <c r="H1053" s="259"/>
      <c r="I1053" s="137"/>
      <c r="J1053" s="381"/>
      <c r="K1053" s="259"/>
      <c r="L1053" s="137"/>
      <c r="M1053" s="137"/>
      <c r="N1053" s="381"/>
      <c r="O1053" s="259"/>
      <c r="P1053" s="137"/>
      <c r="Q1053" s="137"/>
      <c r="R1053" s="381"/>
      <c r="S1053" s="259"/>
      <c r="T1053" s="137"/>
      <c r="U1053" s="137"/>
      <c r="V1053" s="381"/>
      <c r="W1053" s="259"/>
      <c r="X1053" s="137"/>
      <c r="Y1053" s="366"/>
      <c r="Z1053" s="150"/>
      <c r="AA1053" s="368"/>
      <c r="AB1053" s="350"/>
      <c r="AC1053" s="82"/>
      <c r="AD1053" s="82"/>
      <c r="AE1053" s="82"/>
      <c r="AF1053" s="82"/>
      <c r="AG1053" s="82"/>
      <c r="AH1053" s="82"/>
      <c r="AI1053" s="82"/>
      <c r="AJ1053" s="82"/>
      <c r="AK1053" s="82"/>
      <c r="AL1053" s="82"/>
      <c r="AM1053" s="82"/>
      <c r="AN1053" s="82"/>
      <c r="AO1053" s="82"/>
      <c r="AP1053" s="82"/>
      <c r="AQ1053" s="82"/>
      <c r="AR1053" s="82"/>
      <c r="AS1053" s="82"/>
    </row>
    <row r="1054" spans="1:45" ht="15.75">
      <c r="A1054" s="179"/>
      <c r="B1054" s="179"/>
      <c r="C1054" s="298"/>
      <c r="D1054" s="381"/>
      <c r="E1054" s="259"/>
      <c r="F1054" s="137"/>
      <c r="G1054" s="381"/>
      <c r="H1054" s="259"/>
      <c r="I1054" s="137"/>
      <c r="J1054" s="381"/>
      <c r="K1054" s="259"/>
      <c r="L1054" s="137"/>
      <c r="M1054" s="137"/>
      <c r="N1054" s="381"/>
      <c r="O1054" s="259"/>
      <c r="P1054" s="137"/>
      <c r="Q1054" s="137"/>
      <c r="R1054" s="381"/>
      <c r="S1054" s="259"/>
      <c r="T1054" s="137"/>
      <c r="U1054" s="137"/>
      <c r="V1054" s="381"/>
      <c r="W1054" s="259"/>
      <c r="X1054" s="137"/>
      <c r="Y1054" s="369" t="s">
        <v>122</v>
      </c>
      <c r="Z1054" s="155">
        <f>Z1052-L1052</f>
        <v>-0.34610303305089474</v>
      </c>
      <c r="AA1054" s="349"/>
      <c r="AB1054" s="350"/>
      <c r="AC1054" s="82"/>
      <c r="AD1054" s="82"/>
      <c r="AE1054" s="82"/>
      <c r="AF1054" s="82"/>
      <c r="AG1054" s="82"/>
      <c r="AH1054" s="82"/>
      <c r="AI1054" s="82"/>
      <c r="AJ1054" s="82"/>
      <c r="AK1054" s="82"/>
      <c r="AL1054" s="82"/>
      <c r="AM1054" s="82"/>
      <c r="AN1054" s="82"/>
      <c r="AO1054" s="82"/>
      <c r="AP1054" s="82"/>
      <c r="AQ1054" s="82"/>
      <c r="AR1054" s="82"/>
      <c r="AS1054" s="82"/>
    </row>
    <row r="1055" spans="1:45" ht="15.75" hidden="1">
      <c r="A1055" s="179"/>
      <c r="B1055" s="179"/>
      <c r="C1055" s="298"/>
      <c r="D1055" s="381"/>
      <c r="E1055" s="259"/>
      <c r="F1055" s="137"/>
      <c r="G1055" s="381"/>
      <c r="H1055" s="259"/>
      <c r="I1055" s="137"/>
      <c r="J1055" s="381"/>
      <c r="K1055" s="259"/>
      <c r="L1055" s="137"/>
      <c r="M1055" s="137"/>
      <c r="N1055" s="381"/>
      <c r="O1055" s="259"/>
      <c r="P1055" s="137"/>
      <c r="Q1055" s="137"/>
      <c r="R1055" s="381"/>
      <c r="S1055" s="259"/>
      <c r="T1055" s="137"/>
      <c r="U1055" s="137"/>
      <c r="V1055" s="381"/>
      <c r="W1055" s="259"/>
      <c r="X1055" s="137"/>
      <c r="Y1055" s="103">
        <f>Y29</f>
        <v>0.58786795947824033</v>
      </c>
      <c r="Z1055" s="103">
        <f>Z29</f>
        <v>8.2825357684735992E-2</v>
      </c>
      <c r="AA1055" s="103">
        <f>AA29</f>
        <v>0.32930668283702352</v>
      </c>
      <c r="AB1055" s="350"/>
      <c r="AC1055" s="82"/>
      <c r="AD1055" s="82"/>
      <c r="AE1055" s="82"/>
      <c r="AF1055" s="82"/>
      <c r="AG1055" s="82"/>
      <c r="AH1055" s="82"/>
      <c r="AI1055" s="82"/>
      <c r="AJ1055" s="82"/>
      <c r="AK1055" s="82"/>
      <c r="AL1055" s="82"/>
      <c r="AM1055" s="82"/>
      <c r="AN1055" s="82"/>
      <c r="AO1055" s="82"/>
      <c r="AP1055" s="82"/>
      <c r="AQ1055" s="82"/>
      <c r="AR1055" s="82"/>
      <c r="AS1055" s="82"/>
    </row>
    <row r="1056" spans="1:45" ht="15.75" hidden="1">
      <c r="A1056" s="179"/>
      <c r="B1056" s="179"/>
      <c r="C1056" s="298"/>
      <c r="D1056" s="381" t="s">
        <v>108</v>
      </c>
      <c r="E1056" s="259"/>
      <c r="F1056" s="137"/>
      <c r="G1056" s="381" t="s">
        <v>108</v>
      </c>
      <c r="H1056" s="259"/>
      <c r="I1056" s="137"/>
      <c r="J1056" s="381" t="s">
        <v>108</v>
      </c>
      <c r="K1056" s="259"/>
      <c r="L1056" s="137" t="s">
        <v>108</v>
      </c>
      <c r="M1056" s="137"/>
      <c r="N1056" s="381" t="s">
        <v>108</v>
      </c>
      <c r="O1056" s="259"/>
      <c r="P1056" s="137" t="s">
        <v>108</v>
      </c>
      <c r="Q1056" s="137"/>
      <c r="R1056" s="381" t="s">
        <v>108</v>
      </c>
      <c r="S1056" s="259"/>
      <c r="T1056" s="137" t="s">
        <v>108</v>
      </c>
      <c r="U1056" s="137"/>
      <c r="V1056" s="381" t="s">
        <v>108</v>
      </c>
      <c r="W1056" s="259"/>
      <c r="X1056" s="137" t="s">
        <v>108</v>
      </c>
      <c r="Y1056" s="150">
        <f>L1052*Y1055</f>
        <v>168265.23036826632</v>
      </c>
      <c r="Z1056" s="150">
        <f>L1052*Z1055</f>
        <v>23707.071743671066</v>
      </c>
      <c r="AA1056" s="150">
        <f>L1052*AA1055</f>
        <v>94257.331014537776</v>
      </c>
      <c r="AB1056" s="83"/>
      <c r="AC1056" s="82"/>
      <c r="AD1056" s="82"/>
      <c r="AE1056" s="82"/>
      <c r="AF1056" s="82"/>
      <c r="AG1056" s="82"/>
      <c r="AH1056" s="82"/>
      <c r="AI1056" s="82"/>
      <c r="AJ1056" s="82"/>
      <c r="AK1056" s="82"/>
      <c r="AL1056" s="82"/>
      <c r="AM1056" s="82"/>
      <c r="AN1056" s="82"/>
      <c r="AO1056" s="82"/>
      <c r="AP1056" s="82"/>
      <c r="AQ1056" s="82"/>
      <c r="AR1056" s="82"/>
      <c r="AS1056" s="82"/>
    </row>
    <row r="1057" spans="1:45" ht="15.75">
      <c r="A1057" s="178" t="s">
        <v>284</v>
      </c>
      <c r="B1057" s="179"/>
      <c r="C1057" s="179"/>
      <c r="D1057" s="179"/>
      <c r="E1057" s="179"/>
      <c r="F1057" s="179"/>
      <c r="G1057" s="179"/>
      <c r="H1057" s="179"/>
      <c r="I1057" s="179"/>
      <c r="J1057" s="179"/>
      <c r="K1057" s="179"/>
      <c r="L1057" s="179"/>
      <c r="M1057" s="179"/>
      <c r="N1057" s="179"/>
      <c r="O1057" s="179"/>
      <c r="P1057" s="179"/>
      <c r="Q1057" s="179"/>
      <c r="R1057" s="179"/>
      <c r="S1057" s="179"/>
      <c r="T1057" s="179"/>
      <c r="U1057" s="179"/>
      <c r="V1057" s="179"/>
      <c r="W1057" s="179"/>
      <c r="X1057" s="179"/>
      <c r="Y1057" s="150"/>
      <c r="Z1057" s="83"/>
      <c r="AA1057" s="83"/>
      <c r="AB1057" s="83"/>
      <c r="AC1057" s="82"/>
      <c r="AD1057" s="82"/>
      <c r="AE1057" s="82"/>
      <c r="AF1057" s="82"/>
      <c r="AG1057" s="82"/>
      <c r="AH1057" s="82"/>
      <c r="AI1057" s="82"/>
      <c r="AJ1057" s="82"/>
      <c r="AK1057" s="82"/>
      <c r="AL1057" s="82"/>
      <c r="AM1057" s="82"/>
      <c r="AN1057" s="82"/>
      <c r="AO1057" s="82"/>
      <c r="AP1057" s="82"/>
      <c r="AQ1057" s="82"/>
      <c r="AR1057" s="82"/>
      <c r="AS1057" s="82"/>
    </row>
    <row r="1058" spans="1:45" ht="15.75">
      <c r="A1058" s="179" t="s">
        <v>285</v>
      </c>
      <c r="B1058" s="179"/>
      <c r="C1058" s="179"/>
      <c r="D1058" s="179"/>
      <c r="E1058" s="179"/>
      <c r="F1058" s="179"/>
      <c r="G1058" s="179"/>
      <c r="H1058" s="179"/>
      <c r="I1058" s="179"/>
      <c r="J1058" s="179"/>
      <c r="K1058" s="179"/>
      <c r="L1058" s="179"/>
      <c r="M1058" s="179"/>
      <c r="N1058" s="179"/>
      <c r="O1058" s="179"/>
      <c r="P1058" s="179"/>
      <c r="Q1058" s="179"/>
      <c r="R1058" s="179"/>
      <c r="S1058" s="179"/>
      <c r="T1058" s="179"/>
      <c r="U1058" s="179"/>
      <c r="V1058" s="179"/>
      <c r="W1058" s="179"/>
      <c r="X1058" s="179"/>
      <c r="Y1058" s="82"/>
      <c r="Z1058" s="83"/>
      <c r="AA1058" s="83"/>
      <c r="AB1058" s="83"/>
      <c r="AC1058" s="82"/>
      <c r="AD1058" s="82"/>
      <c r="AE1058" s="82"/>
      <c r="AF1058" s="82"/>
      <c r="AG1058" s="82"/>
      <c r="AH1058" s="82"/>
      <c r="AI1058" s="82"/>
      <c r="AJ1058" s="82"/>
      <c r="AK1058" s="82"/>
      <c r="AL1058" s="82"/>
      <c r="AM1058" s="82"/>
      <c r="AN1058" s="82"/>
      <c r="AO1058" s="82"/>
      <c r="AP1058" s="82"/>
      <c r="AQ1058" s="82"/>
      <c r="AR1058" s="82"/>
      <c r="AS1058" s="82"/>
    </row>
    <row r="1059" spans="1:45" ht="15.75">
      <c r="A1059" s="179"/>
      <c r="B1059" s="179"/>
      <c r="C1059" s="179"/>
      <c r="D1059" s="206"/>
      <c r="E1059" s="179"/>
      <c r="F1059" s="179"/>
      <c r="G1059" s="206"/>
      <c r="H1059" s="179"/>
      <c r="I1059" s="179"/>
      <c r="J1059" s="206"/>
      <c r="K1059" s="179"/>
      <c r="L1059" s="179"/>
      <c r="M1059" s="179"/>
      <c r="N1059" s="206"/>
      <c r="O1059" s="179"/>
      <c r="P1059" s="179"/>
      <c r="Q1059" s="179"/>
      <c r="R1059" s="206"/>
      <c r="S1059" s="179"/>
      <c r="T1059" s="179"/>
      <c r="U1059" s="179"/>
      <c r="V1059" s="206"/>
      <c r="W1059" s="179"/>
      <c r="X1059" s="179"/>
      <c r="Y1059" s="82"/>
      <c r="Z1059" s="83"/>
      <c r="AA1059" s="83"/>
      <c r="AB1059" s="83"/>
      <c r="AC1059" s="82"/>
      <c r="AD1059" s="82"/>
      <c r="AE1059" s="82"/>
      <c r="AF1059" s="82"/>
      <c r="AG1059" s="82"/>
      <c r="AH1059" s="82"/>
      <c r="AI1059" s="82"/>
      <c r="AJ1059" s="82"/>
      <c r="AK1059" s="82"/>
      <c r="AL1059" s="82"/>
      <c r="AM1059" s="82"/>
      <c r="AN1059" s="82"/>
      <c r="AO1059" s="82"/>
      <c r="AP1059" s="82"/>
      <c r="AQ1059" s="82"/>
      <c r="AR1059" s="82"/>
      <c r="AS1059" s="82"/>
    </row>
    <row r="1060" spans="1:45" ht="15.75">
      <c r="A1060" s="179" t="s">
        <v>275</v>
      </c>
      <c r="B1060" s="179"/>
      <c r="C1060" s="152"/>
      <c r="D1060" s="186"/>
      <c r="E1060" s="153"/>
      <c r="F1060" s="109">
        <f>I1060</f>
        <v>2258.3975613477051</v>
      </c>
      <c r="G1060" s="186"/>
      <c r="H1060" s="153"/>
      <c r="I1060" s="109">
        <v>2258.3975613477051</v>
      </c>
      <c r="J1060" s="186"/>
      <c r="K1060" s="153"/>
      <c r="L1060" s="109">
        <v>2258.3975613477051</v>
      </c>
      <c r="M1060" s="109"/>
      <c r="N1060" s="186"/>
      <c r="O1060" s="153"/>
      <c r="P1060" s="109">
        <f>L1060</f>
        <v>2258.3975613477051</v>
      </c>
      <c r="Q1060" s="109"/>
      <c r="R1060" s="186"/>
      <c r="S1060" s="153"/>
      <c r="T1060" s="109" t="s">
        <v>108</v>
      </c>
      <c r="U1060" s="109"/>
      <c r="V1060" s="186"/>
      <c r="W1060" s="153"/>
      <c r="X1060" s="109" t="str">
        <f>T1060</f>
        <v xml:space="preserve"> </v>
      </c>
      <c r="Y1060" s="82"/>
      <c r="Z1060" s="83"/>
      <c r="AA1060" s="83"/>
      <c r="AB1060" s="83"/>
      <c r="AC1060" s="82"/>
      <c r="AD1060" s="82"/>
      <c r="AE1060" s="82"/>
      <c r="AF1060" s="82"/>
      <c r="AG1060" s="82"/>
      <c r="AH1060" s="82"/>
      <c r="AI1060" s="82"/>
      <c r="AJ1060" s="82"/>
      <c r="AK1060" s="82"/>
      <c r="AL1060" s="82"/>
      <c r="AM1060" s="82"/>
      <c r="AN1060" s="82"/>
      <c r="AO1060" s="82"/>
      <c r="AP1060" s="82"/>
      <c r="AQ1060" s="82"/>
      <c r="AR1060" s="82"/>
      <c r="AS1060" s="82"/>
    </row>
    <row r="1061" spans="1:45" ht="15.75">
      <c r="A1061" s="179" t="s">
        <v>251</v>
      </c>
      <c r="B1061" s="179"/>
      <c r="C1061" s="152"/>
      <c r="D1061" s="186"/>
      <c r="E1061" s="153"/>
      <c r="F1061" s="109"/>
      <c r="G1061" s="186"/>
      <c r="H1061" s="153"/>
      <c r="I1061" s="109"/>
      <c r="J1061" s="186"/>
      <c r="K1061" s="153"/>
      <c r="L1061" s="109"/>
      <c r="M1061" s="109"/>
      <c r="N1061" s="186"/>
      <c r="O1061" s="153"/>
      <c r="P1061" s="109"/>
      <c r="Q1061" s="109"/>
      <c r="R1061" s="186"/>
      <c r="S1061" s="153"/>
      <c r="T1061" s="109"/>
      <c r="U1061" s="109"/>
      <c r="V1061" s="186"/>
      <c r="W1061" s="153"/>
      <c r="X1061" s="109"/>
      <c r="Y1061" s="82"/>
      <c r="AC1061" s="150">
        <f>Z1052-L1052</f>
        <v>-0.34610303305089474</v>
      </c>
      <c r="AD1061" s="83"/>
      <c r="AE1061" s="82"/>
      <c r="AF1061" s="82"/>
      <c r="AG1061" s="82"/>
      <c r="AH1061" s="82"/>
      <c r="AI1061" s="82"/>
      <c r="AJ1061" s="82"/>
      <c r="AK1061" s="82"/>
      <c r="AL1061" s="82"/>
      <c r="AM1061" s="82"/>
      <c r="AN1061" s="82"/>
      <c r="AO1061" s="82"/>
      <c r="AP1061" s="82"/>
      <c r="AQ1061" s="82"/>
      <c r="AR1061" s="82"/>
      <c r="AS1061" s="82"/>
    </row>
    <row r="1062" spans="1:45" ht="15.75">
      <c r="A1062" s="84" t="s">
        <v>286</v>
      </c>
      <c r="B1062" s="179"/>
      <c r="C1062" s="152">
        <v>4296.0131979250182</v>
      </c>
      <c r="D1062" s="186">
        <v>2.12</v>
      </c>
      <c r="E1062" s="153"/>
      <c r="F1062" s="109">
        <f t="shared" ref="F1062:F1067" si="192">D1062*C1062</f>
        <v>9107.5479796010386</v>
      </c>
      <c r="G1062" s="186">
        <v>2.12</v>
      </c>
      <c r="H1062" s="153"/>
      <c r="I1062" s="109">
        <f>C1062*G1062</f>
        <v>9107.5479796010386</v>
      </c>
      <c r="J1062" s="186">
        <f>G1062</f>
        <v>2.12</v>
      </c>
      <c r="K1062" s="153"/>
      <c r="L1062" s="109">
        <f>J1062*C1062</f>
        <v>9107.5479796010386</v>
      </c>
      <c r="M1062" s="109"/>
      <c r="N1062" s="186">
        <f>$J1062*$AB$12</f>
        <v>1.2435839390217491</v>
      </c>
      <c r="O1062" s="153"/>
      <c r="P1062" s="109">
        <f>N1062*C1062</f>
        <v>5342.4530147650157</v>
      </c>
      <c r="Q1062" s="109"/>
      <c r="R1062" s="186">
        <f>$J1062*$AA$12</f>
        <v>0.17618950100856007</v>
      </c>
      <c r="S1062" s="153"/>
      <c r="T1062" s="109">
        <f>R1062*C1062</f>
        <v>756.9124216685974</v>
      </c>
      <c r="U1062" s="109"/>
      <c r="V1062" s="186">
        <f>$J1062*$Z$12</f>
        <v>0.70022655996969141</v>
      </c>
      <c r="W1062" s="153"/>
      <c r="X1062" s="109">
        <f>V1062*C1062</f>
        <v>3008.1825431674283</v>
      </c>
      <c r="Y1062" s="396"/>
      <c r="AC1062" s="83">
        <v>31</v>
      </c>
      <c r="AD1062" s="382">
        <f t="shared" ref="AD1062:AD1067" si="193">D1062/AC1062</f>
        <v>6.8387096774193551E-2</v>
      </c>
      <c r="AE1062" s="82"/>
      <c r="AF1062" s="82"/>
      <c r="AG1062" s="209" t="s">
        <v>108</v>
      </c>
      <c r="AH1062" s="82"/>
      <c r="AI1062" s="82"/>
      <c r="AJ1062" s="82"/>
      <c r="AK1062" s="82"/>
      <c r="AL1062" s="82"/>
      <c r="AM1062" s="82"/>
      <c r="AN1062" s="82"/>
      <c r="AO1062" s="82"/>
      <c r="AP1062" s="82"/>
      <c r="AQ1062" s="82"/>
      <c r="AR1062" s="82"/>
      <c r="AS1062" s="82"/>
    </row>
    <row r="1063" spans="1:45" ht="15.75">
      <c r="A1063" s="84" t="s">
        <v>287</v>
      </c>
      <c r="B1063" s="179"/>
      <c r="C1063" s="152">
        <v>8148.0150869990703</v>
      </c>
      <c r="D1063" s="186">
        <v>3</v>
      </c>
      <c r="E1063" s="153"/>
      <c r="F1063" s="109">
        <f t="shared" si="192"/>
        <v>24444.045260997213</v>
      </c>
      <c r="G1063" s="186">
        <v>3</v>
      </c>
      <c r="H1063" s="153"/>
      <c r="I1063" s="109">
        <f t="shared" ref="I1063:I1067" si="194">C1063*G1063</f>
        <v>24444.045260997213</v>
      </c>
      <c r="J1063" s="186">
        <f t="shared" ref="J1063:J1067" si="195">G1063</f>
        <v>3</v>
      </c>
      <c r="K1063" s="153"/>
      <c r="L1063" s="109">
        <f t="shared" ref="L1063:L1067" si="196">J1063*C1063</f>
        <v>24444.045260997213</v>
      </c>
      <c r="M1063" s="109"/>
      <c r="N1063" s="186">
        <f t="shared" ref="N1063:N1067" si="197">$J1063*$AB$12</f>
        <v>1.7597885929553052</v>
      </c>
      <c r="O1063" s="153"/>
      <c r="P1063" s="109">
        <f t="shared" ref="P1063:P1067" si="198">N1063*C1063</f>
        <v>14338.784005328693</v>
      </c>
      <c r="Q1063" s="109"/>
      <c r="R1063" s="186">
        <f t="shared" ref="R1063:R1067" si="199">$J1063*$AA$12</f>
        <v>0.24932476557815103</v>
      </c>
      <c r="S1063" s="153"/>
      <c r="T1063" s="109">
        <f t="shared" ref="T1063:T1067" si="200">R1063*C1063</f>
        <v>2031.501951493281</v>
      </c>
      <c r="U1063" s="109"/>
      <c r="V1063" s="186">
        <f t="shared" ref="V1063:V1067" si="201">$J1063*$Z$12</f>
        <v>0.99088664146654437</v>
      </c>
      <c r="W1063" s="153"/>
      <c r="X1063" s="109">
        <f t="shared" ref="X1063:X1067" si="202">V1063*C1063</f>
        <v>8073.7593041752425</v>
      </c>
      <c r="Y1063" s="82"/>
      <c r="AC1063" s="83">
        <v>44</v>
      </c>
      <c r="AD1063" s="382">
        <f t="shared" si="193"/>
        <v>6.8181818181818177E-2</v>
      </c>
      <c r="AE1063" s="82"/>
      <c r="AF1063" s="82"/>
      <c r="AG1063" s="82"/>
      <c r="AH1063" s="82"/>
      <c r="AI1063" s="82"/>
      <c r="AJ1063" s="82"/>
      <c r="AK1063" s="82"/>
      <c r="AL1063" s="82"/>
      <c r="AM1063" s="82"/>
      <c r="AN1063" s="82"/>
      <c r="AO1063" s="82"/>
      <c r="AP1063" s="82"/>
      <c r="AQ1063" s="82"/>
      <c r="AR1063" s="82"/>
      <c r="AS1063" s="82"/>
    </row>
    <row r="1064" spans="1:45" ht="15.75">
      <c r="A1064" s="84" t="s">
        <v>288</v>
      </c>
      <c r="B1064" s="179"/>
      <c r="C1064" s="152">
        <v>80.070551745979301</v>
      </c>
      <c r="D1064" s="186">
        <v>4.3600000000000003</v>
      </c>
      <c r="E1064" s="153"/>
      <c r="F1064" s="109">
        <f t="shared" si="192"/>
        <v>349.1076056124698</v>
      </c>
      <c r="G1064" s="186">
        <v>4.3600000000000003</v>
      </c>
      <c r="H1064" s="153"/>
      <c r="I1064" s="109">
        <f t="shared" si="194"/>
        <v>349.1076056124698</v>
      </c>
      <c r="J1064" s="186">
        <f t="shared" si="195"/>
        <v>4.3600000000000003</v>
      </c>
      <c r="K1064" s="153"/>
      <c r="L1064" s="109">
        <f t="shared" si="196"/>
        <v>349.1076056124698</v>
      </c>
      <c r="M1064" s="109"/>
      <c r="N1064" s="186">
        <f t="shared" si="197"/>
        <v>2.5575594217617104</v>
      </c>
      <c r="O1064" s="153"/>
      <c r="P1064" s="109">
        <f t="shared" si="198"/>
        <v>204.78519402358793</v>
      </c>
      <c r="Q1064" s="109"/>
      <c r="R1064" s="186">
        <f t="shared" si="199"/>
        <v>0.3623519926402462</v>
      </c>
      <c r="S1064" s="153"/>
      <c r="T1064" s="109">
        <f t="shared" si="200"/>
        <v>29.013723976959543</v>
      </c>
      <c r="U1064" s="109"/>
      <c r="V1064" s="186">
        <f t="shared" si="201"/>
        <v>1.4400885855980445</v>
      </c>
      <c r="W1064" s="153"/>
      <c r="X1064" s="109">
        <f t="shared" si="202"/>
        <v>115.30868761192237</v>
      </c>
      <c r="Y1064" s="82"/>
      <c r="AC1064" s="83">
        <v>64</v>
      </c>
      <c r="AD1064" s="382">
        <f t="shared" si="193"/>
        <v>6.8125000000000005E-2</v>
      </c>
      <c r="AE1064" s="82"/>
      <c r="AF1064" s="82"/>
      <c r="AG1064" s="82"/>
      <c r="AH1064" s="82"/>
      <c r="AI1064" s="82"/>
      <c r="AJ1064" s="82"/>
      <c r="AK1064" s="82"/>
      <c r="AL1064" s="82"/>
      <c r="AM1064" s="82"/>
      <c r="AN1064" s="82"/>
      <c r="AO1064" s="82"/>
      <c r="AP1064" s="82"/>
      <c r="AQ1064" s="82"/>
      <c r="AR1064" s="82"/>
      <c r="AS1064" s="82"/>
    </row>
    <row r="1065" spans="1:45" ht="15.75">
      <c r="A1065" s="84" t="s">
        <v>289</v>
      </c>
      <c r="B1065" s="179"/>
      <c r="C1065" s="152">
        <v>11687.0132195632</v>
      </c>
      <c r="D1065" s="186">
        <v>5.81</v>
      </c>
      <c r="E1065" s="153"/>
      <c r="F1065" s="109">
        <f t="shared" si="192"/>
        <v>67901.54680566219</v>
      </c>
      <c r="G1065" s="186">
        <v>5.81</v>
      </c>
      <c r="H1065" s="153"/>
      <c r="I1065" s="109">
        <f t="shared" si="194"/>
        <v>67901.54680566219</v>
      </c>
      <c r="J1065" s="186">
        <f t="shared" si="195"/>
        <v>5.81</v>
      </c>
      <c r="K1065" s="153"/>
      <c r="L1065" s="109">
        <f t="shared" si="196"/>
        <v>67901.54680566219</v>
      </c>
      <c r="M1065" s="109"/>
      <c r="N1065" s="186">
        <f t="shared" si="197"/>
        <v>3.408123908356774</v>
      </c>
      <c r="O1065" s="153"/>
      <c r="P1065" s="109">
        <f t="shared" si="198"/>
        <v>39830.789170875018</v>
      </c>
      <c r="Q1065" s="109"/>
      <c r="R1065" s="186">
        <f t="shared" si="199"/>
        <v>0.48285896266968581</v>
      </c>
      <c r="S1065" s="153"/>
      <c r="T1065" s="109">
        <f t="shared" si="200"/>
        <v>5643.1790799051914</v>
      </c>
      <c r="U1065" s="109"/>
      <c r="V1065" s="186">
        <f t="shared" si="201"/>
        <v>1.9190171289735407</v>
      </c>
      <c r="W1065" s="153"/>
      <c r="X1065" s="109">
        <f t="shared" si="202"/>
        <v>22427.578554881988</v>
      </c>
      <c r="Y1065" s="82"/>
      <c r="AC1065" s="83">
        <v>85</v>
      </c>
      <c r="AD1065" s="382">
        <f t="shared" si="193"/>
        <v>6.8352941176470589E-2</v>
      </c>
      <c r="AE1065" s="82"/>
      <c r="AF1065" s="82"/>
      <c r="AG1065" s="82"/>
      <c r="AH1065" s="82"/>
      <c r="AI1065" s="82"/>
      <c r="AJ1065" s="82"/>
      <c r="AK1065" s="82"/>
      <c r="AL1065" s="82"/>
      <c r="AM1065" s="82"/>
      <c r="AN1065" s="82"/>
      <c r="AO1065" s="82"/>
      <c r="AP1065" s="82"/>
      <c r="AQ1065" s="82"/>
      <c r="AR1065" s="82"/>
      <c r="AS1065" s="82"/>
    </row>
    <row r="1066" spans="1:45" ht="15.75">
      <c r="A1066" s="84" t="s">
        <v>290</v>
      </c>
      <c r="B1066" s="179"/>
      <c r="C1066" s="152">
        <v>4355.9970834218002</v>
      </c>
      <c r="D1066" s="186">
        <v>7.86</v>
      </c>
      <c r="E1066" s="153"/>
      <c r="F1066" s="109">
        <f t="shared" si="192"/>
        <v>34238.137075695347</v>
      </c>
      <c r="G1066" s="186">
        <v>7.86</v>
      </c>
      <c r="H1066" s="153"/>
      <c r="I1066" s="109">
        <f t="shared" si="194"/>
        <v>34238.137075695347</v>
      </c>
      <c r="J1066" s="186">
        <f t="shared" si="195"/>
        <v>7.86</v>
      </c>
      <c r="K1066" s="153"/>
      <c r="L1066" s="109">
        <f t="shared" si="196"/>
        <v>34238.137075695347</v>
      </c>
      <c r="M1066" s="109"/>
      <c r="N1066" s="186">
        <f t="shared" si="197"/>
        <v>4.6106461135428995</v>
      </c>
      <c r="O1066" s="153"/>
      <c r="P1066" s="109">
        <f t="shared" si="198"/>
        <v>20083.961023282929</v>
      </c>
      <c r="Q1066" s="109"/>
      <c r="R1066" s="186">
        <f t="shared" si="199"/>
        <v>0.65323088581475575</v>
      </c>
      <c r="S1066" s="153"/>
      <c r="T1066" s="109">
        <f t="shared" si="200"/>
        <v>2845.4718334101149</v>
      </c>
      <c r="U1066" s="109"/>
      <c r="V1066" s="186">
        <f t="shared" si="201"/>
        <v>2.5961230006423466</v>
      </c>
      <c r="W1066" s="153"/>
      <c r="X1066" s="109">
        <f t="shared" si="202"/>
        <v>11308.704219002315</v>
      </c>
      <c r="Y1066" s="82"/>
      <c r="AC1066" s="83">
        <v>115</v>
      </c>
      <c r="AD1066" s="382">
        <f t="shared" si="193"/>
        <v>6.8347826086956526E-2</v>
      </c>
      <c r="AE1066" s="82"/>
      <c r="AF1066" s="82"/>
      <c r="AG1066" s="82"/>
      <c r="AH1066" s="82"/>
      <c r="AI1066" s="82"/>
      <c r="AJ1066" s="82"/>
      <c r="AK1066" s="82"/>
      <c r="AL1066" s="82"/>
      <c r="AM1066" s="82"/>
      <c r="AN1066" s="82"/>
      <c r="AO1066" s="82"/>
      <c r="AP1066" s="82"/>
      <c r="AQ1066" s="82"/>
      <c r="AR1066" s="82"/>
      <c r="AS1066" s="82"/>
    </row>
    <row r="1067" spans="1:45" ht="15.75">
      <c r="A1067" s="84" t="s">
        <v>291</v>
      </c>
      <c r="B1067" s="179"/>
      <c r="C1067" s="152">
        <v>1577.99775467585</v>
      </c>
      <c r="D1067" s="186">
        <v>12.03</v>
      </c>
      <c r="E1067" s="153"/>
      <c r="F1067" s="109">
        <f t="shared" si="192"/>
        <v>18983.312988750477</v>
      </c>
      <c r="G1067" s="186">
        <v>12.03</v>
      </c>
      <c r="H1067" s="153"/>
      <c r="I1067" s="109">
        <f t="shared" si="194"/>
        <v>18983.312988750477</v>
      </c>
      <c r="J1067" s="186">
        <f t="shared" si="195"/>
        <v>12.03</v>
      </c>
      <c r="K1067" s="153"/>
      <c r="L1067" s="109">
        <f t="shared" si="196"/>
        <v>18983.312988750477</v>
      </c>
      <c r="M1067" s="109"/>
      <c r="N1067" s="186">
        <f t="shared" si="197"/>
        <v>7.0567522577507731</v>
      </c>
      <c r="O1067" s="153"/>
      <c r="P1067" s="109">
        <f t="shared" si="198"/>
        <v>11135.539218034455</v>
      </c>
      <c r="Q1067" s="109"/>
      <c r="R1067" s="186">
        <f t="shared" si="199"/>
        <v>0.99979230996838564</v>
      </c>
      <c r="S1067" s="153"/>
      <c r="T1067" s="109">
        <f t="shared" si="200"/>
        <v>1577.6700202722941</v>
      </c>
      <c r="U1067" s="109"/>
      <c r="V1067" s="186">
        <f t="shared" si="201"/>
        <v>3.9734554322808426</v>
      </c>
      <c r="W1067" s="153"/>
      <c r="X1067" s="109">
        <f t="shared" si="202"/>
        <v>6270.103750443729</v>
      </c>
      <c r="AA1067" s="350" t="s">
        <v>108</v>
      </c>
      <c r="AB1067" s="102"/>
      <c r="AC1067" s="83">
        <v>176</v>
      </c>
      <c r="AD1067" s="382">
        <f t="shared" si="193"/>
        <v>6.835227272727272E-2</v>
      </c>
      <c r="AE1067" s="82"/>
      <c r="AF1067" s="82"/>
      <c r="AG1067" s="82"/>
      <c r="AH1067" s="82"/>
      <c r="AI1067" s="82"/>
      <c r="AJ1067" s="82"/>
      <c r="AK1067" s="82"/>
      <c r="AL1067" s="82"/>
      <c r="AM1067" s="82"/>
      <c r="AN1067" s="82"/>
      <c r="AO1067" s="82"/>
      <c r="AP1067" s="82"/>
      <c r="AQ1067" s="82"/>
      <c r="AR1067" s="82"/>
      <c r="AS1067" s="82"/>
    </row>
    <row r="1068" spans="1:45" ht="15.75">
      <c r="B1068" s="179"/>
      <c r="C1068" s="152"/>
      <c r="D1068" s="186"/>
      <c r="E1068" s="153"/>
      <c r="F1068" s="109"/>
      <c r="G1068" s="186"/>
      <c r="H1068" s="153"/>
      <c r="I1068" s="109"/>
      <c r="J1068" s="186"/>
      <c r="K1068" s="153"/>
      <c r="L1068" s="109"/>
      <c r="M1068" s="109"/>
      <c r="N1068" s="186"/>
      <c r="O1068" s="153"/>
      <c r="P1068" s="109"/>
      <c r="Q1068" s="109"/>
      <c r="R1068" s="186"/>
      <c r="S1068" s="153"/>
      <c r="T1068" s="109"/>
      <c r="U1068" s="109"/>
      <c r="V1068" s="186"/>
      <c r="W1068" s="153"/>
      <c r="X1068" s="109"/>
      <c r="Y1068" s="82"/>
      <c r="Z1068" s="189" t="s">
        <v>193</v>
      </c>
      <c r="AC1068" s="83"/>
      <c r="AD1068" s="83"/>
      <c r="AE1068" s="82"/>
      <c r="AF1068" s="82"/>
      <c r="AG1068" s="82"/>
      <c r="AH1068" s="82"/>
      <c r="AI1068" s="82"/>
      <c r="AJ1068" s="82"/>
      <c r="AK1068" s="82"/>
      <c r="AL1068" s="82"/>
      <c r="AM1068" s="82"/>
      <c r="AN1068" s="82"/>
      <c r="AO1068" s="82"/>
      <c r="AP1068" s="82"/>
      <c r="AQ1068" s="82"/>
      <c r="AR1068" s="82"/>
      <c r="AS1068" s="82"/>
    </row>
    <row r="1069" spans="1:45" ht="15.75">
      <c r="A1069" s="84" t="s">
        <v>265</v>
      </c>
      <c r="B1069" s="179"/>
      <c r="C1069" s="152"/>
      <c r="D1069" s="186" t="s">
        <v>108</v>
      </c>
      <c r="E1069" s="153"/>
      <c r="F1069" s="109"/>
      <c r="G1069" s="186" t="s">
        <v>108</v>
      </c>
      <c r="H1069" s="153"/>
      <c r="I1069" s="109"/>
      <c r="J1069" s="186" t="s">
        <v>108</v>
      </c>
      <c r="K1069" s="153"/>
      <c r="L1069" s="109"/>
      <c r="M1069" s="109"/>
      <c r="N1069" s="186" t="s">
        <v>108</v>
      </c>
      <c r="O1069" s="153"/>
      <c r="P1069" s="109"/>
      <c r="Q1069" s="109"/>
      <c r="R1069" s="186" t="s">
        <v>108</v>
      </c>
      <c r="S1069" s="153"/>
      <c r="T1069" s="109"/>
      <c r="U1069" s="109"/>
      <c r="V1069" s="186" t="s">
        <v>108</v>
      </c>
      <c r="W1069" s="153"/>
      <c r="X1069" s="109"/>
      <c r="Y1069" s="82"/>
      <c r="AC1069" s="83"/>
      <c r="AD1069" s="83"/>
      <c r="AE1069" s="82"/>
      <c r="AF1069" s="82"/>
      <c r="AG1069" s="82"/>
      <c r="AH1069" s="82"/>
      <c r="AI1069" s="82"/>
      <c r="AJ1069" s="82"/>
      <c r="AK1069" s="82"/>
      <c r="AL1069" s="82"/>
      <c r="AM1069" s="82"/>
      <c r="AN1069" s="82"/>
      <c r="AO1069" s="82"/>
      <c r="AP1069" s="82"/>
      <c r="AQ1069" s="82"/>
      <c r="AR1069" s="82"/>
      <c r="AS1069" s="82"/>
    </row>
    <row r="1070" spans="1:45" ht="15.75">
      <c r="A1070" s="84" t="s">
        <v>292</v>
      </c>
      <c r="B1070" s="179"/>
      <c r="C1070" s="152">
        <v>0</v>
      </c>
      <c r="D1070" s="186">
        <v>2.67</v>
      </c>
      <c r="E1070" s="153"/>
      <c r="F1070" s="109">
        <f>D1070*C1070</f>
        <v>0</v>
      </c>
      <c r="G1070" s="186">
        <v>2.67</v>
      </c>
      <c r="H1070" s="153"/>
      <c r="I1070" s="109">
        <f t="shared" ref="I1070:I1074" si="203">C1070*G1070</f>
        <v>0</v>
      </c>
      <c r="J1070" s="186">
        <f>G1070</f>
        <v>2.67</v>
      </c>
      <c r="K1070" s="153"/>
      <c r="L1070" s="109">
        <f t="shared" ref="L1070:L1074" si="204">J1070*C1070</f>
        <v>0</v>
      </c>
      <c r="M1070" s="109"/>
      <c r="N1070" s="186"/>
      <c r="O1070" s="153"/>
      <c r="P1070" s="109"/>
      <c r="Q1070" s="109"/>
      <c r="R1070" s="186"/>
      <c r="S1070" s="153"/>
      <c r="T1070" s="109"/>
      <c r="U1070" s="109"/>
      <c r="V1070" s="186"/>
      <c r="W1070" s="153"/>
      <c r="X1070" s="109"/>
      <c r="Y1070" s="82"/>
      <c r="AC1070" s="83">
        <v>39</v>
      </c>
      <c r="AD1070" s="382">
        <f>D1070/AC1070</f>
        <v>6.8461538461538463E-2</v>
      </c>
      <c r="AE1070" s="82"/>
      <c r="AF1070" s="82"/>
      <c r="AG1070" s="82"/>
      <c r="AH1070" s="82"/>
      <c r="AI1070" s="82"/>
      <c r="AJ1070" s="82"/>
      <c r="AK1070" s="82"/>
      <c r="AL1070" s="82"/>
      <c r="AM1070" s="82"/>
      <c r="AN1070" s="82"/>
      <c r="AO1070" s="82"/>
      <c r="AP1070" s="82"/>
      <c r="AQ1070" s="82"/>
      <c r="AR1070" s="82"/>
      <c r="AS1070" s="82"/>
    </row>
    <row r="1071" spans="1:45" ht="15.75">
      <c r="A1071" s="84" t="s">
        <v>293</v>
      </c>
      <c r="B1071" s="179"/>
      <c r="C1071" s="152">
        <v>0</v>
      </c>
      <c r="D1071" s="186">
        <v>4.6500000000000004</v>
      </c>
      <c r="E1071" s="153"/>
      <c r="F1071" s="109">
        <f>D1071*C1071</f>
        <v>0</v>
      </c>
      <c r="G1071" s="186">
        <v>4.6500000000000004</v>
      </c>
      <c r="H1071" s="153"/>
      <c r="I1071" s="109">
        <f t="shared" si="203"/>
        <v>0</v>
      </c>
      <c r="J1071" s="186">
        <f t="shared" ref="J1071:J1074" si="205">G1071</f>
        <v>4.6500000000000004</v>
      </c>
      <c r="K1071" s="153"/>
      <c r="L1071" s="109">
        <f t="shared" si="204"/>
        <v>0</v>
      </c>
      <c r="M1071" s="109"/>
      <c r="N1071" s="186"/>
      <c r="O1071" s="153"/>
      <c r="P1071" s="109"/>
      <c r="Q1071" s="109"/>
      <c r="R1071" s="186"/>
      <c r="S1071" s="153"/>
      <c r="T1071" s="109"/>
      <c r="U1071" s="109"/>
      <c r="V1071" s="186"/>
      <c r="W1071" s="153"/>
      <c r="X1071" s="109"/>
      <c r="Y1071" s="82"/>
      <c r="AC1071" s="83">
        <v>68</v>
      </c>
      <c r="AD1071" s="382">
        <f>D1071/AC1071</f>
        <v>6.8382352941176477E-2</v>
      </c>
      <c r="AE1071" s="82"/>
      <c r="AF1071" s="82"/>
      <c r="AG1071" s="82"/>
      <c r="AH1071" s="82"/>
      <c r="AI1071" s="82"/>
      <c r="AJ1071" s="82"/>
      <c r="AK1071" s="82"/>
      <c r="AL1071" s="82"/>
      <c r="AM1071" s="82"/>
      <c r="AN1071" s="82"/>
      <c r="AO1071" s="82"/>
      <c r="AP1071" s="82"/>
      <c r="AQ1071" s="82"/>
      <c r="AR1071" s="82"/>
      <c r="AS1071" s="82"/>
    </row>
    <row r="1072" spans="1:45" ht="15.75">
      <c r="A1072" s="84" t="s">
        <v>294</v>
      </c>
      <c r="B1072" s="179"/>
      <c r="C1072" s="152">
        <v>0</v>
      </c>
      <c r="D1072" s="186">
        <v>6.43</v>
      </c>
      <c r="E1072" s="153"/>
      <c r="F1072" s="109">
        <f>D1072*C1072</f>
        <v>0</v>
      </c>
      <c r="G1072" s="186">
        <v>6.43</v>
      </c>
      <c r="H1072" s="153"/>
      <c r="I1072" s="109">
        <f t="shared" si="203"/>
        <v>0</v>
      </c>
      <c r="J1072" s="186">
        <f t="shared" si="205"/>
        <v>6.43</v>
      </c>
      <c r="K1072" s="153"/>
      <c r="L1072" s="109">
        <f t="shared" si="204"/>
        <v>0</v>
      </c>
      <c r="M1072" s="109"/>
      <c r="N1072" s="186"/>
      <c r="O1072" s="153"/>
      <c r="P1072" s="109"/>
      <c r="Q1072" s="109"/>
      <c r="R1072" s="186"/>
      <c r="S1072" s="153"/>
      <c r="T1072" s="109"/>
      <c r="U1072" s="109"/>
      <c r="V1072" s="186"/>
      <c r="W1072" s="153"/>
      <c r="X1072" s="109"/>
      <c r="Y1072" s="82" t="s">
        <v>108</v>
      </c>
      <c r="AC1072" s="83">
        <v>94</v>
      </c>
      <c r="AD1072" s="382">
        <f>D1072/AC1072</f>
        <v>6.8404255319148927E-2</v>
      </c>
      <c r="AE1072" s="82"/>
      <c r="AF1072" s="82"/>
      <c r="AG1072" s="82"/>
      <c r="AH1072" s="82"/>
      <c r="AI1072" s="82"/>
      <c r="AJ1072" s="82"/>
      <c r="AK1072" s="82"/>
      <c r="AL1072" s="82"/>
      <c r="AM1072" s="82"/>
      <c r="AN1072" s="82"/>
      <c r="AO1072" s="82"/>
      <c r="AP1072" s="82"/>
      <c r="AQ1072" s="82"/>
      <c r="AR1072" s="82"/>
      <c r="AS1072" s="82"/>
    </row>
    <row r="1073" spans="1:45" ht="15.75">
      <c r="A1073" s="84" t="s">
        <v>295</v>
      </c>
      <c r="B1073" s="179"/>
      <c r="C1073" s="152">
        <v>0</v>
      </c>
      <c r="D1073" s="186">
        <v>10.18</v>
      </c>
      <c r="E1073" s="153"/>
      <c r="F1073" s="109">
        <f>D1073*C1073</f>
        <v>0</v>
      </c>
      <c r="G1073" s="186">
        <v>10.18</v>
      </c>
      <c r="H1073" s="153"/>
      <c r="I1073" s="109">
        <f t="shared" si="203"/>
        <v>0</v>
      </c>
      <c r="J1073" s="186">
        <f t="shared" si="205"/>
        <v>10.18</v>
      </c>
      <c r="K1073" s="153"/>
      <c r="L1073" s="109">
        <f t="shared" si="204"/>
        <v>0</v>
      </c>
      <c r="M1073" s="109"/>
      <c r="N1073" s="186"/>
      <c r="O1073" s="153"/>
      <c r="P1073" s="109"/>
      <c r="Q1073" s="109"/>
      <c r="R1073" s="186"/>
      <c r="S1073" s="153"/>
      <c r="T1073" s="109"/>
      <c r="U1073" s="109"/>
      <c r="V1073" s="186"/>
      <c r="W1073" s="153"/>
      <c r="X1073" s="109"/>
      <c r="Y1073" s="82"/>
      <c r="AC1073" s="83">
        <v>149</v>
      </c>
      <c r="AD1073" s="382">
        <f>D1073/AC1073</f>
        <v>6.8322147651006707E-2</v>
      </c>
      <c r="AE1073" s="82"/>
      <c r="AF1073" s="82"/>
      <c r="AG1073" s="82"/>
      <c r="AH1073" s="82"/>
      <c r="AI1073" s="82"/>
      <c r="AJ1073" s="82"/>
      <c r="AK1073" s="82"/>
      <c r="AL1073" s="82"/>
      <c r="AM1073" s="82"/>
      <c r="AN1073" s="82"/>
      <c r="AO1073" s="82"/>
      <c r="AP1073" s="82"/>
      <c r="AQ1073" s="82"/>
      <c r="AR1073" s="82"/>
      <c r="AS1073" s="82"/>
    </row>
    <row r="1074" spans="1:45" ht="15.75">
      <c r="A1074" s="84" t="s">
        <v>296</v>
      </c>
      <c r="B1074" s="179"/>
      <c r="C1074" s="152">
        <v>0</v>
      </c>
      <c r="D1074" s="186">
        <v>24.19</v>
      </c>
      <c r="E1074" s="153"/>
      <c r="F1074" s="109">
        <f>D1074*C1074</f>
        <v>0</v>
      </c>
      <c r="G1074" s="186">
        <v>24.19</v>
      </c>
      <c r="H1074" s="153"/>
      <c r="I1074" s="109">
        <f t="shared" si="203"/>
        <v>0</v>
      </c>
      <c r="J1074" s="186">
        <f t="shared" si="205"/>
        <v>24.19</v>
      </c>
      <c r="K1074" s="153"/>
      <c r="L1074" s="109">
        <f t="shared" si="204"/>
        <v>0</v>
      </c>
      <c r="M1074" s="109"/>
      <c r="N1074" s="186"/>
      <c r="O1074" s="153"/>
      <c r="P1074" s="109"/>
      <c r="Q1074" s="109"/>
      <c r="R1074" s="186"/>
      <c r="S1074" s="153"/>
      <c r="T1074" s="109"/>
      <c r="U1074" s="109"/>
      <c r="V1074" s="186"/>
      <c r="W1074" s="153"/>
      <c r="X1074" s="109"/>
      <c r="Y1074" s="82"/>
      <c r="AC1074" s="83">
        <v>354</v>
      </c>
      <c r="AD1074" s="382">
        <f>D1074/AC1074</f>
        <v>6.8333333333333343E-2</v>
      </c>
      <c r="AE1074" s="82" t="s">
        <v>108</v>
      </c>
      <c r="AF1074" s="82"/>
      <c r="AG1074" s="82"/>
      <c r="AH1074" s="82"/>
      <c r="AI1074" s="82"/>
      <c r="AJ1074" s="82"/>
      <c r="AK1074" s="82"/>
      <c r="AL1074" s="82"/>
      <c r="AM1074" s="82"/>
      <c r="AN1074" s="82"/>
      <c r="AO1074" s="82"/>
      <c r="AP1074" s="82"/>
      <c r="AQ1074" s="82"/>
      <c r="AR1074" s="82"/>
      <c r="AS1074" s="82"/>
    </row>
    <row r="1075" spans="1:45" ht="15.75">
      <c r="A1075" s="179"/>
      <c r="B1075" s="179"/>
      <c r="C1075" s="152"/>
      <c r="D1075" s="186"/>
      <c r="E1075" s="153"/>
      <c r="F1075" s="109"/>
      <c r="G1075" s="186"/>
      <c r="H1075" s="153"/>
      <c r="I1075" s="109"/>
      <c r="J1075" s="186"/>
      <c r="K1075" s="153"/>
      <c r="L1075" s="109"/>
      <c r="M1075" s="109"/>
      <c r="N1075" s="186"/>
      <c r="O1075" s="153"/>
      <c r="P1075" s="109"/>
      <c r="Q1075" s="109"/>
      <c r="R1075" s="186"/>
      <c r="S1075" s="153"/>
      <c r="T1075" s="109"/>
      <c r="U1075" s="109"/>
      <c r="V1075" s="186"/>
      <c r="W1075" s="153"/>
      <c r="X1075" s="109"/>
      <c r="Y1075" s="82"/>
      <c r="AC1075" s="83"/>
      <c r="AD1075" s="83"/>
      <c r="AE1075" s="82"/>
      <c r="AF1075" s="82"/>
      <c r="AG1075" s="82"/>
      <c r="AH1075" s="82"/>
      <c r="AI1075" s="82"/>
      <c r="AJ1075" s="82"/>
      <c r="AK1075" s="82"/>
      <c r="AL1075" s="82"/>
      <c r="AM1075" s="82"/>
      <c r="AN1075" s="82"/>
      <c r="AO1075" s="82"/>
      <c r="AP1075" s="82"/>
      <c r="AQ1075" s="82"/>
      <c r="AR1075" s="82"/>
      <c r="AS1075" s="82"/>
    </row>
    <row r="1076" spans="1:45" ht="15.75">
      <c r="A1076" s="179" t="s">
        <v>282</v>
      </c>
      <c r="B1076" s="179"/>
      <c r="C1076" s="164">
        <v>1191736.3691355635</v>
      </c>
      <c r="D1076" s="319">
        <v>6.8330000000000002</v>
      </c>
      <c r="E1076" s="153" t="s">
        <v>116</v>
      </c>
      <c r="F1076" s="372">
        <f>ROUND(C1076*D1076/100,0)</f>
        <v>81431</v>
      </c>
      <c r="G1076" s="319">
        <v>6.8330000000000002</v>
      </c>
      <c r="H1076" s="153" t="s">
        <v>116</v>
      </c>
      <c r="I1076" s="372">
        <f>ROUND(G1076*C1076/100,0)</f>
        <v>81431</v>
      </c>
      <c r="J1076" s="319">
        <f>G1076</f>
        <v>6.8330000000000002</v>
      </c>
      <c r="K1076" s="153" t="s">
        <v>116</v>
      </c>
      <c r="L1076" s="109">
        <f>J1076*C1076/100</f>
        <v>81431.346103033065</v>
      </c>
      <c r="M1076" s="109"/>
      <c r="N1076" s="319">
        <v>4.1732816915865056</v>
      </c>
      <c r="O1076" s="153" t="s">
        <v>116</v>
      </c>
      <c r="P1076" s="109">
        <f>N1076*C1076/100</f>
        <v>49734.515705112244</v>
      </c>
      <c r="Q1076" s="109"/>
      <c r="R1076" s="319">
        <v>0.58797820709874327</v>
      </c>
      <c r="S1076" s="153" t="s">
        <v>116</v>
      </c>
      <c r="T1076" s="109">
        <f>R1076*C1076/100</f>
        <v>7007.1501365869472</v>
      </c>
      <c r="U1076" s="109"/>
      <c r="V1076" s="319">
        <v>2.3377520891265777</v>
      </c>
      <c r="W1076" s="153" t="s">
        <v>116</v>
      </c>
      <c r="X1076" s="109">
        <f>V1076*C1076/100</f>
        <v>27859.841866347859</v>
      </c>
      <c r="Y1076" s="82"/>
      <c r="AC1076" s="83"/>
      <c r="AD1076" s="83"/>
      <c r="AE1076" s="82"/>
      <c r="AF1076" s="82"/>
      <c r="AG1076" s="82"/>
      <c r="AH1076" s="82"/>
      <c r="AI1076" s="82"/>
      <c r="AJ1076" s="82"/>
      <c r="AK1076" s="82"/>
      <c r="AL1076" s="82"/>
      <c r="AM1076" s="82"/>
      <c r="AN1076" s="82"/>
      <c r="AO1076" s="82"/>
      <c r="AP1076" s="82"/>
      <c r="AQ1076" s="82"/>
      <c r="AR1076" s="82"/>
      <c r="AS1076" s="82"/>
    </row>
    <row r="1077" spans="1:45" ht="15.75">
      <c r="A1077" s="179" t="s">
        <v>297</v>
      </c>
      <c r="B1077" s="179"/>
      <c r="C1077" s="164">
        <v>2268876.9813546995</v>
      </c>
      <c r="D1077" s="153">
        <v>0</v>
      </c>
      <c r="E1077" s="153" t="s">
        <v>108</v>
      </c>
      <c r="F1077" s="372" t="s">
        <v>108</v>
      </c>
      <c r="G1077" s="153">
        <v>0</v>
      </c>
      <c r="H1077" s="153" t="s">
        <v>116</v>
      </c>
      <c r="I1077" s="372">
        <f>ROUND(G1077*C1077/100,0)</f>
        <v>0</v>
      </c>
      <c r="J1077" s="153">
        <v>0</v>
      </c>
      <c r="K1077" s="153" t="s">
        <v>116</v>
      </c>
      <c r="L1077" s="109">
        <v>0</v>
      </c>
      <c r="M1077" s="109"/>
      <c r="N1077" s="153"/>
      <c r="O1077" s="153"/>
      <c r="P1077" s="109"/>
      <c r="Q1077" s="109"/>
      <c r="R1077" s="153"/>
      <c r="S1077" s="153"/>
      <c r="T1077" s="109"/>
      <c r="U1077" s="109"/>
      <c r="V1077" s="153"/>
      <c r="W1077" s="153"/>
      <c r="X1077" s="109"/>
      <c r="Y1077" s="82"/>
      <c r="AC1077" s="83"/>
      <c r="AD1077" s="83">
        <v>211950</v>
      </c>
      <c r="AE1077" s="106">
        <f>C1077*0.06146</f>
        <v>139445.17927405983</v>
      </c>
      <c r="AF1077" s="106"/>
      <c r="AG1077" s="82"/>
      <c r="AH1077" s="82"/>
      <c r="AI1077" s="82"/>
      <c r="AJ1077" s="82"/>
      <c r="AK1077" s="82"/>
      <c r="AL1077" s="82"/>
      <c r="AM1077" s="82"/>
      <c r="AN1077" s="82"/>
      <c r="AO1077" s="82"/>
      <c r="AP1077" s="82"/>
      <c r="AQ1077" s="82"/>
      <c r="AR1077" s="82"/>
      <c r="AS1077" s="82"/>
    </row>
    <row r="1078" spans="1:45" ht="15.75">
      <c r="A1078" s="179" t="s">
        <v>117</v>
      </c>
      <c r="B1078" s="179"/>
      <c r="C1078" s="164">
        <v>1346</v>
      </c>
      <c r="D1078" s="373"/>
      <c r="E1078" s="153"/>
      <c r="F1078" s="109"/>
      <c r="G1078" s="373"/>
      <c r="H1078" s="153"/>
      <c r="I1078" s="109"/>
      <c r="J1078" s="373"/>
      <c r="K1078" s="153"/>
      <c r="L1078" s="109"/>
      <c r="M1078" s="109"/>
      <c r="N1078" s="373"/>
      <c r="O1078" s="153"/>
      <c r="P1078" s="109"/>
      <c r="Q1078" s="109"/>
      <c r="R1078" s="373"/>
      <c r="S1078" s="153"/>
      <c r="T1078" s="109"/>
      <c r="U1078" s="109"/>
      <c r="V1078" s="373"/>
      <c r="W1078" s="153"/>
      <c r="X1078" s="109"/>
      <c r="Y1078" s="82"/>
      <c r="Z1078" s="83"/>
      <c r="AA1078" s="83"/>
      <c r="AB1078" s="83"/>
      <c r="AC1078" s="82"/>
      <c r="AD1078" s="82"/>
      <c r="AE1078" s="82"/>
      <c r="AF1078" s="82"/>
      <c r="AG1078" s="82"/>
      <c r="AH1078" s="82"/>
      <c r="AI1078" s="82"/>
      <c r="AJ1078" s="82"/>
      <c r="AK1078" s="82"/>
      <c r="AL1078" s="82"/>
      <c r="AM1078" s="82"/>
      <c r="AN1078" s="82"/>
      <c r="AO1078" s="82"/>
      <c r="AP1078" s="82"/>
      <c r="AQ1078" s="82"/>
      <c r="AR1078" s="82"/>
      <c r="AS1078" s="82"/>
    </row>
    <row r="1079" spans="1:45" ht="15.75">
      <c r="A1079" s="84" t="s">
        <v>278</v>
      </c>
      <c r="C1079" s="164">
        <f>C1076+C1077</f>
        <v>3460613.3504902627</v>
      </c>
      <c r="D1079" s="119"/>
      <c r="E1079" s="120"/>
      <c r="F1079" s="169">
        <f>SUM(F1060:F1077)</f>
        <v>238713.09527766646</v>
      </c>
      <c r="G1079" s="119"/>
      <c r="H1079" s="120"/>
      <c r="I1079" s="169">
        <f>SUM(I1060:I1077)</f>
        <v>238713.09527766646</v>
      </c>
      <c r="J1079" s="119"/>
      <c r="K1079" s="120"/>
      <c r="L1079" s="169">
        <f>SUM(L1060:L1078)</f>
        <v>238713.44138069951</v>
      </c>
      <c r="M1079" s="169"/>
      <c r="N1079" s="119"/>
      <c r="O1079" s="120"/>
      <c r="P1079" s="169">
        <f>SUM(P1060:P1078)</f>
        <v>142929.22489276965</v>
      </c>
      <c r="Q1079" s="169"/>
      <c r="R1079" s="119"/>
      <c r="S1079" s="120"/>
      <c r="T1079" s="169">
        <f>SUM(T1060:T1078)</f>
        <v>19890.899167313386</v>
      </c>
      <c r="U1079" s="169"/>
      <c r="V1079" s="119"/>
      <c r="W1079" s="120"/>
      <c r="X1079" s="169">
        <f>SUM(X1060:X1078)</f>
        <v>79063.478925630479</v>
      </c>
      <c r="Y1079" s="82"/>
      <c r="Z1079" s="83"/>
      <c r="AA1079" s="83"/>
      <c r="AB1079" s="83"/>
      <c r="AC1079" s="82"/>
      <c r="AD1079" s="82"/>
      <c r="AE1079" s="82"/>
      <c r="AF1079" s="82"/>
      <c r="AG1079" s="82"/>
      <c r="AH1079" s="82"/>
      <c r="AI1079" s="82"/>
      <c r="AJ1079" s="82"/>
      <c r="AK1079" s="82"/>
      <c r="AL1079" s="82"/>
      <c r="AM1079" s="82"/>
      <c r="AN1079" s="82"/>
      <c r="AO1079" s="82"/>
      <c r="AP1079" s="82"/>
      <c r="AQ1079" s="82"/>
      <c r="AR1079" s="82"/>
      <c r="AS1079" s="82"/>
    </row>
    <row r="1080" spans="1:45" ht="15.75">
      <c r="A1080" s="84" t="s">
        <v>279</v>
      </c>
      <c r="C1080" s="164">
        <v>-338730.70309951692</v>
      </c>
      <c r="D1080" s="119"/>
      <c r="E1080" s="120"/>
      <c r="F1080" s="169">
        <f>I1080</f>
        <v>-23505.811910458691</v>
      </c>
      <c r="G1080" s="119"/>
      <c r="H1080" s="120"/>
      <c r="I1080" s="169">
        <v>-23505.811910458691</v>
      </c>
      <c r="J1080" s="119"/>
      <c r="K1080" s="120"/>
      <c r="L1080" s="169">
        <f>I1080</f>
        <v>-23505.811910458691</v>
      </c>
      <c r="M1080" s="169"/>
      <c r="N1080" s="119"/>
      <c r="O1080" s="120"/>
      <c r="P1080" s="169">
        <f>L1080*AB12</f>
        <v>-13788.419889392719</v>
      </c>
      <c r="Q1080" s="169"/>
      <c r="R1080" s="153"/>
      <c r="S1080" s="153"/>
      <c r="T1080" s="169">
        <f>L1080*AA12</f>
        <v>-1953.527014766408</v>
      </c>
      <c r="U1080" s="169"/>
      <c r="V1080" s="153"/>
      <c r="W1080" s="153"/>
      <c r="X1080" s="169">
        <f>L1080*Z12</f>
        <v>-7763.8650062995703</v>
      </c>
      <c r="Y1080" s="172"/>
      <c r="Z1080" s="168"/>
      <c r="AA1080" s="83"/>
      <c r="AB1080" s="83"/>
      <c r="AC1080" s="82"/>
      <c r="AD1080" s="82"/>
      <c r="AE1080" s="82"/>
      <c r="AF1080" s="82"/>
      <c r="AG1080" s="82"/>
      <c r="AH1080" s="82"/>
      <c r="AI1080" s="82"/>
      <c r="AJ1080" s="82"/>
      <c r="AK1080" s="82"/>
      <c r="AL1080" s="82"/>
      <c r="AM1080" s="82"/>
      <c r="AN1080" s="82"/>
      <c r="AO1080" s="82"/>
      <c r="AP1080" s="82"/>
      <c r="AQ1080" s="82"/>
      <c r="AR1080" s="82"/>
      <c r="AS1080" s="82"/>
    </row>
    <row r="1081" spans="1:45" ht="16.5" thickBot="1">
      <c r="A1081" s="179" t="s">
        <v>3</v>
      </c>
      <c r="B1081" s="179"/>
      <c r="C1081" s="335">
        <f>C1079+C1080</f>
        <v>3121882.6473907456</v>
      </c>
      <c r="D1081" s="374"/>
      <c r="E1081" s="375"/>
      <c r="F1081" s="141">
        <f>F1079+F1080</f>
        <v>215207.28336720777</v>
      </c>
      <c r="G1081" s="376"/>
      <c r="H1081" s="269"/>
      <c r="I1081" s="141">
        <f>I1079+I1080</f>
        <v>215207.28336720777</v>
      </c>
      <c r="J1081" s="376"/>
      <c r="K1081" s="269"/>
      <c r="L1081" s="141">
        <f>L1079+L1080</f>
        <v>215207.62947024082</v>
      </c>
      <c r="M1081" s="142"/>
      <c r="N1081" s="376"/>
      <c r="O1081" s="269"/>
      <c r="P1081" s="141">
        <f>P1079+P1080</f>
        <v>129140.80500337693</v>
      </c>
      <c r="Q1081" s="142"/>
      <c r="R1081" s="376"/>
      <c r="S1081" s="269"/>
      <c r="T1081" s="141">
        <f>T1079+T1080</f>
        <v>17937.372152546977</v>
      </c>
      <c r="U1081" s="142"/>
      <c r="V1081" s="376"/>
      <c r="W1081" s="269"/>
      <c r="X1081" s="141">
        <f>X1079+X1080</f>
        <v>71299.613919330906</v>
      </c>
      <c r="Y1081" s="176"/>
      <c r="Z1081" s="177"/>
      <c r="AA1081" s="83"/>
      <c r="AB1081" s="83"/>
      <c r="AC1081" s="82"/>
      <c r="AD1081" s="82"/>
      <c r="AE1081" s="82"/>
      <c r="AF1081" s="82"/>
      <c r="AG1081" s="82"/>
      <c r="AH1081" s="82"/>
      <c r="AI1081" s="82"/>
      <c r="AJ1081" s="82"/>
      <c r="AK1081" s="82"/>
      <c r="AL1081" s="82"/>
      <c r="AM1081" s="82"/>
      <c r="AN1081" s="82"/>
      <c r="AO1081" s="82"/>
      <c r="AP1081" s="82"/>
      <c r="AQ1081" s="82"/>
      <c r="AR1081" s="82"/>
      <c r="AS1081" s="82"/>
    </row>
    <row r="1082" spans="1:45" ht="16.5" thickTop="1">
      <c r="A1082" s="380" t="s">
        <v>121</v>
      </c>
      <c r="B1082" s="179"/>
      <c r="C1082" s="298"/>
      <c r="D1082" s="381"/>
      <c r="E1082" s="259"/>
      <c r="F1082" s="137"/>
      <c r="G1082" s="381"/>
      <c r="H1082" s="259"/>
      <c r="I1082" s="137"/>
      <c r="J1082" s="381"/>
      <c r="K1082" s="259"/>
      <c r="L1082" s="137"/>
      <c r="M1082" s="137"/>
      <c r="N1082" s="381"/>
      <c r="O1082" s="259"/>
      <c r="P1082" s="137"/>
      <c r="Q1082" s="137"/>
      <c r="R1082" s="381"/>
      <c r="S1082" s="259"/>
      <c r="T1082" s="137"/>
      <c r="U1082" s="137"/>
      <c r="V1082" s="381"/>
      <c r="W1082" s="259"/>
      <c r="X1082" s="137"/>
      <c r="Y1082" s="176"/>
      <c r="Z1082" s="177"/>
      <c r="AA1082" s="83"/>
      <c r="AB1082" s="83"/>
      <c r="AC1082" s="82"/>
      <c r="AD1082" s="82"/>
      <c r="AE1082" s="82"/>
      <c r="AF1082" s="82"/>
      <c r="AG1082" s="82"/>
      <c r="AH1082" s="82"/>
      <c r="AI1082" s="82"/>
      <c r="AJ1082" s="82"/>
      <c r="AK1082" s="82"/>
      <c r="AL1082" s="82"/>
      <c r="AM1082" s="82"/>
      <c r="AN1082" s="82"/>
      <c r="AO1082" s="82"/>
      <c r="AP1082" s="82"/>
      <c r="AQ1082" s="82"/>
      <c r="AR1082" s="82"/>
      <c r="AS1082" s="82"/>
    </row>
    <row r="1083" spans="1:45" ht="15.75">
      <c r="A1083" s="179"/>
      <c r="B1083" s="179"/>
      <c r="C1083" s="298"/>
      <c r="D1083" s="381" t="s">
        <v>108</v>
      </c>
      <c r="E1083" s="259"/>
      <c r="F1083" s="137"/>
      <c r="G1083" s="381" t="s">
        <v>108</v>
      </c>
      <c r="H1083" s="259"/>
      <c r="I1083" s="137"/>
      <c r="J1083" s="381" t="s">
        <v>108</v>
      </c>
      <c r="K1083" s="259"/>
      <c r="L1083" s="137" t="s">
        <v>108</v>
      </c>
      <c r="M1083" s="137"/>
      <c r="N1083" s="381" t="s">
        <v>108</v>
      </c>
      <c r="O1083" s="259"/>
      <c r="P1083" s="137" t="s">
        <v>108</v>
      </c>
      <c r="Q1083" s="137"/>
      <c r="R1083" s="381" t="s">
        <v>108</v>
      </c>
      <c r="S1083" s="259"/>
      <c r="T1083" s="137" t="s">
        <v>108</v>
      </c>
      <c r="U1083" s="137"/>
      <c r="V1083" s="381" t="s">
        <v>108</v>
      </c>
      <c r="W1083" s="259"/>
      <c r="X1083" s="137">
        <f>P1081+T1081+X1081</f>
        <v>218377.79107525482</v>
      </c>
      <c r="Y1083" s="103">
        <f>Y1055</f>
        <v>0.58786795947824033</v>
      </c>
      <c r="Z1083" s="103">
        <f>Z1055</f>
        <v>8.2825357684735992E-2</v>
      </c>
      <c r="AA1083" s="103">
        <f>AA1055</f>
        <v>0.32930668283702352</v>
      </c>
      <c r="AB1083" s="83"/>
      <c r="AC1083" s="82"/>
      <c r="AD1083" s="82"/>
      <c r="AE1083" s="82"/>
      <c r="AF1083" s="82"/>
      <c r="AG1083" s="82"/>
      <c r="AH1083" s="82"/>
      <c r="AI1083" s="82"/>
      <c r="AJ1083" s="82"/>
      <c r="AK1083" s="82"/>
      <c r="AL1083" s="82"/>
      <c r="AM1083" s="82"/>
      <c r="AN1083" s="82"/>
      <c r="AO1083" s="82"/>
      <c r="AP1083" s="82"/>
      <c r="AQ1083" s="82"/>
      <c r="AR1083" s="82"/>
      <c r="AS1083" s="82"/>
    </row>
    <row r="1084" spans="1:45" ht="15.75">
      <c r="A1084" s="178" t="s">
        <v>298</v>
      </c>
      <c r="B1084" s="179"/>
      <c r="C1084" s="153"/>
      <c r="D1084" s="153"/>
      <c r="E1084" s="153"/>
      <c r="F1084" s="153"/>
      <c r="G1084" s="153"/>
      <c r="H1084" s="153"/>
      <c r="I1084" s="153"/>
      <c r="J1084" s="153"/>
      <c r="K1084" s="153"/>
      <c r="L1084" s="153"/>
      <c r="M1084" s="153"/>
      <c r="N1084" s="153"/>
      <c r="O1084" s="153"/>
      <c r="P1084" s="153"/>
      <c r="Q1084" s="153"/>
      <c r="R1084" s="153"/>
      <c r="S1084" s="153"/>
      <c r="T1084" s="153"/>
      <c r="U1084" s="153"/>
      <c r="V1084" s="153"/>
      <c r="W1084" s="153"/>
      <c r="X1084" s="109">
        <f>X1083-L1081</f>
        <v>3170.1616050140001</v>
      </c>
      <c r="Y1084" s="150">
        <f>L1081*Y1083</f>
        <v>126513.67000081969</v>
      </c>
      <c r="Z1084" s="150">
        <f>L1081*Z1083</f>
        <v>17824.648887356827</v>
      </c>
      <c r="AA1084" s="150">
        <f>L1081*AA1083</f>
        <v>70869.310582064267</v>
      </c>
      <c r="AB1084" s="83"/>
      <c r="AC1084" s="82"/>
      <c r="AD1084" s="82"/>
      <c r="AE1084" s="82"/>
      <c r="AF1084" s="82"/>
      <c r="AG1084" s="82"/>
      <c r="AH1084" s="82"/>
      <c r="AI1084" s="82"/>
      <c r="AJ1084" s="82"/>
      <c r="AK1084" s="82"/>
      <c r="AL1084" s="82"/>
      <c r="AM1084" s="82"/>
      <c r="AN1084" s="82"/>
      <c r="AO1084" s="82"/>
      <c r="AP1084" s="82"/>
      <c r="AQ1084" s="82"/>
      <c r="AR1084" s="82"/>
      <c r="AS1084" s="82"/>
    </row>
    <row r="1085" spans="1:45" ht="15.75">
      <c r="A1085" s="179" t="s">
        <v>299</v>
      </c>
      <c r="B1085" s="179"/>
      <c r="C1085" s="153"/>
      <c r="D1085" s="153"/>
      <c r="E1085" s="153"/>
      <c r="F1085" s="153"/>
      <c r="G1085" s="153"/>
      <c r="H1085" s="153"/>
      <c r="I1085" s="153"/>
      <c r="J1085" s="153"/>
      <c r="K1085" s="153"/>
      <c r="L1085" s="153"/>
      <c r="M1085" s="153"/>
      <c r="N1085" s="153"/>
      <c r="O1085" s="153"/>
      <c r="P1085" s="153"/>
      <c r="Q1085" s="153"/>
      <c r="R1085" s="153"/>
      <c r="S1085" s="153"/>
      <c r="T1085" s="153"/>
      <c r="U1085" s="153"/>
      <c r="V1085" s="153"/>
      <c r="W1085" s="153"/>
      <c r="X1085" s="153"/>
      <c r="Y1085" s="82"/>
      <c r="Z1085" s="83"/>
      <c r="AA1085" s="83"/>
      <c r="AB1085" s="83"/>
      <c r="AC1085" s="82"/>
      <c r="AD1085" s="82"/>
      <c r="AE1085" s="82"/>
      <c r="AF1085" s="82"/>
      <c r="AG1085" s="82"/>
      <c r="AH1085" s="82"/>
      <c r="AI1085" s="82"/>
      <c r="AJ1085" s="82"/>
      <c r="AK1085" s="82"/>
      <c r="AL1085" s="82"/>
      <c r="AM1085" s="82"/>
      <c r="AN1085" s="82"/>
      <c r="AO1085" s="82"/>
      <c r="AP1085" s="82"/>
      <c r="AQ1085" s="82"/>
      <c r="AR1085" s="82"/>
      <c r="AS1085" s="82"/>
    </row>
    <row r="1086" spans="1:45" ht="15.75">
      <c r="A1086" s="179"/>
      <c r="B1086" s="179"/>
      <c r="C1086" s="153"/>
      <c r="D1086" s="284"/>
      <c r="E1086" s="153"/>
      <c r="F1086" s="153"/>
      <c r="G1086" s="284"/>
      <c r="H1086" s="153"/>
      <c r="I1086" s="153"/>
      <c r="J1086" s="284"/>
      <c r="K1086" s="153"/>
      <c r="L1086" s="153"/>
      <c r="M1086" s="153"/>
      <c r="N1086" s="284"/>
      <c r="O1086" s="153"/>
      <c r="P1086" s="153"/>
      <c r="Q1086" s="153"/>
      <c r="R1086" s="284"/>
      <c r="S1086" s="153"/>
      <c r="T1086" s="153"/>
      <c r="U1086" s="153"/>
      <c r="V1086" s="284"/>
      <c r="W1086" s="153"/>
      <c r="X1086" s="153"/>
      <c r="Y1086" s="82"/>
      <c r="Z1086" s="83"/>
      <c r="AA1086" s="83"/>
      <c r="AB1086" s="83"/>
      <c r="AC1086" s="82"/>
      <c r="AD1086" s="82"/>
      <c r="AE1086" s="82"/>
      <c r="AF1086" s="82"/>
      <c r="AG1086" s="82"/>
      <c r="AH1086" s="82"/>
      <c r="AI1086" s="82"/>
      <c r="AJ1086" s="82"/>
      <c r="AK1086" s="82"/>
      <c r="AL1086" s="82"/>
      <c r="AM1086" s="82"/>
      <c r="AN1086" s="82"/>
      <c r="AO1086" s="82"/>
      <c r="AP1086" s="82"/>
      <c r="AQ1086" s="82"/>
      <c r="AR1086" s="82"/>
      <c r="AS1086" s="82"/>
    </row>
    <row r="1087" spans="1:45" ht="15.75">
      <c r="A1087" s="179" t="s">
        <v>275</v>
      </c>
      <c r="B1087" s="179"/>
      <c r="C1087" s="152"/>
      <c r="D1087" s="186"/>
      <c r="E1087" s="153"/>
      <c r="F1087" s="109">
        <v>0</v>
      </c>
      <c r="G1087" s="186"/>
      <c r="H1087" s="153"/>
      <c r="I1087" s="109">
        <v>0</v>
      </c>
      <c r="J1087" s="186"/>
      <c r="K1087" s="153"/>
      <c r="L1087" s="109">
        <f>I1087</f>
        <v>0</v>
      </c>
      <c r="M1087" s="109"/>
      <c r="N1087" s="186"/>
      <c r="O1087" s="153"/>
      <c r="P1087" s="109"/>
      <c r="Q1087" s="109"/>
      <c r="R1087" s="186"/>
      <c r="S1087" s="153"/>
      <c r="T1087" s="109"/>
      <c r="U1087" s="109"/>
      <c r="V1087" s="186"/>
      <c r="W1087" s="153"/>
      <c r="X1087" s="109"/>
      <c r="Y1087" s="82"/>
      <c r="Z1087" s="83"/>
      <c r="AA1087" s="83"/>
      <c r="AB1087" s="83"/>
      <c r="AC1087" s="82"/>
      <c r="AD1087" s="82"/>
      <c r="AE1087" s="82"/>
      <c r="AF1087" s="82"/>
      <c r="AG1087" s="82"/>
      <c r="AH1087" s="82"/>
      <c r="AI1087" s="82"/>
      <c r="AJ1087" s="82"/>
      <c r="AK1087" s="82"/>
      <c r="AL1087" s="82"/>
      <c r="AM1087" s="82"/>
      <c r="AN1087" s="82"/>
      <c r="AO1087" s="82"/>
      <c r="AP1087" s="82"/>
      <c r="AQ1087" s="82"/>
      <c r="AR1087" s="82"/>
      <c r="AS1087" s="82"/>
    </row>
    <row r="1088" spans="1:45" ht="15.75">
      <c r="A1088" s="179" t="s">
        <v>300</v>
      </c>
      <c r="B1088" s="179"/>
      <c r="C1088" s="164">
        <v>0</v>
      </c>
      <c r="D1088" s="319">
        <v>6.8330000000000002</v>
      </c>
      <c r="E1088" s="153" t="s">
        <v>116</v>
      </c>
      <c r="F1088" s="372">
        <f>ROUND(C1088*D1088/100,0)</f>
        <v>0</v>
      </c>
      <c r="G1088" s="319">
        <v>6.8330000000000002</v>
      </c>
      <c r="H1088" s="153" t="s">
        <v>116</v>
      </c>
      <c r="I1088" s="372">
        <f>ROUND(G1088*C1088/100,0)</f>
        <v>0</v>
      </c>
      <c r="J1088" s="319">
        <f>G1088</f>
        <v>6.8330000000000002</v>
      </c>
      <c r="K1088" s="153" t="s">
        <v>116</v>
      </c>
      <c r="L1088" s="109">
        <f>ROUND(C1088*J1088/100,0)</f>
        <v>0</v>
      </c>
      <c r="M1088" s="109"/>
      <c r="N1088" s="319"/>
      <c r="O1088" s="153"/>
      <c r="P1088" s="109"/>
      <c r="Q1088" s="109"/>
      <c r="R1088" s="319"/>
      <c r="S1088" s="153"/>
      <c r="T1088" s="109"/>
      <c r="U1088" s="109"/>
      <c r="V1088" s="319"/>
      <c r="W1088" s="153"/>
      <c r="X1088" s="109"/>
      <c r="Y1088" s="82"/>
      <c r="Z1088" s="83"/>
      <c r="AA1088" s="83"/>
      <c r="AB1088" s="83"/>
      <c r="AC1088" s="82"/>
      <c r="AD1088" s="82"/>
      <c r="AE1088" s="82"/>
      <c r="AF1088" s="82"/>
      <c r="AG1088" s="82"/>
      <c r="AH1088" s="82"/>
      <c r="AI1088" s="82"/>
      <c r="AJ1088" s="82"/>
      <c r="AK1088" s="82"/>
      <c r="AL1088" s="82"/>
      <c r="AM1088" s="82"/>
      <c r="AN1088" s="82"/>
      <c r="AO1088" s="82"/>
      <c r="AP1088" s="82"/>
      <c r="AQ1088" s="82"/>
      <c r="AR1088" s="82"/>
      <c r="AS1088" s="82"/>
    </row>
    <row r="1089" spans="1:45" ht="15.75">
      <c r="A1089" s="179" t="s">
        <v>301</v>
      </c>
      <c r="B1089" s="179"/>
      <c r="C1089" s="164">
        <v>1152921</v>
      </c>
      <c r="D1089" s="319">
        <v>6.8330000000000002</v>
      </c>
      <c r="E1089" s="153" t="s">
        <v>116</v>
      </c>
      <c r="F1089" s="372">
        <f>ROUND(C1089*D1089/100,0)</f>
        <v>78779</v>
      </c>
      <c r="G1089" s="319">
        <v>6.8330000000000002</v>
      </c>
      <c r="H1089" s="153" t="s">
        <v>116</v>
      </c>
      <c r="I1089" s="372">
        <f>ROUND(G1089*C1089/100,0)</f>
        <v>78779</v>
      </c>
      <c r="J1089" s="319">
        <f>J1088</f>
        <v>6.8330000000000002</v>
      </c>
      <c r="K1089" s="153" t="s">
        <v>116</v>
      </c>
      <c r="L1089" s="109">
        <f>ROUND(J1089*$C1089/100,0)</f>
        <v>78779</v>
      </c>
      <c r="M1089" s="109"/>
      <c r="N1089" s="319">
        <f>J1089*AB12</f>
        <v>4.0082118185545337</v>
      </c>
      <c r="O1089" s="153" t="s">
        <v>116</v>
      </c>
      <c r="P1089" s="109">
        <f>N1089*C1089/100</f>
        <v>46211.515780597118</v>
      </c>
      <c r="Q1089" s="109"/>
      <c r="R1089" s="319">
        <f>J1089*AA12</f>
        <v>0.56787870773183535</v>
      </c>
      <c r="S1089" s="153" t="s">
        <v>116</v>
      </c>
      <c r="T1089" s="109">
        <f>R1089*C1089/100</f>
        <v>6547.1928759689536</v>
      </c>
      <c r="U1089" s="109"/>
      <c r="V1089" s="319">
        <f>J1089*Z12</f>
        <v>2.2569094737136326</v>
      </c>
      <c r="W1089" s="153" t="s">
        <v>116</v>
      </c>
      <c r="X1089" s="109">
        <f>V1089*C1089/100</f>
        <v>26020.383273433948</v>
      </c>
      <c r="Y1089" s="455"/>
      <c r="Z1089" s="83"/>
      <c r="AA1089" s="83"/>
      <c r="AB1089" s="83"/>
      <c r="AC1089" s="82"/>
      <c r="AD1089" s="82"/>
      <c r="AE1089" s="82"/>
      <c r="AF1089" s="82"/>
      <c r="AG1089" s="82"/>
      <c r="AH1089" s="82"/>
      <c r="AI1089" s="82"/>
      <c r="AJ1089" s="82"/>
      <c r="AK1089" s="82"/>
      <c r="AL1089" s="82"/>
      <c r="AM1089" s="82"/>
      <c r="AN1089" s="82"/>
      <c r="AO1089" s="82"/>
      <c r="AP1089" s="82"/>
      <c r="AQ1089" s="82"/>
      <c r="AR1089" s="82"/>
      <c r="AS1089" s="82"/>
    </row>
    <row r="1090" spans="1:45" ht="15.75">
      <c r="A1090" s="179" t="s">
        <v>117</v>
      </c>
      <c r="B1090" s="179"/>
      <c r="C1090" s="164">
        <v>1259</v>
      </c>
      <c r="D1090" s="373"/>
      <c r="E1090" s="153"/>
      <c r="F1090" s="109"/>
      <c r="G1090" s="373"/>
      <c r="H1090" s="153"/>
      <c r="I1090" s="109"/>
      <c r="J1090" s="373"/>
      <c r="K1090" s="153"/>
      <c r="L1090" s="109"/>
      <c r="M1090" s="109"/>
      <c r="N1090" s="373"/>
      <c r="O1090" s="153"/>
      <c r="P1090" s="109"/>
      <c r="Q1090" s="109"/>
      <c r="R1090" s="373"/>
      <c r="S1090" s="153"/>
      <c r="T1090" s="109"/>
      <c r="U1090" s="109"/>
      <c r="V1090" s="373"/>
      <c r="W1090" s="153"/>
      <c r="X1090" s="109"/>
      <c r="Y1090" s="82"/>
      <c r="Z1090" s="83"/>
      <c r="AA1090" s="83"/>
      <c r="AB1090" s="83"/>
      <c r="AC1090" s="82"/>
      <c r="AD1090" s="82"/>
      <c r="AE1090" s="82"/>
      <c r="AF1090" s="82"/>
      <c r="AG1090" s="82"/>
      <c r="AH1090" s="82"/>
      <c r="AI1090" s="82"/>
      <c r="AJ1090" s="82"/>
      <c r="AK1090" s="82"/>
      <c r="AL1090" s="82"/>
      <c r="AM1090" s="82"/>
      <c r="AN1090" s="82"/>
      <c r="AO1090" s="82"/>
      <c r="AP1090" s="82"/>
      <c r="AQ1090" s="82"/>
      <c r="AR1090" s="82"/>
      <c r="AS1090" s="82"/>
    </row>
    <row r="1091" spans="1:45" ht="15.75">
      <c r="A1091" s="84" t="s">
        <v>278</v>
      </c>
      <c r="C1091" s="164">
        <f>C1088+C1089</f>
        <v>1152921</v>
      </c>
      <c r="D1091" s="119"/>
      <c r="E1091" s="120"/>
      <c r="F1091" s="169">
        <f>SUM(F1087:F1089)</f>
        <v>78779</v>
      </c>
      <c r="G1091" s="119"/>
      <c r="H1091" s="120"/>
      <c r="I1091" s="169">
        <f>SUM(I1087:I1089)</f>
        <v>78779</v>
      </c>
      <c r="J1091" s="119"/>
      <c r="K1091" s="120"/>
      <c r="L1091" s="169">
        <f>SUM(L1087:L1090)</f>
        <v>78779</v>
      </c>
      <c r="M1091" s="169"/>
      <c r="N1091" s="119"/>
      <c r="O1091" s="120"/>
      <c r="P1091" s="169">
        <f>SUM(P1087:P1090)</f>
        <v>46211.515780597118</v>
      </c>
      <c r="Q1091" s="169"/>
      <c r="R1091" s="119"/>
      <c r="S1091" s="120"/>
      <c r="T1091" s="169">
        <f>SUM(T1087:T1090)</f>
        <v>6547.1928759689536</v>
      </c>
      <c r="U1091" s="169"/>
      <c r="V1091" s="119"/>
      <c r="W1091" s="120"/>
      <c r="X1091" s="169">
        <f>SUM(X1087:X1090)</f>
        <v>26020.383273433948</v>
      </c>
      <c r="Y1091" s="82"/>
      <c r="Z1091" s="83"/>
      <c r="AA1091" s="83"/>
      <c r="AB1091" s="83"/>
      <c r="AC1091" s="82"/>
      <c r="AD1091" s="82"/>
      <c r="AE1091" s="82"/>
      <c r="AF1091" s="82"/>
      <c r="AG1091" s="82"/>
      <c r="AH1091" s="82"/>
      <c r="AI1091" s="82"/>
      <c r="AJ1091" s="82"/>
      <c r="AK1091" s="82"/>
      <c r="AL1091" s="82"/>
      <c r="AM1091" s="82"/>
      <c r="AN1091" s="82"/>
      <c r="AO1091" s="82"/>
      <c r="AP1091" s="82"/>
      <c r="AQ1091" s="82"/>
      <c r="AR1091" s="82"/>
      <c r="AS1091" s="82"/>
    </row>
    <row r="1092" spans="1:45" ht="15.75">
      <c r="A1092" s="84" t="s">
        <v>279</v>
      </c>
      <c r="C1092" s="164">
        <v>-112849.8625519293</v>
      </c>
      <c r="D1092" s="119"/>
      <c r="E1092" s="120"/>
      <c r="F1092" s="169">
        <f>I1092</f>
        <v>-7756.9963437655988</v>
      </c>
      <c r="G1092" s="119"/>
      <c r="H1092" s="120"/>
      <c r="I1092" s="169">
        <v>-7756.9963437655988</v>
      </c>
      <c r="J1092" s="119"/>
      <c r="K1092" s="120"/>
      <c r="L1092" s="169">
        <f>I1092</f>
        <v>-7756.9963437655988</v>
      </c>
      <c r="M1092" s="169"/>
      <c r="N1092" s="119"/>
      <c r="O1092" s="120"/>
      <c r="P1092" s="169">
        <f>L1092*AB12</f>
        <v>-4550.2245604515701</v>
      </c>
      <c r="Q1092" s="169"/>
      <c r="R1092" s="153"/>
      <c r="S1092" s="153"/>
      <c r="T1092" s="169">
        <f>L1092*AA12</f>
        <v>-644.67043166664428</v>
      </c>
      <c r="U1092" s="169"/>
      <c r="V1092" s="153"/>
      <c r="W1092" s="153"/>
      <c r="X1092" s="169">
        <f>L1092*Z12</f>
        <v>-2562.1013516473863</v>
      </c>
      <c r="Y1092" s="443"/>
      <c r="Z1092" s="168"/>
      <c r="AA1092" s="83"/>
      <c r="AB1092" s="83"/>
      <c r="AC1092" s="82"/>
      <c r="AD1092" s="82"/>
      <c r="AE1092" s="82"/>
      <c r="AF1092" s="82"/>
      <c r="AG1092" s="82"/>
      <c r="AH1092" s="82"/>
      <c r="AI1092" s="82"/>
      <c r="AJ1092" s="82"/>
      <c r="AK1092" s="82"/>
      <c r="AL1092" s="82"/>
      <c r="AM1092" s="82"/>
      <c r="AN1092" s="82"/>
      <c r="AO1092" s="82"/>
      <c r="AP1092" s="82"/>
      <c r="AQ1092" s="82"/>
      <c r="AR1092" s="82"/>
      <c r="AS1092" s="82"/>
    </row>
    <row r="1093" spans="1:45" ht="16.5" thickBot="1">
      <c r="A1093" s="179" t="s">
        <v>3</v>
      </c>
      <c r="B1093" s="179"/>
      <c r="C1093" s="173">
        <f>C1091+C1092</f>
        <v>1040071.1374480707</v>
      </c>
      <c r="D1093" s="383"/>
      <c r="E1093" s="384"/>
      <c r="F1093" s="174">
        <f>F1091+F1092</f>
        <v>71022.003656234403</v>
      </c>
      <c r="G1093" s="385"/>
      <c r="H1093" s="253"/>
      <c r="I1093" s="174">
        <f>I1091+I1092</f>
        <v>71022.003656234403</v>
      </c>
      <c r="J1093" s="385"/>
      <c r="K1093" s="253"/>
      <c r="L1093" s="174">
        <f>L1091+L1092</f>
        <v>71022.003656234403</v>
      </c>
      <c r="M1093" s="175"/>
      <c r="N1093" s="385"/>
      <c r="O1093" s="253"/>
      <c r="P1093" s="174">
        <f>P1091+P1092</f>
        <v>41661.291220145547</v>
      </c>
      <c r="Q1093" s="175"/>
      <c r="R1093" s="385"/>
      <c r="S1093" s="253"/>
      <c r="T1093" s="174">
        <f>T1091+T1092</f>
        <v>5902.5224443023089</v>
      </c>
      <c r="U1093" s="175"/>
      <c r="V1093" s="385"/>
      <c r="W1093" s="253"/>
      <c r="X1093" s="174">
        <f>X1091+X1092</f>
        <v>23458.281921786562</v>
      </c>
      <c r="Y1093" s="176"/>
      <c r="Z1093" s="177"/>
      <c r="AA1093" s="83"/>
      <c r="AB1093" s="83"/>
      <c r="AC1093" s="82"/>
      <c r="AD1093" s="82"/>
      <c r="AE1093" s="82"/>
      <c r="AF1093" s="82"/>
      <c r="AG1093" s="82"/>
      <c r="AH1093" s="82"/>
      <c r="AI1093" s="82"/>
      <c r="AJ1093" s="82"/>
      <c r="AK1093" s="82"/>
      <c r="AL1093" s="82"/>
      <c r="AM1093" s="82"/>
      <c r="AN1093" s="82"/>
      <c r="AO1093" s="82"/>
      <c r="AP1093" s="82"/>
      <c r="AQ1093" s="82"/>
      <c r="AR1093" s="82"/>
      <c r="AS1093" s="82"/>
    </row>
    <row r="1094" spans="1:45" ht="16.5" thickTop="1">
      <c r="A1094" s="380" t="s">
        <v>121</v>
      </c>
      <c r="B1094" s="179"/>
      <c r="C1094" s="298"/>
      <c r="D1094" s="381"/>
      <c r="E1094" s="259"/>
      <c r="F1094" s="137"/>
      <c r="G1094" s="381"/>
      <c r="H1094" s="259"/>
      <c r="I1094" s="137"/>
      <c r="J1094" s="381"/>
      <c r="K1094" s="259"/>
      <c r="L1094" s="137"/>
      <c r="M1094" s="137"/>
      <c r="N1094" s="381"/>
      <c r="O1094" s="259"/>
      <c r="P1094" s="137"/>
      <c r="Q1094" s="137"/>
      <c r="R1094" s="381"/>
      <c r="S1094" s="259"/>
      <c r="T1094" s="137"/>
      <c r="U1094" s="137"/>
      <c r="V1094" s="381"/>
      <c r="W1094" s="259"/>
      <c r="X1094" s="137"/>
      <c r="Y1094" s="176"/>
      <c r="Z1094" s="177"/>
      <c r="AA1094" s="83"/>
      <c r="AB1094" s="83"/>
      <c r="AC1094" s="82"/>
      <c r="AD1094" s="82"/>
      <c r="AE1094" s="82"/>
      <c r="AF1094" s="82"/>
      <c r="AG1094" s="82"/>
      <c r="AH1094" s="82"/>
      <c r="AI1094" s="82"/>
      <c r="AJ1094" s="82"/>
      <c r="AK1094" s="82"/>
      <c r="AL1094" s="82"/>
      <c r="AM1094" s="82"/>
      <c r="AN1094" s="82"/>
      <c r="AO1094" s="82"/>
      <c r="AP1094" s="82"/>
      <c r="AQ1094" s="82"/>
      <c r="AR1094" s="82"/>
      <c r="AS1094" s="82"/>
    </row>
    <row r="1095" spans="1:45" ht="15.75">
      <c r="A1095" s="179"/>
      <c r="B1095" s="179"/>
      <c r="C1095" s="298"/>
      <c r="D1095" s="381"/>
      <c r="E1095" s="259"/>
      <c r="F1095" s="137"/>
      <c r="G1095" s="381"/>
      <c r="H1095" s="259"/>
      <c r="I1095" s="137"/>
      <c r="J1095" s="381"/>
      <c r="K1095" s="259"/>
      <c r="L1095" s="137"/>
      <c r="M1095" s="137"/>
      <c r="N1095" s="381"/>
      <c r="O1095" s="259"/>
      <c r="P1095" s="137"/>
      <c r="Q1095" s="137"/>
      <c r="R1095" s="381"/>
      <c r="S1095" s="259"/>
      <c r="T1095" s="137"/>
      <c r="U1095" s="137"/>
      <c r="V1095" s="381"/>
      <c r="W1095" s="259"/>
      <c r="X1095" s="137"/>
      <c r="Y1095" s="103">
        <f>Y1055</f>
        <v>0.58786795947824033</v>
      </c>
      <c r="Z1095" s="103">
        <f>Z1055</f>
        <v>8.2825357684735992E-2</v>
      </c>
      <c r="AA1095" s="103">
        <f>AA1055</f>
        <v>0.32930668283702352</v>
      </c>
      <c r="AB1095" s="83"/>
      <c r="AC1095" s="82"/>
      <c r="AD1095" s="82"/>
      <c r="AE1095" s="82"/>
      <c r="AF1095" s="82"/>
      <c r="AG1095" s="82"/>
      <c r="AH1095" s="82"/>
      <c r="AI1095" s="82"/>
      <c r="AJ1095" s="82"/>
      <c r="AK1095" s="82"/>
      <c r="AL1095" s="82"/>
      <c r="AM1095" s="82"/>
      <c r="AN1095" s="82"/>
      <c r="AO1095" s="82"/>
      <c r="AP1095" s="82"/>
      <c r="AQ1095" s="82"/>
      <c r="AR1095" s="82"/>
      <c r="AS1095" s="82"/>
    </row>
    <row r="1096" spans="1:45" ht="15.75" hidden="1">
      <c r="A1096" s="179"/>
      <c r="B1096" s="179"/>
      <c r="C1096" s="298"/>
      <c r="D1096" s="381"/>
      <c r="E1096" s="259"/>
      <c r="F1096" s="137"/>
      <c r="G1096" s="381"/>
      <c r="H1096" s="259"/>
      <c r="I1096" s="137"/>
      <c r="J1096" s="381"/>
      <c r="K1096" s="259"/>
      <c r="L1096" s="137"/>
      <c r="M1096" s="137"/>
      <c r="N1096" s="381"/>
      <c r="O1096" s="259"/>
      <c r="P1096" s="137"/>
      <c r="Q1096" s="137"/>
      <c r="R1096" s="381"/>
      <c r="S1096" s="259"/>
      <c r="T1096" s="137"/>
      <c r="U1096" s="137"/>
      <c r="V1096" s="381"/>
      <c r="W1096" s="259"/>
      <c r="X1096" s="137"/>
      <c r="Y1096" s="150">
        <f>L1093*Y1095</f>
        <v>41751.56036744664</v>
      </c>
      <c r="Z1096" s="150">
        <f>L1093*Z1095</f>
        <v>5882.4228563142415</v>
      </c>
      <c r="AA1096" s="150">
        <f>L1093*AA1095</f>
        <v>23388.020432473506</v>
      </c>
      <c r="AB1096" s="83"/>
      <c r="AC1096" s="82"/>
      <c r="AD1096" s="82"/>
      <c r="AE1096" s="82"/>
      <c r="AF1096" s="82"/>
      <c r="AG1096" s="82"/>
      <c r="AH1096" s="82"/>
      <c r="AI1096" s="82"/>
      <c r="AJ1096" s="82"/>
      <c r="AK1096" s="82"/>
      <c r="AL1096" s="82"/>
      <c r="AM1096" s="82"/>
      <c r="AN1096" s="82"/>
      <c r="AO1096" s="82"/>
      <c r="AP1096" s="82"/>
      <c r="AQ1096" s="82"/>
      <c r="AR1096" s="82"/>
      <c r="AS1096" s="82"/>
    </row>
    <row r="1097" spans="1:45" ht="15.75" hidden="1">
      <c r="A1097" s="179"/>
      <c r="B1097" s="179"/>
      <c r="C1097" s="298"/>
      <c r="D1097" s="381" t="s">
        <v>108</v>
      </c>
      <c r="E1097" s="259"/>
      <c r="F1097" s="137"/>
      <c r="G1097" s="381" t="s">
        <v>108</v>
      </c>
      <c r="H1097" s="259"/>
      <c r="I1097" s="137"/>
      <c r="J1097" s="381" t="s">
        <v>108</v>
      </c>
      <c r="K1097" s="259"/>
      <c r="L1097" s="137" t="s">
        <v>108</v>
      </c>
      <c r="M1097" s="137"/>
      <c r="N1097" s="381" t="s">
        <v>108</v>
      </c>
      <c r="O1097" s="259"/>
      <c r="P1097" s="137" t="s">
        <v>108</v>
      </c>
      <c r="Q1097" s="137"/>
      <c r="R1097" s="381" t="s">
        <v>108</v>
      </c>
      <c r="S1097" s="259"/>
      <c r="T1097" s="137" t="s">
        <v>108</v>
      </c>
      <c r="U1097" s="137"/>
      <c r="V1097" s="381" t="s">
        <v>108</v>
      </c>
      <c r="W1097" s="259"/>
      <c r="X1097" s="137" t="s">
        <v>108</v>
      </c>
      <c r="Y1097" s="82"/>
      <c r="Z1097" s="83"/>
      <c r="AA1097" s="83"/>
      <c r="AB1097" s="83"/>
      <c r="AC1097" s="82"/>
      <c r="AD1097" s="82"/>
      <c r="AE1097" s="82"/>
      <c r="AF1097" s="82"/>
      <c r="AG1097" s="82"/>
      <c r="AH1097" s="82"/>
      <c r="AI1097" s="82"/>
      <c r="AJ1097" s="82"/>
      <c r="AK1097" s="82"/>
      <c r="AL1097" s="82"/>
      <c r="AM1097" s="82"/>
      <c r="AN1097" s="82"/>
      <c r="AO1097" s="82"/>
      <c r="AP1097" s="82"/>
      <c r="AQ1097" s="82"/>
      <c r="AR1097" s="82"/>
      <c r="AS1097" s="82"/>
    </row>
    <row r="1098" spans="1:45" ht="15.75">
      <c r="A1098" s="178" t="s">
        <v>302</v>
      </c>
      <c r="B1098" s="179"/>
      <c r="C1098" s="179"/>
      <c r="D1098" s="179"/>
      <c r="E1098" s="179"/>
      <c r="F1098" s="179"/>
      <c r="G1098" s="179"/>
      <c r="H1098" s="179"/>
      <c r="I1098" s="179"/>
      <c r="J1098" s="179"/>
      <c r="K1098" s="179"/>
      <c r="L1098" s="179" t="s">
        <v>108</v>
      </c>
      <c r="M1098" s="179"/>
      <c r="N1098" s="179"/>
      <c r="O1098" s="179"/>
      <c r="P1098" s="179" t="s">
        <v>108</v>
      </c>
      <c r="Q1098" s="179"/>
      <c r="R1098" s="179"/>
      <c r="S1098" s="179"/>
      <c r="T1098" s="179" t="s">
        <v>108</v>
      </c>
      <c r="U1098" s="179"/>
      <c r="V1098" s="179"/>
      <c r="W1098" s="179"/>
      <c r="X1098" s="179" t="s">
        <v>108</v>
      </c>
      <c r="Y1098" s="82"/>
      <c r="Z1098" s="83"/>
      <c r="AA1098" s="83"/>
      <c r="AB1098" s="83"/>
      <c r="AC1098" s="82"/>
      <c r="AD1098" s="82"/>
      <c r="AE1098" s="82"/>
      <c r="AF1098" s="82"/>
      <c r="AG1098" s="82"/>
      <c r="AH1098" s="82"/>
      <c r="AI1098" s="82"/>
      <c r="AJ1098" s="82"/>
      <c r="AK1098" s="82"/>
      <c r="AL1098" s="82"/>
      <c r="AM1098" s="82"/>
      <c r="AN1098" s="82"/>
      <c r="AO1098" s="82"/>
      <c r="AP1098" s="82"/>
      <c r="AQ1098" s="82"/>
      <c r="AR1098" s="82"/>
      <c r="AS1098" s="82"/>
    </row>
    <row r="1099" spans="1:45" ht="15.75">
      <c r="A1099" s="179" t="s">
        <v>303</v>
      </c>
      <c r="B1099" s="179"/>
      <c r="C1099" s="153"/>
      <c r="D1099" s="153"/>
      <c r="E1099" s="153"/>
      <c r="F1099" s="153"/>
      <c r="G1099" s="153"/>
      <c r="H1099" s="153"/>
      <c r="I1099" s="153"/>
      <c r="J1099" s="153"/>
      <c r="K1099" s="153"/>
      <c r="L1099" s="153"/>
      <c r="M1099" s="153"/>
      <c r="N1099" s="153"/>
      <c r="O1099" s="153"/>
      <c r="P1099" s="153"/>
      <c r="Q1099" s="153"/>
      <c r="R1099" s="153"/>
      <c r="S1099" s="153"/>
      <c r="T1099" s="153"/>
      <c r="U1099" s="153"/>
      <c r="V1099" s="153"/>
      <c r="W1099" s="153"/>
      <c r="X1099" s="153"/>
      <c r="Y1099" s="82"/>
      <c r="Z1099" s="83"/>
      <c r="AA1099" s="83"/>
      <c r="AB1099" s="83"/>
      <c r="AC1099" s="82"/>
      <c r="AD1099" s="82"/>
      <c r="AE1099" s="82"/>
      <c r="AF1099" s="82"/>
      <c r="AG1099" s="82"/>
      <c r="AH1099" s="82"/>
      <c r="AI1099" s="82"/>
      <c r="AJ1099" s="82"/>
      <c r="AK1099" s="82"/>
      <c r="AL1099" s="82"/>
      <c r="AM1099" s="82"/>
      <c r="AN1099" s="82"/>
      <c r="AO1099" s="82"/>
      <c r="AP1099" s="82"/>
      <c r="AQ1099" s="82"/>
      <c r="AR1099" s="82"/>
      <c r="AS1099" s="82"/>
    </row>
    <row r="1100" spans="1:45" ht="15.75">
      <c r="A1100" s="179"/>
      <c r="B1100" s="179"/>
      <c r="C1100" s="153"/>
      <c r="D1100" s="153"/>
      <c r="E1100" s="153"/>
      <c r="F1100" s="153"/>
      <c r="G1100" s="153"/>
      <c r="H1100" s="153"/>
      <c r="I1100" s="153"/>
      <c r="J1100" s="153"/>
      <c r="K1100" s="153"/>
      <c r="L1100" s="153"/>
      <c r="M1100" s="153"/>
      <c r="N1100" s="153"/>
      <c r="O1100" s="153"/>
      <c r="P1100" s="153"/>
      <c r="Q1100" s="153"/>
      <c r="R1100" s="153"/>
      <c r="S1100" s="153"/>
      <c r="T1100" s="153"/>
      <c r="U1100" s="153"/>
      <c r="V1100" s="153"/>
      <c r="W1100" s="153"/>
      <c r="X1100" s="153"/>
      <c r="Y1100" s="82"/>
      <c r="Z1100" s="83"/>
      <c r="AA1100" s="83"/>
      <c r="AB1100" s="83"/>
      <c r="AC1100" s="82"/>
      <c r="AD1100" s="82"/>
      <c r="AE1100" s="82"/>
      <c r="AF1100" s="82"/>
      <c r="AG1100" s="82"/>
      <c r="AH1100" s="82"/>
      <c r="AI1100" s="82"/>
      <c r="AJ1100" s="82"/>
      <c r="AK1100" s="82"/>
      <c r="AL1100" s="82"/>
      <c r="AM1100" s="82"/>
      <c r="AN1100" s="82"/>
      <c r="AO1100" s="82"/>
      <c r="AP1100" s="82"/>
      <c r="AQ1100" s="82"/>
      <c r="AR1100" s="82"/>
      <c r="AS1100" s="82"/>
    </row>
    <row r="1101" spans="1:45" ht="15.75">
      <c r="A1101" s="179" t="s">
        <v>304</v>
      </c>
      <c r="B1101" s="179"/>
      <c r="C1101" s="152">
        <v>178</v>
      </c>
      <c r="D1101" s="186">
        <v>3.75</v>
      </c>
      <c r="E1101" s="153"/>
      <c r="F1101" s="109">
        <f>ROUND(D1101*C1101,0)</f>
        <v>668</v>
      </c>
      <c r="G1101" s="186">
        <v>3.75</v>
      </c>
      <c r="H1101" s="153"/>
      <c r="I1101" s="109">
        <f>ROUND(C1101*G1101,0)</f>
        <v>668</v>
      </c>
      <c r="J1101" s="186">
        <v>3.75</v>
      </c>
      <c r="K1101" s="153"/>
      <c r="L1101" s="109">
        <f>ROUND(J1101*$C1101,0)</f>
        <v>668</v>
      </c>
      <c r="M1101" s="109"/>
      <c r="N1101" s="186">
        <v>3.75</v>
      </c>
      <c r="O1101" s="153"/>
      <c r="P1101" s="109">
        <f>ROUND(N1101*$C1101,0)</f>
        <v>668</v>
      </c>
      <c r="Q1101" s="109"/>
      <c r="R1101" s="186"/>
      <c r="S1101" s="153"/>
      <c r="T1101" s="109"/>
      <c r="U1101" s="109"/>
      <c r="V1101" s="186"/>
      <c r="W1101" s="153"/>
      <c r="X1101" s="109"/>
      <c r="Y1101" s="82"/>
      <c r="Z1101" s="386"/>
      <c r="AA1101" s="386"/>
      <c r="AB1101" s="386"/>
      <c r="AC1101" s="82"/>
      <c r="AD1101" s="82"/>
      <c r="AE1101" s="82"/>
      <c r="AF1101" s="82"/>
      <c r="AG1101" s="82"/>
      <c r="AH1101" s="82"/>
      <c r="AI1101" s="82"/>
      <c r="AJ1101" s="82"/>
      <c r="AK1101" s="82"/>
      <c r="AL1101" s="82"/>
      <c r="AM1101" s="82"/>
      <c r="AN1101" s="82"/>
      <c r="AO1101" s="82"/>
      <c r="AP1101" s="82"/>
      <c r="AQ1101" s="82"/>
      <c r="AR1101" s="82"/>
      <c r="AS1101" s="82"/>
    </row>
    <row r="1102" spans="1:45" ht="15.75">
      <c r="A1102" s="179" t="s">
        <v>305</v>
      </c>
      <c r="B1102" s="179"/>
      <c r="C1102" s="152">
        <v>181.73333333333301</v>
      </c>
      <c r="D1102" s="186">
        <v>6.75</v>
      </c>
      <c r="E1102" s="153"/>
      <c r="F1102" s="109">
        <f>ROUND(D1102*C1102,0)</f>
        <v>1227</v>
      </c>
      <c r="G1102" s="186">
        <v>6.75</v>
      </c>
      <c r="H1102" s="153"/>
      <c r="I1102" s="109">
        <f>ROUND(C1102*G1102,0)</f>
        <v>1227</v>
      </c>
      <c r="J1102" s="186">
        <v>6.75</v>
      </c>
      <c r="K1102" s="153"/>
      <c r="L1102" s="109">
        <f>ROUND(J1102*$C1102,0)</f>
        <v>1227</v>
      </c>
      <c r="M1102" s="109"/>
      <c r="N1102" s="186">
        <v>6.75</v>
      </c>
      <c r="O1102" s="153"/>
      <c r="P1102" s="109">
        <f>ROUND(N1102*$C1102,0)</f>
        <v>1227</v>
      </c>
      <c r="Q1102" s="109"/>
      <c r="R1102" s="186"/>
      <c r="S1102" s="153"/>
      <c r="T1102" s="109"/>
      <c r="U1102" s="109"/>
      <c r="V1102" s="186"/>
      <c r="W1102" s="153"/>
      <c r="X1102" s="109"/>
      <c r="Y1102" s="82"/>
      <c r="Z1102" s="386"/>
      <c r="AA1102" s="386"/>
      <c r="AB1102" s="386"/>
      <c r="AC1102" s="82"/>
      <c r="AD1102" s="82"/>
      <c r="AE1102" s="82"/>
      <c r="AF1102" s="82"/>
      <c r="AG1102" s="82"/>
      <c r="AH1102" s="82"/>
      <c r="AI1102" s="82"/>
      <c r="AJ1102" s="82"/>
      <c r="AK1102" s="82"/>
      <c r="AL1102" s="82"/>
      <c r="AM1102" s="82"/>
      <c r="AN1102" s="82"/>
      <c r="AO1102" s="82"/>
      <c r="AP1102" s="82"/>
      <c r="AQ1102" s="82"/>
      <c r="AR1102" s="82"/>
      <c r="AS1102" s="82"/>
    </row>
    <row r="1103" spans="1:45" ht="15.75">
      <c r="A1103" s="179" t="s">
        <v>306</v>
      </c>
      <c r="B1103" s="179"/>
      <c r="C1103" s="152">
        <f>SUM(C1101:C1102)</f>
        <v>359.73333333333301</v>
      </c>
      <c r="D1103" s="188"/>
      <c r="E1103" s="153"/>
      <c r="F1103" s="372"/>
      <c r="G1103" s="188"/>
      <c r="H1103" s="153"/>
      <c r="I1103" s="372"/>
      <c r="J1103" s="188"/>
      <c r="K1103" s="153"/>
      <c r="L1103" s="109"/>
      <c r="M1103" s="109"/>
      <c r="N1103" s="188"/>
      <c r="O1103" s="153"/>
      <c r="P1103" s="109"/>
      <c r="Q1103" s="109"/>
      <c r="R1103" s="188"/>
      <c r="S1103" s="153"/>
      <c r="T1103" s="109"/>
      <c r="U1103" s="109"/>
      <c r="V1103" s="188"/>
      <c r="W1103" s="153"/>
      <c r="X1103" s="109"/>
      <c r="Y1103" s="82"/>
      <c r="Z1103" s="386"/>
      <c r="AA1103" s="386"/>
      <c r="AB1103" s="386"/>
      <c r="AC1103" s="82"/>
      <c r="AD1103" s="82"/>
      <c r="AE1103" s="82"/>
      <c r="AF1103" s="82"/>
      <c r="AG1103" s="82"/>
      <c r="AH1103" s="82"/>
      <c r="AI1103" s="82"/>
      <c r="AJ1103" s="82"/>
      <c r="AK1103" s="82"/>
      <c r="AL1103" s="82"/>
      <c r="AM1103" s="82"/>
      <c r="AN1103" s="82"/>
      <c r="AO1103" s="82"/>
      <c r="AP1103" s="82"/>
      <c r="AQ1103" s="82"/>
      <c r="AR1103" s="82"/>
      <c r="AS1103" s="82"/>
    </row>
    <row r="1104" spans="1:45" ht="15.75">
      <c r="A1104" s="179" t="s">
        <v>219</v>
      </c>
      <c r="B1104" s="179"/>
      <c r="C1104" s="152">
        <v>295386</v>
      </c>
      <c r="D1104" s="291">
        <v>8.1110000000000007</v>
      </c>
      <c r="E1104" s="153" t="s">
        <v>116</v>
      </c>
      <c r="F1104" s="372">
        <f>ROUND(C1104*D1104/100,0)</f>
        <v>23959</v>
      </c>
      <c r="G1104" s="291">
        <v>8.1110000000000007</v>
      </c>
      <c r="H1104" s="109" t="s">
        <v>116</v>
      </c>
      <c r="I1104" s="372">
        <f>ROUND(G1104*C1104/100,0)</f>
        <v>23959</v>
      </c>
      <c r="J1104" s="291">
        <f>G1104</f>
        <v>8.1110000000000007</v>
      </c>
      <c r="K1104" s="109" t="s">
        <v>116</v>
      </c>
      <c r="L1104" s="109">
        <f>ROUND(J1104*$C1104/100,0)</f>
        <v>23959</v>
      </c>
      <c r="M1104" s="109"/>
      <c r="N1104" s="291">
        <f>J1104*AB12</f>
        <v>4.7578817591534941</v>
      </c>
      <c r="O1104" s="109" t="s">
        <v>116</v>
      </c>
      <c r="P1104" s="109">
        <f>N1104*C1104/100</f>
        <v>14054.11661309314</v>
      </c>
      <c r="Q1104" s="109"/>
      <c r="R1104" s="291">
        <f>J1104*AA12</f>
        <v>0.67409105786812773</v>
      </c>
      <c r="S1104" s="109" t="s">
        <v>116</v>
      </c>
      <c r="T1104" s="109">
        <f>R1104*C1104/100</f>
        <v>1991.1706121943478</v>
      </c>
      <c r="U1104" s="109"/>
      <c r="V1104" s="291">
        <f>J1104*Z12</f>
        <v>2.6790271829783805</v>
      </c>
      <c r="W1104" s="109" t="s">
        <v>116</v>
      </c>
      <c r="X1104" s="109">
        <f>V1104*C1104/100</f>
        <v>7913.4712347125196</v>
      </c>
      <c r="Y1104" s="82"/>
      <c r="Z1104" s="386"/>
      <c r="AA1104" s="386"/>
      <c r="AB1104" s="386"/>
      <c r="AC1104" s="82"/>
      <c r="AD1104" s="82"/>
      <c r="AE1104" s="82"/>
      <c r="AF1104" s="82"/>
      <c r="AG1104" s="82"/>
      <c r="AH1104" s="82"/>
      <c r="AI1104" s="82"/>
      <c r="AJ1104" s="82"/>
      <c r="AK1104" s="82"/>
      <c r="AL1104" s="82"/>
      <c r="AM1104" s="82"/>
      <c r="AN1104" s="82"/>
      <c r="AO1104" s="82"/>
      <c r="AP1104" s="82"/>
      <c r="AQ1104" s="82"/>
      <c r="AR1104" s="82"/>
      <c r="AS1104" s="82"/>
    </row>
    <row r="1105" spans="1:45" ht="15.75">
      <c r="A1105" s="179" t="s">
        <v>134</v>
      </c>
      <c r="B1105" s="179"/>
      <c r="C1105" s="152">
        <f>SUM(C1104)</f>
        <v>295386</v>
      </c>
      <c r="D1105" s="152"/>
      <c r="E1105" s="152"/>
      <c r="F1105" s="372">
        <f>SUM(F1101:F1104)</f>
        <v>25854</v>
      </c>
      <c r="G1105" s="152"/>
      <c r="H1105" s="109"/>
      <c r="I1105" s="372">
        <f>SUM(I1101:I1104)</f>
        <v>25854</v>
      </c>
      <c r="J1105" s="152"/>
      <c r="K1105" s="109"/>
      <c r="L1105" s="372">
        <f>SUM(L1101:L1104)</f>
        <v>25854</v>
      </c>
      <c r="M1105" s="372"/>
      <c r="N1105" s="152"/>
      <c r="O1105" s="109"/>
      <c r="P1105" s="372">
        <f>SUM(P1101:P1104)</f>
        <v>15949.11661309314</v>
      </c>
      <c r="Q1105" s="372"/>
      <c r="R1105" s="152"/>
      <c r="S1105" s="109"/>
      <c r="T1105" s="372">
        <f>SUM(T1101:T1104)</f>
        <v>1991.1706121943478</v>
      </c>
      <c r="U1105" s="372"/>
      <c r="V1105" s="152"/>
      <c r="W1105" s="109"/>
      <c r="X1105" s="372">
        <f>SUM(X1101:X1104)</f>
        <v>7913.4712347125196</v>
      </c>
      <c r="Y1105" s="82"/>
      <c r="Z1105" s="83"/>
      <c r="AA1105" s="83"/>
      <c r="AB1105" s="83"/>
      <c r="AC1105" s="82"/>
      <c r="AD1105" s="82"/>
      <c r="AE1105" s="82"/>
      <c r="AF1105" s="82"/>
      <c r="AG1105" s="82"/>
      <c r="AH1105" s="82"/>
      <c r="AI1105" s="82"/>
      <c r="AJ1105" s="82"/>
      <c r="AK1105" s="82"/>
      <c r="AL1105" s="82"/>
      <c r="AM1105" s="82"/>
      <c r="AN1105" s="82"/>
      <c r="AO1105" s="82"/>
      <c r="AP1105" s="82"/>
      <c r="AQ1105" s="82"/>
      <c r="AR1105" s="82"/>
      <c r="AS1105" s="82"/>
    </row>
    <row r="1106" spans="1:45" ht="15.75">
      <c r="A1106" s="179" t="s">
        <v>119</v>
      </c>
      <c r="B1106" s="179"/>
      <c r="C1106" s="387">
        <v>-835.54696208078599</v>
      </c>
      <c r="D1106" s="388"/>
      <c r="E1106" s="388"/>
      <c r="F1106" s="389">
        <f>I1106</f>
        <v>-63.975508227073483</v>
      </c>
      <c r="G1106" s="390"/>
      <c r="H1106" s="390"/>
      <c r="I1106" s="389">
        <v>-63.975508227073483</v>
      </c>
      <c r="J1106" s="390"/>
      <c r="K1106" s="390"/>
      <c r="L1106" s="389">
        <f>I1106</f>
        <v>-63.975508227073483</v>
      </c>
      <c r="M1106" s="391"/>
      <c r="N1106" s="390"/>
      <c r="O1106" s="390"/>
      <c r="P1106" s="389">
        <f>L1106*AB12</f>
        <v>-37.527789868840735</v>
      </c>
      <c r="Q1106" s="169"/>
      <c r="R1106" s="153"/>
      <c r="S1106" s="153"/>
      <c r="T1106" s="389">
        <f>L1106*AA12</f>
        <v>-5.3168928638193895</v>
      </c>
      <c r="U1106" s="169"/>
      <c r="V1106" s="153"/>
      <c r="W1106" s="153"/>
      <c r="X1106" s="389">
        <f>L1106*Z12</f>
        <v>-21.130825494413376</v>
      </c>
      <c r="Y1106" s="296"/>
      <c r="Z1106" s="297"/>
      <c r="AA1106" s="83"/>
      <c r="AB1106" s="83"/>
      <c r="AC1106" s="82"/>
      <c r="AD1106" s="82"/>
      <c r="AE1106" s="82"/>
      <c r="AF1106" s="82"/>
      <c r="AG1106" s="82"/>
      <c r="AH1106" s="82"/>
      <c r="AI1106" s="82"/>
      <c r="AJ1106" s="82"/>
      <c r="AK1106" s="82"/>
      <c r="AL1106" s="82"/>
      <c r="AM1106" s="82"/>
      <c r="AN1106" s="82"/>
      <c r="AO1106" s="82"/>
      <c r="AP1106" s="82"/>
      <c r="AQ1106" s="82"/>
      <c r="AR1106" s="82"/>
      <c r="AS1106" s="82"/>
    </row>
    <row r="1107" spans="1:45" ht="16.5" thickBot="1">
      <c r="A1107" s="179" t="s">
        <v>135</v>
      </c>
      <c r="B1107" s="179"/>
      <c r="C1107" s="392">
        <f>C1105+C1106</f>
        <v>294550.45303791919</v>
      </c>
      <c r="D1107" s="253"/>
      <c r="E1107" s="253"/>
      <c r="F1107" s="175">
        <f>F1105+F1106</f>
        <v>25790.024491772925</v>
      </c>
      <c r="G1107" s="253"/>
      <c r="H1107" s="253"/>
      <c r="I1107" s="175">
        <f>I1105+I1106</f>
        <v>25790.024491772925</v>
      </c>
      <c r="J1107" s="253"/>
      <c r="K1107" s="253"/>
      <c r="L1107" s="175">
        <f>L1105+L1106</f>
        <v>25790.024491772925</v>
      </c>
      <c r="M1107" s="175"/>
      <c r="N1107" s="253"/>
      <c r="O1107" s="253"/>
      <c r="P1107" s="175">
        <f>P1105+P1106</f>
        <v>15911.5888232243</v>
      </c>
      <c r="Q1107" s="175"/>
      <c r="R1107" s="253"/>
      <c r="S1107" s="253"/>
      <c r="T1107" s="175">
        <f>T1105+T1106</f>
        <v>1985.8537193305283</v>
      </c>
      <c r="U1107" s="175"/>
      <c r="V1107" s="253"/>
      <c r="W1107" s="253"/>
      <c r="X1107" s="175">
        <f>X1105+X1106</f>
        <v>7892.3404092181063</v>
      </c>
      <c r="Y1107" s="363" t="s">
        <v>162</v>
      </c>
      <c r="Z1107" s="144">
        <f>I1107</f>
        <v>25790.024491772925</v>
      </c>
      <c r="AA1107" s="145">
        <f>(L1107-I1107)/I1107</f>
        <v>0</v>
      </c>
      <c r="AB1107" s="83"/>
      <c r="AC1107" s="82"/>
      <c r="AD1107" s="82"/>
      <c r="AE1107" s="82"/>
      <c r="AF1107" s="82"/>
      <c r="AG1107" s="82"/>
      <c r="AH1107" s="82"/>
      <c r="AI1107" s="82"/>
      <c r="AJ1107" s="82"/>
      <c r="AK1107" s="82"/>
      <c r="AL1107" s="82"/>
      <c r="AM1107" s="82"/>
      <c r="AN1107" s="82"/>
      <c r="AO1107" s="82"/>
      <c r="AP1107" s="82"/>
      <c r="AQ1107" s="82"/>
      <c r="AR1107" s="82"/>
      <c r="AS1107" s="82"/>
    </row>
    <row r="1108" spans="1:45" ht="16.5" thickTop="1">
      <c r="A1108" s="179"/>
      <c r="B1108" s="204"/>
      <c r="C1108" s="179"/>
      <c r="D1108" s="179" t="s">
        <v>108</v>
      </c>
      <c r="E1108" s="179"/>
      <c r="F1108" s="179"/>
      <c r="G1108" s="179" t="s">
        <v>108</v>
      </c>
      <c r="H1108" s="179"/>
      <c r="I1108" s="179"/>
      <c r="J1108" s="179" t="s">
        <v>108</v>
      </c>
      <c r="K1108" s="179"/>
      <c r="L1108" s="106" t="s">
        <v>108</v>
      </c>
      <c r="M1108" s="106"/>
      <c r="N1108" s="179" t="s">
        <v>108</v>
      </c>
      <c r="O1108" s="179"/>
      <c r="P1108" s="106" t="s">
        <v>108</v>
      </c>
      <c r="Q1108" s="106"/>
      <c r="R1108" s="179" t="s">
        <v>108</v>
      </c>
      <c r="S1108" s="179"/>
      <c r="T1108" s="106" t="s">
        <v>108</v>
      </c>
      <c r="U1108" s="106"/>
      <c r="V1108" s="179" t="s">
        <v>108</v>
      </c>
      <c r="W1108" s="179"/>
      <c r="X1108" s="106" t="s">
        <v>108</v>
      </c>
      <c r="Y1108" s="369" t="s">
        <v>122</v>
      </c>
      <c r="Z1108" s="155">
        <f>Z1107-L1107</f>
        <v>0</v>
      </c>
      <c r="AA1108" s="300" t="s">
        <v>108</v>
      </c>
      <c r="AB1108" s="158"/>
      <c r="AC1108" s="82"/>
      <c r="AD1108" s="82"/>
      <c r="AE1108" s="82"/>
      <c r="AF1108" s="82"/>
      <c r="AG1108" s="82"/>
      <c r="AH1108" s="82"/>
      <c r="AI1108" s="82"/>
      <c r="AJ1108" s="82"/>
      <c r="AK1108" s="82"/>
      <c r="AL1108" s="82"/>
      <c r="AM1108" s="82"/>
      <c r="AN1108" s="82"/>
      <c r="AO1108" s="82"/>
      <c r="AP1108" s="82"/>
      <c r="AQ1108" s="82"/>
      <c r="AR1108" s="82"/>
      <c r="AS1108" s="82"/>
    </row>
    <row r="1109" spans="1:45" ht="15.75" hidden="1">
      <c r="A1109" s="179"/>
      <c r="B1109" s="204"/>
      <c r="C1109" s="179"/>
      <c r="D1109" s="179"/>
      <c r="E1109" s="179"/>
      <c r="F1109" s="179"/>
      <c r="G1109" s="179"/>
      <c r="H1109" s="179"/>
      <c r="I1109" s="179"/>
      <c r="J1109" s="179"/>
      <c r="K1109" s="179"/>
      <c r="L1109" s="106"/>
      <c r="M1109" s="106"/>
      <c r="N1109" s="179"/>
      <c r="O1109" s="179"/>
      <c r="P1109" s="106"/>
      <c r="Q1109" s="106"/>
      <c r="R1109" s="179"/>
      <c r="S1109" s="179"/>
      <c r="T1109" s="106"/>
      <c r="U1109" s="106"/>
      <c r="V1109" s="179"/>
      <c r="W1109" s="179"/>
      <c r="X1109" s="106"/>
      <c r="Y1109" s="103">
        <f>Y29</f>
        <v>0.58786795947824033</v>
      </c>
      <c r="Z1109" s="103">
        <f>Z29</f>
        <v>8.2825357684735992E-2</v>
      </c>
      <c r="AA1109" s="103">
        <f>AA29</f>
        <v>0.32930668283702352</v>
      </c>
      <c r="AB1109" s="158"/>
      <c r="AC1109" s="82"/>
      <c r="AD1109" s="82"/>
      <c r="AE1109" s="82"/>
      <c r="AF1109" s="82"/>
      <c r="AG1109" s="82"/>
      <c r="AH1109" s="82"/>
      <c r="AI1109" s="82"/>
      <c r="AJ1109" s="82"/>
      <c r="AK1109" s="82"/>
      <c r="AL1109" s="82"/>
      <c r="AM1109" s="82"/>
      <c r="AN1109" s="82"/>
      <c r="AO1109" s="82"/>
      <c r="AP1109" s="82"/>
      <c r="AQ1109" s="82"/>
      <c r="AR1109" s="82"/>
      <c r="AS1109" s="82"/>
    </row>
    <row r="1110" spans="1:45" ht="15.75" hidden="1">
      <c r="A1110" s="179"/>
      <c r="B1110" s="204"/>
      <c r="C1110" s="179"/>
      <c r="D1110" s="179"/>
      <c r="E1110" s="179"/>
      <c r="F1110" s="179"/>
      <c r="G1110" s="179"/>
      <c r="H1110" s="179"/>
      <c r="I1110" s="179"/>
      <c r="J1110" s="179"/>
      <c r="K1110" s="179"/>
      <c r="L1110" s="106"/>
      <c r="M1110" s="106"/>
      <c r="N1110" s="179"/>
      <c r="O1110" s="179"/>
      <c r="P1110" s="106"/>
      <c r="Q1110" s="106"/>
      <c r="R1110" s="179"/>
      <c r="S1110" s="179"/>
      <c r="T1110" s="106"/>
      <c r="U1110" s="106"/>
      <c r="V1110" s="179"/>
      <c r="W1110" s="179"/>
      <c r="X1110" s="106"/>
      <c r="Y1110" s="150">
        <f>L1107*Y1109</f>
        <v>15161.129072872392</v>
      </c>
      <c r="Z1110" s="150">
        <f>L1107*Z1109</f>
        <v>2136.0680032291939</v>
      </c>
      <c r="AA1110" s="150">
        <f>L1107*AA1109</f>
        <v>8492.827415671336</v>
      </c>
      <c r="AB1110" s="158"/>
      <c r="AC1110" s="82"/>
      <c r="AD1110" s="82"/>
      <c r="AE1110" s="82"/>
      <c r="AF1110" s="82"/>
      <c r="AG1110" s="82"/>
      <c r="AH1110" s="82"/>
      <c r="AI1110" s="82"/>
      <c r="AJ1110" s="82"/>
      <c r="AK1110" s="82"/>
      <c r="AL1110" s="82"/>
      <c r="AM1110" s="82"/>
      <c r="AN1110" s="82"/>
      <c r="AO1110" s="82"/>
      <c r="AP1110" s="82"/>
      <c r="AQ1110" s="82"/>
      <c r="AR1110" s="82"/>
      <c r="AS1110" s="82"/>
    </row>
    <row r="1111" spans="1:45" ht="15.75">
      <c r="A1111" s="100" t="s">
        <v>307</v>
      </c>
      <c r="B1111" s="193"/>
      <c r="C1111" s="193"/>
      <c r="D1111" s="193"/>
      <c r="E1111" s="193"/>
      <c r="F1111" s="193"/>
      <c r="G1111" s="193"/>
      <c r="H1111" s="193"/>
      <c r="I1111" s="193"/>
      <c r="J1111" s="193"/>
      <c r="K1111" s="193"/>
      <c r="L1111" s="193"/>
      <c r="M1111" s="193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82"/>
      <c r="Z1111" s="83"/>
      <c r="AA1111" s="83"/>
      <c r="AB1111" s="83"/>
      <c r="AC1111" s="82"/>
      <c r="AD1111" s="82"/>
      <c r="AE1111" s="82"/>
      <c r="AF1111" s="82"/>
      <c r="AG1111" s="82"/>
      <c r="AH1111" s="82"/>
      <c r="AI1111" s="82"/>
      <c r="AJ1111" s="82"/>
      <c r="AK1111" s="82"/>
      <c r="AL1111" s="82"/>
      <c r="AM1111" s="82"/>
      <c r="AN1111" s="82"/>
      <c r="AO1111" s="82"/>
      <c r="AP1111" s="82"/>
      <c r="AQ1111" s="82"/>
      <c r="AR1111" s="82"/>
      <c r="AS1111" s="82"/>
    </row>
    <row r="1112" spans="1:45" ht="15.75">
      <c r="A1112" s="193" t="s">
        <v>308</v>
      </c>
      <c r="B1112" s="193"/>
      <c r="C1112" s="193"/>
      <c r="D1112" s="193"/>
      <c r="E1112" s="193"/>
      <c r="F1112" s="193"/>
      <c r="G1112" s="193"/>
      <c r="H1112" s="193"/>
      <c r="I1112" s="193"/>
      <c r="J1112" s="193"/>
      <c r="K1112" s="193"/>
      <c r="L1112" s="193"/>
      <c r="M1112" s="193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59"/>
      <c r="Z1112" s="159"/>
      <c r="AA1112" s="159"/>
      <c r="AB1112" s="159"/>
      <c r="AC1112" s="159"/>
      <c r="AD1112" s="159"/>
      <c r="AE1112" s="159"/>
      <c r="AF1112" s="159"/>
      <c r="AG1112" s="159"/>
      <c r="AH1112" s="159"/>
      <c r="AI1112" s="159"/>
      <c r="AJ1112" s="159"/>
      <c r="AK1112" s="159"/>
      <c r="AL1112" s="159"/>
      <c r="AM1112" s="159"/>
      <c r="AN1112" s="159"/>
      <c r="AO1112" s="82"/>
      <c r="AP1112" s="82"/>
      <c r="AQ1112" s="82"/>
      <c r="AR1112" s="82"/>
      <c r="AS1112" s="82"/>
    </row>
    <row r="1113" spans="1:45" ht="15.75">
      <c r="A1113" s="393" t="s">
        <v>309</v>
      </c>
      <c r="B1113" s="193"/>
      <c r="C1113" s="193"/>
      <c r="D1113" s="193"/>
      <c r="E1113" s="193"/>
      <c r="F1113" s="193"/>
      <c r="G1113" s="193"/>
      <c r="H1113" s="193"/>
      <c r="I1113" s="193"/>
      <c r="J1113" s="193"/>
      <c r="K1113" s="193"/>
      <c r="L1113" s="193"/>
      <c r="M1113" s="193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59"/>
      <c r="Z1113" s="159"/>
      <c r="AA1113" s="159"/>
      <c r="AB1113" s="159"/>
      <c r="AC1113" s="159"/>
      <c r="AD1113" s="159"/>
      <c r="AE1113" s="159"/>
      <c r="AF1113" s="159"/>
      <c r="AG1113" s="159"/>
      <c r="AH1113" s="159"/>
      <c r="AI1113" s="159"/>
      <c r="AJ1113" s="159"/>
      <c r="AK1113" s="159"/>
      <c r="AL1113" s="159"/>
      <c r="AM1113" s="159"/>
      <c r="AN1113" s="159"/>
      <c r="AO1113" s="82"/>
      <c r="AP1113" s="82"/>
      <c r="AQ1113" s="82"/>
      <c r="AR1113" s="82"/>
      <c r="AS1113" s="82"/>
    </row>
    <row r="1114" spans="1:45" ht="15.75">
      <c r="A1114" s="84" t="s">
        <v>310</v>
      </c>
      <c r="C1114" s="108"/>
      <c r="D1114" s="108"/>
      <c r="E1114" s="108"/>
      <c r="F1114" s="109"/>
      <c r="G1114" s="108"/>
      <c r="H1114" s="108"/>
      <c r="I1114" s="109"/>
      <c r="J1114" s="108"/>
      <c r="K1114" s="108"/>
      <c r="L1114" s="108"/>
      <c r="M1114" s="108"/>
      <c r="N1114" s="108"/>
      <c r="O1114" s="108"/>
      <c r="P1114" s="108"/>
      <c r="Q1114" s="108"/>
      <c r="R1114" s="108"/>
      <c r="S1114" s="108"/>
      <c r="T1114" s="108"/>
      <c r="U1114" s="108"/>
      <c r="V1114" s="108"/>
      <c r="W1114" s="108"/>
      <c r="X1114" s="108"/>
      <c r="Y1114" s="159"/>
      <c r="Z1114" s="159"/>
      <c r="AA1114" s="83"/>
      <c r="AB1114" s="83"/>
      <c r="AC1114" s="160"/>
      <c r="AD1114" s="160"/>
      <c r="AE1114" s="161"/>
      <c r="AF1114" s="161"/>
      <c r="AG1114" s="161"/>
      <c r="AH1114" s="161"/>
      <c r="AI1114" s="394"/>
      <c r="AJ1114" s="163"/>
      <c r="AK1114" s="159"/>
      <c r="AL1114" s="159"/>
      <c r="AM1114" s="159"/>
      <c r="AN1114" s="159"/>
      <c r="AO1114" s="82"/>
      <c r="AP1114" s="82"/>
      <c r="AQ1114" s="82"/>
      <c r="AR1114" s="82"/>
      <c r="AS1114" s="82"/>
    </row>
    <row r="1115" spans="1:45" ht="15.75">
      <c r="A1115" s="84" t="s">
        <v>107</v>
      </c>
      <c r="C1115" s="164">
        <v>13341.9529241649</v>
      </c>
      <c r="D1115" s="107">
        <v>9.75</v>
      </c>
      <c r="E1115" s="108"/>
      <c r="F1115" s="109">
        <f>ROUND(D1115*$C1115,0)</f>
        <v>130084</v>
      </c>
      <c r="G1115" s="107">
        <v>9.75</v>
      </c>
      <c r="H1115" s="108"/>
      <c r="I1115" s="109">
        <f>ROUND(C1115*G1115,0)</f>
        <v>130084</v>
      </c>
      <c r="J1115" s="107">
        <f>G1115</f>
        <v>9.75</v>
      </c>
      <c r="K1115" s="108"/>
      <c r="L1115" s="109">
        <f>ROUND(J1115*$C1115,0)</f>
        <v>130084</v>
      </c>
      <c r="M1115" s="109"/>
      <c r="N1115" s="107">
        <f>$J1115*$AB$12</f>
        <v>5.7193129271047418</v>
      </c>
      <c r="O1115" s="108"/>
      <c r="P1115" s="109">
        <f>ROUND(N1115*$C1115,0)</f>
        <v>76307</v>
      </c>
      <c r="Q1115" s="109"/>
      <c r="R1115" s="107">
        <f>$J1115*$AA$12</f>
        <v>0.81030548812899095</v>
      </c>
      <c r="S1115" s="108"/>
      <c r="T1115" s="109">
        <f>ROUND(R1115*$C1115,0)</f>
        <v>10811</v>
      </c>
      <c r="U1115" s="109"/>
      <c r="V1115" s="107">
        <f>$J1115*$Z$12</f>
        <v>3.2203815847662693</v>
      </c>
      <c r="W1115" s="108"/>
      <c r="X1115" s="109">
        <f>ROUND(V1115*$C1115,0)</f>
        <v>42966</v>
      </c>
      <c r="Y1115" s="82"/>
      <c r="Z1115" s="162"/>
      <c r="AA1115" s="83"/>
      <c r="AB1115" s="83"/>
      <c r="AC1115" s="360"/>
      <c r="AD1115" s="360"/>
      <c r="AE1115" s="165"/>
      <c r="AF1115" s="165"/>
      <c r="AG1115" s="165"/>
      <c r="AH1115" s="165"/>
      <c r="AI1115" s="166"/>
      <c r="AJ1115" s="159"/>
      <c r="AK1115" s="162"/>
      <c r="AL1115" s="162"/>
      <c r="AM1115" s="395"/>
      <c r="AN1115" s="162"/>
      <c r="AO1115" s="82"/>
      <c r="AP1115" s="82"/>
      <c r="AQ1115" s="82"/>
      <c r="AR1115" s="82"/>
      <c r="AS1115" s="82"/>
    </row>
    <row r="1116" spans="1:45" ht="15.75">
      <c r="A1116" s="84" t="s">
        <v>109</v>
      </c>
      <c r="C1116" s="164">
        <v>1917.0889268557601</v>
      </c>
      <c r="D1116" s="107">
        <v>17.850000000000001</v>
      </c>
      <c r="E1116" s="108"/>
      <c r="F1116" s="109">
        <f>ROUND(D1116*$C1116,0)</f>
        <v>34220</v>
      </c>
      <c r="G1116" s="107">
        <v>17.850000000000001</v>
      </c>
      <c r="H1116" s="108"/>
      <c r="I1116" s="109">
        <f t="shared" ref="I1116:I1120" si="206">ROUND(C1116*G1116,0)</f>
        <v>34220</v>
      </c>
      <c r="J1116" s="107">
        <f t="shared" ref="J1116:J1142" si="207">G1116</f>
        <v>17.850000000000001</v>
      </c>
      <c r="K1116" s="108"/>
      <c r="L1116" s="109">
        <f>ROUND(J1116*$C1116,0)</f>
        <v>34220</v>
      </c>
      <c r="M1116" s="109"/>
      <c r="N1116" s="107">
        <f t="shared" ref="N1116:N1139" si="208">$J1116*$AB$12</f>
        <v>10.470742128084067</v>
      </c>
      <c r="O1116" s="108"/>
      <c r="P1116" s="109">
        <f>ROUND(N1116*$C1116,0)</f>
        <v>20073</v>
      </c>
      <c r="Q1116" s="109"/>
      <c r="R1116" s="107">
        <f t="shared" ref="R1116:R1139" si="209">$J1116*$AA$12</f>
        <v>1.4834823551899989</v>
      </c>
      <c r="S1116" s="108"/>
      <c r="T1116" s="109">
        <f>ROUND(R1116*$C1116,0)</f>
        <v>2844</v>
      </c>
      <c r="U1116" s="109"/>
      <c r="V1116" s="107">
        <f t="shared" ref="V1116:V1139" si="210">$J1116*$Z$12</f>
        <v>5.8957755167259398</v>
      </c>
      <c r="W1116" s="108"/>
      <c r="X1116" s="109">
        <f>ROUND(V1116*$C1116,0)</f>
        <v>11303</v>
      </c>
      <c r="Y1116" s="82"/>
      <c r="Z1116" s="162"/>
      <c r="AA1116" s="83"/>
      <c r="AB1116" s="83"/>
      <c r="AC1116" s="360"/>
      <c r="AD1116" s="360"/>
      <c r="AE1116" s="165"/>
      <c r="AF1116" s="165"/>
      <c r="AG1116" s="165"/>
      <c r="AH1116" s="165"/>
      <c r="AI1116" s="159"/>
      <c r="AJ1116" s="159"/>
      <c r="AK1116" s="162"/>
      <c r="AL1116" s="162"/>
      <c r="AM1116" s="395"/>
      <c r="AN1116" s="162"/>
      <c r="AO1116" s="82"/>
      <c r="AP1116" s="82"/>
      <c r="AQ1116" s="82"/>
      <c r="AR1116" s="82"/>
      <c r="AS1116" s="82"/>
    </row>
    <row r="1117" spans="1:45" ht="15.75">
      <c r="A1117" s="84" t="s">
        <v>110</v>
      </c>
      <c r="C1117" s="164">
        <v>0</v>
      </c>
      <c r="D1117" s="107">
        <v>36.1</v>
      </c>
      <c r="E1117" s="108"/>
      <c r="F1117" s="109">
        <f>ROUND(D1117*$C1117,0)</f>
        <v>0</v>
      </c>
      <c r="G1117" s="107">
        <v>36.1</v>
      </c>
      <c r="H1117" s="108"/>
      <c r="I1117" s="109">
        <f t="shared" si="206"/>
        <v>0</v>
      </c>
      <c r="J1117" s="107">
        <f t="shared" si="207"/>
        <v>36.1</v>
      </c>
      <c r="K1117" s="108"/>
      <c r="L1117" s="109">
        <f>ROUND(J1117*$C1117,0)</f>
        <v>0</v>
      </c>
      <c r="M1117" s="109"/>
      <c r="N1117" s="107"/>
      <c r="O1117" s="108"/>
      <c r="P1117" s="109"/>
      <c r="Q1117" s="109"/>
      <c r="R1117" s="107"/>
      <c r="S1117" s="108"/>
      <c r="T1117" s="109"/>
      <c r="U1117" s="109"/>
      <c r="V1117" s="107"/>
      <c r="W1117" s="108"/>
      <c r="X1117" s="109"/>
      <c r="Y1117" s="82"/>
      <c r="Z1117" s="162"/>
      <c r="AA1117" s="83"/>
      <c r="AB1117" s="83"/>
      <c r="AC1117" s="360"/>
      <c r="AD1117" s="360"/>
      <c r="AE1117" s="165"/>
      <c r="AF1117" s="165"/>
      <c r="AG1117" s="165"/>
      <c r="AH1117" s="165"/>
      <c r="AI1117" s="159"/>
      <c r="AJ1117" s="159"/>
      <c r="AK1117" s="162"/>
      <c r="AL1117" s="162"/>
      <c r="AM1117" s="395"/>
      <c r="AN1117" s="162"/>
      <c r="AO1117" s="82"/>
      <c r="AP1117" s="82"/>
      <c r="AQ1117" s="82"/>
      <c r="AR1117" s="82"/>
      <c r="AS1117" s="82"/>
    </row>
    <row r="1118" spans="1:45" ht="15.75">
      <c r="A1118" s="84" t="s">
        <v>311</v>
      </c>
      <c r="C1118" s="164"/>
      <c r="D1118" s="108"/>
      <c r="E1118" s="108"/>
      <c r="F1118" s="109"/>
      <c r="G1118" s="108"/>
      <c r="H1118" s="108"/>
      <c r="I1118" s="109"/>
      <c r="J1118" s="107"/>
      <c r="K1118" s="108"/>
      <c r="L1118" s="108"/>
      <c r="M1118" s="108"/>
      <c r="N1118" s="107"/>
      <c r="O1118" s="108"/>
      <c r="P1118" s="108"/>
      <c r="Q1118" s="108"/>
      <c r="R1118" s="107"/>
      <c r="S1118" s="108"/>
      <c r="T1118" s="108"/>
      <c r="U1118" s="108"/>
      <c r="V1118" s="107"/>
      <c r="W1118" s="108"/>
      <c r="X1118" s="108"/>
      <c r="Y1118" s="82"/>
      <c r="Z1118" s="162"/>
      <c r="AA1118" s="83"/>
      <c r="AB1118" s="83"/>
      <c r="AC1118" s="82"/>
      <c r="AD1118" s="82"/>
      <c r="AE1118" s="168"/>
      <c r="AF1118" s="168"/>
      <c r="AG1118" s="168"/>
      <c r="AH1118" s="168"/>
      <c r="AI1118" s="159"/>
      <c r="AJ1118" s="159"/>
      <c r="AK1118" s="162"/>
      <c r="AL1118" s="162"/>
      <c r="AM1118" s="395"/>
      <c r="AN1118" s="162"/>
      <c r="AO1118" s="82"/>
      <c r="AP1118" s="82"/>
      <c r="AQ1118" s="82"/>
      <c r="AR1118" s="82"/>
      <c r="AS1118" s="82"/>
    </row>
    <row r="1119" spans="1:45" ht="15.75">
      <c r="A1119" s="84" t="s">
        <v>107</v>
      </c>
      <c r="C1119" s="164">
        <v>4255.2648184670697</v>
      </c>
      <c r="D1119" s="107">
        <v>9.15</v>
      </c>
      <c r="E1119" s="108"/>
      <c r="F1119" s="109">
        <f>ROUND(D1119*$C1119,0)</f>
        <v>38936</v>
      </c>
      <c r="G1119" s="107">
        <v>9.15</v>
      </c>
      <c r="H1119" s="108"/>
      <c r="I1119" s="109">
        <f t="shared" si="206"/>
        <v>38936</v>
      </c>
      <c r="J1119" s="107">
        <f t="shared" si="207"/>
        <v>9.15</v>
      </c>
      <c r="K1119" s="108"/>
      <c r="L1119" s="109">
        <f>ROUND(J1119*$C1119,0)</f>
        <v>38936</v>
      </c>
      <c r="M1119" s="109"/>
      <c r="N1119" s="107">
        <f t="shared" si="208"/>
        <v>5.3673552085136809</v>
      </c>
      <c r="O1119" s="108"/>
      <c r="P1119" s="109">
        <f>ROUND(N1119*$C1119,0)</f>
        <v>22840</v>
      </c>
      <c r="Q1119" s="109"/>
      <c r="R1119" s="107">
        <f t="shared" si="209"/>
        <v>0.76044053501336073</v>
      </c>
      <c r="S1119" s="108"/>
      <c r="T1119" s="109">
        <f>ROUND(R1119*$C1119,0)</f>
        <v>3236</v>
      </c>
      <c r="U1119" s="109"/>
      <c r="V1119" s="107">
        <f t="shared" si="210"/>
        <v>3.0222042564729605</v>
      </c>
      <c r="W1119" s="108"/>
      <c r="X1119" s="109">
        <f>ROUND(V1119*$C1119,0)</f>
        <v>12860</v>
      </c>
      <c r="Y1119" s="82"/>
      <c r="Z1119" s="162"/>
      <c r="AA1119" s="83"/>
      <c r="AB1119" s="83"/>
      <c r="AC1119" s="360"/>
      <c r="AD1119" s="360"/>
      <c r="AE1119" s="165"/>
      <c r="AF1119" s="165"/>
      <c r="AG1119" s="165"/>
      <c r="AH1119" s="165"/>
      <c r="AI1119" s="82"/>
      <c r="AJ1119" s="82"/>
      <c r="AK1119" s="162"/>
      <c r="AL1119" s="162"/>
      <c r="AM1119" s="395"/>
      <c r="AN1119" s="162"/>
      <c r="AO1119" s="82"/>
      <c r="AP1119" s="82"/>
      <c r="AQ1119" s="82"/>
      <c r="AR1119" s="82"/>
      <c r="AS1119" s="82"/>
    </row>
    <row r="1120" spans="1:45" ht="15.75">
      <c r="A1120" s="84" t="s">
        <v>109</v>
      </c>
      <c r="C1120" s="164">
        <v>0</v>
      </c>
      <c r="D1120" s="107">
        <v>16.649999999999999</v>
      </c>
      <c r="E1120" s="108"/>
      <c r="F1120" s="109">
        <f>ROUND(D1120*$C1120,0)</f>
        <v>0</v>
      </c>
      <c r="G1120" s="107">
        <v>16.649999999999999</v>
      </c>
      <c r="H1120" s="108"/>
      <c r="I1120" s="109">
        <f t="shared" si="206"/>
        <v>0</v>
      </c>
      <c r="J1120" s="107">
        <f t="shared" si="207"/>
        <v>16.649999999999999</v>
      </c>
      <c r="K1120" s="108"/>
      <c r="L1120" s="109">
        <f>ROUND(J1120*$C1120,0)</f>
        <v>0</v>
      </c>
      <c r="M1120" s="109"/>
      <c r="N1120" s="107"/>
      <c r="O1120" s="108"/>
      <c r="P1120" s="109"/>
      <c r="Q1120" s="109"/>
      <c r="R1120" s="107"/>
      <c r="S1120" s="108"/>
      <c r="T1120" s="109"/>
      <c r="U1120" s="109"/>
      <c r="V1120" s="107"/>
      <c r="W1120" s="108"/>
      <c r="X1120" s="109"/>
      <c r="Y1120" s="82"/>
      <c r="Z1120" s="162"/>
      <c r="AA1120" s="83"/>
      <c r="AB1120" s="83"/>
      <c r="AC1120" s="360"/>
      <c r="AD1120" s="360"/>
      <c r="AE1120" s="165"/>
      <c r="AF1120" s="165"/>
      <c r="AG1120" s="165"/>
      <c r="AH1120" s="165"/>
      <c r="AI1120" s="82"/>
      <c r="AJ1120" s="82"/>
      <c r="AK1120" s="162"/>
      <c r="AL1120" s="162"/>
      <c r="AM1120" s="395"/>
      <c r="AN1120" s="162"/>
      <c r="AO1120" s="82"/>
      <c r="AP1120" s="82"/>
      <c r="AQ1120" s="82"/>
      <c r="AR1120" s="82"/>
      <c r="AS1120" s="82"/>
    </row>
    <row r="1121" spans="1:45" ht="15.75">
      <c r="A1121" s="393" t="s">
        <v>312</v>
      </c>
      <c r="C1121" s="164"/>
      <c r="D1121" s="107"/>
      <c r="E1121" s="108"/>
      <c r="F1121" s="109"/>
      <c r="G1121" s="107"/>
      <c r="H1121" s="108"/>
      <c r="I1121" s="109"/>
      <c r="J1121" s="107"/>
      <c r="K1121" s="108"/>
      <c r="L1121" s="109"/>
      <c r="M1121" s="109"/>
      <c r="N1121" s="107"/>
      <c r="O1121" s="108"/>
      <c r="P1121" s="109"/>
      <c r="Q1121" s="109"/>
      <c r="R1121" s="107"/>
      <c r="S1121" s="108"/>
      <c r="T1121" s="109"/>
      <c r="U1121" s="109"/>
      <c r="V1121" s="107"/>
      <c r="W1121" s="108"/>
      <c r="X1121" s="109"/>
      <c r="Y1121" s="82"/>
      <c r="Z1121" s="162"/>
      <c r="AA1121" s="83"/>
      <c r="AB1121" s="83"/>
      <c r="AC1121" s="82"/>
      <c r="AD1121" s="82"/>
      <c r="AE1121" s="82"/>
      <c r="AF1121" s="82"/>
      <c r="AG1121" s="82"/>
      <c r="AH1121" s="82"/>
      <c r="AI1121" s="82"/>
      <c r="AJ1121" s="82"/>
      <c r="AK1121" s="82"/>
      <c r="AL1121" s="82"/>
      <c r="AM1121" s="395"/>
      <c r="AN1121" s="82"/>
      <c r="AO1121" s="82"/>
      <c r="AP1121" s="82"/>
      <c r="AQ1121" s="82"/>
      <c r="AR1121" s="82"/>
      <c r="AS1121" s="82"/>
    </row>
    <row r="1122" spans="1:45" ht="15.75">
      <c r="A1122" s="84" t="s">
        <v>310</v>
      </c>
      <c r="C1122" s="164"/>
      <c r="D1122" s="108"/>
      <c r="E1122" s="108"/>
      <c r="F1122" s="109"/>
      <c r="G1122" s="108"/>
      <c r="H1122" s="108"/>
      <c r="I1122" s="109"/>
      <c r="J1122" s="107"/>
      <c r="K1122" s="108"/>
      <c r="L1122" s="108"/>
      <c r="M1122" s="108"/>
      <c r="N1122" s="107"/>
      <c r="O1122" s="108"/>
      <c r="P1122" s="108"/>
      <c r="Q1122" s="108"/>
      <c r="R1122" s="107"/>
      <c r="S1122" s="108"/>
      <c r="T1122" s="108"/>
      <c r="U1122" s="108"/>
      <c r="V1122" s="107"/>
      <c r="W1122" s="108"/>
      <c r="X1122" s="108"/>
      <c r="Y1122" s="82"/>
      <c r="Z1122" s="83"/>
      <c r="AA1122" s="83"/>
      <c r="AB1122" s="83"/>
      <c r="AC1122" s="82"/>
      <c r="AD1122" s="82"/>
      <c r="AE1122" s="82"/>
      <c r="AF1122" s="82"/>
      <c r="AG1122" s="82"/>
      <c r="AH1122" s="82"/>
      <c r="AI1122" s="82"/>
      <c r="AJ1122" s="82"/>
      <c r="AK1122" s="82"/>
      <c r="AL1122" s="82"/>
      <c r="AM1122" s="395"/>
      <c r="AN1122" s="82"/>
      <c r="AO1122" s="82"/>
      <c r="AP1122" s="82"/>
      <c r="AQ1122" s="82"/>
      <c r="AR1122" s="82"/>
      <c r="AS1122" s="82"/>
    </row>
    <row r="1123" spans="1:45" ht="15.75">
      <c r="A1123" s="84" t="s">
        <v>107</v>
      </c>
      <c r="C1123" s="164">
        <v>478.66694057746798</v>
      </c>
      <c r="D1123" s="107">
        <v>12.74</v>
      </c>
      <c r="E1123" s="108"/>
      <c r="F1123" s="109">
        <f>ROUND(D1123*$C1123,0)</f>
        <v>6098</v>
      </c>
      <c r="G1123" s="107">
        <v>12.74</v>
      </c>
      <c r="H1123" s="108"/>
      <c r="I1123" s="109">
        <f t="shared" ref="I1123:I1125" si="211">ROUND(C1123*G1123,0)</f>
        <v>6098</v>
      </c>
      <c r="J1123" s="107">
        <f t="shared" si="207"/>
        <v>12.74</v>
      </c>
      <c r="K1123" s="108"/>
      <c r="L1123" s="109">
        <f>ROUND(J1123*$C1123,0)</f>
        <v>6098</v>
      </c>
      <c r="M1123" s="109"/>
      <c r="N1123" s="107">
        <f t="shared" si="208"/>
        <v>7.4732355580835295</v>
      </c>
      <c r="O1123" s="108"/>
      <c r="P1123" s="109">
        <f>ROUND(N1123*$C1123,0)</f>
        <v>3577</v>
      </c>
      <c r="Q1123" s="109"/>
      <c r="R1123" s="107">
        <f t="shared" si="209"/>
        <v>1.0587991711552147</v>
      </c>
      <c r="S1123" s="108"/>
      <c r="T1123" s="109">
        <f>ROUND(R1123*$C1123,0)</f>
        <v>507</v>
      </c>
      <c r="U1123" s="109"/>
      <c r="V1123" s="107">
        <f t="shared" si="210"/>
        <v>4.2079652707612585</v>
      </c>
      <c r="W1123" s="108"/>
      <c r="X1123" s="109">
        <f>ROUND(V1123*$C1123,0)</f>
        <v>2014</v>
      </c>
      <c r="Y1123" s="82"/>
      <c r="Z1123" s="162"/>
      <c r="AA1123" s="83"/>
      <c r="AB1123" s="83"/>
      <c r="AC1123" s="360"/>
      <c r="AD1123" s="360"/>
      <c r="AE1123" s="165"/>
      <c r="AF1123" s="165"/>
      <c r="AG1123" s="165"/>
      <c r="AH1123" s="165"/>
      <c r="AI1123" s="82"/>
      <c r="AJ1123" s="82"/>
      <c r="AK1123" s="162"/>
      <c r="AL1123" s="162"/>
      <c r="AM1123" s="395"/>
      <c r="AN1123" s="162"/>
      <c r="AO1123" s="82"/>
      <c r="AP1123" s="82"/>
      <c r="AQ1123" s="82"/>
      <c r="AR1123" s="82"/>
      <c r="AS1123" s="82"/>
    </row>
    <row r="1124" spans="1:45" ht="15.75">
      <c r="A1124" s="84" t="s">
        <v>109</v>
      </c>
      <c r="C1124" s="164">
        <v>396.000225274076</v>
      </c>
      <c r="D1124" s="107">
        <v>21.39</v>
      </c>
      <c r="E1124" s="108"/>
      <c r="F1124" s="109">
        <f>ROUND(D1124*$C1124,0)</f>
        <v>8470</v>
      </c>
      <c r="G1124" s="107">
        <v>21.39</v>
      </c>
      <c r="H1124" s="108"/>
      <c r="I1124" s="109">
        <f t="shared" si="211"/>
        <v>8470</v>
      </c>
      <c r="J1124" s="107">
        <f t="shared" si="207"/>
        <v>21.39</v>
      </c>
      <c r="K1124" s="108"/>
      <c r="L1124" s="109">
        <f>ROUND(J1124*$C1124,0)</f>
        <v>8470</v>
      </c>
      <c r="M1124" s="109"/>
      <c r="N1124" s="107">
        <f t="shared" si="208"/>
        <v>12.547292667771327</v>
      </c>
      <c r="O1124" s="108"/>
      <c r="P1124" s="109">
        <f>ROUND(N1124*$C1124,0)</f>
        <v>4969</v>
      </c>
      <c r="Q1124" s="109"/>
      <c r="R1124" s="107">
        <f t="shared" si="209"/>
        <v>1.777685578572217</v>
      </c>
      <c r="S1124" s="108"/>
      <c r="T1124" s="109">
        <f>ROUND(R1124*$C1124,0)</f>
        <v>704</v>
      </c>
      <c r="U1124" s="109"/>
      <c r="V1124" s="107">
        <f t="shared" si="210"/>
        <v>7.0650217536564615</v>
      </c>
      <c r="W1124" s="108"/>
      <c r="X1124" s="109">
        <f>ROUND(V1124*$C1124,0)</f>
        <v>2798</v>
      </c>
      <c r="Y1124" s="82"/>
      <c r="Z1124" s="162"/>
      <c r="AA1124" s="83"/>
      <c r="AB1124" s="83"/>
      <c r="AC1124" s="360"/>
      <c r="AD1124" s="360"/>
      <c r="AE1124" s="165"/>
      <c r="AF1124" s="165"/>
      <c r="AG1124" s="165"/>
      <c r="AH1124" s="165"/>
      <c r="AI1124" s="396"/>
      <c r="AJ1124" s="396"/>
      <c r="AK1124" s="162"/>
      <c r="AL1124" s="162"/>
      <c r="AM1124" s="395"/>
      <c r="AN1124" s="162"/>
      <c r="AO1124" s="82"/>
      <c r="AP1124" s="82"/>
      <c r="AQ1124" s="82"/>
      <c r="AR1124" s="82"/>
      <c r="AS1124" s="82"/>
    </row>
    <row r="1125" spans="1:45" ht="15.75">
      <c r="A1125" s="84" t="s">
        <v>110</v>
      </c>
      <c r="C1125" s="164">
        <v>0</v>
      </c>
      <c r="D1125" s="107">
        <v>39.67</v>
      </c>
      <c r="E1125" s="108"/>
      <c r="F1125" s="109">
        <f>ROUND(D1125*$C1125,0)</f>
        <v>0</v>
      </c>
      <c r="G1125" s="107">
        <v>39.67</v>
      </c>
      <c r="H1125" s="108"/>
      <c r="I1125" s="109">
        <f t="shared" si="211"/>
        <v>0</v>
      </c>
      <c r="J1125" s="107">
        <f t="shared" si="207"/>
        <v>39.67</v>
      </c>
      <c r="K1125" s="108"/>
      <c r="L1125" s="109">
        <f>ROUND(J1125*$C1125,0)</f>
        <v>0</v>
      </c>
      <c r="M1125" s="109"/>
      <c r="N1125" s="107"/>
      <c r="O1125" s="108"/>
      <c r="P1125" s="109"/>
      <c r="Q1125" s="109"/>
      <c r="R1125" s="107"/>
      <c r="S1125" s="108"/>
      <c r="T1125" s="109"/>
      <c r="U1125" s="109"/>
      <c r="V1125" s="107"/>
      <c r="W1125" s="108"/>
      <c r="X1125" s="109"/>
      <c r="Y1125" s="82"/>
      <c r="Z1125" s="162"/>
      <c r="AA1125" s="83"/>
      <c r="AB1125" s="83"/>
      <c r="AC1125" s="360"/>
      <c r="AD1125" s="360"/>
      <c r="AE1125" s="165"/>
      <c r="AF1125" s="165"/>
      <c r="AG1125" s="165"/>
      <c r="AH1125" s="165"/>
      <c r="AI1125" s="396"/>
      <c r="AJ1125" s="396"/>
      <c r="AK1125" s="162"/>
      <c r="AL1125" s="162"/>
      <c r="AM1125" s="395"/>
      <c r="AN1125" s="162"/>
      <c r="AO1125" s="82"/>
      <c r="AP1125" s="82"/>
      <c r="AQ1125" s="82"/>
      <c r="AR1125" s="82"/>
      <c r="AS1125" s="82"/>
    </row>
    <row r="1126" spans="1:45" ht="15.75">
      <c r="A1126" s="84" t="s">
        <v>311</v>
      </c>
      <c r="C1126" s="164"/>
      <c r="D1126" s="108"/>
      <c r="E1126" s="108"/>
      <c r="F1126" s="109"/>
      <c r="G1126" s="108"/>
      <c r="H1126" s="108"/>
      <c r="I1126" s="109"/>
      <c r="J1126" s="107"/>
      <c r="K1126" s="108"/>
      <c r="L1126" s="108"/>
      <c r="M1126" s="108"/>
      <c r="N1126" s="107"/>
      <c r="O1126" s="108"/>
      <c r="P1126" s="108"/>
      <c r="Q1126" s="108"/>
      <c r="R1126" s="107"/>
      <c r="S1126" s="108"/>
      <c r="T1126" s="108"/>
      <c r="U1126" s="108"/>
      <c r="V1126" s="107"/>
      <c r="W1126" s="108"/>
      <c r="X1126" s="108"/>
      <c r="Y1126" s="82"/>
      <c r="Z1126" s="82"/>
      <c r="AA1126" s="397"/>
      <c r="AB1126" s="397"/>
      <c r="AC1126" s="397"/>
      <c r="AD1126" s="397"/>
      <c r="AE1126" s="398"/>
      <c r="AF1126" s="398"/>
      <c r="AG1126" s="398"/>
      <c r="AH1126" s="398"/>
      <c r="AI1126" s="396"/>
      <c r="AJ1126" s="396"/>
      <c r="AK1126" s="256"/>
      <c r="AL1126" s="82"/>
      <c r="AM1126" s="395"/>
      <c r="AN1126" s="82"/>
      <c r="AO1126" s="82"/>
      <c r="AP1126" s="82"/>
      <c r="AQ1126" s="82"/>
      <c r="AR1126" s="82"/>
      <c r="AS1126" s="82"/>
    </row>
    <row r="1127" spans="1:45" ht="15.75">
      <c r="A1127" s="84" t="s">
        <v>107</v>
      </c>
      <c r="C1127" s="164">
        <v>0</v>
      </c>
      <c r="D1127" s="107">
        <v>12.06</v>
      </c>
      <c r="E1127" s="108"/>
      <c r="F1127" s="109">
        <f>ROUND(D1127*$C1127,0)</f>
        <v>0</v>
      </c>
      <c r="G1127" s="107">
        <v>12.06</v>
      </c>
      <c r="H1127" s="108"/>
      <c r="I1127" s="109">
        <f t="shared" ref="I1127:I1128" si="212">ROUND(C1127*G1127,0)</f>
        <v>0</v>
      </c>
      <c r="J1127" s="107">
        <f t="shared" si="207"/>
        <v>12.06</v>
      </c>
      <c r="K1127" s="108"/>
      <c r="L1127" s="109">
        <f>ROUND(J1127*$C1127,0)</f>
        <v>0</v>
      </c>
      <c r="M1127" s="109"/>
      <c r="N1127" s="107"/>
      <c r="O1127" s="108"/>
      <c r="P1127" s="109"/>
      <c r="Q1127" s="109"/>
      <c r="R1127" s="107"/>
      <c r="S1127" s="108"/>
      <c r="T1127" s="109"/>
      <c r="U1127" s="109"/>
      <c r="V1127" s="107"/>
      <c r="W1127" s="108"/>
      <c r="X1127" s="109"/>
      <c r="Y1127" s="82"/>
      <c r="Z1127" s="162"/>
      <c r="AA1127" s="83"/>
      <c r="AB1127" s="83"/>
      <c r="AC1127" s="360"/>
      <c r="AD1127" s="360"/>
      <c r="AE1127" s="165"/>
      <c r="AF1127" s="165"/>
      <c r="AG1127" s="165"/>
      <c r="AH1127" s="165"/>
      <c r="AI1127" s="396"/>
      <c r="AJ1127" s="396"/>
      <c r="AK1127" s="162"/>
      <c r="AL1127" s="162"/>
      <c r="AM1127" s="395"/>
      <c r="AN1127" s="162"/>
      <c r="AO1127" s="82"/>
      <c r="AP1127" s="82"/>
      <c r="AQ1127" s="82"/>
      <c r="AR1127" s="82"/>
      <c r="AS1127" s="82"/>
    </row>
    <row r="1128" spans="1:45" ht="15.75">
      <c r="A1128" s="84" t="s">
        <v>109</v>
      </c>
      <c r="C1128" s="164">
        <v>0</v>
      </c>
      <c r="D1128" s="107">
        <v>20.22</v>
      </c>
      <c r="E1128" s="108"/>
      <c r="F1128" s="109">
        <f>ROUND(D1128*$C1128,0)</f>
        <v>0</v>
      </c>
      <c r="G1128" s="107">
        <v>20.22</v>
      </c>
      <c r="H1128" s="108"/>
      <c r="I1128" s="109">
        <f t="shared" si="212"/>
        <v>0</v>
      </c>
      <c r="J1128" s="107">
        <f t="shared" si="207"/>
        <v>20.22</v>
      </c>
      <c r="K1128" s="108"/>
      <c r="L1128" s="109">
        <f>ROUND(J1128*$C1128,0)</f>
        <v>0</v>
      </c>
      <c r="M1128" s="109"/>
      <c r="N1128" s="107"/>
      <c r="O1128" s="108"/>
      <c r="P1128" s="109"/>
      <c r="Q1128" s="109"/>
      <c r="R1128" s="107"/>
      <c r="S1128" s="108"/>
      <c r="T1128" s="109"/>
      <c r="U1128" s="109"/>
      <c r="V1128" s="107"/>
      <c r="W1128" s="108"/>
      <c r="X1128" s="109"/>
      <c r="Y1128" s="82"/>
      <c r="Z1128" s="162"/>
      <c r="AA1128" s="83"/>
      <c r="AB1128" s="83"/>
      <c r="AC1128" s="360"/>
      <c r="AD1128" s="360"/>
      <c r="AE1128" s="165"/>
      <c r="AF1128" s="165"/>
      <c r="AG1128" s="165"/>
      <c r="AH1128" s="165"/>
      <c r="AI1128" s="396"/>
      <c r="AJ1128" s="396"/>
      <c r="AK1128" s="162"/>
      <c r="AL1128" s="162"/>
      <c r="AM1128" s="395"/>
      <c r="AN1128" s="162"/>
      <c r="AO1128" s="82"/>
      <c r="AP1128" s="82"/>
      <c r="AQ1128" s="82"/>
      <c r="AR1128" s="82"/>
      <c r="AS1128" s="82"/>
    </row>
    <row r="1129" spans="1:45" ht="15.75">
      <c r="A1129" s="393" t="s">
        <v>313</v>
      </c>
      <c r="B1129" s="193"/>
      <c r="C1129" s="164"/>
      <c r="D1129" s="108"/>
      <c r="E1129" s="108"/>
      <c r="F1129" s="108"/>
      <c r="G1129" s="108"/>
      <c r="H1129" s="108"/>
      <c r="I1129" s="108"/>
      <c r="J1129" s="107"/>
      <c r="K1129" s="108"/>
      <c r="L1129" s="108"/>
      <c r="M1129" s="108"/>
      <c r="N1129" s="107"/>
      <c r="O1129" s="108"/>
      <c r="P1129" s="108"/>
      <c r="Q1129" s="108"/>
      <c r="R1129" s="107"/>
      <c r="S1129" s="108"/>
      <c r="T1129" s="108"/>
      <c r="U1129" s="108"/>
      <c r="V1129" s="107"/>
      <c r="W1129" s="108"/>
      <c r="X1129" s="108"/>
      <c r="Y1129" s="82"/>
      <c r="Z1129" s="82"/>
      <c r="AA1129" s="397"/>
      <c r="AB1129" s="397"/>
      <c r="AC1129" s="397"/>
      <c r="AD1129" s="397"/>
      <c r="AE1129" s="398"/>
      <c r="AF1129" s="398"/>
      <c r="AG1129" s="398"/>
      <c r="AH1129" s="398"/>
      <c r="AI1129" s="396"/>
      <c r="AJ1129" s="396"/>
      <c r="AK1129" s="256"/>
      <c r="AL1129" s="82"/>
      <c r="AM1129" s="395"/>
      <c r="AN1129" s="82"/>
      <c r="AO1129" s="82"/>
      <c r="AP1129" s="82"/>
      <c r="AQ1129" s="82"/>
      <c r="AR1129" s="82"/>
      <c r="AS1129" s="82"/>
    </row>
    <row r="1130" spans="1:45" ht="15.75">
      <c r="A1130" s="84" t="s">
        <v>310</v>
      </c>
      <c r="C1130" s="164"/>
      <c r="D1130" s="108"/>
      <c r="E1130" s="108"/>
      <c r="F1130" s="109"/>
      <c r="G1130" s="108"/>
      <c r="H1130" s="108"/>
      <c r="I1130" s="109"/>
      <c r="J1130" s="107"/>
      <c r="K1130" s="108"/>
      <c r="L1130" s="108"/>
      <c r="M1130" s="108"/>
      <c r="N1130" s="107"/>
      <c r="O1130" s="108"/>
      <c r="P1130" s="108"/>
      <c r="Q1130" s="108"/>
      <c r="R1130" s="107"/>
      <c r="S1130" s="108"/>
      <c r="T1130" s="108"/>
      <c r="U1130" s="108"/>
      <c r="V1130" s="107"/>
      <c r="W1130" s="108"/>
      <c r="X1130" s="108"/>
      <c r="Y1130" s="82"/>
      <c r="Z1130" s="82"/>
      <c r="AA1130" s="397"/>
      <c r="AB1130" s="397"/>
      <c r="AC1130" s="397"/>
      <c r="AD1130" s="397"/>
      <c r="AE1130" s="398"/>
      <c r="AF1130" s="398"/>
      <c r="AG1130" s="398"/>
      <c r="AH1130" s="398"/>
      <c r="AI1130" s="396"/>
      <c r="AJ1130" s="396"/>
      <c r="AK1130" s="256"/>
      <c r="AL1130" s="82"/>
      <c r="AM1130" s="395"/>
      <c r="AN1130" s="82"/>
      <c r="AO1130" s="82"/>
      <c r="AP1130" s="82"/>
      <c r="AQ1130" s="82"/>
      <c r="AR1130" s="82"/>
      <c r="AS1130" s="82"/>
    </row>
    <row r="1131" spans="1:45" ht="15.75">
      <c r="A1131" s="84" t="s">
        <v>107</v>
      </c>
      <c r="C1131" s="164">
        <v>0</v>
      </c>
      <c r="D1131" s="107">
        <v>12.73</v>
      </c>
      <c r="E1131" s="108"/>
      <c r="F1131" s="109">
        <f>ROUND(D1131*$C1131,0)</f>
        <v>0</v>
      </c>
      <c r="G1131" s="107">
        <v>12.73</v>
      </c>
      <c r="H1131" s="108"/>
      <c r="I1131" s="109">
        <f t="shared" ref="I1131:I1133" si="213">ROUND(C1131*G1131,0)</f>
        <v>0</v>
      </c>
      <c r="J1131" s="107">
        <f t="shared" si="207"/>
        <v>12.73</v>
      </c>
      <c r="K1131" s="108"/>
      <c r="L1131" s="109">
        <f>ROUND(J1131*$C1131,0)</f>
        <v>0</v>
      </c>
      <c r="M1131" s="109"/>
      <c r="N1131" s="107"/>
      <c r="O1131" s="108"/>
      <c r="P1131" s="109"/>
      <c r="Q1131" s="109"/>
      <c r="R1131" s="107"/>
      <c r="S1131" s="108"/>
      <c r="T1131" s="109"/>
      <c r="U1131" s="109"/>
      <c r="V1131" s="107"/>
      <c r="W1131" s="108"/>
      <c r="X1131" s="109"/>
      <c r="Y1131" s="82"/>
      <c r="Z1131" s="162"/>
      <c r="AA1131" s="83"/>
      <c r="AB1131" s="83"/>
      <c r="AC1131" s="360"/>
      <c r="AD1131" s="360"/>
      <c r="AE1131" s="165"/>
      <c r="AF1131" s="165"/>
      <c r="AG1131" s="165"/>
      <c r="AH1131" s="165"/>
      <c r="AI1131" s="396"/>
      <c r="AJ1131" s="396"/>
      <c r="AK1131" s="162"/>
      <c r="AL1131" s="162"/>
      <c r="AM1131" s="395"/>
      <c r="AN1131" s="162"/>
      <c r="AO1131" s="82"/>
      <c r="AP1131" s="82"/>
      <c r="AQ1131" s="82"/>
      <c r="AR1131" s="82"/>
      <c r="AS1131" s="82"/>
    </row>
    <row r="1132" spans="1:45" ht="15.75">
      <c r="A1132" s="84" t="s">
        <v>109</v>
      </c>
      <c r="C1132" s="164">
        <v>0</v>
      </c>
      <c r="D1132" s="107">
        <v>20.7</v>
      </c>
      <c r="E1132" s="108"/>
      <c r="F1132" s="109">
        <f>ROUND(D1132*$C1132,0)</f>
        <v>0</v>
      </c>
      <c r="G1132" s="107">
        <v>20.7</v>
      </c>
      <c r="H1132" s="108"/>
      <c r="I1132" s="109">
        <f t="shared" si="213"/>
        <v>0</v>
      </c>
      <c r="J1132" s="107">
        <f t="shared" si="207"/>
        <v>20.7</v>
      </c>
      <c r="K1132" s="108"/>
      <c r="L1132" s="109">
        <f>ROUND(J1132*$C1132,0)</f>
        <v>0</v>
      </c>
      <c r="M1132" s="109"/>
      <c r="N1132" s="107"/>
      <c r="O1132" s="108"/>
      <c r="P1132" s="109"/>
      <c r="Q1132" s="109"/>
      <c r="R1132" s="107"/>
      <c r="S1132" s="108"/>
      <c r="T1132" s="109"/>
      <c r="U1132" s="109"/>
      <c r="V1132" s="107"/>
      <c r="W1132" s="108"/>
      <c r="X1132" s="109"/>
      <c r="Y1132" s="82"/>
      <c r="Z1132" s="162"/>
      <c r="AA1132" s="83"/>
      <c r="AB1132" s="83"/>
      <c r="AC1132" s="360"/>
      <c r="AD1132" s="360"/>
      <c r="AE1132" s="165"/>
      <c r="AF1132" s="165"/>
      <c r="AG1132" s="165"/>
      <c r="AH1132" s="165"/>
      <c r="AI1132" s="396"/>
      <c r="AJ1132" s="396"/>
      <c r="AK1132" s="162"/>
      <c r="AL1132" s="162"/>
      <c r="AM1132" s="395"/>
      <c r="AN1132" s="162"/>
      <c r="AO1132" s="82"/>
      <c r="AP1132" s="82"/>
      <c r="AQ1132" s="82"/>
      <c r="AR1132" s="82"/>
      <c r="AS1132" s="82"/>
    </row>
    <row r="1133" spans="1:45" ht="15.75">
      <c r="A1133" s="84" t="s">
        <v>110</v>
      </c>
      <c r="C1133" s="164">
        <v>0</v>
      </c>
      <c r="D1133" s="107">
        <v>38.99</v>
      </c>
      <c r="E1133" s="108"/>
      <c r="F1133" s="109">
        <f>ROUND(D1133*$C1133,0)</f>
        <v>0</v>
      </c>
      <c r="G1133" s="107">
        <v>38.99</v>
      </c>
      <c r="H1133" s="108"/>
      <c r="I1133" s="109">
        <f t="shared" si="213"/>
        <v>0</v>
      </c>
      <c r="J1133" s="107">
        <f t="shared" si="207"/>
        <v>38.99</v>
      </c>
      <c r="K1133" s="108"/>
      <c r="L1133" s="109">
        <f>ROUND(J1133*$C1133,0)</f>
        <v>0</v>
      </c>
      <c r="M1133" s="109"/>
      <c r="N1133" s="107"/>
      <c r="O1133" s="108"/>
      <c r="P1133" s="109"/>
      <c r="Q1133" s="109"/>
      <c r="R1133" s="107"/>
      <c r="S1133" s="108"/>
      <c r="T1133" s="109"/>
      <c r="U1133" s="109"/>
      <c r="V1133" s="107"/>
      <c r="W1133" s="108"/>
      <c r="X1133" s="109"/>
      <c r="Y1133" s="82"/>
      <c r="Z1133" s="162"/>
      <c r="AA1133" s="83"/>
      <c r="AB1133" s="83"/>
      <c r="AC1133" s="360"/>
      <c r="AD1133" s="360"/>
      <c r="AE1133" s="165"/>
      <c r="AF1133" s="165"/>
      <c r="AG1133" s="165"/>
      <c r="AH1133" s="165"/>
      <c r="AI1133" s="396"/>
      <c r="AJ1133" s="396"/>
      <c r="AK1133" s="162"/>
      <c r="AL1133" s="162"/>
      <c r="AM1133" s="395"/>
      <c r="AN1133" s="162"/>
      <c r="AO1133" s="82"/>
      <c r="AP1133" s="82"/>
      <c r="AQ1133" s="82"/>
      <c r="AR1133" s="82"/>
      <c r="AS1133" s="82"/>
    </row>
    <row r="1134" spans="1:45" ht="15.75">
      <c r="A1134" s="84" t="s">
        <v>311</v>
      </c>
      <c r="C1134" s="164"/>
      <c r="D1134" s="108"/>
      <c r="E1134" s="108"/>
      <c r="F1134" s="109"/>
      <c r="G1134" s="108"/>
      <c r="H1134" s="108"/>
      <c r="I1134" s="109"/>
      <c r="J1134" s="107"/>
      <c r="K1134" s="108"/>
      <c r="L1134" s="108"/>
      <c r="M1134" s="108"/>
      <c r="N1134" s="107"/>
      <c r="O1134" s="108"/>
      <c r="P1134" s="108"/>
      <c r="Q1134" s="108"/>
      <c r="R1134" s="107"/>
      <c r="S1134" s="108"/>
      <c r="T1134" s="108"/>
      <c r="U1134" s="108"/>
      <c r="V1134" s="107"/>
      <c r="W1134" s="108"/>
      <c r="X1134" s="108"/>
      <c r="Y1134" s="82"/>
      <c r="Z1134" s="82"/>
      <c r="AA1134" s="397"/>
      <c r="AB1134" s="397"/>
      <c r="AC1134" s="397"/>
      <c r="AD1134" s="397"/>
      <c r="AE1134" s="398"/>
      <c r="AF1134" s="398"/>
      <c r="AG1134" s="398"/>
      <c r="AH1134" s="398"/>
      <c r="AI1134" s="396"/>
      <c r="AJ1134" s="396"/>
      <c r="AK1134" s="256"/>
      <c r="AL1134" s="82"/>
      <c r="AM1134" s="395"/>
      <c r="AN1134" s="82"/>
      <c r="AO1134" s="82"/>
      <c r="AP1134" s="82"/>
      <c r="AQ1134" s="82"/>
      <c r="AR1134" s="82"/>
      <c r="AS1134" s="82"/>
    </row>
    <row r="1135" spans="1:45" ht="15.75">
      <c r="A1135" s="84" t="s">
        <v>107</v>
      </c>
      <c r="C1135" s="164">
        <v>0</v>
      </c>
      <c r="D1135" s="107">
        <v>12.06</v>
      </c>
      <c r="E1135" s="108"/>
      <c r="F1135" s="109">
        <f>ROUND(D1135*$C1135,0)</f>
        <v>0</v>
      </c>
      <c r="G1135" s="107">
        <v>12.06</v>
      </c>
      <c r="H1135" s="108"/>
      <c r="I1135" s="109">
        <f t="shared" ref="I1135:I1136" si="214">ROUND(C1135*G1135,0)</f>
        <v>0</v>
      </c>
      <c r="J1135" s="107">
        <f t="shared" si="207"/>
        <v>12.06</v>
      </c>
      <c r="K1135" s="108"/>
      <c r="L1135" s="109">
        <f>ROUND(J1135*$C1135,0)</f>
        <v>0</v>
      </c>
      <c r="M1135" s="109"/>
      <c r="N1135" s="107"/>
      <c r="O1135" s="108"/>
      <c r="P1135" s="109"/>
      <c r="Q1135" s="109"/>
      <c r="R1135" s="107"/>
      <c r="S1135" s="108"/>
      <c r="T1135" s="109"/>
      <c r="U1135" s="109"/>
      <c r="V1135" s="107"/>
      <c r="W1135" s="108"/>
      <c r="X1135" s="109"/>
      <c r="Y1135" s="82"/>
      <c r="Z1135" s="162"/>
      <c r="AA1135" s="83"/>
      <c r="AB1135" s="83"/>
      <c r="AC1135" s="360"/>
      <c r="AD1135" s="360"/>
      <c r="AE1135" s="165"/>
      <c r="AF1135" s="165"/>
      <c r="AG1135" s="165"/>
      <c r="AH1135" s="165"/>
      <c r="AI1135" s="396"/>
      <c r="AJ1135" s="396"/>
      <c r="AK1135" s="162"/>
      <c r="AL1135" s="162"/>
      <c r="AM1135" s="395"/>
      <c r="AN1135" s="162"/>
      <c r="AO1135" s="82"/>
      <c r="AP1135" s="82"/>
      <c r="AQ1135" s="82"/>
      <c r="AR1135" s="82"/>
      <c r="AS1135" s="82"/>
    </row>
    <row r="1136" spans="1:45" ht="15.75">
      <c r="A1136" s="84" t="s">
        <v>109</v>
      </c>
      <c r="C1136" s="164">
        <v>0</v>
      </c>
      <c r="D1136" s="107">
        <v>19.53</v>
      </c>
      <c r="E1136" s="108"/>
      <c r="F1136" s="109">
        <f>ROUND(D1136*$C1136,0)</f>
        <v>0</v>
      </c>
      <c r="G1136" s="107">
        <v>19.53</v>
      </c>
      <c r="H1136" s="108"/>
      <c r="I1136" s="109">
        <f t="shared" si="214"/>
        <v>0</v>
      </c>
      <c r="J1136" s="107">
        <f t="shared" si="207"/>
        <v>19.53</v>
      </c>
      <c r="K1136" s="108"/>
      <c r="L1136" s="109">
        <f>ROUND(J1136*$C1136,0)</f>
        <v>0</v>
      </c>
      <c r="M1136" s="109"/>
      <c r="N1136" s="107"/>
      <c r="O1136" s="108"/>
      <c r="P1136" s="109"/>
      <c r="Q1136" s="109"/>
      <c r="R1136" s="107"/>
      <c r="S1136" s="108"/>
      <c r="T1136" s="109"/>
      <c r="U1136" s="109"/>
      <c r="V1136" s="107"/>
      <c r="W1136" s="108"/>
      <c r="X1136" s="109"/>
      <c r="Y1136" s="82"/>
      <c r="Z1136" s="162"/>
      <c r="AA1136" s="83"/>
      <c r="AB1136" s="83"/>
      <c r="AC1136" s="360"/>
      <c r="AD1136" s="360"/>
      <c r="AE1136" s="165"/>
      <c r="AF1136" s="165"/>
      <c r="AG1136" s="165"/>
      <c r="AH1136" s="165"/>
      <c r="AI1136" s="396"/>
      <c r="AJ1136" s="396"/>
      <c r="AK1136" s="162"/>
      <c r="AL1136" s="162"/>
      <c r="AM1136" s="395"/>
      <c r="AN1136" s="162"/>
      <c r="AO1136" s="82"/>
      <c r="AP1136" s="82"/>
      <c r="AQ1136" s="82"/>
      <c r="AR1136" s="82"/>
      <c r="AS1136" s="82"/>
    </row>
    <row r="1137" spans="1:45" ht="15.75">
      <c r="A1137" s="393" t="s">
        <v>314</v>
      </c>
      <c r="B1137" s="193"/>
      <c r="C1137" s="164"/>
      <c r="D1137" s="108"/>
      <c r="E1137" s="108"/>
      <c r="F1137" s="108"/>
      <c r="G1137" s="108"/>
      <c r="H1137" s="108"/>
      <c r="I1137" s="108"/>
      <c r="J1137" s="107"/>
      <c r="K1137" s="108"/>
      <c r="L1137" s="108"/>
      <c r="M1137" s="108"/>
      <c r="N1137" s="107"/>
      <c r="O1137" s="108"/>
      <c r="P1137" s="108"/>
      <c r="Q1137" s="108"/>
      <c r="R1137" s="107"/>
      <c r="S1137" s="108"/>
      <c r="T1137" s="108"/>
      <c r="U1137" s="108"/>
      <c r="V1137" s="107"/>
      <c r="W1137" s="108"/>
      <c r="X1137" s="108"/>
      <c r="Y1137" s="82"/>
      <c r="Z1137" s="82"/>
      <c r="AA1137" s="397"/>
      <c r="AB1137" s="397"/>
      <c r="AC1137" s="397"/>
      <c r="AD1137" s="397"/>
      <c r="AE1137" s="398"/>
      <c r="AF1137" s="398"/>
      <c r="AG1137" s="398"/>
      <c r="AH1137" s="398"/>
      <c r="AI1137" s="396"/>
      <c r="AJ1137" s="396"/>
      <c r="AK1137" s="256"/>
      <c r="AL1137" s="82"/>
      <c r="AM1137" s="395"/>
      <c r="AN1137" s="82"/>
      <c r="AO1137" s="82"/>
      <c r="AP1137" s="82"/>
      <c r="AQ1137" s="82"/>
      <c r="AR1137" s="82"/>
      <c r="AS1137" s="82"/>
    </row>
    <row r="1138" spans="1:45" ht="15.75">
      <c r="A1138" s="84" t="s">
        <v>107</v>
      </c>
      <c r="C1138" s="164">
        <v>419.99912545184998</v>
      </c>
      <c r="D1138" s="107">
        <v>10.19</v>
      </c>
      <c r="E1138" s="108"/>
      <c r="F1138" s="109">
        <f>ROUND(D1138*$C1138,0)</f>
        <v>4280</v>
      </c>
      <c r="G1138" s="107">
        <v>10.19</v>
      </c>
      <c r="H1138" s="108"/>
      <c r="I1138" s="109">
        <f t="shared" ref="I1138:I1140" si="215">ROUND(C1138*G1138,0)</f>
        <v>4280</v>
      </c>
      <c r="J1138" s="107">
        <f t="shared" si="207"/>
        <v>10.19</v>
      </c>
      <c r="K1138" s="108"/>
      <c r="L1138" s="109">
        <f>ROUND(J1138*$C1138,0)</f>
        <v>4280</v>
      </c>
      <c r="M1138" s="109"/>
      <c r="N1138" s="107">
        <f t="shared" si="208"/>
        <v>5.97741525407152</v>
      </c>
      <c r="O1138" s="108"/>
      <c r="P1138" s="109">
        <f>ROUND(N1138*$C1138,0)</f>
        <v>2511</v>
      </c>
      <c r="Q1138" s="109"/>
      <c r="R1138" s="107">
        <f t="shared" si="209"/>
        <v>0.84687312041378637</v>
      </c>
      <c r="S1138" s="108"/>
      <c r="T1138" s="109">
        <f>ROUND(R1138*$C1138,0)</f>
        <v>356</v>
      </c>
      <c r="U1138" s="109"/>
      <c r="V1138" s="107">
        <f t="shared" si="210"/>
        <v>3.3657116255146957</v>
      </c>
      <c r="W1138" s="108"/>
      <c r="X1138" s="109">
        <f>ROUND(V1138*$C1138,0)</f>
        <v>1414</v>
      </c>
      <c r="Y1138" s="82"/>
      <c r="Z1138" s="162"/>
      <c r="AA1138" s="83"/>
      <c r="AB1138" s="83"/>
      <c r="AC1138" s="360"/>
      <c r="AD1138" s="360"/>
      <c r="AE1138" s="165"/>
      <c r="AF1138" s="165"/>
      <c r="AG1138" s="165"/>
      <c r="AH1138" s="165"/>
      <c r="AI1138" s="396"/>
      <c r="AJ1138" s="396"/>
      <c r="AK1138" s="162"/>
      <c r="AL1138" s="162"/>
      <c r="AM1138" s="395"/>
      <c r="AN1138" s="162"/>
      <c r="AO1138" s="82"/>
      <c r="AP1138" s="82"/>
      <c r="AQ1138" s="82"/>
      <c r="AR1138" s="82"/>
      <c r="AS1138" s="82"/>
    </row>
    <row r="1139" spans="1:45" ht="15.75">
      <c r="A1139" s="84" t="s">
        <v>109</v>
      </c>
      <c r="C1139" s="164">
        <v>789.011016126664</v>
      </c>
      <c r="D1139" s="107">
        <v>17.84</v>
      </c>
      <c r="E1139" s="108"/>
      <c r="F1139" s="109">
        <f>ROUND(D1139*$C1139,0)</f>
        <v>14076</v>
      </c>
      <c r="G1139" s="107">
        <v>17.84</v>
      </c>
      <c r="H1139" s="108"/>
      <c r="I1139" s="109">
        <f t="shared" si="215"/>
        <v>14076</v>
      </c>
      <c r="J1139" s="107">
        <f t="shared" si="207"/>
        <v>17.84</v>
      </c>
      <c r="K1139" s="108"/>
      <c r="L1139" s="109">
        <f>ROUND(J1139*$C1139,0)</f>
        <v>14076</v>
      </c>
      <c r="M1139" s="109"/>
      <c r="N1139" s="107">
        <f t="shared" si="208"/>
        <v>10.464876166107548</v>
      </c>
      <c r="O1139" s="108"/>
      <c r="P1139" s="109">
        <f>ROUND(N1139*$C1139,0)</f>
        <v>8257</v>
      </c>
      <c r="Q1139" s="109"/>
      <c r="R1139" s="107">
        <f t="shared" si="209"/>
        <v>1.4826512726380716</v>
      </c>
      <c r="S1139" s="108"/>
      <c r="T1139" s="109">
        <f>ROUND(R1139*$C1139,0)</f>
        <v>1170</v>
      </c>
      <c r="U1139" s="109"/>
      <c r="V1139" s="107">
        <f t="shared" si="210"/>
        <v>5.892472561254384</v>
      </c>
      <c r="W1139" s="108"/>
      <c r="X1139" s="109">
        <f>ROUND(V1139*$C1139,0)</f>
        <v>4649</v>
      </c>
      <c r="Y1139" s="82"/>
      <c r="Z1139" s="162"/>
      <c r="AA1139" s="83"/>
      <c r="AB1139" s="83"/>
      <c r="AC1139" s="360"/>
      <c r="AD1139" s="360"/>
      <c r="AE1139" s="165"/>
      <c r="AF1139" s="165"/>
      <c r="AG1139" s="165"/>
      <c r="AH1139" s="165"/>
      <c r="AI1139" s="396"/>
      <c r="AJ1139" s="396"/>
      <c r="AK1139" s="162"/>
      <c r="AL1139" s="162"/>
      <c r="AM1139" s="395"/>
      <c r="AN1139" s="162"/>
      <c r="AO1139" s="82"/>
      <c r="AP1139" s="82"/>
      <c r="AQ1139" s="82"/>
      <c r="AR1139" s="82"/>
      <c r="AS1139" s="82"/>
    </row>
    <row r="1140" spans="1:45" ht="15.75">
      <c r="A1140" s="84" t="s">
        <v>110</v>
      </c>
      <c r="C1140" s="164">
        <v>0</v>
      </c>
      <c r="D1140" s="107">
        <v>38.11</v>
      </c>
      <c r="E1140" s="108"/>
      <c r="F1140" s="109">
        <f>ROUND(D1140*$C1140,0)</f>
        <v>0</v>
      </c>
      <c r="G1140" s="107">
        <v>38.11</v>
      </c>
      <c r="H1140" s="108"/>
      <c r="I1140" s="109">
        <f t="shared" si="215"/>
        <v>0</v>
      </c>
      <c r="J1140" s="107">
        <f t="shared" si="207"/>
        <v>38.11</v>
      </c>
      <c r="K1140" s="108"/>
      <c r="L1140" s="109">
        <f>ROUND(J1140*$C1140,0)</f>
        <v>0</v>
      </c>
      <c r="M1140" s="109"/>
      <c r="N1140" s="107"/>
      <c r="O1140" s="108"/>
      <c r="P1140" s="109"/>
      <c r="Q1140" s="109"/>
      <c r="R1140" s="107"/>
      <c r="S1140" s="108"/>
      <c r="T1140" s="109"/>
      <c r="U1140" s="109"/>
      <c r="V1140" s="107"/>
      <c r="W1140" s="108"/>
      <c r="X1140" s="109"/>
      <c r="Y1140" s="82"/>
      <c r="Z1140" s="162"/>
      <c r="AA1140" s="83"/>
      <c r="AB1140" s="83"/>
      <c r="AC1140" s="360"/>
      <c r="AD1140" s="360"/>
      <c r="AE1140" s="165"/>
      <c r="AF1140" s="165"/>
      <c r="AG1140" s="165"/>
      <c r="AH1140" s="165"/>
      <c r="AI1140" s="396"/>
      <c r="AJ1140" s="396"/>
      <c r="AK1140" s="162"/>
      <c r="AL1140" s="162"/>
      <c r="AM1140" s="395"/>
      <c r="AN1140" s="162"/>
      <c r="AO1140" s="82"/>
      <c r="AP1140" s="82"/>
      <c r="AQ1140" s="82"/>
      <c r="AR1140" s="82"/>
      <c r="AS1140" s="82"/>
    </row>
    <row r="1141" spans="1:45" ht="15.75">
      <c r="A1141" s="399" t="s">
        <v>315</v>
      </c>
      <c r="C1141" s="164"/>
      <c r="D1141" s="107"/>
      <c r="E1141" s="108"/>
      <c r="F1141" s="109"/>
      <c r="G1141" s="107"/>
      <c r="H1141" s="108"/>
      <c r="I1141" s="109"/>
      <c r="J1141" s="107"/>
      <c r="K1141" s="108"/>
      <c r="L1141" s="109"/>
      <c r="M1141" s="109"/>
      <c r="N1141" s="107"/>
      <c r="O1141" s="108"/>
      <c r="P1141" s="109"/>
      <c r="Q1141" s="109"/>
      <c r="R1141" s="107"/>
      <c r="S1141" s="108"/>
      <c r="T1141" s="109"/>
      <c r="U1141" s="109"/>
      <c r="V1141" s="107"/>
      <c r="W1141" s="108"/>
      <c r="X1141" s="109"/>
      <c r="Y1141" s="82"/>
      <c r="Z1141" s="82"/>
      <c r="AA1141" s="397"/>
      <c r="AB1141" s="397"/>
      <c r="AC1141" s="397"/>
      <c r="AD1141" s="397"/>
      <c r="AE1141" s="400"/>
      <c r="AF1141" s="400"/>
      <c r="AG1141" s="400"/>
      <c r="AH1141" s="400"/>
      <c r="AI1141" s="396"/>
      <c r="AJ1141" s="396"/>
      <c r="AK1141" s="256"/>
      <c r="AL1141" s="82"/>
      <c r="AM1141" s="395"/>
      <c r="AN1141" s="82"/>
      <c r="AO1141" s="82"/>
      <c r="AP1141" s="82"/>
      <c r="AQ1141" s="82"/>
      <c r="AR1141" s="82"/>
      <c r="AS1141" s="82"/>
    </row>
    <row r="1142" spans="1:45" ht="15.75">
      <c r="A1142" s="84" t="s">
        <v>316</v>
      </c>
      <c r="C1142" s="164">
        <v>0</v>
      </c>
      <c r="D1142" s="107">
        <v>36.57</v>
      </c>
      <c r="E1142" s="108"/>
      <c r="F1142" s="109">
        <f>ROUND(D1142*$C1142,0)</f>
        <v>0</v>
      </c>
      <c r="G1142" s="107">
        <v>36.57</v>
      </c>
      <c r="H1142" s="108"/>
      <c r="I1142" s="109">
        <f t="shared" ref="I1142" si="216">ROUND(C1142*G1142,0)</f>
        <v>0</v>
      </c>
      <c r="J1142" s="107">
        <f t="shared" si="207"/>
        <v>36.57</v>
      </c>
      <c r="K1142" s="108"/>
      <c r="L1142" s="109">
        <f>ROUND(J1142*$C1142,0)</f>
        <v>0</v>
      </c>
      <c r="M1142" s="109"/>
      <c r="N1142" s="107"/>
      <c r="O1142" s="108"/>
      <c r="P1142" s="109"/>
      <c r="Q1142" s="109"/>
      <c r="R1142" s="107"/>
      <c r="S1142" s="108"/>
      <c r="T1142" s="109"/>
      <c r="U1142" s="109"/>
      <c r="V1142" s="107"/>
      <c r="W1142" s="108"/>
      <c r="X1142" s="109"/>
      <c r="Y1142" s="82"/>
      <c r="Z1142" s="162"/>
      <c r="AA1142" s="83"/>
      <c r="AB1142" s="83"/>
      <c r="AC1142" s="360"/>
      <c r="AD1142" s="360"/>
      <c r="AE1142" s="165"/>
      <c r="AF1142" s="165"/>
      <c r="AG1142" s="165"/>
      <c r="AH1142" s="165"/>
      <c r="AI1142" s="396"/>
      <c r="AJ1142" s="396"/>
      <c r="AK1142" s="162"/>
      <c r="AL1142" s="162"/>
      <c r="AM1142" s="395"/>
      <c r="AN1142" s="162"/>
      <c r="AO1142" s="82"/>
      <c r="AP1142" s="82"/>
      <c r="AQ1142" s="82"/>
      <c r="AR1142" s="82"/>
      <c r="AS1142" s="82"/>
    </row>
    <row r="1143" spans="1:45" ht="15.75">
      <c r="A1143" s="84" t="s">
        <v>117</v>
      </c>
      <c r="C1143" s="164">
        <v>407</v>
      </c>
      <c r="D1143" s="107"/>
      <c r="E1143" s="108"/>
      <c r="F1143" s="109"/>
      <c r="G1143" s="107"/>
      <c r="H1143" s="108"/>
      <c r="I1143" s="109"/>
      <c r="J1143" s="107"/>
      <c r="K1143" s="108"/>
      <c r="L1143" s="109"/>
      <c r="M1143" s="109"/>
      <c r="N1143" s="107"/>
      <c r="O1143" s="108"/>
      <c r="P1143" s="109"/>
      <c r="Q1143" s="109"/>
      <c r="R1143" s="107"/>
      <c r="S1143" s="108"/>
      <c r="T1143" s="109"/>
      <c r="U1143" s="109"/>
      <c r="V1143" s="107"/>
      <c r="W1143" s="108"/>
      <c r="X1143" s="109"/>
      <c r="Y1143" s="82"/>
      <c r="Z1143" s="162"/>
      <c r="AA1143" s="401"/>
      <c r="AB1143" s="401"/>
      <c r="AC1143" s="82"/>
      <c r="AD1143" s="82"/>
      <c r="AE1143" s="168"/>
      <c r="AF1143" s="168"/>
      <c r="AG1143" s="168"/>
      <c r="AH1143" s="168"/>
      <c r="AI1143" s="159"/>
      <c r="AJ1143" s="159"/>
      <c r="AK1143" s="162"/>
      <c r="AL1143" s="162"/>
      <c r="AM1143" s="162"/>
      <c r="AN1143" s="162"/>
      <c r="AO1143" s="82"/>
      <c r="AP1143" s="82"/>
      <c r="AQ1143" s="82"/>
      <c r="AR1143" s="82"/>
      <c r="AS1143" s="82"/>
    </row>
    <row r="1144" spans="1:45" ht="15.75">
      <c r="A1144" s="84" t="s">
        <v>134</v>
      </c>
      <c r="C1144" s="164">
        <v>1932402.666666667</v>
      </c>
      <c r="D1144" s="119"/>
      <c r="E1144" s="120"/>
      <c r="F1144" s="169">
        <f>SUM(F1115:F1142)</f>
        <v>236164</v>
      </c>
      <c r="G1144" s="119"/>
      <c r="H1144" s="120"/>
      <c r="I1144" s="169">
        <f>SUM(I1115:I1142)</f>
        <v>236164</v>
      </c>
      <c r="J1144" s="119"/>
      <c r="K1144" s="120"/>
      <c r="L1144" s="169">
        <f>SUM(L1115:L1143)</f>
        <v>236164</v>
      </c>
      <c r="M1144" s="169"/>
      <c r="N1144" s="119"/>
      <c r="O1144" s="120"/>
      <c r="P1144" s="169">
        <f>SUM(P1115:P1143)</f>
        <v>138534</v>
      </c>
      <c r="Q1144" s="169"/>
      <c r="R1144" s="119"/>
      <c r="S1144" s="120"/>
      <c r="T1144" s="169">
        <f>SUM(T1115:T1143)</f>
        <v>19628</v>
      </c>
      <c r="U1144" s="169"/>
      <c r="V1144" s="119"/>
      <c r="W1144" s="120"/>
      <c r="X1144" s="169">
        <f>SUM(X1115:X1143)</f>
        <v>78004</v>
      </c>
      <c r="Y1144" s="82"/>
      <c r="Z1144" s="162"/>
      <c r="AA1144" s="402"/>
      <c r="AB1144" s="402"/>
      <c r="AC1144" s="82"/>
      <c r="AD1144" s="82"/>
      <c r="AE1144" s="168"/>
      <c r="AF1144" s="168"/>
      <c r="AG1144" s="168"/>
      <c r="AH1144" s="168"/>
      <c r="AI1144" s="159"/>
      <c r="AJ1144" s="159"/>
      <c r="AK1144" s="171"/>
      <c r="AL1144" s="159"/>
      <c r="AM1144" s="159"/>
      <c r="AN1144" s="159"/>
      <c r="AO1144" s="82"/>
      <c r="AP1144" s="82"/>
      <c r="AQ1144" s="82"/>
      <c r="AR1144" s="82"/>
      <c r="AS1144" s="82"/>
    </row>
    <row r="1145" spans="1:45" ht="15.75">
      <c r="A1145" s="84" t="s">
        <v>119</v>
      </c>
      <c r="C1145" s="164">
        <v>-189146.84989545256</v>
      </c>
      <c r="D1145" s="119"/>
      <c r="E1145" s="120"/>
      <c r="F1145" s="169">
        <f>I1145</f>
        <v>-23253.943225423351</v>
      </c>
      <c r="G1145" s="119"/>
      <c r="H1145" s="120"/>
      <c r="I1145" s="169">
        <v>-23253.943225423351</v>
      </c>
      <c r="J1145" s="119"/>
      <c r="K1145" s="120"/>
      <c r="L1145" s="169">
        <f>I1145</f>
        <v>-23253.943225423351</v>
      </c>
      <c r="M1145" s="169"/>
      <c r="N1145" s="119"/>
      <c r="O1145" s="120"/>
      <c r="P1145" s="169">
        <f>L1145*AB12</f>
        <v>-13640.674676443437</v>
      </c>
      <c r="Q1145" s="169"/>
      <c r="R1145" s="153"/>
      <c r="S1145" s="153"/>
      <c r="T1145" s="169">
        <f>L1145*AA12</f>
        <v>-1932.5946478154369</v>
      </c>
      <c r="U1145" s="169"/>
      <c r="V1145" s="153"/>
      <c r="W1145" s="153"/>
      <c r="X1145" s="169">
        <f>L1145*Z12</f>
        <v>-7680.6739011644822</v>
      </c>
      <c r="Y1145" s="172"/>
      <c r="Z1145" s="168"/>
      <c r="AA1145" s="159"/>
      <c r="AB1145" s="159"/>
      <c r="AC1145" s="159"/>
      <c r="AD1145" s="159"/>
      <c r="AE1145" s="165"/>
      <c r="AF1145" s="165"/>
      <c r="AG1145" s="165"/>
      <c r="AH1145" s="165"/>
      <c r="AI1145" s="162"/>
      <c r="AJ1145" s="159"/>
      <c r="AK1145" s="82"/>
      <c r="AL1145" s="82"/>
      <c r="AM1145" s="82"/>
      <c r="AN1145" s="82"/>
      <c r="AO1145" s="82"/>
      <c r="AP1145" s="82"/>
      <c r="AQ1145" s="82"/>
      <c r="AR1145" s="82"/>
      <c r="AS1145" s="82"/>
    </row>
    <row r="1146" spans="1:45" ht="16.5" thickBot="1">
      <c r="A1146" s="84" t="s">
        <v>3</v>
      </c>
      <c r="C1146" s="140">
        <f>C1144+C1145</f>
        <v>1743255.8167712144</v>
      </c>
      <c r="D1146" s="141"/>
      <c r="E1146" s="141"/>
      <c r="F1146" s="141">
        <f>F1144+F1145</f>
        <v>212910.05677457666</v>
      </c>
      <c r="G1146" s="142"/>
      <c r="H1146" s="142"/>
      <c r="I1146" s="141">
        <f>I1144+I1145</f>
        <v>212910.05677457666</v>
      </c>
      <c r="J1146" s="142"/>
      <c r="K1146" s="142"/>
      <c r="L1146" s="141">
        <f>L1144+L1145</f>
        <v>212910.05677457666</v>
      </c>
      <c r="M1146" s="142"/>
      <c r="N1146" s="142"/>
      <c r="O1146" s="142"/>
      <c r="P1146" s="141">
        <f>P1144+P1145</f>
        <v>124893.32532355656</v>
      </c>
      <c r="Q1146" s="142"/>
      <c r="R1146" s="142"/>
      <c r="S1146" s="142"/>
      <c r="T1146" s="141">
        <f>T1144+T1145</f>
        <v>17695.405352184564</v>
      </c>
      <c r="U1146" s="142"/>
      <c r="V1146" s="142"/>
      <c r="W1146" s="142"/>
      <c r="X1146" s="141">
        <f>X1144+X1145</f>
        <v>70323.326098835518</v>
      </c>
      <c r="Y1146" s="363" t="s">
        <v>162</v>
      </c>
      <c r="Z1146" s="144">
        <f>I1146</f>
        <v>212910.05677457666</v>
      </c>
      <c r="AA1146" s="145">
        <f>(L1146-I1146)/I1146</f>
        <v>0</v>
      </c>
      <c r="AB1146" s="356"/>
      <c r="AC1146" s="159"/>
      <c r="AD1146" s="159"/>
      <c r="AE1146" s="159"/>
      <c r="AF1146" s="159"/>
      <c r="AG1146" s="159"/>
      <c r="AH1146" s="159"/>
      <c r="AI1146" s="159"/>
      <c r="AJ1146" s="159"/>
      <c r="AK1146" s="82"/>
      <c r="AL1146" s="82"/>
      <c r="AM1146" s="82"/>
      <c r="AN1146" s="82"/>
      <c r="AO1146" s="82"/>
      <c r="AP1146" s="82"/>
      <c r="AQ1146" s="82"/>
      <c r="AR1146" s="82"/>
      <c r="AS1146" s="82"/>
    </row>
    <row r="1147" spans="1:45" ht="16.5" thickTop="1">
      <c r="A1147" s="147" t="s">
        <v>121</v>
      </c>
      <c r="C1147" s="403" t="s">
        <v>108</v>
      </c>
      <c r="D1147" s="328"/>
      <c r="E1147" s="328"/>
      <c r="F1147" s="101"/>
      <c r="G1147" s="328" t="s">
        <v>108</v>
      </c>
      <c r="H1147" s="328"/>
      <c r="I1147" s="101"/>
      <c r="J1147" s="328" t="s">
        <v>108</v>
      </c>
      <c r="K1147" s="328"/>
      <c r="L1147" s="106" t="s">
        <v>108</v>
      </c>
      <c r="M1147" s="106"/>
      <c r="N1147" s="328" t="s">
        <v>108</v>
      </c>
      <c r="O1147" s="328"/>
      <c r="P1147" s="106" t="s">
        <v>108</v>
      </c>
      <c r="Q1147" s="106"/>
      <c r="R1147" s="328" t="s">
        <v>108</v>
      </c>
      <c r="S1147" s="328"/>
      <c r="T1147" s="106" t="s">
        <v>108</v>
      </c>
      <c r="U1147" s="106"/>
      <c r="V1147" s="328" t="s">
        <v>108</v>
      </c>
      <c r="W1147" s="328"/>
      <c r="X1147" s="106" t="s">
        <v>108</v>
      </c>
      <c r="Y1147" s="369" t="s">
        <v>122</v>
      </c>
      <c r="Z1147" s="155">
        <f>Z1146-L1146</f>
        <v>0</v>
      </c>
      <c r="AA1147" s="370">
        <v>-0.14423</v>
      </c>
      <c r="AB1147" s="246"/>
      <c r="AC1147" s="159"/>
      <c r="AD1147" s="159"/>
      <c r="AE1147" s="159"/>
      <c r="AF1147" s="159"/>
      <c r="AG1147" s="159"/>
      <c r="AH1147" s="159"/>
      <c r="AI1147" s="159"/>
      <c r="AJ1147" s="159"/>
      <c r="AK1147" s="82"/>
      <c r="AL1147" s="82"/>
      <c r="AM1147" s="82"/>
      <c r="AN1147" s="82"/>
      <c r="AO1147" s="82"/>
      <c r="AP1147" s="82"/>
      <c r="AQ1147" s="82"/>
      <c r="AR1147" s="82"/>
      <c r="AS1147" s="82"/>
    </row>
    <row r="1148" spans="1:45" ht="15.75">
      <c r="C1148" s="298"/>
      <c r="D1148" s="328"/>
      <c r="E1148" s="328"/>
      <c r="F1148" s="101"/>
      <c r="G1148" s="328"/>
      <c r="H1148" s="328"/>
      <c r="I1148" s="101"/>
      <c r="J1148" s="328"/>
      <c r="K1148" s="328"/>
      <c r="L1148" s="106"/>
      <c r="M1148" s="106"/>
      <c r="N1148" s="328"/>
      <c r="O1148" s="328"/>
      <c r="P1148" s="106"/>
      <c r="Q1148" s="106"/>
      <c r="R1148" s="328"/>
      <c r="S1148" s="328"/>
      <c r="T1148" s="106"/>
      <c r="U1148" s="106"/>
      <c r="V1148" s="328"/>
      <c r="W1148" s="328"/>
      <c r="X1148" s="106"/>
      <c r="Y1148" s="103">
        <f>Y29</f>
        <v>0.58786795947824033</v>
      </c>
      <c r="Z1148" s="103">
        <f>Z29</f>
        <v>8.2825357684735992E-2</v>
      </c>
      <c r="AA1148" s="103">
        <f>AA29</f>
        <v>0.32930668283702352</v>
      </c>
      <c r="AB1148" s="246"/>
      <c r="AC1148" s="159"/>
      <c r="AD1148" s="159"/>
      <c r="AE1148" s="159"/>
      <c r="AF1148" s="159"/>
      <c r="AG1148" s="159"/>
      <c r="AH1148" s="159"/>
      <c r="AI1148" s="159"/>
      <c r="AJ1148" s="159"/>
      <c r="AK1148" s="82"/>
      <c r="AL1148" s="82"/>
      <c r="AM1148" s="82"/>
      <c r="AN1148" s="82"/>
      <c r="AO1148" s="82"/>
      <c r="AP1148" s="82"/>
      <c r="AQ1148" s="82"/>
      <c r="AR1148" s="82"/>
      <c r="AS1148" s="82"/>
    </row>
    <row r="1149" spans="1:45" ht="15.75">
      <c r="C1149" s="298"/>
      <c r="D1149" s="328"/>
      <c r="E1149" s="328"/>
      <c r="F1149" s="101"/>
      <c r="G1149" s="328"/>
      <c r="H1149" s="328"/>
      <c r="I1149" s="101"/>
      <c r="J1149" s="328"/>
      <c r="K1149" s="328"/>
      <c r="L1149" s="106"/>
      <c r="M1149" s="106"/>
      <c r="N1149" s="328"/>
      <c r="O1149" s="328"/>
      <c r="P1149" s="106"/>
      <c r="Q1149" s="106"/>
      <c r="R1149" s="328"/>
      <c r="S1149" s="328"/>
      <c r="T1149" s="106"/>
      <c r="U1149" s="106"/>
      <c r="V1149" s="328"/>
      <c r="W1149" s="328"/>
      <c r="X1149" s="106"/>
      <c r="Y1149" s="150">
        <f>L1146*Y1148</f>
        <v>125163.00062846667</v>
      </c>
      <c r="Z1149" s="150">
        <f>L1146*Z1148</f>
        <v>17634.35160703176</v>
      </c>
      <c r="AA1149" s="150">
        <f>L1146*AA1148</f>
        <v>70112.704539078186</v>
      </c>
      <c r="AB1149" s="246"/>
      <c r="AC1149" s="159"/>
      <c r="AD1149" s="159"/>
      <c r="AE1149" s="159"/>
      <c r="AF1149" s="159"/>
      <c r="AG1149" s="159"/>
      <c r="AH1149" s="159"/>
      <c r="AI1149" s="159"/>
      <c r="AJ1149" s="159"/>
      <c r="AK1149" s="82"/>
      <c r="AL1149" s="82"/>
      <c r="AM1149" s="82"/>
      <c r="AN1149" s="82"/>
      <c r="AO1149" s="82"/>
      <c r="AP1149" s="82"/>
      <c r="AQ1149" s="82"/>
      <c r="AR1149" s="82"/>
      <c r="AS1149" s="82"/>
    </row>
    <row r="1150" spans="1:45" ht="15.75">
      <c r="A1150" s="193"/>
      <c r="B1150" s="204"/>
      <c r="C1150" s="326"/>
      <c r="D1150" s="404"/>
      <c r="E1150" s="106"/>
      <c r="F1150" s="106"/>
      <c r="G1150" s="404"/>
      <c r="H1150" s="193"/>
      <c r="I1150" s="106"/>
      <c r="J1150" s="404"/>
      <c r="K1150" s="193"/>
      <c r="L1150" s="106"/>
      <c r="M1150" s="106"/>
      <c r="N1150" s="404"/>
      <c r="O1150" s="193"/>
      <c r="P1150" s="106"/>
      <c r="Q1150" s="106"/>
      <c r="R1150" s="404"/>
      <c r="S1150" s="193"/>
      <c r="T1150" s="106"/>
      <c r="U1150" s="106"/>
      <c r="V1150" s="404"/>
      <c r="W1150" s="193"/>
      <c r="X1150" s="106"/>
      <c r="Y1150" s="82"/>
      <c r="Z1150" s="83"/>
      <c r="AA1150" s="83"/>
      <c r="AB1150" s="83"/>
      <c r="AC1150" s="82"/>
      <c r="AD1150" s="82"/>
      <c r="AE1150" s="82"/>
      <c r="AF1150" s="82"/>
      <c r="AG1150" s="82"/>
      <c r="AH1150" s="82"/>
      <c r="AI1150" s="82"/>
      <c r="AJ1150" s="82"/>
      <c r="AK1150" s="82"/>
      <c r="AL1150" s="82"/>
      <c r="AM1150" s="82"/>
      <c r="AN1150" s="82"/>
    </row>
    <row r="1151" spans="1:45" s="121" customFormat="1" ht="19.899999999999999" customHeight="1" thickBot="1">
      <c r="A1151" s="259" t="s">
        <v>317</v>
      </c>
      <c r="B1151" s="204"/>
      <c r="C1151" s="346">
        <f>C26+C95+C186+C516+C550+C671+C796+C814+C1024+C1039+C1052+C1107+C1146</f>
        <v>4008615164.6339941</v>
      </c>
      <c r="D1151" s="405"/>
      <c r="E1151" s="347"/>
      <c r="F1151" s="347" t="e">
        <f>F26+F95+F186+F516+F550+F671+F796+F814+F1024+F1039+F1052+F1107+F1146</f>
        <v>#VALUE!</v>
      </c>
      <c r="G1151" s="405"/>
      <c r="H1151" s="347"/>
      <c r="I1151" s="347">
        <f>I26+I95+I186+I516+I550+I671+I796+I814+I1024+I1039+I1052+I1107+I1146</f>
        <v>322039460.52952307</v>
      </c>
      <c r="J1151" s="405"/>
      <c r="K1151" s="347"/>
      <c r="L1151" s="347">
        <f ca="1">L26+L95+L186+L516+L550+L671+L814+L1024+L1039+L1052+L1107+L1146</f>
        <v>328406952.86282337</v>
      </c>
      <c r="M1151" s="347"/>
      <c r="N1151" s="405"/>
      <c r="O1151" s="347"/>
      <c r="P1151" s="347">
        <f ca="1">P26+P95+P186+P516+P550+P671+P796+P849+P902+P990+P1024+P1039+P1052+P1107+P1146</f>
        <v>62309830.827292144</v>
      </c>
      <c r="Q1151" s="347"/>
      <c r="R1151" s="405"/>
      <c r="S1151" s="347"/>
      <c r="T1151" s="347">
        <f ca="1">T26+T95+T186+T516+T550+T671+T796+T849+T902+T990+T1024+T1039+T1052+T1107+T1146</f>
        <v>53829441.667968526</v>
      </c>
      <c r="U1151" s="347"/>
      <c r="V1151" s="405"/>
      <c r="W1151" s="347"/>
      <c r="X1151" s="406">
        <f ca="1">X26+X95+X186+X516+X550+X671+X796+X849+X902+X990+X1024+X1039+X1052+X1107+X1146</f>
        <v>209734093.53583896</v>
      </c>
      <c r="Y1151" s="407" t="s">
        <v>162</v>
      </c>
      <c r="Z1151" s="408">
        <f>'[1]Summary Table'!$G$64</f>
        <v>328402741.50063217</v>
      </c>
      <c r="AA1151" s="83"/>
      <c r="AB1151" s="83"/>
      <c r="AC1151" s="209"/>
      <c r="AD1151" s="209"/>
      <c r="AE1151" s="209"/>
      <c r="AF1151" s="209"/>
      <c r="AG1151" s="209"/>
      <c r="AH1151" s="209"/>
      <c r="AI1151" s="209"/>
      <c r="AJ1151" s="209"/>
      <c r="AK1151" s="209"/>
      <c r="AL1151" s="209"/>
      <c r="AM1151" s="209"/>
      <c r="AN1151" s="209"/>
    </row>
    <row r="1152" spans="1:45" ht="16.5" thickTop="1">
      <c r="A1152" s="179"/>
      <c r="B1152" s="204"/>
      <c r="C1152" s="409"/>
      <c r="D1152" s="243"/>
      <c r="E1152" s="106"/>
      <c r="F1152" s="106"/>
      <c r="G1152" s="243" t="s">
        <v>108</v>
      </c>
      <c r="H1152" s="179"/>
      <c r="I1152" s="106"/>
      <c r="J1152" s="275" t="s">
        <v>108</v>
      </c>
      <c r="K1152" s="179"/>
      <c r="L1152" s="106" t="s">
        <v>108</v>
      </c>
      <c r="M1152" s="106"/>
      <c r="N1152" s="275" t="s">
        <v>108</v>
      </c>
      <c r="O1152" s="179"/>
      <c r="P1152" s="106" t="s">
        <v>108</v>
      </c>
      <c r="Q1152" s="106"/>
      <c r="R1152" s="275" t="s">
        <v>108</v>
      </c>
      <c r="S1152" s="179"/>
      <c r="T1152" s="106" t="s">
        <v>108</v>
      </c>
      <c r="U1152" s="106"/>
      <c r="V1152" s="275" t="s">
        <v>108</v>
      </c>
      <c r="W1152" s="179"/>
      <c r="X1152" s="106" t="s">
        <v>108</v>
      </c>
      <c r="Y1152" s="154" t="s">
        <v>122</v>
      </c>
      <c r="Z1152" s="410">
        <f ca="1">Z1151-L1151</f>
        <v>-4211.3621912002563</v>
      </c>
      <c r="AA1152" s="411" t="s">
        <v>108</v>
      </c>
      <c r="AB1152" s="411"/>
      <c r="AC1152" s="82"/>
      <c r="AD1152" s="82"/>
      <c r="AE1152" s="82"/>
      <c r="AF1152" s="82"/>
      <c r="AG1152" s="82"/>
      <c r="AH1152" s="82"/>
      <c r="AI1152" s="82"/>
      <c r="AJ1152" s="82"/>
      <c r="AK1152" s="82"/>
      <c r="AL1152" s="82"/>
      <c r="AM1152" s="82"/>
      <c r="AN1152" s="82"/>
    </row>
    <row r="1153" spans="1:40" ht="15.75">
      <c r="A1153" s="179" t="s">
        <v>318</v>
      </c>
      <c r="B1153" s="204"/>
      <c r="C1153" s="298"/>
      <c r="D1153" s="412"/>
      <c r="E1153" s="413"/>
      <c r="F1153" s="413">
        <f>I1153</f>
        <v>651518.29</v>
      </c>
      <c r="G1153" s="412"/>
      <c r="H1153" s="414"/>
      <c r="I1153" s="413">
        <v>651518.29</v>
      </c>
      <c r="J1153" s="415"/>
      <c r="K1153" s="414"/>
      <c r="L1153" s="416">
        <f>I1153</f>
        <v>651518.29</v>
      </c>
      <c r="M1153" s="413"/>
      <c r="N1153" s="415"/>
      <c r="O1153" s="414"/>
      <c r="P1153" s="416">
        <f>L1153</f>
        <v>651518.29</v>
      </c>
      <c r="Q1153" s="413"/>
      <c r="R1153" s="415"/>
      <c r="S1153" s="414"/>
      <c r="T1153" s="416"/>
      <c r="U1153" s="413"/>
      <c r="V1153" s="415"/>
      <c r="W1153" s="414"/>
      <c r="X1153" s="416"/>
      <c r="AC1153" s="82"/>
      <c r="AD1153" s="82"/>
      <c r="AE1153" s="82"/>
      <c r="AF1153" s="82"/>
      <c r="AG1153" s="82"/>
      <c r="AH1153" s="82"/>
      <c r="AI1153" s="82"/>
      <c r="AJ1153" s="82"/>
      <c r="AK1153" s="82"/>
      <c r="AL1153" s="82"/>
      <c r="AM1153" s="82"/>
      <c r="AN1153" s="82"/>
    </row>
    <row r="1154" spans="1:40" s="121" customFormat="1" ht="19.899999999999999" customHeight="1" thickBot="1">
      <c r="A1154" s="417" t="s">
        <v>319</v>
      </c>
      <c r="B1154" s="418"/>
      <c r="C1154" s="419">
        <f>C1151+C1153</f>
        <v>4008615164.6339941</v>
      </c>
      <c r="D1154" s="420"/>
      <c r="E1154" s="421"/>
      <c r="F1154" s="422" t="e">
        <f>F1151+F1153</f>
        <v>#VALUE!</v>
      </c>
      <c r="G1154" s="423"/>
      <c r="H1154" s="421"/>
      <c r="I1154" s="422">
        <f>I1151+I1153</f>
        <v>322690978.8195231</v>
      </c>
      <c r="J1154" s="424"/>
      <c r="K1154" s="421"/>
      <c r="L1154" s="422">
        <f ca="1">L1151+L1153</f>
        <v>329058471.15282339</v>
      </c>
      <c r="M1154" s="422"/>
      <c r="N1154" s="424"/>
      <c r="O1154" s="421"/>
      <c r="P1154" s="422">
        <f ca="1">P1151+P1153</f>
        <v>62961349.117292143</v>
      </c>
      <c r="Q1154" s="422"/>
      <c r="R1154" s="424"/>
      <c r="S1154" s="421"/>
      <c r="T1154" s="422">
        <f ca="1">T1151+T1153</f>
        <v>53829441.667968526</v>
      </c>
      <c r="U1154" s="422"/>
      <c r="V1154" s="424"/>
      <c r="W1154" s="421"/>
      <c r="X1154" s="422">
        <f ca="1">X1151+X1153</f>
        <v>209734093.53583896</v>
      </c>
      <c r="AC1154" s="209"/>
      <c r="AD1154" s="209"/>
      <c r="AE1154" s="209"/>
      <c r="AF1154" s="209"/>
      <c r="AG1154" s="209"/>
      <c r="AH1154" s="209"/>
      <c r="AI1154" s="209"/>
      <c r="AJ1154" s="209"/>
      <c r="AK1154" s="209"/>
      <c r="AL1154" s="209"/>
      <c r="AM1154" s="209"/>
      <c r="AN1154" s="209"/>
    </row>
    <row r="1155" spans="1:40" ht="16.5" thickTop="1">
      <c r="A1155" s="179"/>
      <c r="B1155" s="204"/>
      <c r="C1155" s="205"/>
      <c r="D1155" s="425" t="s">
        <v>108</v>
      </c>
      <c r="E1155" s="106"/>
      <c r="F1155" s="106" t="s">
        <v>108</v>
      </c>
      <c r="G1155" s="243"/>
      <c r="H1155" s="425"/>
      <c r="I1155" s="106" t="s">
        <v>108</v>
      </c>
      <c r="J1155" s="243"/>
      <c r="K1155" s="179"/>
      <c r="L1155" s="106"/>
      <c r="M1155" s="106"/>
      <c r="N1155" s="243"/>
      <c r="O1155" s="179"/>
      <c r="P1155" s="106"/>
      <c r="Q1155" s="106"/>
      <c r="R1155" s="243"/>
      <c r="S1155" s="179"/>
      <c r="T1155" s="106"/>
      <c r="U1155" s="106"/>
      <c r="V1155" s="243"/>
      <c r="W1155" s="179"/>
      <c r="X1155" s="106"/>
      <c r="Y1155" s="82"/>
      <c r="Z1155" s="83"/>
      <c r="AA1155" s="83"/>
      <c r="AB1155" s="83"/>
      <c r="AC1155" s="82"/>
      <c r="AD1155" s="82"/>
      <c r="AE1155" s="82"/>
      <c r="AF1155" s="82"/>
      <c r="AG1155" s="82"/>
      <c r="AH1155" s="82"/>
      <c r="AI1155" s="82"/>
      <c r="AJ1155" s="82"/>
      <c r="AK1155" s="82"/>
      <c r="AL1155" s="82"/>
      <c r="AM1155" s="82"/>
      <c r="AN1155" s="82"/>
    </row>
    <row r="1156" spans="1:40" ht="15.75">
      <c r="C1156" s="298"/>
      <c r="D1156" s="426"/>
      <c r="G1156" s="426"/>
      <c r="H1156" s="426"/>
      <c r="I1156" s="427"/>
      <c r="L1156" s="104"/>
      <c r="M1156" s="104"/>
      <c r="P1156" s="104"/>
      <c r="Q1156" s="104"/>
      <c r="T1156" s="104"/>
      <c r="U1156" s="104"/>
      <c r="X1156" s="104"/>
      <c r="Y1156" s="82"/>
      <c r="Z1156" s="83"/>
      <c r="AA1156" s="83"/>
      <c r="AB1156" s="83"/>
      <c r="AC1156" s="82"/>
      <c r="AD1156" s="82"/>
      <c r="AE1156" s="82"/>
      <c r="AF1156" s="82"/>
      <c r="AG1156" s="82"/>
      <c r="AH1156" s="82"/>
      <c r="AI1156" s="82"/>
      <c r="AJ1156" s="82"/>
      <c r="AK1156" s="82"/>
      <c r="AL1156" s="82"/>
      <c r="AM1156" s="82"/>
      <c r="AN1156" s="82"/>
    </row>
    <row r="1157" spans="1:40">
      <c r="A1157" s="428"/>
      <c r="Y1157" s="82"/>
      <c r="Z1157" s="83"/>
      <c r="AA1157" s="83"/>
      <c r="AB1157" s="83"/>
      <c r="AC1157" s="82"/>
      <c r="AD1157" s="82"/>
      <c r="AE1157" s="82"/>
      <c r="AF1157" s="82"/>
      <c r="AG1157" s="82"/>
      <c r="AH1157" s="82"/>
      <c r="AI1157" s="82"/>
      <c r="AJ1157" s="82"/>
      <c r="AK1157" s="82"/>
      <c r="AL1157" s="82"/>
      <c r="AM1157" s="82"/>
      <c r="AN1157" s="82"/>
    </row>
    <row r="1158" spans="1:40" ht="15.75">
      <c r="A1158" s="179" t="s">
        <v>18</v>
      </c>
      <c r="B1158" s="84" t="s">
        <v>320</v>
      </c>
      <c r="C1158" s="104">
        <v>4010161433.2736092</v>
      </c>
      <c r="F1158" s="429" t="s">
        <v>108</v>
      </c>
      <c r="I1158" s="114">
        <v>321605657.8195231</v>
      </c>
      <c r="L1158" s="114"/>
      <c r="M1158" s="114"/>
      <c r="P1158" s="114"/>
      <c r="Q1158" s="114"/>
      <c r="T1158" s="114"/>
      <c r="U1158" s="114"/>
      <c r="X1158" s="114"/>
      <c r="Y1158" s="150"/>
      <c r="Z1158" s="83"/>
      <c r="AA1158" s="83"/>
      <c r="AB1158" s="83"/>
      <c r="AC1158" s="82"/>
      <c r="AD1158" s="82"/>
      <c r="AE1158" s="82"/>
      <c r="AF1158" s="82"/>
      <c r="AG1158" s="82"/>
      <c r="AH1158" s="82"/>
      <c r="AI1158" s="82"/>
      <c r="AJ1158" s="82"/>
      <c r="AK1158" s="82"/>
      <c r="AL1158" s="82"/>
      <c r="AM1158" s="82"/>
      <c r="AN1158" s="82"/>
    </row>
    <row r="1159" spans="1:40" ht="15.75">
      <c r="B1159" s="84" t="s">
        <v>321</v>
      </c>
      <c r="C1159" s="104">
        <v>4010161433.2736092</v>
      </c>
      <c r="F1159" s="429" t="s">
        <v>108</v>
      </c>
      <c r="I1159" s="114">
        <v>321605657.8195231</v>
      </c>
      <c r="Y1159" s="82"/>
      <c r="Z1159" s="83"/>
      <c r="AA1159" s="83"/>
      <c r="AB1159" s="83"/>
      <c r="AC1159" s="82"/>
      <c r="AD1159" s="82"/>
      <c r="AE1159" s="82"/>
      <c r="AF1159" s="82"/>
      <c r="AG1159" s="82"/>
      <c r="AH1159" s="82"/>
      <c r="AI1159" s="82"/>
      <c r="AJ1159" s="82"/>
      <c r="AK1159" s="82"/>
      <c r="AL1159" s="82"/>
      <c r="AM1159" s="82"/>
      <c r="AN1159" s="82"/>
    </row>
    <row r="1160" spans="1:40">
      <c r="Y1160" s="82"/>
      <c r="Z1160" s="83"/>
      <c r="AA1160" s="83"/>
      <c r="AB1160" s="83"/>
      <c r="AC1160" s="82"/>
      <c r="AD1160" s="82"/>
      <c r="AE1160" s="82"/>
      <c r="AF1160" s="82"/>
      <c r="AG1160" s="82"/>
      <c r="AH1160" s="82"/>
      <c r="AI1160" s="82"/>
      <c r="AJ1160" s="82"/>
      <c r="AK1160" s="82"/>
      <c r="AL1160" s="82"/>
      <c r="AM1160" s="82"/>
      <c r="AN1160" s="82"/>
    </row>
    <row r="1161" spans="1:40" ht="15.75">
      <c r="B1161" s="84" t="s">
        <v>322</v>
      </c>
      <c r="C1161" s="104">
        <f>C1154-C1159</f>
        <v>-1546268.6396150589</v>
      </c>
      <c r="F1161" s="430" t="s">
        <v>108</v>
      </c>
      <c r="I1161" s="104">
        <f>I1154-I1159</f>
        <v>1085321</v>
      </c>
      <c r="Y1161" s="82"/>
      <c r="Z1161" s="83"/>
      <c r="AA1161" s="83"/>
      <c r="AB1161" s="83"/>
      <c r="AC1161" s="82"/>
      <c r="AD1161" s="82"/>
      <c r="AE1161" s="82"/>
      <c r="AF1161" s="82"/>
      <c r="AG1161" s="82"/>
      <c r="AH1161" s="82"/>
      <c r="AI1161" s="82"/>
      <c r="AJ1161" s="82"/>
      <c r="AK1161" s="82"/>
      <c r="AL1161" s="82"/>
      <c r="AM1161" s="82"/>
      <c r="AN1161" s="82"/>
    </row>
    <row r="1162" spans="1:40">
      <c r="Y1162" s="82"/>
      <c r="Z1162" s="83"/>
      <c r="AA1162" s="83"/>
      <c r="AB1162" s="83"/>
      <c r="AC1162" s="82"/>
      <c r="AD1162" s="82"/>
      <c r="AE1162" s="82"/>
      <c r="AF1162" s="82"/>
      <c r="AG1162" s="82"/>
      <c r="AH1162" s="82"/>
      <c r="AI1162" s="82"/>
      <c r="AJ1162" s="82"/>
      <c r="AK1162" s="82"/>
      <c r="AL1162" s="82"/>
      <c r="AM1162" s="82"/>
      <c r="AN1162" s="82"/>
    </row>
    <row r="1164" spans="1:40">
      <c r="B1164" s="84" t="s">
        <v>323</v>
      </c>
      <c r="C1164" s="104">
        <f>C23+C86+C167+C525+C631+C783+C804+C1021+C1036+C1049+C1103+C1143</f>
        <v>1534498.0038089552</v>
      </c>
    </row>
    <row r="1165" spans="1:40">
      <c r="B1165" s="84" t="s">
        <v>324</v>
      </c>
      <c r="C1165" s="104">
        <f>((C23+C86+C198+C312+C525+C783+C804+C1021+C1036+C1049+C1103+C1143)/12)+C399+C631</f>
        <v>132686.80604480256</v>
      </c>
    </row>
    <row r="1166" spans="1:40" ht="15.75">
      <c r="B1166" s="361" t="s">
        <v>325</v>
      </c>
      <c r="C1166" s="104">
        <v>132778.43714676326</v>
      </c>
      <c r="D1166" s="189" t="s">
        <v>108</v>
      </c>
      <c r="Z1166" s="84"/>
      <c r="AA1166" s="84"/>
      <c r="AB1166" s="84"/>
    </row>
    <row r="1167" spans="1:40">
      <c r="B1167" s="84" t="s">
        <v>322</v>
      </c>
      <c r="C1167" s="104">
        <f>C1165-C1166</f>
        <v>-91.63110196069465</v>
      </c>
      <c r="Z1167" s="84"/>
      <c r="AA1167" s="84"/>
      <c r="AB1167" s="84"/>
    </row>
  </sheetData>
  <mergeCells count="4">
    <mergeCell ref="A1:X1"/>
    <mergeCell ref="A2:X2"/>
    <mergeCell ref="A3:X3"/>
    <mergeCell ref="A4:X4"/>
  </mergeCells>
  <pageMargins left="0.7" right="0.7" top="0.75" bottom="0.75" header="0.3" footer="0.3"/>
  <pageSetup scale="55" orientation="landscape" r:id="rId1"/>
  <rowBreaks count="21" manualBreakCount="21">
    <brk id="48" max="23" man="1"/>
    <brk id="82" max="23" man="1"/>
    <brk id="126" max="23" man="1"/>
    <brk id="154" max="23" man="1"/>
    <brk id="190" max="23" man="1"/>
    <brk id="247" max="23" man="1"/>
    <brk id="303" max="23" man="1"/>
    <brk id="361" max="23" man="1"/>
    <brk id="420" max="23" man="1"/>
    <brk id="478" max="23" man="1"/>
    <brk id="517" max="23" man="1"/>
    <brk id="587" max="23" man="1"/>
    <brk id="621" max="23" man="1"/>
    <brk id="775" max="23" man="1"/>
    <brk id="833" max="23" man="1"/>
    <brk id="886" max="23" man="1"/>
    <brk id="939" max="23" man="1"/>
    <brk id="991" max="23" man="1"/>
    <brk id="1042" max="23" man="1"/>
    <brk id="1097" max="23" man="1"/>
    <brk id="1148" max="2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60" zoomScaleNormal="100" workbookViewId="0">
      <selection activeCell="M20" sqref="M20"/>
    </sheetView>
  </sheetViews>
  <sheetFormatPr defaultRowHeight="15"/>
  <cols>
    <col min="3" max="3" width="30" bestFit="1" customWidth="1"/>
    <col min="4" max="6" width="15.28515625" bestFit="1" customWidth="1"/>
    <col min="7" max="8" width="14.28515625" bestFit="1" customWidth="1"/>
    <col min="9" max="10" width="13.28515625" bestFit="1" customWidth="1"/>
  </cols>
  <sheetData>
    <row r="1" spans="1:10">
      <c r="A1" s="580" t="s">
        <v>353</v>
      </c>
      <c r="B1" s="580"/>
      <c r="C1" s="580"/>
      <c r="D1" s="580"/>
      <c r="E1" s="580"/>
      <c r="F1" s="580"/>
      <c r="G1" s="580"/>
      <c r="H1" s="580"/>
      <c r="I1" s="580"/>
      <c r="J1" s="580"/>
    </row>
    <row r="3" spans="1:10">
      <c r="A3" s="432"/>
      <c r="B3" s="433"/>
      <c r="C3" s="433"/>
      <c r="D3" s="433"/>
      <c r="E3" s="433" t="s">
        <v>3</v>
      </c>
      <c r="F3" s="433" t="s">
        <v>97</v>
      </c>
      <c r="G3" s="433" t="s">
        <v>327</v>
      </c>
      <c r="H3" s="433" t="s">
        <v>96</v>
      </c>
      <c r="I3" s="433" t="s">
        <v>328</v>
      </c>
      <c r="J3" s="434" t="s">
        <v>103</v>
      </c>
    </row>
    <row r="4" spans="1:10">
      <c r="A4" s="76" t="s">
        <v>329</v>
      </c>
      <c r="B4" s="77" t="s">
        <v>330</v>
      </c>
      <c r="C4" s="77" t="s">
        <v>331</v>
      </c>
      <c r="D4" s="77" t="s">
        <v>332</v>
      </c>
      <c r="E4" s="77" t="s">
        <v>333</v>
      </c>
      <c r="F4" s="77" t="s">
        <v>333</v>
      </c>
      <c r="G4" s="77" t="s">
        <v>333</v>
      </c>
      <c r="H4" s="77" t="s">
        <v>333</v>
      </c>
      <c r="I4" s="77" t="s">
        <v>333</v>
      </c>
      <c r="J4" s="78" t="s">
        <v>333</v>
      </c>
    </row>
    <row r="5" spans="1:10">
      <c r="A5" s="435" t="s">
        <v>334</v>
      </c>
      <c r="B5" s="436" t="s">
        <v>334</v>
      </c>
      <c r="C5" s="436"/>
      <c r="D5" s="436" t="s">
        <v>335</v>
      </c>
      <c r="E5" s="436" t="s">
        <v>336</v>
      </c>
      <c r="F5" s="436" t="s">
        <v>336</v>
      </c>
      <c r="G5" s="436" t="s">
        <v>336</v>
      </c>
      <c r="H5" s="436" t="s">
        <v>336</v>
      </c>
      <c r="I5" s="436" t="s">
        <v>336</v>
      </c>
      <c r="J5" s="437" t="s">
        <v>336</v>
      </c>
    </row>
    <row r="6" spans="1:10">
      <c r="A6" s="63">
        <v>1</v>
      </c>
      <c r="B6" s="63" t="s">
        <v>337</v>
      </c>
      <c r="C6" s="63" t="s">
        <v>338</v>
      </c>
      <c r="D6" s="540">
        <v>140088118.80000001</v>
      </c>
      <c r="E6" s="540">
        <f>'[1]Summary Table'!G$54</f>
        <v>152195869.84559971</v>
      </c>
      <c r="F6" s="540">
        <f>'[1]Summary Table'!H$54</f>
        <v>89571821.792690724</v>
      </c>
      <c r="G6" s="540">
        <f>'[1]Summary Table'!I$54</f>
        <v>23289824.359387986</v>
      </c>
      <c r="H6" s="540">
        <f>'[1]Summary Table'!J$54</f>
        <v>30852900.072166763</v>
      </c>
      <c r="I6" s="540">
        <f>'[1]Summary Table'!K$54</f>
        <v>5561170.7472939258</v>
      </c>
      <c r="J6" s="540">
        <f>'[1]Summary Table'!L$54</f>
        <v>2920152.8740602974</v>
      </c>
    </row>
    <row r="7" spans="1:10">
      <c r="A7" s="12">
        <v>2</v>
      </c>
      <c r="B7" s="12" t="s">
        <v>339</v>
      </c>
      <c r="C7" s="12" t="s">
        <v>340</v>
      </c>
      <c r="D7" s="541">
        <v>48473096.458215185</v>
      </c>
      <c r="E7" s="541">
        <f>'[1]Summary Table'!G$55</f>
        <v>44449262.077554025</v>
      </c>
      <c r="F7" s="541">
        <f>'[1]Summary Table'!H$55</f>
        <v>28165759.724258013</v>
      </c>
      <c r="G7" s="541">
        <f>'[1]Summary Table'!I$55</f>
        <v>7272915.8465127293</v>
      </c>
      <c r="H7" s="541">
        <f>'[1]Summary Table'!J$55</f>
        <v>7307881.1982149305</v>
      </c>
      <c r="I7" s="541">
        <f>'[1]Summary Table'!K$55</f>
        <v>744354.94558047398</v>
      </c>
      <c r="J7" s="541">
        <f>'[1]Summary Table'!L$55</f>
        <v>958350.36298787862</v>
      </c>
    </row>
    <row r="8" spans="1:10">
      <c r="A8" s="12">
        <v>3</v>
      </c>
      <c r="B8" s="12" t="s">
        <v>341</v>
      </c>
      <c r="C8" s="12" t="s">
        <v>342</v>
      </c>
      <c r="D8" s="541">
        <v>66810176.104031913</v>
      </c>
      <c r="E8" s="541">
        <f>'[1]Summary Table'!G$56</f>
        <v>65401767.680436283</v>
      </c>
      <c r="F8" s="541">
        <f>'[1]Summary Table'!H$56</f>
        <v>44979068.403674513</v>
      </c>
      <c r="G8" s="541">
        <f>'[1]Summary Table'!I$56</f>
        <v>11631035.363020137</v>
      </c>
      <c r="H8" s="541">
        <f>'[1]Summary Table'!J$56</f>
        <v>7332357.0049216682</v>
      </c>
      <c r="I8" s="541">
        <f>'[1]Summary Table'!K$56</f>
        <v>3301.6052568683663</v>
      </c>
      <c r="J8" s="541">
        <f>'[1]Summary Table'!L$56</f>
        <v>1456005.3035630949</v>
      </c>
    </row>
    <row r="9" spans="1:10">
      <c r="A9" s="12">
        <v>4</v>
      </c>
      <c r="B9" s="12" t="s">
        <v>343</v>
      </c>
      <c r="C9" s="12" t="s">
        <v>344</v>
      </c>
      <c r="D9" s="541">
        <v>26035610</v>
      </c>
      <c r="E9" s="541">
        <f>'[1]Summary Table'!G$57</f>
        <v>26242702.866843082</v>
      </c>
      <c r="F9" s="541">
        <f>'[1]Summary Table'!H$57</f>
        <v>18416859.977128603</v>
      </c>
      <c r="G9" s="541">
        <f>'[1]Summary Table'!I$57</f>
        <v>4745307.1456465162</v>
      </c>
      <c r="H9" s="541">
        <f>'[1]Summary Table'!J$57</f>
        <v>2377118.8624019339</v>
      </c>
      <c r="I9" s="541">
        <f>'[1]Summary Table'!K$57</f>
        <v>119438.4140818899</v>
      </c>
      <c r="J9" s="541">
        <f>'[1]Summary Table'!L$57</f>
        <v>583978.4675841399</v>
      </c>
    </row>
    <row r="10" spans="1:10">
      <c r="A10" s="12">
        <v>5</v>
      </c>
      <c r="B10" s="12" t="s">
        <v>343</v>
      </c>
      <c r="C10" s="12" t="s">
        <v>345</v>
      </c>
      <c r="D10" s="541">
        <v>24940664.394958615</v>
      </c>
      <c r="E10" s="541">
        <f>'[1]Summary Table'!G$58</f>
        <v>26715277.375690531</v>
      </c>
      <c r="F10" s="541">
        <f>'[1]Summary Table'!H$58</f>
        <v>20319954.817526326</v>
      </c>
      <c r="G10" s="541">
        <f>'[1]Summary Table'!I$58</f>
        <v>5221504.0889181998</v>
      </c>
      <c r="H10" s="541">
        <f>'[1]Summary Table'!J$58</f>
        <v>453564.30432057136</v>
      </c>
      <c r="I10" s="541">
        <f>'[1]Summary Table'!K$58</f>
        <v>107589.46515038359</v>
      </c>
      <c r="J10" s="541">
        <f>'[1]Summary Table'!L$58</f>
        <v>612664.6997750497</v>
      </c>
    </row>
    <row r="11" spans="1:10">
      <c r="A11" s="12">
        <v>6</v>
      </c>
      <c r="B11" s="12" t="s">
        <v>346</v>
      </c>
      <c r="C11" s="12" t="s">
        <v>223</v>
      </c>
      <c r="D11" s="541">
        <v>12666289</v>
      </c>
      <c r="E11" s="541">
        <f>'[1]Summary Table'!G$59</f>
        <v>11858814.747220214</v>
      </c>
      <c r="F11" s="541">
        <f>'[1]Summary Table'!H$59</f>
        <v>7411325.6288400507</v>
      </c>
      <c r="G11" s="541">
        <f>'[1]Summary Table'!I$59</f>
        <v>1903203.6543014634</v>
      </c>
      <c r="H11" s="541">
        <f>'[1]Summary Table'!J$59</f>
        <v>2165003.9599801661</v>
      </c>
      <c r="I11" s="541">
        <f>'[1]Summary Table'!K$59</f>
        <v>126785.75980230751</v>
      </c>
      <c r="J11" s="541">
        <f>'[1]Summary Table'!L$59</f>
        <v>252495.74429622586</v>
      </c>
    </row>
    <row r="12" spans="1:10">
      <c r="A12" s="13">
        <v>7</v>
      </c>
      <c r="B12" s="13" t="s">
        <v>347</v>
      </c>
      <c r="C12" s="13" t="s">
        <v>348</v>
      </c>
      <c r="D12" s="542">
        <v>1648056.5279417732</v>
      </c>
      <c r="E12" s="542">
        <f>'[1]Summary Table'!G$60</f>
        <v>1539046.9072882952</v>
      </c>
      <c r="F12" s="542">
        <f>'[1]Summary Table'!H$60</f>
        <v>508340.34034079028</v>
      </c>
      <c r="G12" s="542">
        <f>'[1]Summary Table'!I$60</f>
        <v>127907.50312447752</v>
      </c>
      <c r="H12" s="542">
        <f>'[1]Summary Table'!J$60</f>
        <v>787652.93097054167</v>
      </c>
      <c r="I12" s="542">
        <f>'[1]Summary Table'!K$60</f>
        <v>93104.98250534368</v>
      </c>
      <c r="J12" s="542">
        <f>'[1]Summary Table'!L$60</f>
        <v>22041.150347142342</v>
      </c>
    </row>
    <row r="13" spans="1:10">
      <c r="A13" s="12"/>
      <c r="B13" s="12"/>
      <c r="C13" s="12"/>
      <c r="D13" s="541"/>
      <c r="E13" s="541"/>
      <c r="F13" s="541"/>
      <c r="G13" s="541"/>
      <c r="H13" s="541"/>
      <c r="I13" s="541"/>
      <c r="J13" s="541"/>
    </row>
    <row r="14" spans="1:10">
      <c r="A14" s="438">
        <v>8</v>
      </c>
      <c r="B14" s="13"/>
      <c r="C14" s="13" t="s">
        <v>349</v>
      </c>
      <c r="D14" s="542">
        <f>SUM(D6:D12)</f>
        <v>320662011.28514749</v>
      </c>
      <c r="E14" s="542">
        <f t="shared" ref="E14:J14" si="0">SUM(E6:E12)</f>
        <v>328402741.50063217</v>
      </c>
      <c r="F14" s="542">
        <f t="shared" si="0"/>
        <v>209373130.684459</v>
      </c>
      <c r="G14" s="542">
        <f t="shared" si="0"/>
        <v>54191697.960911505</v>
      </c>
      <c r="H14" s="542">
        <f t="shared" si="0"/>
        <v>51276478.33297658</v>
      </c>
      <c r="I14" s="542">
        <f t="shared" si="0"/>
        <v>6755745.9196711937</v>
      </c>
      <c r="J14" s="542">
        <f t="shared" si="0"/>
        <v>6805688.6026138281</v>
      </c>
    </row>
    <row r="18" spans="1:11">
      <c r="A18" s="432"/>
      <c r="B18" s="433"/>
      <c r="C18" s="433"/>
      <c r="D18" s="433"/>
      <c r="E18" s="433" t="s">
        <v>3</v>
      </c>
      <c r="F18" s="433" t="s">
        <v>97</v>
      </c>
      <c r="G18" s="433" t="s">
        <v>327</v>
      </c>
      <c r="H18" s="433" t="s">
        <v>96</v>
      </c>
      <c r="I18" s="433" t="s">
        <v>328</v>
      </c>
      <c r="J18" s="434" t="s">
        <v>103</v>
      </c>
    </row>
    <row r="19" spans="1:11">
      <c r="A19" s="76" t="s">
        <v>329</v>
      </c>
      <c r="B19" s="77" t="s">
        <v>330</v>
      </c>
      <c r="C19" s="77" t="s">
        <v>331</v>
      </c>
      <c r="D19" s="77" t="s">
        <v>332</v>
      </c>
      <c r="E19" s="77" t="s">
        <v>333</v>
      </c>
      <c r="F19" s="77" t="s">
        <v>333</v>
      </c>
      <c r="G19" s="77" t="s">
        <v>333</v>
      </c>
      <c r="H19" s="77" t="s">
        <v>333</v>
      </c>
      <c r="I19" s="77" t="s">
        <v>333</v>
      </c>
      <c r="J19" s="78" t="s">
        <v>333</v>
      </c>
    </row>
    <row r="20" spans="1:11">
      <c r="A20" s="435" t="s">
        <v>334</v>
      </c>
      <c r="B20" s="436" t="s">
        <v>334</v>
      </c>
      <c r="C20" s="436"/>
      <c r="D20" s="436" t="s">
        <v>335</v>
      </c>
      <c r="E20" s="436" t="s">
        <v>336</v>
      </c>
      <c r="F20" s="436" t="s">
        <v>336</v>
      </c>
      <c r="G20" s="436" t="s">
        <v>336</v>
      </c>
      <c r="H20" s="436" t="s">
        <v>336</v>
      </c>
      <c r="I20" s="436" t="s">
        <v>336</v>
      </c>
      <c r="J20" s="437" t="s">
        <v>336</v>
      </c>
    </row>
    <row r="21" spans="1:11">
      <c r="A21" s="63">
        <v>1</v>
      </c>
      <c r="B21" s="63" t="s">
        <v>337</v>
      </c>
      <c r="C21" s="63" t="s">
        <v>338</v>
      </c>
      <c r="D21" s="439">
        <v>140088118.80000001</v>
      </c>
      <c r="E21" s="540">
        <f>$E6</f>
        <v>152195869.84559971</v>
      </c>
      <c r="F21" s="442">
        <f>$F6/$E6</f>
        <v>0.58852991138038047</v>
      </c>
      <c r="G21" s="442">
        <f>$G6/$E6</f>
        <v>0.15302533756674963</v>
      </c>
      <c r="H21" s="442">
        <f>$H6/$E6</f>
        <v>0.20271837930599917</v>
      </c>
      <c r="I21" s="442">
        <f>$I6/$E6</f>
        <v>3.6539564134924589E-2</v>
      </c>
      <c r="J21" s="442">
        <f>$J6/$E6</f>
        <v>1.9186807611946015E-2</v>
      </c>
      <c r="K21" s="5"/>
    </row>
    <row r="22" spans="1:11">
      <c r="A22" s="12">
        <v>2</v>
      </c>
      <c r="B22" s="12" t="s">
        <v>339</v>
      </c>
      <c r="C22" s="12" t="s">
        <v>340</v>
      </c>
      <c r="D22" s="440">
        <v>48473096.458215185</v>
      </c>
      <c r="E22" s="540">
        <f t="shared" ref="E22:E27" si="1">$E7</f>
        <v>44449262.077554025</v>
      </c>
      <c r="F22" s="442">
        <f t="shared" ref="F22:F27" si="2">$F7/$E7</f>
        <v>0.63366090701607281</v>
      </c>
      <c r="G22" s="442">
        <f t="shared" ref="G22:G27" si="3">$G7/$E7</f>
        <v>0.16362287035998746</v>
      </c>
      <c r="H22" s="442">
        <f t="shared" ref="H22:H27" si="4">$H7/$E7</f>
        <v>0.16440950550459785</v>
      </c>
      <c r="I22" s="442">
        <f t="shared" ref="I22:I27" si="5">$I7/$E7</f>
        <v>1.6746171045128735E-2</v>
      </c>
      <c r="J22" s="442">
        <f t="shared" ref="J22:J27" si="6">$J7/$E7</f>
        <v>2.1560546074213146E-2</v>
      </c>
      <c r="K22" s="5"/>
    </row>
    <row r="23" spans="1:11">
      <c r="A23" s="12">
        <v>3</v>
      </c>
      <c r="B23" s="12" t="s">
        <v>341</v>
      </c>
      <c r="C23" s="12" t="s">
        <v>342</v>
      </c>
      <c r="D23" s="440">
        <v>66810176.104031913</v>
      </c>
      <c r="E23" s="540">
        <f t="shared" si="1"/>
        <v>65401767.680436283</v>
      </c>
      <c r="F23" s="442">
        <f t="shared" si="2"/>
        <v>0.68773475089311942</v>
      </c>
      <c r="G23" s="442">
        <f t="shared" si="3"/>
        <v>0.17783977062900311</v>
      </c>
      <c r="H23" s="442">
        <f t="shared" si="4"/>
        <v>0.11211252027236882</v>
      </c>
      <c r="I23" s="442">
        <f t="shared" si="5"/>
        <v>5.0481896345685162E-5</v>
      </c>
      <c r="J23" s="442">
        <f t="shared" si="6"/>
        <v>2.2262476309162997E-2</v>
      </c>
      <c r="K23" s="5"/>
    </row>
    <row r="24" spans="1:11">
      <c r="A24" s="12">
        <v>4</v>
      </c>
      <c r="B24" s="12" t="s">
        <v>343</v>
      </c>
      <c r="C24" s="12" t="s">
        <v>344</v>
      </c>
      <c r="D24" s="440">
        <v>26035610.215484656</v>
      </c>
      <c r="E24" s="540">
        <f t="shared" si="1"/>
        <v>26242702.866843082</v>
      </c>
      <c r="F24" s="442">
        <f t="shared" si="2"/>
        <v>0.70178975353936535</v>
      </c>
      <c r="G24" s="442">
        <f t="shared" si="3"/>
        <v>0.1808238720578618</v>
      </c>
      <c r="H24" s="442">
        <f t="shared" si="4"/>
        <v>9.0582089598909302E-2</v>
      </c>
      <c r="I24" s="442">
        <f t="shared" si="5"/>
        <v>4.5513000199684838E-3</v>
      </c>
      <c r="J24" s="442">
        <f t="shared" si="6"/>
        <v>2.2252984783895119E-2</v>
      </c>
      <c r="K24" s="5"/>
    </row>
    <row r="25" spans="1:11">
      <c r="A25" s="12">
        <v>5</v>
      </c>
      <c r="B25" s="12" t="s">
        <v>343</v>
      </c>
      <c r="C25" s="12" t="s">
        <v>345</v>
      </c>
      <c r="D25" s="440">
        <v>24940664.394958615</v>
      </c>
      <c r="E25" s="540">
        <f t="shared" si="1"/>
        <v>26715277.375690531</v>
      </c>
      <c r="F25" s="442">
        <f t="shared" si="2"/>
        <v>0.7606117852257972</v>
      </c>
      <c r="G25" s="442">
        <f t="shared" si="3"/>
        <v>0.19545011700569084</v>
      </c>
      <c r="H25" s="442">
        <f t="shared" si="4"/>
        <v>1.6977712712550407E-2</v>
      </c>
      <c r="I25" s="442">
        <f t="shared" si="5"/>
        <v>4.0272636378570498E-3</v>
      </c>
      <c r="J25" s="442">
        <f t="shared" si="6"/>
        <v>2.2933121418104448E-2</v>
      </c>
      <c r="K25" s="5"/>
    </row>
    <row r="26" spans="1:11">
      <c r="A26" s="12">
        <v>6</v>
      </c>
      <c r="B26" s="12" t="s">
        <v>346</v>
      </c>
      <c r="C26" s="12" t="s">
        <v>223</v>
      </c>
      <c r="D26" s="440">
        <v>12666289</v>
      </c>
      <c r="E26" s="540">
        <f t="shared" si="1"/>
        <v>11858814.747220214</v>
      </c>
      <c r="F26" s="442">
        <f t="shared" si="2"/>
        <v>0.62496343747821126</v>
      </c>
      <c r="G26" s="442">
        <f t="shared" si="3"/>
        <v>0.16048852224018315</v>
      </c>
      <c r="H26" s="442">
        <f t="shared" si="4"/>
        <v>0.18256495325451116</v>
      </c>
      <c r="I26" s="442">
        <f t="shared" si="5"/>
        <v>1.069126742468314E-2</v>
      </c>
      <c r="J26" s="442">
        <f t="shared" si="6"/>
        <v>2.1291819602411156E-2</v>
      </c>
      <c r="K26" s="5"/>
    </row>
    <row r="27" spans="1:11">
      <c r="A27" s="13">
        <v>7</v>
      </c>
      <c r="B27" s="13" t="s">
        <v>347</v>
      </c>
      <c r="C27" s="13" t="s">
        <v>348</v>
      </c>
      <c r="D27" s="441">
        <v>1648056.5279417732</v>
      </c>
      <c r="E27" s="543">
        <f t="shared" si="1"/>
        <v>1539046.9072882952</v>
      </c>
      <c r="F27" s="544">
        <f t="shared" si="2"/>
        <v>0.33029554715551479</v>
      </c>
      <c r="G27" s="544">
        <f t="shared" si="3"/>
        <v>8.3108255192717015E-2</v>
      </c>
      <c r="H27" s="544">
        <f t="shared" si="4"/>
        <v>0.51177967821548531</v>
      </c>
      <c r="I27" s="544">
        <f t="shared" si="5"/>
        <v>6.0495220817790969E-2</v>
      </c>
      <c r="J27" s="544">
        <f t="shared" si="6"/>
        <v>1.4321298618492061E-2</v>
      </c>
      <c r="K27" s="5"/>
    </row>
  </sheetData>
  <mergeCells count="1">
    <mergeCell ref="A1:J1"/>
  </mergeCell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view="pageBreakPreview" zoomScale="60" zoomScaleNormal="100" workbookViewId="0">
      <pane xSplit="14" ySplit="14" topLeftCell="O15" activePane="bottomRight" state="frozen"/>
      <selection pane="topRight" activeCell="O1" sqref="O1"/>
      <selection pane="bottomLeft" activeCell="A15" sqref="A15"/>
      <selection pane="bottomRight" activeCell="V61" sqref="V61"/>
    </sheetView>
  </sheetViews>
  <sheetFormatPr defaultRowHeight="15"/>
  <cols>
    <col min="1" max="1" width="23.5703125" customWidth="1"/>
    <col min="2" max="2" width="12.5703125" bestFit="1" customWidth="1"/>
    <col min="3" max="3" width="10.7109375" customWidth="1"/>
    <col min="4" max="4" width="10.85546875" bestFit="1" customWidth="1"/>
    <col min="5" max="5" width="9.140625" bestFit="1" customWidth="1"/>
    <col min="6" max="6" width="10.85546875" bestFit="1" customWidth="1"/>
    <col min="7" max="7" width="13.42578125" customWidth="1"/>
    <col min="8" max="8" width="13.42578125" bestFit="1" customWidth="1"/>
    <col min="9" max="10" width="13.42578125" customWidth="1"/>
    <col min="11" max="11" width="11.42578125" customWidth="1"/>
    <col min="12" max="12" width="8.7109375" bestFit="1" customWidth="1"/>
    <col min="13" max="13" width="9.140625" bestFit="1" customWidth="1"/>
    <col min="15" max="15" width="16" customWidth="1"/>
    <col min="16" max="16" width="19.85546875" customWidth="1"/>
    <col min="17" max="17" width="20.85546875" customWidth="1"/>
    <col min="18" max="18" width="16.140625" customWidth="1"/>
  </cols>
  <sheetData>
    <row r="1" spans="1:18">
      <c r="A1" s="580" t="s">
        <v>19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8">
      <c r="A2" s="580" t="s">
        <v>20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</row>
    <row r="3" spans="1:18">
      <c r="B3" s="14" t="s">
        <v>15</v>
      </c>
      <c r="C3" s="606" t="s">
        <v>26</v>
      </c>
      <c r="D3" s="607"/>
      <c r="E3" s="607"/>
      <c r="F3" s="607"/>
      <c r="G3" s="608"/>
      <c r="H3" s="606" t="s">
        <v>27</v>
      </c>
      <c r="I3" s="607"/>
      <c r="J3" s="608"/>
      <c r="K3" s="606" t="s">
        <v>28</v>
      </c>
      <c r="L3" s="607"/>
      <c r="M3" s="607"/>
      <c r="N3" s="608"/>
    </row>
    <row r="4" spans="1:18" ht="30" customHeight="1">
      <c r="B4" s="15" t="s">
        <v>24</v>
      </c>
      <c r="C4" s="609" t="s">
        <v>40</v>
      </c>
      <c r="D4" s="610"/>
      <c r="E4" s="611" t="s">
        <v>25</v>
      </c>
      <c r="F4" s="611"/>
      <c r="G4" s="612"/>
      <c r="H4" s="603" t="s">
        <v>24</v>
      </c>
      <c r="I4" s="604"/>
      <c r="J4" s="605"/>
      <c r="K4" s="613" t="s">
        <v>40</v>
      </c>
      <c r="L4" s="614"/>
      <c r="M4" s="583" t="s">
        <v>25</v>
      </c>
      <c r="N4" s="584"/>
    </row>
    <row r="5" spans="1:18" ht="30">
      <c r="A5" s="11" t="s">
        <v>29</v>
      </c>
      <c r="B5" s="6">
        <v>1253262</v>
      </c>
      <c r="C5" s="588">
        <v>1202807</v>
      </c>
      <c r="D5" s="585"/>
      <c r="E5" s="585">
        <v>50454</v>
      </c>
      <c r="F5" s="585"/>
      <c r="G5" s="586"/>
      <c r="H5" s="588">
        <v>1253262</v>
      </c>
      <c r="I5" s="585"/>
      <c r="J5" s="586"/>
      <c r="K5" s="588">
        <v>1202807</v>
      </c>
      <c r="L5" s="585"/>
      <c r="M5" s="585">
        <v>50454</v>
      </c>
      <c r="N5" s="586"/>
    </row>
    <row r="6" spans="1:18">
      <c r="A6" s="12" t="s">
        <v>11</v>
      </c>
      <c r="B6" s="7">
        <v>7.75</v>
      </c>
      <c r="C6" s="589">
        <v>14</v>
      </c>
      <c r="D6" s="590"/>
      <c r="E6" s="599">
        <v>8.75</v>
      </c>
      <c r="F6" s="599"/>
      <c r="G6" s="600"/>
      <c r="H6" s="602">
        <f>'Residential Rate Worksheet'!M8</f>
        <v>13</v>
      </c>
      <c r="I6" s="599"/>
      <c r="J6" s="600"/>
      <c r="K6" s="602">
        <v>13.2</v>
      </c>
      <c r="L6" s="599"/>
      <c r="M6" s="599">
        <v>8.5500000000000007</v>
      </c>
      <c r="N6" s="600"/>
    </row>
    <row r="7" spans="1:18">
      <c r="A7" s="63" t="s">
        <v>21</v>
      </c>
      <c r="B7" s="70">
        <v>6.1990000000000003E-2</v>
      </c>
      <c r="C7" s="591">
        <v>6.5030000000000004E-2</v>
      </c>
      <c r="D7" s="592"/>
      <c r="E7" s="592">
        <v>6.5030000000000004E-2</v>
      </c>
      <c r="F7" s="592"/>
      <c r="G7" s="601"/>
      <c r="H7" s="591">
        <f>'Residential Rate Worksheet'!$M$9</f>
        <v>6.472E-2</v>
      </c>
      <c r="I7" s="592"/>
      <c r="J7" s="601"/>
      <c r="K7" s="591">
        <f>'Residential Rate Worksheet'!$M$9</f>
        <v>6.472E-2</v>
      </c>
      <c r="L7" s="592"/>
      <c r="M7" s="592">
        <f>'Residential Rate Worksheet'!$M$9</f>
        <v>6.472E-2</v>
      </c>
      <c r="N7" s="601"/>
      <c r="O7" t="s">
        <v>355</v>
      </c>
      <c r="P7" t="s">
        <v>356</v>
      </c>
      <c r="Q7" t="s">
        <v>357</v>
      </c>
    </row>
    <row r="8" spans="1:18">
      <c r="A8" s="12" t="s">
        <v>22</v>
      </c>
      <c r="B8" s="8">
        <v>9.8169999999999993E-2</v>
      </c>
      <c r="C8" s="593">
        <v>0.10224</v>
      </c>
      <c r="D8" s="594"/>
      <c r="E8" s="594">
        <v>0.10224</v>
      </c>
      <c r="F8" s="594"/>
      <c r="G8" s="597"/>
      <c r="H8" s="593">
        <f>'Residential Rate Worksheet'!$M$10</f>
        <v>9.1700000000000004E-2</v>
      </c>
      <c r="I8" s="594"/>
      <c r="J8" s="597"/>
      <c r="K8" s="593">
        <f>'Residential Rate Worksheet'!$M$10</f>
        <v>9.1700000000000004E-2</v>
      </c>
      <c r="L8" s="594"/>
      <c r="M8" s="594">
        <f>'Residential Rate Worksheet'!$M$10</f>
        <v>9.1700000000000004E-2</v>
      </c>
      <c r="N8" s="597"/>
      <c r="O8" s="79">
        <f>K8-K7</f>
        <v>2.6980000000000004E-2</v>
      </c>
    </row>
    <row r="9" spans="1:18">
      <c r="A9" s="13" t="s">
        <v>23</v>
      </c>
      <c r="B9" s="71">
        <v>9.8169999999999993E-2</v>
      </c>
      <c r="C9" s="595">
        <v>0.10224</v>
      </c>
      <c r="D9" s="596"/>
      <c r="E9" s="596">
        <v>0.10224</v>
      </c>
      <c r="F9" s="596"/>
      <c r="G9" s="598"/>
      <c r="H9" s="595">
        <f>'Residential Rate Worksheet'!$M$11</f>
        <v>0.11996</v>
      </c>
      <c r="I9" s="596"/>
      <c r="J9" s="598"/>
      <c r="K9" s="595">
        <f>'Residential Rate Worksheet'!$M$11</f>
        <v>0.11996</v>
      </c>
      <c r="L9" s="596"/>
      <c r="M9" s="596">
        <f>'Residential Rate Worksheet'!$M$11</f>
        <v>0.11996</v>
      </c>
      <c r="N9" s="598"/>
      <c r="O9" s="79">
        <f>H9-H8</f>
        <v>2.8259999999999993E-2</v>
      </c>
      <c r="P9" s="473">
        <f>200*(B8-K7)</f>
        <v>6.6899999999999986</v>
      </c>
      <c r="Q9" s="74">
        <f>600*(H7-B7)</f>
        <v>1.6379999999999977</v>
      </c>
      <c r="R9" s="74"/>
    </row>
    <row r="10" spans="1:18">
      <c r="A10" s="12" t="s">
        <v>30</v>
      </c>
      <c r="B10" s="6" t="s">
        <v>33</v>
      </c>
      <c r="C10" s="588" t="s">
        <v>33</v>
      </c>
      <c r="D10" s="585"/>
      <c r="E10" s="585" t="s">
        <v>33</v>
      </c>
      <c r="F10" s="585"/>
      <c r="G10" s="586"/>
      <c r="H10" s="588" t="s">
        <v>35</v>
      </c>
      <c r="I10" s="585"/>
      <c r="J10" s="586"/>
      <c r="K10" s="588" t="s">
        <v>35</v>
      </c>
      <c r="L10" s="585"/>
      <c r="M10" s="585" t="s">
        <v>35</v>
      </c>
      <c r="N10" s="586"/>
      <c r="Q10" s="74">
        <f>900*(B8-H8)</f>
        <v>5.8229999999999906</v>
      </c>
      <c r="R10" s="473"/>
    </row>
    <row r="11" spans="1:18">
      <c r="A11" s="12" t="s">
        <v>31</v>
      </c>
      <c r="B11" s="6" t="s">
        <v>34</v>
      </c>
      <c r="C11" s="588" t="s">
        <v>34</v>
      </c>
      <c r="D11" s="585"/>
      <c r="E11" s="585" t="s">
        <v>34</v>
      </c>
      <c r="F11" s="585"/>
      <c r="G11" s="586"/>
      <c r="H11" s="588" t="s">
        <v>36</v>
      </c>
      <c r="I11" s="585"/>
      <c r="J11" s="586"/>
      <c r="K11" s="588" t="s">
        <v>36</v>
      </c>
      <c r="L11" s="585"/>
      <c r="M11" s="585" t="s">
        <v>36</v>
      </c>
      <c r="N11" s="586"/>
      <c r="Q11" s="473">
        <f>Q9+Q10</f>
        <v>7.4609999999999879</v>
      </c>
    </row>
    <row r="12" spans="1:18">
      <c r="A12" s="13" t="s">
        <v>32</v>
      </c>
      <c r="B12" s="9" t="s">
        <v>34</v>
      </c>
      <c r="C12" s="581" t="s">
        <v>34</v>
      </c>
      <c r="D12" s="582"/>
      <c r="E12" s="582" t="s">
        <v>34</v>
      </c>
      <c r="F12" s="582"/>
      <c r="G12" s="587"/>
      <c r="H12" s="581" t="s">
        <v>37</v>
      </c>
      <c r="I12" s="582"/>
      <c r="J12" s="587"/>
      <c r="K12" s="581" t="s">
        <v>37</v>
      </c>
      <c r="L12" s="582"/>
      <c r="M12" s="582" t="s">
        <v>37</v>
      </c>
      <c r="N12" s="587"/>
    </row>
    <row r="14" spans="1:18" ht="30">
      <c r="A14" s="63" t="s">
        <v>38</v>
      </c>
      <c r="B14" s="16" t="s">
        <v>39</v>
      </c>
      <c r="C14" s="23" t="s">
        <v>39</v>
      </c>
      <c r="D14" s="69" t="s">
        <v>41</v>
      </c>
      <c r="E14" s="68" t="s">
        <v>39</v>
      </c>
      <c r="F14" s="36" t="s">
        <v>41</v>
      </c>
      <c r="G14" s="37" t="s">
        <v>45</v>
      </c>
      <c r="H14" s="44" t="s">
        <v>39</v>
      </c>
      <c r="I14" s="45" t="s">
        <v>41</v>
      </c>
      <c r="J14" s="46" t="s">
        <v>43</v>
      </c>
      <c r="K14" s="53" t="s">
        <v>39</v>
      </c>
      <c r="L14" s="54" t="s">
        <v>44</v>
      </c>
      <c r="M14" s="55" t="s">
        <v>39</v>
      </c>
      <c r="N14" s="56" t="s">
        <v>42</v>
      </c>
    </row>
    <row r="15" spans="1:18">
      <c r="A15" s="6">
        <v>0</v>
      </c>
      <c r="B15" s="17">
        <f>$B$6+($B$7*A15)</f>
        <v>7.75</v>
      </c>
      <c r="C15" s="24">
        <f>$C$6+(A15*$C$7)</f>
        <v>14</v>
      </c>
      <c r="D15" s="47">
        <f>(C15-B15)/B15</f>
        <v>0.80645161290322576</v>
      </c>
      <c r="E15" s="57">
        <f>$E$6+(A15*$E$7)</f>
        <v>8.75</v>
      </c>
      <c r="F15" s="38">
        <f>(E15-B15)/B15</f>
        <v>0.12903225806451613</v>
      </c>
      <c r="G15" s="25">
        <f>(E15-C15)/C15</f>
        <v>-0.375</v>
      </c>
      <c r="H15" s="24">
        <f>$H$6+(A15*$H$7)</f>
        <v>13</v>
      </c>
      <c r="I15" s="47">
        <f>(H15-B15)/B15</f>
        <v>0.67741935483870963</v>
      </c>
      <c r="J15" s="25">
        <f>(H15-C15)/C15</f>
        <v>-7.1428571428571425E-2</v>
      </c>
      <c r="K15" s="24">
        <f>$K$6+(A15*$K$7)</f>
        <v>13.2</v>
      </c>
      <c r="L15" s="47">
        <f>(K15-H15)/H15</f>
        <v>1.538461538461533E-2</v>
      </c>
      <c r="M15" s="57">
        <f>$M$6+(A15*$M$7)</f>
        <v>8.5500000000000007</v>
      </c>
      <c r="N15" s="25">
        <f>(M15-H15)/H15</f>
        <v>-0.34230769230769226</v>
      </c>
    </row>
    <row r="16" spans="1:18">
      <c r="A16" s="6">
        <v>50</v>
      </c>
      <c r="B16" s="17">
        <f t="shared" ref="B16:B27" si="0">$B$6+($B$7*A16)</f>
        <v>10.849500000000001</v>
      </c>
      <c r="C16" s="24">
        <f t="shared" ref="C16:C27" si="1">$C$6+(A16*$C$7)</f>
        <v>17.2515</v>
      </c>
      <c r="D16" s="47">
        <f t="shared" ref="D16:D79" si="2">(C16-B16)/B16</f>
        <v>0.59007327526614117</v>
      </c>
      <c r="E16" s="57">
        <f t="shared" ref="E16:E27" si="3">$E$6+(A16*$E$7)</f>
        <v>12.0015</v>
      </c>
      <c r="F16" s="38">
        <f t="shared" ref="F16:F79" si="4">(E16-B16)/B16</f>
        <v>0.10618000829531307</v>
      </c>
      <c r="G16" s="25">
        <f t="shared" ref="G16:G79" si="5">(E16-C16)/C16</f>
        <v>-0.30432136335970783</v>
      </c>
      <c r="H16" s="24">
        <f t="shared" ref="H16:H31" si="6">$H$6+(A16*$H$7)</f>
        <v>16.236000000000001</v>
      </c>
      <c r="I16" s="47">
        <f t="shared" ref="I16:I79" si="7">(H16-B16)/B16</f>
        <v>0.4964744919120696</v>
      </c>
      <c r="J16" s="25">
        <f t="shared" ref="J16:J79" si="8">(H16-C16)/C16</f>
        <v>-5.8864446569863456E-2</v>
      </c>
      <c r="K16" s="24">
        <f t="shared" ref="K16:K31" si="9">$K$6+(A16*$K$7)</f>
        <v>16.436</v>
      </c>
      <c r="L16" s="47">
        <f t="shared" ref="L16:L79" si="10">(K16-H16)/H16</f>
        <v>1.2318305001231785E-2</v>
      </c>
      <c r="M16" s="57">
        <f t="shared" ref="M16:M31" si="11">$M$6+(A16*$M$7)</f>
        <v>11.786000000000001</v>
      </c>
      <c r="N16" s="25">
        <f t="shared" ref="N16:N79" si="12">(M16-H16)/H16</f>
        <v>-0.27408228627740816</v>
      </c>
    </row>
    <row r="17" spans="1:15">
      <c r="A17" s="6">
        <v>100</v>
      </c>
      <c r="B17" s="17">
        <f t="shared" si="0"/>
        <v>13.949000000000002</v>
      </c>
      <c r="C17" s="24">
        <f t="shared" si="1"/>
        <v>20.503</v>
      </c>
      <c r="D17" s="47">
        <f t="shared" si="2"/>
        <v>0.46985446985446971</v>
      </c>
      <c r="E17" s="57">
        <f t="shared" si="3"/>
        <v>15.253</v>
      </c>
      <c r="F17" s="38">
        <f t="shared" si="4"/>
        <v>9.3483403828231296E-2</v>
      </c>
      <c r="G17" s="25">
        <f t="shared" si="5"/>
        <v>-0.25606008876749742</v>
      </c>
      <c r="H17" s="24">
        <f t="shared" si="6"/>
        <v>19.472000000000001</v>
      </c>
      <c r="I17" s="47">
        <f t="shared" si="7"/>
        <v>0.39594236145960277</v>
      </c>
      <c r="J17" s="25">
        <f t="shared" si="8"/>
        <v>-5.0285324098912294E-2</v>
      </c>
      <c r="K17" s="24">
        <f t="shared" si="9"/>
        <v>19.671999999999997</v>
      </c>
      <c r="L17" s="47">
        <f t="shared" si="10"/>
        <v>1.0271158586688358E-2</v>
      </c>
      <c r="M17" s="57">
        <f t="shared" si="11"/>
        <v>15.022</v>
      </c>
      <c r="N17" s="25">
        <f t="shared" si="12"/>
        <v>-0.22853327855382091</v>
      </c>
    </row>
    <row r="18" spans="1:15">
      <c r="A18" s="6">
        <v>150</v>
      </c>
      <c r="B18" s="17">
        <f t="shared" si="0"/>
        <v>17.048500000000001</v>
      </c>
      <c r="C18" s="24">
        <f t="shared" si="1"/>
        <v>23.7545</v>
      </c>
      <c r="D18" s="47">
        <f t="shared" si="2"/>
        <v>0.39334838842126868</v>
      </c>
      <c r="E18" s="57">
        <f t="shared" si="3"/>
        <v>18.5045</v>
      </c>
      <c r="F18" s="38">
        <f t="shared" si="4"/>
        <v>8.5403407924450794E-2</v>
      </c>
      <c r="G18" s="25">
        <f t="shared" si="5"/>
        <v>-0.22101075585678503</v>
      </c>
      <c r="H18" s="24">
        <f t="shared" si="6"/>
        <v>22.707999999999998</v>
      </c>
      <c r="I18" s="47">
        <f t="shared" si="7"/>
        <v>0.33196468897556958</v>
      </c>
      <c r="J18" s="25">
        <f t="shared" si="8"/>
        <v>-4.4054810667452558E-2</v>
      </c>
      <c r="K18" s="24">
        <f t="shared" si="9"/>
        <v>22.908000000000001</v>
      </c>
      <c r="L18" s="47">
        <f t="shared" si="10"/>
        <v>8.8074687334861214E-3</v>
      </c>
      <c r="M18" s="57">
        <f t="shared" si="11"/>
        <v>18.258000000000003</v>
      </c>
      <c r="N18" s="25">
        <f t="shared" si="12"/>
        <v>-0.19596617932006324</v>
      </c>
    </row>
    <row r="19" spans="1:15">
      <c r="A19" s="6">
        <v>200</v>
      </c>
      <c r="B19" s="17">
        <f t="shared" si="0"/>
        <v>20.148000000000003</v>
      </c>
      <c r="C19" s="24">
        <f t="shared" si="1"/>
        <v>27.006</v>
      </c>
      <c r="D19" s="47">
        <f t="shared" si="2"/>
        <v>0.3403811792733768</v>
      </c>
      <c r="E19" s="57">
        <f t="shared" si="3"/>
        <v>21.756</v>
      </c>
      <c r="F19" s="38">
        <f t="shared" si="4"/>
        <v>7.9809410363311337E-2</v>
      </c>
      <c r="G19" s="25">
        <f t="shared" si="5"/>
        <v>-0.19440124416796267</v>
      </c>
      <c r="H19" s="24">
        <f t="shared" si="6"/>
        <v>25.943999999999999</v>
      </c>
      <c r="I19" s="47">
        <f t="shared" si="7"/>
        <v>0.28767123287671209</v>
      </c>
      <c r="J19" s="25">
        <f t="shared" si="8"/>
        <v>-3.9324594534547924E-2</v>
      </c>
      <c r="K19" s="24">
        <f t="shared" si="9"/>
        <v>26.143999999999998</v>
      </c>
      <c r="L19" s="47">
        <f t="shared" si="10"/>
        <v>7.7089115016959336E-3</v>
      </c>
      <c r="M19" s="57">
        <f t="shared" si="11"/>
        <v>21.494</v>
      </c>
      <c r="N19" s="25">
        <f t="shared" si="12"/>
        <v>-0.17152328091273511</v>
      </c>
    </row>
    <row r="20" spans="1:15">
      <c r="A20" s="6">
        <v>250</v>
      </c>
      <c r="B20" s="17">
        <f t="shared" si="0"/>
        <v>23.247500000000002</v>
      </c>
      <c r="C20" s="24">
        <f t="shared" si="1"/>
        <v>30.2575</v>
      </c>
      <c r="D20" s="47">
        <f t="shared" si="2"/>
        <v>0.30153779976341533</v>
      </c>
      <c r="E20" s="57">
        <f t="shared" si="3"/>
        <v>25.0075</v>
      </c>
      <c r="F20" s="38">
        <f t="shared" si="4"/>
        <v>7.5707065275836025E-2</v>
      </c>
      <c r="G20" s="25">
        <f t="shared" si="5"/>
        <v>-0.17351069982648931</v>
      </c>
      <c r="H20" s="24">
        <f t="shared" si="6"/>
        <v>29.18</v>
      </c>
      <c r="I20" s="47">
        <f t="shared" si="7"/>
        <v>0.25518872997096448</v>
      </c>
      <c r="J20" s="25">
        <f t="shared" si="8"/>
        <v>-3.5611005535817586E-2</v>
      </c>
      <c r="K20" s="24">
        <f t="shared" si="9"/>
        <v>29.38</v>
      </c>
      <c r="L20" s="47">
        <f t="shared" si="10"/>
        <v>6.8540095956134096E-3</v>
      </c>
      <c r="M20" s="57">
        <f t="shared" si="11"/>
        <v>24.73</v>
      </c>
      <c r="N20" s="25">
        <f t="shared" si="12"/>
        <v>-0.15250171350239888</v>
      </c>
    </row>
    <row r="21" spans="1:15">
      <c r="A21" s="6">
        <v>300</v>
      </c>
      <c r="B21" s="17">
        <f t="shared" si="0"/>
        <v>26.347000000000001</v>
      </c>
      <c r="C21" s="24">
        <f t="shared" si="1"/>
        <v>33.509</v>
      </c>
      <c r="D21" s="47">
        <f t="shared" si="2"/>
        <v>0.27183360534406187</v>
      </c>
      <c r="E21" s="57">
        <f t="shared" si="3"/>
        <v>28.259</v>
      </c>
      <c r="F21" s="38">
        <f t="shared" si="4"/>
        <v>7.2569932060576117E-2</v>
      </c>
      <c r="G21" s="25">
        <f t="shared" si="5"/>
        <v>-0.1566743263003969</v>
      </c>
      <c r="H21" s="24">
        <f t="shared" si="6"/>
        <v>32.415999999999997</v>
      </c>
      <c r="I21" s="47">
        <f t="shared" si="7"/>
        <v>0.23034880631570939</v>
      </c>
      <c r="J21" s="25">
        <f t="shared" si="8"/>
        <v>-3.2618102599301785E-2</v>
      </c>
      <c r="K21" s="24">
        <f t="shared" si="9"/>
        <v>32.616</v>
      </c>
      <c r="L21" s="47">
        <f t="shared" si="10"/>
        <v>6.1697926949655377E-3</v>
      </c>
      <c r="M21" s="57">
        <f t="shared" si="11"/>
        <v>27.966000000000001</v>
      </c>
      <c r="N21" s="25">
        <f t="shared" si="12"/>
        <v>-0.13727788746298111</v>
      </c>
    </row>
    <row r="22" spans="1:15">
      <c r="A22" s="6">
        <v>350</v>
      </c>
      <c r="B22" s="17">
        <f t="shared" si="0"/>
        <v>29.4465</v>
      </c>
      <c r="C22" s="24">
        <f t="shared" si="1"/>
        <v>36.7605</v>
      </c>
      <c r="D22" s="47">
        <f t="shared" si="2"/>
        <v>0.24838266007844736</v>
      </c>
      <c r="E22" s="57">
        <f t="shared" si="3"/>
        <v>31.5105</v>
      </c>
      <c r="F22" s="38">
        <f t="shared" si="4"/>
        <v>7.0093219907289492E-2</v>
      </c>
      <c r="G22" s="25">
        <f t="shared" si="5"/>
        <v>-0.14281633818908884</v>
      </c>
      <c r="H22" s="24">
        <f t="shared" si="6"/>
        <v>35.652000000000001</v>
      </c>
      <c r="I22" s="47">
        <f t="shared" si="7"/>
        <v>0.21073811828230862</v>
      </c>
      <c r="J22" s="25">
        <f t="shared" si="8"/>
        <v>-3.0154649691924738E-2</v>
      </c>
      <c r="K22" s="24">
        <f t="shared" si="9"/>
        <v>35.852000000000004</v>
      </c>
      <c r="L22" s="47">
        <f t="shared" si="10"/>
        <v>5.6097834623584329E-3</v>
      </c>
      <c r="M22" s="57">
        <f t="shared" si="11"/>
        <v>31.202000000000002</v>
      </c>
      <c r="N22" s="25">
        <f t="shared" si="12"/>
        <v>-0.12481768203747333</v>
      </c>
    </row>
    <row r="23" spans="1:15">
      <c r="A23" s="6">
        <v>400</v>
      </c>
      <c r="B23" s="17">
        <f t="shared" si="0"/>
        <v>32.546000000000006</v>
      </c>
      <c r="C23" s="24">
        <f t="shared" si="1"/>
        <v>40.012</v>
      </c>
      <c r="D23" s="47">
        <f t="shared" si="2"/>
        <v>0.22939838997111758</v>
      </c>
      <c r="E23" s="57">
        <f t="shared" si="3"/>
        <v>34.762</v>
      </c>
      <c r="F23" s="38">
        <f t="shared" si="4"/>
        <v>6.8088244331100403E-2</v>
      </c>
      <c r="G23" s="25">
        <f t="shared" si="5"/>
        <v>-0.13121063680895731</v>
      </c>
      <c r="H23" s="24">
        <f t="shared" si="6"/>
        <v>38.887999999999998</v>
      </c>
      <c r="I23" s="47">
        <f t="shared" si="7"/>
        <v>0.19486265593314048</v>
      </c>
      <c r="J23" s="25">
        <f t="shared" si="8"/>
        <v>-2.8091572528241585E-2</v>
      </c>
      <c r="K23" s="24">
        <f t="shared" si="9"/>
        <v>39.087999999999994</v>
      </c>
      <c r="L23" s="47">
        <f t="shared" si="10"/>
        <v>5.1429746965643832E-3</v>
      </c>
      <c r="M23" s="57">
        <f t="shared" si="11"/>
        <v>34.438000000000002</v>
      </c>
      <c r="N23" s="25">
        <f t="shared" si="12"/>
        <v>-0.11443118699855986</v>
      </c>
    </row>
    <row r="24" spans="1:15">
      <c r="A24" s="6">
        <v>450</v>
      </c>
      <c r="B24" s="17">
        <f t="shared" si="0"/>
        <v>35.645499999999998</v>
      </c>
      <c r="C24" s="24">
        <f t="shared" si="1"/>
        <v>43.263500000000001</v>
      </c>
      <c r="D24" s="47">
        <f t="shared" si="2"/>
        <v>0.21371561627694946</v>
      </c>
      <c r="E24" s="57">
        <f t="shared" si="3"/>
        <v>38.013500000000001</v>
      </c>
      <c r="F24" s="38">
        <f t="shared" si="4"/>
        <v>6.6431947931716542E-2</v>
      </c>
      <c r="G24" s="25">
        <f t="shared" si="5"/>
        <v>-0.1213494053879136</v>
      </c>
      <c r="H24" s="24">
        <f t="shared" si="6"/>
        <v>42.123999999999995</v>
      </c>
      <c r="I24" s="47">
        <f t="shared" si="7"/>
        <v>0.18174804673801734</v>
      </c>
      <c r="J24" s="25">
        <f t="shared" si="8"/>
        <v>-2.6338599512291082E-2</v>
      </c>
      <c r="K24" s="24">
        <f t="shared" si="9"/>
        <v>42.323999999999998</v>
      </c>
      <c r="L24" s="47">
        <f t="shared" si="10"/>
        <v>4.7478871902004284E-3</v>
      </c>
      <c r="M24" s="57">
        <f t="shared" si="11"/>
        <v>37.673999999999999</v>
      </c>
      <c r="N24" s="25">
        <f t="shared" si="12"/>
        <v>-0.10564048998195794</v>
      </c>
    </row>
    <row r="25" spans="1:15">
      <c r="A25" s="6">
        <v>500</v>
      </c>
      <c r="B25" s="17">
        <f t="shared" si="0"/>
        <v>38.745000000000005</v>
      </c>
      <c r="C25" s="24">
        <f t="shared" si="1"/>
        <v>46.515000000000001</v>
      </c>
      <c r="D25" s="47">
        <f t="shared" si="2"/>
        <v>0.20054200542005407</v>
      </c>
      <c r="E25" s="57">
        <f t="shared" si="3"/>
        <v>41.265000000000001</v>
      </c>
      <c r="F25" s="38">
        <f t="shared" si="4"/>
        <v>6.5040650406503961E-2</v>
      </c>
      <c r="G25" s="25">
        <f t="shared" si="5"/>
        <v>-0.11286681715575621</v>
      </c>
      <c r="H25" s="24">
        <f t="shared" si="6"/>
        <v>45.36</v>
      </c>
      <c r="I25" s="47">
        <f t="shared" si="7"/>
        <v>0.17073170731707302</v>
      </c>
      <c r="J25" s="25">
        <f t="shared" si="8"/>
        <v>-2.4830699774266388E-2</v>
      </c>
      <c r="K25" s="24">
        <f t="shared" si="9"/>
        <v>45.56</v>
      </c>
      <c r="L25" s="47">
        <f t="shared" si="10"/>
        <v>4.4091710758378056E-3</v>
      </c>
      <c r="M25" s="57">
        <f t="shared" si="11"/>
        <v>40.909999999999997</v>
      </c>
      <c r="N25" s="25">
        <f t="shared" si="12"/>
        <v>-9.8104056437389828E-2</v>
      </c>
    </row>
    <row r="26" spans="1:15">
      <c r="A26" s="6">
        <v>550</v>
      </c>
      <c r="B26" s="17">
        <f t="shared" si="0"/>
        <v>41.844500000000004</v>
      </c>
      <c r="C26" s="24">
        <f t="shared" si="1"/>
        <v>49.766500000000001</v>
      </c>
      <c r="D26" s="47">
        <f t="shared" si="2"/>
        <v>0.18931998231547745</v>
      </c>
      <c r="E26" s="57">
        <f t="shared" si="3"/>
        <v>44.516500000000001</v>
      </c>
      <c r="F26" s="38">
        <f t="shared" si="4"/>
        <v>6.385546487590954E-2</v>
      </c>
      <c r="G26" s="25">
        <f t="shared" si="5"/>
        <v>-0.10549265067866938</v>
      </c>
      <c r="H26" s="24">
        <f t="shared" si="6"/>
        <v>48.595999999999997</v>
      </c>
      <c r="I26" s="47">
        <f t="shared" si="7"/>
        <v>0.16134736942728417</v>
      </c>
      <c r="J26" s="25">
        <f t="shared" si="8"/>
        <v>-2.3519837641787229E-2</v>
      </c>
      <c r="K26" s="24">
        <f t="shared" si="9"/>
        <v>48.795999999999992</v>
      </c>
      <c r="L26" s="47">
        <f t="shared" si="10"/>
        <v>4.1155650670836232E-3</v>
      </c>
      <c r="M26" s="57">
        <f t="shared" si="11"/>
        <v>44.146000000000001</v>
      </c>
      <c r="N26" s="25">
        <f t="shared" si="12"/>
        <v>-9.1571322742612482E-2</v>
      </c>
    </row>
    <row r="27" spans="1:15">
      <c r="A27" s="64">
        <v>600</v>
      </c>
      <c r="B27" s="18">
        <f t="shared" si="0"/>
        <v>44.944000000000003</v>
      </c>
      <c r="C27" s="26">
        <f t="shared" si="1"/>
        <v>53.018000000000001</v>
      </c>
      <c r="D27" s="48">
        <f t="shared" si="2"/>
        <v>0.17964578141687429</v>
      </c>
      <c r="E27" s="58">
        <f t="shared" si="3"/>
        <v>47.768000000000001</v>
      </c>
      <c r="F27" s="39">
        <f t="shared" si="4"/>
        <v>6.2833748665005296E-2</v>
      </c>
      <c r="G27" s="27">
        <f t="shared" si="5"/>
        <v>-9.9022973329812511E-2</v>
      </c>
      <c r="H27" s="26">
        <f t="shared" si="6"/>
        <v>51.832000000000001</v>
      </c>
      <c r="I27" s="48">
        <f t="shared" si="7"/>
        <v>0.15325738697045208</v>
      </c>
      <c r="J27" s="27">
        <f t="shared" si="8"/>
        <v>-2.2369761213172884E-2</v>
      </c>
      <c r="K27" s="26">
        <f t="shared" si="9"/>
        <v>52.031999999999996</v>
      </c>
      <c r="L27" s="48">
        <f t="shared" si="10"/>
        <v>3.8586201574316199E-3</v>
      </c>
      <c r="M27" s="58">
        <f t="shared" si="11"/>
        <v>47.382000000000005</v>
      </c>
      <c r="N27" s="27">
        <f t="shared" si="12"/>
        <v>-8.5854298502855295E-2</v>
      </c>
      <c r="O27" t="s">
        <v>46</v>
      </c>
    </row>
    <row r="28" spans="1:15">
      <c r="A28" s="6">
        <v>650</v>
      </c>
      <c r="B28" s="17">
        <f>$B$27+((A28-$A$27)*$B$8)</f>
        <v>49.852500000000006</v>
      </c>
      <c r="C28" s="24">
        <f>$C$27+((A28-$A$27)*$C$8)</f>
        <v>58.13</v>
      </c>
      <c r="D28" s="47">
        <f t="shared" si="2"/>
        <v>0.16603981746151136</v>
      </c>
      <c r="E28" s="57">
        <f t="shared" ref="E28:E59" si="13">$E$27+((A28-$A$27)*$E$8)</f>
        <v>52.88</v>
      </c>
      <c r="F28" s="38">
        <f t="shared" si="4"/>
        <v>6.0729150995436458E-2</v>
      </c>
      <c r="G28" s="25">
        <f t="shared" si="5"/>
        <v>-9.0314811629107164E-2</v>
      </c>
      <c r="H28" s="24">
        <f t="shared" si="6"/>
        <v>55.067999999999998</v>
      </c>
      <c r="I28" s="47">
        <f t="shared" si="7"/>
        <v>0.10461862494358339</v>
      </c>
      <c r="J28" s="25">
        <f t="shared" si="8"/>
        <v>-5.2675038706347918E-2</v>
      </c>
      <c r="K28" s="24">
        <f t="shared" si="9"/>
        <v>55.268000000000001</v>
      </c>
      <c r="L28" s="47">
        <f t="shared" si="10"/>
        <v>3.6318733202586411E-3</v>
      </c>
      <c r="M28" s="57">
        <f t="shared" si="11"/>
        <v>50.617999999999995</v>
      </c>
      <c r="N28" s="25">
        <f t="shared" si="12"/>
        <v>-8.0809181375753672E-2</v>
      </c>
    </row>
    <row r="29" spans="1:15">
      <c r="A29" s="6">
        <v>700</v>
      </c>
      <c r="B29" s="17">
        <f t="shared" ref="B29:B81" si="14">$B$27+((A29-$A$27)*$B$8)</f>
        <v>54.761000000000003</v>
      </c>
      <c r="C29" s="24">
        <f t="shared" ref="C29:C81" si="15">$C$27+((A29-$A$27)*$C$8)</f>
        <v>63.242000000000004</v>
      </c>
      <c r="D29" s="47">
        <f t="shared" si="2"/>
        <v>0.15487299355380657</v>
      </c>
      <c r="E29" s="57">
        <f t="shared" si="13"/>
        <v>57.992000000000004</v>
      </c>
      <c r="F29" s="38">
        <f t="shared" si="4"/>
        <v>5.9001844378298453E-2</v>
      </c>
      <c r="G29" s="25">
        <f t="shared" si="5"/>
        <v>-8.3014452420859544E-2</v>
      </c>
      <c r="H29" s="24">
        <f t="shared" si="6"/>
        <v>58.304000000000002</v>
      </c>
      <c r="I29" s="47">
        <f t="shared" si="7"/>
        <v>6.469932981501432E-2</v>
      </c>
      <c r="J29" s="25">
        <f t="shared" si="8"/>
        <v>-7.8081022105562795E-2</v>
      </c>
      <c r="K29" s="24">
        <f t="shared" si="9"/>
        <v>58.504000000000005</v>
      </c>
      <c r="L29" s="47">
        <f t="shared" si="10"/>
        <v>3.4302963776070739E-3</v>
      </c>
      <c r="M29" s="57">
        <f t="shared" si="11"/>
        <v>53.853999999999999</v>
      </c>
      <c r="N29" s="25">
        <f t="shared" si="12"/>
        <v>-7.6324094401756359E-2</v>
      </c>
    </row>
    <row r="30" spans="1:15">
      <c r="A30" s="6">
        <v>750</v>
      </c>
      <c r="B30" s="17">
        <f t="shared" si="14"/>
        <v>59.669499999999999</v>
      </c>
      <c r="C30" s="24">
        <f t="shared" si="15"/>
        <v>68.353999999999999</v>
      </c>
      <c r="D30" s="47">
        <f t="shared" si="2"/>
        <v>0.14554336805235504</v>
      </c>
      <c r="E30" s="57">
        <f t="shared" si="13"/>
        <v>63.103999999999999</v>
      </c>
      <c r="F30" s="38">
        <f t="shared" si="4"/>
        <v>5.7558719278693465E-2</v>
      </c>
      <c r="G30" s="25">
        <f t="shared" si="5"/>
        <v>-7.6806039149135391E-2</v>
      </c>
      <c r="H30" s="24">
        <f t="shared" si="6"/>
        <v>61.54</v>
      </c>
      <c r="I30" s="47">
        <f t="shared" si="7"/>
        <v>3.1347673434501712E-2</v>
      </c>
      <c r="J30" s="25">
        <f t="shared" si="8"/>
        <v>-9.968692395470638E-2</v>
      </c>
      <c r="K30" s="24">
        <f t="shared" si="9"/>
        <v>61.739999999999995</v>
      </c>
      <c r="L30" s="47">
        <f t="shared" si="10"/>
        <v>3.2499187520311302E-3</v>
      </c>
      <c r="M30" s="57">
        <f t="shared" si="11"/>
        <v>57.09</v>
      </c>
      <c r="N30" s="25">
        <f t="shared" si="12"/>
        <v>-7.231069223269411E-2</v>
      </c>
    </row>
    <row r="31" spans="1:15">
      <c r="A31" s="65">
        <v>800</v>
      </c>
      <c r="B31" s="19">
        <f t="shared" si="14"/>
        <v>64.578000000000003</v>
      </c>
      <c r="C31" s="28">
        <f t="shared" si="15"/>
        <v>73.466000000000008</v>
      </c>
      <c r="D31" s="49">
        <f t="shared" si="2"/>
        <v>0.1376320109015455</v>
      </c>
      <c r="E31" s="59">
        <f t="shared" si="13"/>
        <v>68.216000000000008</v>
      </c>
      <c r="F31" s="40">
        <f t="shared" si="4"/>
        <v>5.6334974759206E-2</v>
      </c>
      <c r="G31" s="29">
        <f t="shared" si="5"/>
        <v>-7.1461628508425662E-2</v>
      </c>
      <c r="H31" s="28">
        <f t="shared" si="6"/>
        <v>64.775999999999996</v>
      </c>
      <c r="I31" s="49">
        <f t="shared" si="7"/>
        <v>3.0660596487966998E-3</v>
      </c>
      <c r="J31" s="29">
        <f t="shared" si="8"/>
        <v>-0.11828600985489901</v>
      </c>
      <c r="K31" s="28">
        <f t="shared" si="9"/>
        <v>64.975999999999999</v>
      </c>
      <c r="L31" s="49">
        <f t="shared" si="10"/>
        <v>3.0875632950475925E-3</v>
      </c>
      <c r="M31" s="59">
        <f t="shared" si="11"/>
        <v>60.325999999999993</v>
      </c>
      <c r="N31" s="29">
        <f t="shared" si="12"/>
        <v>-6.8698283314807998E-2</v>
      </c>
      <c r="O31" t="s">
        <v>47</v>
      </c>
    </row>
    <row r="32" spans="1:15">
      <c r="A32" s="6">
        <v>850</v>
      </c>
      <c r="B32" s="17">
        <f t="shared" si="14"/>
        <v>69.486500000000007</v>
      </c>
      <c r="C32" s="24">
        <f t="shared" si="15"/>
        <v>78.578000000000003</v>
      </c>
      <c r="D32" s="47">
        <f t="shared" si="2"/>
        <v>0.13083836428658799</v>
      </c>
      <c r="E32" s="57">
        <f t="shared" si="13"/>
        <v>73.328000000000003</v>
      </c>
      <c r="F32" s="38">
        <f t="shared" si="4"/>
        <v>5.5284119936966115E-2</v>
      </c>
      <c r="G32" s="25">
        <f t="shared" si="5"/>
        <v>-6.6812593855786598E-2</v>
      </c>
      <c r="H32" s="24">
        <f t="shared" ref="H32:H42" si="16">$H$31+((A32-$A$31)*$H$8)</f>
        <v>69.36099999999999</v>
      </c>
      <c r="I32" s="47">
        <f t="shared" si="7"/>
        <v>-1.8061062220721519E-3</v>
      </c>
      <c r="J32" s="25">
        <f t="shared" si="8"/>
        <v>-0.11729746239405447</v>
      </c>
      <c r="K32" s="24">
        <f t="shared" ref="K32:K42" si="17">$K$31+((A32-$A$31)*$K$8)</f>
        <v>69.560999999999993</v>
      </c>
      <c r="L32" s="47">
        <f t="shared" si="10"/>
        <v>2.8834647712691983E-3</v>
      </c>
      <c r="M32" s="57">
        <f t="shared" ref="M32:M42" si="18">$M$31+((A32-$A$31)*$M$8)</f>
        <v>64.910999999999987</v>
      </c>
      <c r="N32" s="25">
        <f t="shared" si="12"/>
        <v>-6.4157091160738797E-2</v>
      </c>
    </row>
    <row r="33" spans="1:18">
      <c r="A33" s="6">
        <v>900</v>
      </c>
      <c r="B33" s="17">
        <f t="shared" si="14"/>
        <v>74.394999999999996</v>
      </c>
      <c r="C33" s="24">
        <f t="shared" si="15"/>
        <v>83.69</v>
      </c>
      <c r="D33" s="47">
        <f t="shared" si="2"/>
        <v>0.12494119228442775</v>
      </c>
      <c r="E33" s="57">
        <f t="shared" si="13"/>
        <v>78.44</v>
      </c>
      <c r="F33" s="38">
        <f t="shared" si="4"/>
        <v>5.4371933597688042E-2</v>
      </c>
      <c r="G33" s="25">
        <f t="shared" si="5"/>
        <v>-6.2731509140877051E-2</v>
      </c>
      <c r="H33" s="24">
        <f t="shared" si="16"/>
        <v>73.945999999999998</v>
      </c>
      <c r="I33" s="47">
        <f t="shared" si="7"/>
        <v>-6.0353518381611408E-3</v>
      </c>
      <c r="J33" s="25">
        <f t="shared" si="8"/>
        <v>-0.1164296809654678</v>
      </c>
      <c r="K33" s="24">
        <f t="shared" si="17"/>
        <v>74.146000000000001</v>
      </c>
      <c r="L33" s="47">
        <f t="shared" si="10"/>
        <v>2.7046763854705171E-3</v>
      </c>
      <c r="M33" s="57">
        <f t="shared" si="18"/>
        <v>69.495999999999995</v>
      </c>
      <c r="N33" s="25">
        <f t="shared" si="12"/>
        <v>-6.0179049576718185E-2</v>
      </c>
    </row>
    <row r="34" spans="1:18">
      <c r="A34" s="6">
        <v>950</v>
      </c>
      <c r="B34" s="17">
        <f t="shared" si="14"/>
        <v>79.3035</v>
      </c>
      <c r="C34" s="24">
        <f t="shared" si="15"/>
        <v>88.801999999999992</v>
      </c>
      <c r="D34" s="47">
        <f t="shared" si="2"/>
        <v>0.11977403267195008</v>
      </c>
      <c r="E34" s="57">
        <f t="shared" si="13"/>
        <v>83.551999999999992</v>
      </c>
      <c r="F34" s="38">
        <f t="shared" si="4"/>
        <v>5.3572667032350307E-2</v>
      </c>
      <c r="G34" s="25">
        <f t="shared" si="5"/>
        <v>-5.9120290083556681E-2</v>
      </c>
      <c r="H34" s="24">
        <f t="shared" si="16"/>
        <v>78.530999999999992</v>
      </c>
      <c r="I34" s="47">
        <f t="shared" si="7"/>
        <v>-9.7410580869697807E-3</v>
      </c>
      <c r="J34" s="25">
        <f t="shared" si="8"/>
        <v>-0.11566180941870681</v>
      </c>
      <c r="K34" s="24">
        <f t="shared" si="17"/>
        <v>78.730999999999995</v>
      </c>
      <c r="L34" s="47">
        <f t="shared" si="10"/>
        <v>2.5467649717946144E-3</v>
      </c>
      <c r="M34" s="57">
        <f t="shared" si="18"/>
        <v>74.080999999999989</v>
      </c>
      <c r="N34" s="25">
        <f t="shared" si="12"/>
        <v>-5.6665520622429404E-2</v>
      </c>
    </row>
    <row r="35" spans="1:18">
      <c r="A35" s="6">
        <v>1000</v>
      </c>
      <c r="B35" s="17">
        <f t="shared" si="14"/>
        <v>84.212000000000003</v>
      </c>
      <c r="C35" s="24">
        <f t="shared" si="15"/>
        <v>93.914000000000001</v>
      </c>
      <c r="D35" s="47">
        <f t="shared" si="2"/>
        <v>0.1152092338384078</v>
      </c>
      <c r="E35" s="57">
        <f t="shared" si="13"/>
        <v>88.664000000000001</v>
      </c>
      <c r="F35" s="38">
        <f t="shared" si="4"/>
        <v>5.2866574834940366E-2</v>
      </c>
      <c r="G35" s="25">
        <f t="shared" si="5"/>
        <v>-5.5902208403432928E-2</v>
      </c>
      <c r="H35" s="24">
        <f t="shared" si="16"/>
        <v>83.116</v>
      </c>
      <c r="I35" s="47">
        <f t="shared" si="7"/>
        <v>-1.3014772241485817E-2</v>
      </c>
      <c r="J35" s="25">
        <f t="shared" si="8"/>
        <v>-0.11497753263624169</v>
      </c>
      <c r="K35" s="24">
        <f t="shared" si="17"/>
        <v>83.316000000000003</v>
      </c>
      <c r="L35" s="47">
        <f t="shared" si="10"/>
        <v>2.4062755666779301E-3</v>
      </c>
      <c r="M35" s="57">
        <f t="shared" si="18"/>
        <v>78.665999999999997</v>
      </c>
      <c r="N35" s="25">
        <f t="shared" si="12"/>
        <v>-5.3539631358583216E-2</v>
      </c>
    </row>
    <row r="36" spans="1:18">
      <c r="A36" s="6">
        <v>1100</v>
      </c>
      <c r="B36" s="17">
        <f t="shared" si="14"/>
        <v>94.028999999999996</v>
      </c>
      <c r="C36" s="24">
        <f t="shared" si="15"/>
        <v>104.13800000000001</v>
      </c>
      <c r="D36" s="47">
        <f t="shared" si="2"/>
        <v>0.10750938540237596</v>
      </c>
      <c r="E36" s="57">
        <f t="shared" si="13"/>
        <v>98.888000000000005</v>
      </c>
      <c r="F36" s="38">
        <f t="shared" si="4"/>
        <v>5.1675546905741943E-2</v>
      </c>
      <c r="G36" s="25">
        <f t="shared" si="5"/>
        <v>-5.0413873898096755E-2</v>
      </c>
      <c r="H36" s="24">
        <f t="shared" si="16"/>
        <v>92.286000000000001</v>
      </c>
      <c r="I36" s="47">
        <f t="shared" si="7"/>
        <v>-1.8536834380882442E-2</v>
      </c>
      <c r="J36" s="25">
        <f t="shared" si="8"/>
        <v>-0.11381052065528437</v>
      </c>
      <c r="K36" s="24">
        <f t="shared" si="17"/>
        <v>92.486000000000004</v>
      </c>
      <c r="L36" s="47">
        <f t="shared" si="10"/>
        <v>2.1671759530156559E-3</v>
      </c>
      <c r="M36" s="57">
        <f t="shared" si="18"/>
        <v>87.835999999999999</v>
      </c>
      <c r="N36" s="25">
        <f t="shared" si="12"/>
        <v>-4.8219664954597695E-2</v>
      </c>
    </row>
    <row r="37" spans="1:18">
      <c r="A37" s="6">
        <v>1200</v>
      </c>
      <c r="B37" s="17">
        <f t="shared" si="14"/>
        <v>103.846</v>
      </c>
      <c r="C37" s="24">
        <f t="shared" si="15"/>
        <v>114.36199999999999</v>
      </c>
      <c r="D37" s="47">
        <f t="shared" si="2"/>
        <v>0.10126533520790393</v>
      </c>
      <c r="E37" s="57">
        <f t="shared" si="13"/>
        <v>109.11199999999999</v>
      </c>
      <c r="F37" s="38">
        <f t="shared" si="4"/>
        <v>5.0709704755118067E-2</v>
      </c>
      <c r="G37" s="25">
        <f t="shared" si="5"/>
        <v>-4.5906857172837136E-2</v>
      </c>
      <c r="H37" s="24">
        <f t="shared" si="16"/>
        <v>101.45599999999999</v>
      </c>
      <c r="I37" s="47">
        <f t="shared" si="7"/>
        <v>-2.3014848910887419E-2</v>
      </c>
      <c r="J37" s="25">
        <f t="shared" si="8"/>
        <v>-0.11285217117574026</v>
      </c>
      <c r="K37" s="24">
        <f t="shared" si="17"/>
        <v>101.65600000000001</v>
      </c>
      <c r="L37" s="47">
        <f t="shared" si="10"/>
        <v>1.9712979025392E-3</v>
      </c>
      <c r="M37" s="57">
        <f t="shared" si="18"/>
        <v>97.006</v>
      </c>
      <c r="N37" s="25">
        <f t="shared" si="12"/>
        <v>-4.3861378331493346E-2</v>
      </c>
      <c r="Q37" t="s">
        <v>41</v>
      </c>
      <c r="R37" t="s">
        <v>354</v>
      </c>
    </row>
    <row r="38" spans="1:18">
      <c r="A38" s="66">
        <v>1300</v>
      </c>
      <c r="B38" s="20">
        <f t="shared" si="14"/>
        <v>113.663</v>
      </c>
      <c r="C38" s="30">
        <f t="shared" si="15"/>
        <v>124.586</v>
      </c>
      <c r="D38" s="50">
        <f t="shared" si="2"/>
        <v>9.6099874189490009E-2</v>
      </c>
      <c r="E38" s="60">
        <f t="shared" si="13"/>
        <v>119.336</v>
      </c>
      <c r="F38" s="41">
        <f t="shared" si="4"/>
        <v>4.9910700931701628E-2</v>
      </c>
      <c r="G38" s="31">
        <f t="shared" si="5"/>
        <v>-4.2139566243398138E-2</v>
      </c>
      <c r="H38" s="30">
        <f t="shared" si="16"/>
        <v>110.626</v>
      </c>
      <c r="I38" s="50">
        <f t="shared" si="7"/>
        <v>-2.6719336987410081E-2</v>
      </c>
      <c r="J38" s="31">
        <f t="shared" si="8"/>
        <v>-0.11205111328720718</v>
      </c>
      <c r="K38" s="30">
        <f t="shared" si="17"/>
        <v>110.82599999999999</v>
      </c>
      <c r="L38" s="50">
        <f t="shared" si="10"/>
        <v>1.8078932619817099E-3</v>
      </c>
      <c r="M38" s="60">
        <f t="shared" si="18"/>
        <v>106.17599999999999</v>
      </c>
      <c r="N38" s="31">
        <f t="shared" si="12"/>
        <v>-4.0225625079095481E-2</v>
      </c>
      <c r="O38" t="s">
        <v>48</v>
      </c>
      <c r="Q38" s="74">
        <f>B38-H38</f>
        <v>3.0369999999999919</v>
      </c>
      <c r="R38" s="74">
        <f>C38-H38</f>
        <v>13.959999999999994</v>
      </c>
    </row>
    <row r="39" spans="1:18">
      <c r="A39" s="6">
        <v>1400</v>
      </c>
      <c r="B39" s="17">
        <f t="shared" si="14"/>
        <v>123.48</v>
      </c>
      <c r="C39" s="24">
        <f t="shared" si="15"/>
        <v>134.81</v>
      </c>
      <c r="D39" s="47">
        <f t="shared" si="2"/>
        <v>9.1755749919015209E-2</v>
      </c>
      <c r="E39" s="57">
        <f t="shared" si="13"/>
        <v>129.56</v>
      </c>
      <c r="F39" s="38">
        <f t="shared" si="4"/>
        <v>4.9238743116294122E-2</v>
      </c>
      <c r="G39" s="25">
        <f t="shared" si="5"/>
        <v>-3.8943698538684075E-2</v>
      </c>
      <c r="H39" s="24">
        <f t="shared" si="16"/>
        <v>119.79599999999999</v>
      </c>
      <c r="I39" s="47">
        <f t="shared" si="7"/>
        <v>-2.9834791059280948E-2</v>
      </c>
      <c r="J39" s="25">
        <f t="shared" si="8"/>
        <v>-0.11137155997329583</v>
      </c>
      <c r="K39" s="24">
        <f t="shared" si="17"/>
        <v>119.99600000000001</v>
      </c>
      <c r="L39" s="47">
        <f t="shared" si="10"/>
        <v>1.6695048248690863E-3</v>
      </c>
      <c r="M39" s="57">
        <f t="shared" si="18"/>
        <v>115.346</v>
      </c>
      <c r="N39" s="25">
        <f t="shared" si="12"/>
        <v>-3.7146482353333905E-2</v>
      </c>
    </row>
    <row r="40" spans="1:18">
      <c r="A40" s="6">
        <v>1500</v>
      </c>
      <c r="B40" s="17">
        <f t="shared" si="14"/>
        <v>133.297</v>
      </c>
      <c r="C40" s="24">
        <f t="shared" si="15"/>
        <v>145.03399999999999</v>
      </c>
      <c r="D40" s="47">
        <f t="shared" si="2"/>
        <v>8.8051494032123714E-2</v>
      </c>
      <c r="E40" s="57">
        <f t="shared" si="13"/>
        <v>139.78399999999999</v>
      </c>
      <c r="F40" s="38">
        <f t="shared" si="4"/>
        <v>4.8665761419986908E-2</v>
      </c>
      <c r="G40" s="25">
        <f t="shared" si="5"/>
        <v>-3.619840864900644E-2</v>
      </c>
      <c r="H40" s="24">
        <f t="shared" si="16"/>
        <v>128.96600000000001</v>
      </c>
      <c r="I40" s="47">
        <f t="shared" si="7"/>
        <v>-3.2491353893936016E-2</v>
      </c>
      <c r="J40" s="25">
        <f t="shared" si="8"/>
        <v>-0.11078781527090188</v>
      </c>
      <c r="K40" s="24">
        <f t="shared" si="17"/>
        <v>129.166</v>
      </c>
      <c r="L40" s="47">
        <f t="shared" si="10"/>
        <v>1.5507963339173785E-3</v>
      </c>
      <c r="M40" s="57">
        <f t="shared" si="18"/>
        <v>124.51599999999999</v>
      </c>
      <c r="N40" s="25">
        <f t="shared" si="12"/>
        <v>-3.450521842966376E-2</v>
      </c>
    </row>
    <row r="41" spans="1:18">
      <c r="A41" s="6">
        <v>1600</v>
      </c>
      <c r="B41" s="17">
        <f t="shared" si="14"/>
        <v>143.11399999999998</v>
      </c>
      <c r="C41" s="24">
        <f t="shared" si="15"/>
        <v>155.25799999999998</v>
      </c>
      <c r="D41" s="47">
        <f t="shared" si="2"/>
        <v>8.485542993697337E-2</v>
      </c>
      <c r="E41" s="57">
        <f t="shared" si="13"/>
        <v>150.00799999999998</v>
      </c>
      <c r="F41" s="38">
        <f t="shared" si="4"/>
        <v>4.8171387844655356E-2</v>
      </c>
      <c r="G41" s="25">
        <f t="shared" si="5"/>
        <v>-3.3814682657254382E-2</v>
      </c>
      <c r="H41" s="24">
        <f t="shared" si="16"/>
        <v>138.136</v>
      </c>
      <c r="I41" s="47">
        <f t="shared" si="7"/>
        <v>-3.4783459340106355E-2</v>
      </c>
      <c r="J41" s="25">
        <f t="shared" si="8"/>
        <v>-0.11028095170619219</v>
      </c>
      <c r="K41" s="24">
        <f t="shared" si="17"/>
        <v>138.33600000000001</v>
      </c>
      <c r="L41" s="47">
        <f t="shared" si="10"/>
        <v>1.4478484971333836E-3</v>
      </c>
      <c r="M41" s="57">
        <f t="shared" si="18"/>
        <v>133.68599999999998</v>
      </c>
      <c r="N41" s="25">
        <f t="shared" si="12"/>
        <v>-3.221462906121516E-2</v>
      </c>
    </row>
    <row r="42" spans="1:18">
      <c r="A42" s="67">
        <v>1700</v>
      </c>
      <c r="B42" s="21">
        <f t="shared" si="14"/>
        <v>152.93099999999998</v>
      </c>
      <c r="C42" s="32">
        <f t="shared" si="15"/>
        <v>165.482</v>
      </c>
      <c r="D42" s="51">
        <f t="shared" si="2"/>
        <v>8.2069691560246238E-2</v>
      </c>
      <c r="E42" s="61">
        <f t="shared" si="13"/>
        <v>160.232</v>
      </c>
      <c r="F42" s="42">
        <f t="shared" si="4"/>
        <v>4.7740484270684273E-2</v>
      </c>
      <c r="G42" s="33">
        <f t="shared" si="5"/>
        <v>-3.1725504888749229E-2</v>
      </c>
      <c r="H42" s="32">
        <f t="shared" si="16"/>
        <v>147.30599999999998</v>
      </c>
      <c r="I42" s="51">
        <f t="shared" si="7"/>
        <v>-3.6781293524530675E-2</v>
      </c>
      <c r="J42" s="33">
        <f t="shared" si="8"/>
        <v>-0.10983671940150601</v>
      </c>
      <c r="K42" s="32">
        <f t="shared" si="17"/>
        <v>147.506</v>
      </c>
      <c r="L42" s="51">
        <f t="shared" si="10"/>
        <v>1.3577179476736661E-3</v>
      </c>
      <c r="M42" s="61">
        <f t="shared" si="18"/>
        <v>142.85599999999999</v>
      </c>
      <c r="N42" s="33">
        <f t="shared" si="12"/>
        <v>-3.0209224335736421E-2</v>
      </c>
      <c r="O42" t="s">
        <v>49</v>
      </c>
      <c r="Q42" s="74">
        <f>B42-H42</f>
        <v>5.625</v>
      </c>
      <c r="R42" s="74">
        <f>C42-H42</f>
        <v>18.176000000000016</v>
      </c>
    </row>
    <row r="43" spans="1:18">
      <c r="A43" s="6">
        <v>1800</v>
      </c>
      <c r="B43" s="17">
        <f t="shared" si="14"/>
        <v>162.74799999999999</v>
      </c>
      <c r="C43" s="24">
        <f t="shared" si="15"/>
        <v>175.70600000000002</v>
      </c>
      <c r="D43" s="47">
        <f t="shared" si="2"/>
        <v>7.9620026052547671E-2</v>
      </c>
      <c r="E43" s="57">
        <f t="shared" si="13"/>
        <v>170.45600000000002</v>
      </c>
      <c r="F43" s="38">
        <f t="shared" si="4"/>
        <v>4.7361565119079969E-2</v>
      </c>
      <c r="G43" s="25">
        <f t="shared" si="5"/>
        <v>-2.9879457730527127E-2</v>
      </c>
      <c r="H43" s="24">
        <f t="shared" ref="H43:H81" si="19">$H$42+((A43-$A$42)*$H$9)</f>
        <v>159.30199999999999</v>
      </c>
      <c r="I43" s="47">
        <f t="shared" si="7"/>
        <v>-2.1173839309853257E-2</v>
      </c>
      <c r="J43" s="25">
        <f t="shared" si="8"/>
        <v>-9.3360499926012905E-2</v>
      </c>
      <c r="K43" s="24">
        <f t="shared" ref="K43:K81" si="20">$K$42+((A43-$A$42)*$K$9)</f>
        <v>159.50200000000001</v>
      </c>
      <c r="L43" s="47">
        <f t="shared" si="10"/>
        <v>1.2554770184932836E-3</v>
      </c>
      <c r="M43" s="57">
        <f t="shared" ref="M43:M81" si="21">$M$42+((A43-$A$42)*$M$9)</f>
        <v>154.852</v>
      </c>
      <c r="N43" s="25">
        <f t="shared" si="12"/>
        <v>-2.7934363661473106E-2</v>
      </c>
    </row>
    <row r="44" spans="1:18">
      <c r="A44" s="6">
        <v>1900</v>
      </c>
      <c r="B44" s="17">
        <f t="shared" si="14"/>
        <v>172.565</v>
      </c>
      <c r="C44" s="24">
        <f t="shared" si="15"/>
        <v>185.93</v>
      </c>
      <c r="D44" s="47">
        <f t="shared" si="2"/>
        <v>7.7449077159331317E-2</v>
      </c>
      <c r="E44" s="57">
        <f t="shared" si="13"/>
        <v>180.68</v>
      </c>
      <c r="F44" s="38">
        <f t="shared" si="4"/>
        <v>4.7025758409874593E-2</v>
      </c>
      <c r="G44" s="25">
        <f t="shared" si="5"/>
        <v>-2.8236433066207711E-2</v>
      </c>
      <c r="H44" s="24">
        <f t="shared" si="19"/>
        <v>171.29799999999997</v>
      </c>
      <c r="I44" s="47">
        <f t="shared" si="7"/>
        <v>-7.3421609248690307E-3</v>
      </c>
      <c r="J44" s="25">
        <f t="shared" si="8"/>
        <v>-7.8696283547571841E-2</v>
      </c>
      <c r="K44" s="24">
        <f t="shared" si="20"/>
        <v>171.49799999999999</v>
      </c>
      <c r="L44" s="47">
        <f t="shared" si="10"/>
        <v>1.1675559551192489E-3</v>
      </c>
      <c r="M44" s="57">
        <f t="shared" si="21"/>
        <v>166.84799999999998</v>
      </c>
      <c r="N44" s="25">
        <f t="shared" si="12"/>
        <v>-2.5978120001401005E-2</v>
      </c>
    </row>
    <row r="45" spans="1:18">
      <c r="A45" s="6">
        <v>2000</v>
      </c>
      <c r="B45" s="17">
        <f t="shared" si="14"/>
        <v>182.38200000000001</v>
      </c>
      <c r="C45" s="24">
        <f t="shared" si="15"/>
        <v>196.154</v>
      </c>
      <c r="D45" s="47">
        <f t="shared" si="2"/>
        <v>7.5511837791010034E-2</v>
      </c>
      <c r="E45" s="57">
        <f t="shared" si="13"/>
        <v>190.904</v>
      </c>
      <c r="F45" s="38">
        <f t="shared" si="4"/>
        <v>4.6726102356592157E-2</v>
      </c>
      <c r="G45" s="25">
        <f t="shared" si="5"/>
        <v>-2.6764684890443223E-2</v>
      </c>
      <c r="H45" s="24">
        <f t="shared" si="19"/>
        <v>183.29399999999998</v>
      </c>
      <c r="I45" s="47">
        <f t="shared" si="7"/>
        <v>5.0004934697501823E-3</v>
      </c>
      <c r="J45" s="25">
        <f t="shared" si="8"/>
        <v>-6.5560732893542903E-2</v>
      </c>
      <c r="K45" s="24">
        <f t="shared" si="20"/>
        <v>183.494</v>
      </c>
      <c r="L45" s="47">
        <f t="shared" si="10"/>
        <v>1.0911431907210114E-3</v>
      </c>
      <c r="M45" s="57">
        <f t="shared" si="21"/>
        <v>178.84399999999999</v>
      </c>
      <c r="N45" s="25">
        <f t="shared" si="12"/>
        <v>-2.4277935993540372E-2</v>
      </c>
    </row>
    <row r="46" spans="1:18">
      <c r="A46" s="6">
        <v>2100</v>
      </c>
      <c r="B46" s="17">
        <f t="shared" si="14"/>
        <v>192.19900000000001</v>
      </c>
      <c r="C46" s="24">
        <f t="shared" si="15"/>
        <v>206.37799999999999</v>
      </c>
      <c r="D46" s="47">
        <f t="shared" si="2"/>
        <v>7.3772496214860497E-2</v>
      </c>
      <c r="E46" s="57">
        <f t="shared" si="13"/>
        <v>201.12799999999999</v>
      </c>
      <c r="F46" s="38">
        <f t="shared" si="4"/>
        <v>4.6457057528915199E-2</v>
      </c>
      <c r="G46" s="25">
        <f t="shared" si="5"/>
        <v>-2.5438758007151927E-2</v>
      </c>
      <c r="H46" s="24">
        <f t="shared" si="19"/>
        <v>195.29</v>
      </c>
      <c r="I46" s="47">
        <f t="shared" si="7"/>
        <v>1.6082289710144068E-2</v>
      </c>
      <c r="J46" s="25">
        <f t="shared" si="8"/>
        <v>-5.3726656911104842E-2</v>
      </c>
      <c r="K46" s="24">
        <f t="shared" si="20"/>
        <v>195.49</v>
      </c>
      <c r="L46" s="47">
        <f t="shared" si="10"/>
        <v>1.0241179783911981E-3</v>
      </c>
      <c r="M46" s="57">
        <f t="shared" si="21"/>
        <v>190.84</v>
      </c>
      <c r="N46" s="25">
        <f t="shared" si="12"/>
        <v>-2.2786625019202155E-2</v>
      </c>
    </row>
    <row r="47" spans="1:18">
      <c r="A47" s="6">
        <v>2200</v>
      </c>
      <c r="B47" s="17">
        <f t="shared" si="14"/>
        <v>202.01600000000002</v>
      </c>
      <c r="C47" s="24">
        <f t="shared" si="15"/>
        <v>216.602</v>
      </c>
      <c r="D47" s="47">
        <f t="shared" si="2"/>
        <v>7.2202201805797478E-2</v>
      </c>
      <c r="E47" s="57">
        <f t="shared" si="13"/>
        <v>211.352</v>
      </c>
      <c r="F47" s="38">
        <f t="shared" si="4"/>
        <v>4.6214161254554013E-2</v>
      </c>
      <c r="G47" s="25">
        <f t="shared" si="5"/>
        <v>-2.423800334253608E-2</v>
      </c>
      <c r="H47" s="24">
        <f t="shared" si="19"/>
        <v>207.28599999999997</v>
      </c>
      <c r="I47" s="47">
        <f t="shared" si="7"/>
        <v>2.6087042610486066E-2</v>
      </c>
      <c r="J47" s="25">
        <f t="shared" si="8"/>
        <v>-4.300975983601274E-2</v>
      </c>
      <c r="K47" s="24">
        <f t="shared" si="20"/>
        <v>207.48599999999999</v>
      </c>
      <c r="L47" s="47">
        <f t="shared" si="10"/>
        <v>9.6485049641566276E-4</v>
      </c>
      <c r="M47" s="57">
        <f t="shared" si="21"/>
        <v>202.83599999999998</v>
      </c>
      <c r="N47" s="25">
        <f t="shared" si="12"/>
        <v>-2.1467923545246612E-2</v>
      </c>
    </row>
    <row r="48" spans="1:18">
      <c r="A48" s="6">
        <v>2300</v>
      </c>
      <c r="B48" s="17">
        <f t="shared" si="14"/>
        <v>211.83299999999997</v>
      </c>
      <c r="C48" s="24">
        <f t="shared" si="15"/>
        <v>226.82599999999999</v>
      </c>
      <c r="D48" s="47">
        <f t="shared" si="2"/>
        <v>7.0777452049491943E-2</v>
      </c>
      <c r="E48" s="57">
        <f t="shared" si="13"/>
        <v>221.57599999999999</v>
      </c>
      <c r="F48" s="38">
        <f t="shared" si="4"/>
        <v>4.5993778117668277E-2</v>
      </c>
      <c r="G48" s="25">
        <f t="shared" si="5"/>
        <v>-2.3145494784548509E-2</v>
      </c>
      <c r="H48" s="24">
        <f t="shared" si="19"/>
        <v>219.28199999999998</v>
      </c>
      <c r="I48" s="47">
        <f t="shared" si="7"/>
        <v>3.5164492784410424E-2</v>
      </c>
      <c r="J48" s="25">
        <f t="shared" si="8"/>
        <v>-3.3258973838977947E-2</v>
      </c>
      <c r="K48" s="24">
        <f t="shared" si="20"/>
        <v>219.482</v>
      </c>
      <c r="L48" s="47">
        <f t="shared" si="10"/>
        <v>9.1206756596536455E-4</v>
      </c>
      <c r="M48" s="57">
        <f t="shared" si="21"/>
        <v>214.83199999999999</v>
      </c>
      <c r="N48" s="25">
        <f t="shared" si="12"/>
        <v>-2.029350334272758E-2</v>
      </c>
    </row>
    <row r="49" spans="1:18">
      <c r="A49" s="6">
        <v>2400</v>
      </c>
      <c r="B49" s="17">
        <f t="shared" si="14"/>
        <v>221.64999999999998</v>
      </c>
      <c r="C49" s="24">
        <f t="shared" si="15"/>
        <v>237.04999999999998</v>
      </c>
      <c r="D49" s="47">
        <f t="shared" si="2"/>
        <v>6.9478908188585639E-2</v>
      </c>
      <c r="E49" s="57">
        <f t="shared" si="13"/>
        <v>231.79999999999998</v>
      </c>
      <c r="F49" s="38">
        <f t="shared" si="4"/>
        <v>4.5792916760658726E-2</v>
      </c>
      <c r="G49" s="25">
        <f t="shared" si="5"/>
        <v>-2.2147226323560431E-2</v>
      </c>
      <c r="H49" s="24">
        <f t="shared" si="19"/>
        <v>231.27799999999996</v>
      </c>
      <c r="I49" s="47">
        <f t="shared" si="7"/>
        <v>4.3437852470110477E-2</v>
      </c>
      <c r="J49" s="25">
        <f t="shared" si="8"/>
        <v>-2.434929339801738E-2</v>
      </c>
      <c r="K49" s="24">
        <f t="shared" si="20"/>
        <v>231.47800000000001</v>
      </c>
      <c r="L49" s="47">
        <f t="shared" si="10"/>
        <v>8.6476015877016196E-4</v>
      </c>
      <c r="M49" s="57">
        <f t="shared" si="21"/>
        <v>226.82799999999997</v>
      </c>
      <c r="N49" s="25">
        <f t="shared" si="12"/>
        <v>-1.924091353263168E-2</v>
      </c>
    </row>
    <row r="50" spans="1:18">
      <c r="A50" s="6">
        <v>2500</v>
      </c>
      <c r="B50" s="17">
        <f t="shared" si="14"/>
        <v>231.46699999999998</v>
      </c>
      <c r="C50" s="24">
        <f t="shared" si="15"/>
        <v>247.274</v>
      </c>
      <c r="D50" s="47">
        <f t="shared" si="2"/>
        <v>6.8290512254446711E-2</v>
      </c>
      <c r="E50" s="57">
        <f t="shared" si="13"/>
        <v>242.024</v>
      </c>
      <c r="F50" s="38">
        <f t="shared" si="4"/>
        <v>4.5609093304877224E-2</v>
      </c>
      <c r="G50" s="25">
        <f t="shared" si="5"/>
        <v>-2.1231508367236345E-2</v>
      </c>
      <c r="H50" s="24">
        <f t="shared" si="19"/>
        <v>243.274</v>
      </c>
      <c r="I50" s="47">
        <f t="shared" si="7"/>
        <v>5.1009431150012816E-2</v>
      </c>
      <c r="J50" s="25">
        <f t="shared" si="8"/>
        <v>-1.6176387327418169E-2</v>
      </c>
      <c r="K50" s="24">
        <f t="shared" si="20"/>
        <v>243.47399999999999</v>
      </c>
      <c r="L50" s="47">
        <f t="shared" si="10"/>
        <v>8.2211826993426607E-4</v>
      </c>
      <c r="M50" s="57">
        <f t="shared" si="21"/>
        <v>238.82400000000001</v>
      </c>
      <c r="N50" s="25">
        <f t="shared" si="12"/>
        <v>-1.8292131506038412E-2</v>
      </c>
    </row>
    <row r="51" spans="1:18">
      <c r="A51" s="6">
        <v>2600</v>
      </c>
      <c r="B51" s="17">
        <f t="shared" si="14"/>
        <v>241.28399999999999</v>
      </c>
      <c r="C51" s="24">
        <f t="shared" si="15"/>
        <v>257.49799999999999</v>
      </c>
      <c r="D51" s="47">
        <f t="shared" si="2"/>
        <v>6.7198819648215377E-2</v>
      </c>
      <c r="E51" s="57">
        <f t="shared" si="13"/>
        <v>252.24799999999999</v>
      </c>
      <c r="F51" s="38">
        <f t="shared" si="4"/>
        <v>4.5440228112929158E-2</v>
      </c>
      <c r="G51" s="25">
        <f t="shared" si="5"/>
        <v>-2.0388507871905801E-2</v>
      </c>
      <c r="H51" s="24">
        <f t="shared" si="19"/>
        <v>255.26999999999998</v>
      </c>
      <c r="I51" s="47">
        <f t="shared" si="7"/>
        <v>5.796488785000245E-2</v>
      </c>
      <c r="J51" s="25">
        <f t="shared" si="8"/>
        <v>-8.6524943883059622E-3</v>
      </c>
      <c r="K51" s="24">
        <f t="shared" si="20"/>
        <v>255.47</v>
      </c>
      <c r="L51" s="47">
        <f t="shared" si="10"/>
        <v>7.8348415403305159E-4</v>
      </c>
      <c r="M51" s="57">
        <f t="shared" si="21"/>
        <v>250.82</v>
      </c>
      <c r="N51" s="25">
        <f t="shared" si="12"/>
        <v>-1.7432522427233865E-2</v>
      </c>
      <c r="P51" s="74"/>
      <c r="Q51" s="74"/>
      <c r="R51" s="73"/>
    </row>
    <row r="52" spans="1:18">
      <c r="A52" s="6">
        <v>2700</v>
      </c>
      <c r="B52" s="17">
        <f t="shared" si="14"/>
        <v>251.101</v>
      </c>
      <c r="C52" s="24">
        <f t="shared" si="15"/>
        <v>267.72199999999998</v>
      </c>
      <c r="D52" s="47">
        <f t="shared" si="2"/>
        <v>6.6192488281607717E-2</v>
      </c>
      <c r="E52" s="57">
        <f t="shared" si="13"/>
        <v>262.47199999999998</v>
      </c>
      <c r="F52" s="38">
        <f t="shared" si="4"/>
        <v>4.5284566767953852E-2</v>
      </c>
      <c r="G52" s="25">
        <f t="shared" si="5"/>
        <v>-1.9609893845107987E-2</v>
      </c>
      <c r="H52" s="24">
        <f t="shared" si="19"/>
        <v>267.26599999999996</v>
      </c>
      <c r="I52" s="47">
        <f t="shared" si="7"/>
        <v>6.4376485955850285E-2</v>
      </c>
      <c r="J52" s="25">
        <f t="shared" si="8"/>
        <v>-1.7032593511180155E-3</v>
      </c>
      <c r="K52" s="24">
        <f t="shared" si="20"/>
        <v>267.46600000000001</v>
      </c>
      <c r="L52" s="47">
        <f t="shared" si="10"/>
        <v>7.4831815494692745E-4</v>
      </c>
      <c r="M52" s="57">
        <f t="shared" si="21"/>
        <v>262.81599999999997</v>
      </c>
      <c r="N52" s="25">
        <f t="shared" si="12"/>
        <v>-1.6650078947565306E-2</v>
      </c>
    </row>
    <row r="53" spans="1:18">
      <c r="A53" s="6">
        <v>2800</v>
      </c>
      <c r="B53" s="17">
        <f t="shared" si="14"/>
        <v>260.91800000000001</v>
      </c>
      <c r="C53" s="24">
        <f t="shared" si="15"/>
        <v>277.94600000000003</v>
      </c>
      <c r="D53" s="47">
        <f t="shared" si="2"/>
        <v>6.5261883043714955E-2</v>
      </c>
      <c r="E53" s="57">
        <f t="shared" si="13"/>
        <v>272.69600000000003</v>
      </c>
      <c r="F53" s="38">
        <f t="shared" si="4"/>
        <v>4.5140618891759174E-2</v>
      </c>
      <c r="G53" s="25">
        <f t="shared" si="5"/>
        <v>-1.8888561087405466E-2</v>
      </c>
      <c r="H53" s="24">
        <f t="shared" si="19"/>
        <v>279.26199999999994</v>
      </c>
      <c r="I53" s="47">
        <f t="shared" si="7"/>
        <v>7.0305613257804891E-2</v>
      </c>
      <c r="J53" s="25">
        <f t="shared" si="8"/>
        <v>4.7347326459093392E-3</v>
      </c>
      <c r="K53" s="24">
        <f t="shared" si="20"/>
        <v>279.46199999999999</v>
      </c>
      <c r="L53" s="47">
        <f t="shared" si="10"/>
        <v>7.1617334259600491E-4</v>
      </c>
      <c r="M53" s="57">
        <f t="shared" si="21"/>
        <v>274.81200000000001</v>
      </c>
      <c r="N53" s="25">
        <f t="shared" si="12"/>
        <v>-1.5934856872757242E-2</v>
      </c>
    </row>
    <row r="54" spans="1:18">
      <c r="A54" s="6">
        <v>2900</v>
      </c>
      <c r="B54" s="17">
        <f t="shared" si="14"/>
        <v>270.73500000000001</v>
      </c>
      <c r="C54" s="24">
        <f t="shared" si="15"/>
        <v>288.16999999999996</v>
      </c>
      <c r="D54" s="47">
        <f t="shared" si="2"/>
        <v>6.4398766321310308E-2</v>
      </c>
      <c r="E54" s="57">
        <f t="shared" si="13"/>
        <v>282.91999999999996</v>
      </c>
      <c r="F54" s="38">
        <f t="shared" si="4"/>
        <v>4.5007110273883849E-2</v>
      </c>
      <c r="G54" s="25">
        <f t="shared" si="5"/>
        <v>-1.8218412742478401E-2</v>
      </c>
      <c r="H54" s="24">
        <f t="shared" si="19"/>
        <v>291.25799999999998</v>
      </c>
      <c r="I54" s="47">
        <f t="shared" si="7"/>
        <v>7.580475372596808E-2</v>
      </c>
      <c r="J54" s="25">
        <f t="shared" si="8"/>
        <v>1.0715896866433088E-2</v>
      </c>
      <c r="K54" s="24">
        <f t="shared" si="20"/>
        <v>291.45799999999997</v>
      </c>
      <c r="L54" s="47">
        <f t="shared" si="10"/>
        <v>6.8667641747175573E-4</v>
      </c>
      <c r="M54" s="57">
        <f t="shared" si="21"/>
        <v>286.80799999999999</v>
      </c>
      <c r="N54" s="25">
        <f t="shared" si="12"/>
        <v>-1.5278550288747396E-2</v>
      </c>
    </row>
    <row r="55" spans="1:18">
      <c r="A55" s="6">
        <v>3000</v>
      </c>
      <c r="B55" s="17">
        <f t="shared" si="14"/>
        <v>280.55199999999996</v>
      </c>
      <c r="C55" s="24">
        <f t="shared" si="15"/>
        <v>298.39400000000001</v>
      </c>
      <c r="D55" s="47">
        <f t="shared" si="2"/>
        <v>6.3596053494539492E-2</v>
      </c>
      <c r="E55" s="57">
        <f t="shared" si="13"/>
        <v>293.14400000000001</v>
      </c>
      <c r="F55" s="38">
        <f t="shared" si="4"/>
        <v>4.488294505118496E-2</v>
      </c>
      <c r="G55" s="25">
        <f t="shared" si="5"/>
        <v>-1.7594187550688017E-2</v>
      </c>
      <c r="H55" s="24">
        <f t="shared" si="19"/>
        <v>303.25400000000002</v>
      </c>
      <c r="I55" s="47">
        <f t="shared" si="7"/>
        <v>8.0919045310673454E-2</v>
      </c>
      <c r="J55" s="25">
        <f t="shared" si="8"/>
        <v>1.6287190761208381E-2</v>
      </c>
      <c r="K55" s="24">
        <f t="shared" si="20"/>
        <v>303.45400000000001</v>
      </c>
      <c r="L55" s="47">
        <f t="shared" si="10"/>
        <v>6.5951314739455579E-4</v>
      </c>
      <c r="M55" s="57">
        <f t="shared" si="21"/>
        <v>298.80399999999997</v>
      </c>
      <c r="N55" s="25">
        <f t="shared" si="12"/>
        <v>-1.4674167529529851E-2</v>
      </c>
    </row>
    <row r="56" spans="1:18">
      <c r="A56" s="6">
        <v>3100</v>
      </c>
      <c r="B56" s="17">
        <f t="shared" si="14"/>
        <v>290.36899999999997</v>
      </c>
      <c r="C56" s="24">
        <f t="shared" si="15"/>
        <v>308.61799999999999</v>
      </c>
      <c r="D56" s="47">
        <f t="shared" si="2"/>
        <v>6.2847618030850483E-2</v>
      </c>
      <c r="E56" s="57">
        <f t="shared" si="13"/>
        <v>303.36799999999999</v>
      </c>
      <c r="F56" s="38">
        <f t="shared" si="4"/>
        <v>4.4767175559374539E-2</v>
      </c>
      <c r="G56" s="25">
        <f t="shared" si="5"/>
        <v>-1.7011321439449417E-2</v>
      </c>
      <c r="H56" s="24">
        <f t="shared" si="19"/>
        <v>315.25</v>
      </c>
      <c r="I56" s="47">
        <f t="shared" si="7"/>
        <v>8.5687521739579747E-2</v>
      </c>
      <c r="J56" s="25">
        <f t="shared" si="8"/>
        <v>2.148934929265307E-2</v>
      </c>
      <c r="K56" s="24">
        <f t="shared" si="20"/>
        <v>315.45</v>
      </c>
      <c r="L56" s="47">
        <f t="shared" si="10"/>
        <v>6.3441712926245401E-4</v>
      </c>
      <c r="M56" s="57">
        <f t="shared" si="21"/>
        <v>310.79999999999995</v>
      </c>
      <c r="N56" s="25">
        <f t="shared" si="12"/>
        <v>-1.4115781126090549E-2</v>
      </c>
    </row>
    <row r="57" spans="1:18">
      <c r="A57" s="6">
        <v>3200</v>
      </c>
      <c r="B57" s="17">
        <f t="shared" si="14"/>
        <v>300.18599999999998</v>
      </c>
      <c r="C57" s="24">
        <f t="shared" si="15"/>
        <v>318.84199999999998</v>
      </c>
      <c r="D57" s="47">
        <f t="shared" si="2"/>
        <v>6.2148134823076386E-2</v>
      </c>
      <c r="E57" s="57">
        <f t="shared" si="13"/>
        <v>313.59199999999998</v>
      </c>
      <c r="F57" s="38">
        <f t="shared" si="4"/>
        <v>4.4658978100244537E-2</v>
      </c>
      <c r="G57" s="25">
        <f t="shared" si="5"/>
        <v>-1.6465835743095326E-2</v>
      </c>
      <c r="H57" s="24">
        <f t="shared" si="19"/>
        <v>327.24599999999998</v>
      </c>
      <c r="I57" s="47">
        <f t="shared" si="7"/>
        <v>9.0144110651396145E-2</v>
      </c>
      <c r="J57" s="25">
        <f t="shared" si="8"/>
        <v>2.6357882587613918E-2</v>
      </c>
      <c r="K57" s="24">
        <f t="shared" si="20"/>
        <v>327.44600000000003</v>
      </c>
      <c r="L57" s="47">
        <f t="shared" si="10"/>
        <v>6.1116102259476204E-4</v>
      </c>
      <c r="M57" s="57">
        <f t="shared" si="21"/>
        <v>322.79599999999999</v>
      </c>
      <c r="N57" s="25">
        <f t="shared" si="12"/>
        <v>-1.3598332752730327E-2</v>
      </c>
    </row>
    <row r="58" spans="1:18">
      <c r="A58" s="6">
        <v>3300</v>
      </c>
      <c r="B58" s="17">
        <f t="shared" si="14"/>
        <v>310.00299999999999</v>
      </c>
      <c r="C58" s="24">
        <f t="shared" si="15"/>
        <v>329.06600000000003</v>
      </c>
      <c r="D58" s="47">
        <f t="shared" si="2"/>
        <v>6.1492953294000528E-2</v>
      </c>
      <c r="E58" s="57">
        <f t="shared" si="13"/>
        <v>323.81600000000003</v>
      </c>
      <c r="F58" s="38">
        <f t="shared" si="4"/>
        <v>4.4557633313226146E-2</v>
      </c>
      <c r="G58" s="25">
        <f t="shared" si="5"/>
        <v>-1.5954246260628566E-2</v>
      </c>
      <c r="H58" s="24">
        <f t="shared" si="19"/>
        <v>339.24199999999996</v>
      </c>
      <c r="I58" s="47">
        <f t="shared" si="7"/>
        <v>9.431844207959271E-2</v>
      </c>
      <c r="J58" s="25">
        <f t="shared" si="8"/>
        <v>3.0923887609172414E-2</v>
      </c>
      <c r="K58" s="24">
        <f t="shared" si="20"/>
        <v>339.44200000000001</v>
      </c>
      <c r="L58" s="47">
        <f t="shared" si="10"/>
        <v>5.895496430278253E-4</v>
      </c>
      <c r="M58" s="57">
        <f t="shared" si="21"/>
        <v>334.79200000000003</v>
      </c>
      <c r="N58" s="25">
        <f t="shared" si="12"/>
        <v>-1.3117479557365929E-2</v>
      </c>
    </row>
    <row r="59" spans="1:18">
      <c r="A59" s="6">
        <v>3400</v>
      </c>
      <c r="B59" s="17">
        <f t="shared" si="14"/>
        <v>319.82</v>
      </c>
      <c r="C59" s="24">
        <f t="shared" si="15"/>
        <v>339.28999999999996</v>
      </c>
      <c r="D59" s="47">
        <f t="shared" si="2"/>
        <v>6.0877993871552655E-2</v>
      </c>
      <c r="E59" s="57">
        <f t="shared" si="13"/>
        <v>334.03999999999996</v>
      </c>
      <c r="F59" s="38">
        <f t="shared" si="4"/>
        <v>4.4462510161966014E-2</v>
      </c>
      <c r="G59" s="25">
        <f t="shared" si="5"/>
        <v>-1.5473488755931505E-2</v>
      </c>
      <c r="H59" s="24">
        <f t="shared" si="19"/>
        <v>351.23799999999994</v>
      </c>
      <c r="I59" s="47">
        <f t="shared" si="7"/>
        <v>9.823650803576997E-2</v>
      </c>
      <c r="J59" s="25">
        <f t="shared" si="8"/>
        <v>3.5214713077308439E-2</v>
      </c>
      <c r="K59" s="24">
        <f t="shared" si="20"/>
        <v>351.43799999999999</v>
      </c>
      <c r="L59" s="47">
        <f t="shared" si="10"/>
        <v>5.6941447109949803E-4</v>
      </c>
      <c r="M59" s="57">
        <f t="shared" si="21"/>
        <v>346.78800000000001</v>
      </c>
      <c r="N59" s="25">
        <f t="shared" si="12"/>
        <v>-1.2669471981960757E-2</v>
      </c>
    </row>
    <row r="60" spans="1:18">
      <c r="A60" s="6">
        <v>3500</v>
      </c>
      <c r="B60" s="17">
        <f t="shared" si="14"/>
        <v>329.637</v>
      </c>
      <c r="C60" s="24">
        <f t="shared" si="15"/>
        <v>349.51400000000001</v>
      </c>
      <c r="D60" s="47">
        <f t="shared" si="2"/>
        <v>6.0299662962592211E-2</v>
      </c>
      <c r="E60" s="57">
        <f t="shared" ref="E60:E81" si="22">$E$27+((A60-$A$27)*$E$8)</f>
        <v>344.26400000000001</v>
      </c>
      <c r="F60" s="38">
        <f t="shared" si="4"/>
        <v>4.4373052782302989E-2</v>
      </c>
      <c r="G60" s="25">
        <f t="shared" si="5"/>
        <v>-1.5020857533603804E-2</v>
      </c>
      <c r="H60" s="24">
        <f t="shared" si="19"/>
        <v>363.23399999999998</v>
      </c>
      <c r="I60" s="47">
        <f t="shared" si="7"/>
        <v>0.10192120423374797</v>
      </c>
      <c r="J60" s="25">
        <f t="shared" si="8"/>
        <v>3.9254507687817859E-2</v>
      </c>
      <c r="K60" s="24">
        <f t="shared" si="20"/>
        <v>363.43399999999997</v>
      </c>
      <c r="L60" s="47">
        <f t="shared" si="10"/>
        <v>5.5060924913413571E-4</v>
      </c>
      <c r="M60" s="57">
        <f t="shared" si="21"/>
        <v>358.78399999999999</v>
      </c>
      <c r="N60" s="25">
        <f t="shared" si="12"/>
        <v>-1.2251055793235184E-2</v>
      </c>
    </row>
    <row r="61" spans="1:18">
      <c r="A61" s="6">
        <v>3600</v>
      </c>
      <c r="B61" s="17">
        <f t="shared" si="14"/>
        <v>339.45400000000001</v>
      </c>
      <c r="C61" s="24">
        <f t="shared" si="15"/>
        <v>359.73799999999994</v>
      </c>
      <c r="D61" s="47">
        <f t="shared" si="2"/>
        <v>5.9754782680421899E-2</v>
      </c>
      <c r="E61" s="57">
        <f t="shared" si="22"/>
        <v>354.48799999999994</v>
      </c>
      <c r="F61" s="38">
        <f t="shared" si="4"/>
        <v>4.4288769612377328E-2</v>
      </c>
      <c r="G61" s="25">
        <f t="shared" si="5"/>
        <v>-1.4593954489100404E-2</v>
      </c>
      <c r="H61" s="24">
        <f t="shared" si="19"/>
        <v>375.23</v>
      </c>
      <c r="I61" s="47">
        <f t="shared" si="7"/>
        <v>0.10539277781378334</v>
      </c>
      <c r="J61" s="25">
        <f t="shared" si="8"/>
        <v>4.3064674846694198E-2</v>
      </c>
      <c r="K61" s="24">
        <f t="shared" si="20"/>
        <v>375.43</v>
      </c>
      <c r="L61" s="47">
        <f t="shared" si="10"/>
        <v>5.3300642272736357E-4</v>
      </c>
      <c r="M61" s="57">
        <f t="shared" si="21"/>
        <v>370.78</v>
      </c>
      <c r="N61" s="25">
        <f t="shared" si="12"/>
        <v>-1.1859392905684635E-2</v>
      </c>
    </row>
    <row r="62" spans="1:18">
      <c r="A62" s="6">
        <v>3700</v>
      </c>
      <c r="B62" s="17">
        <f t="shared" si="14"/>
        <v>349.27100000000002</v>
      </c>
      <c r="C62" s="24">
        <f t="shared" si="15"/>
        <v>369.96199999999999</v>
      </c>
      <c r="D62" s="47">
        <f t="shared" si="2"/>
        <v>5.92405324232472E-2</v>
      </c>
      <c r="E62" s="57">
        <f t="shared" si="22"/>
        <v>364.71199999999999</v>
      </c>
      <c r="F62" s="38">
        <f t="shared" si="4"/>
        <v>4.4209224355872587E-2</v>
      </c>
      <c r="G62" s="25">
        <f t="shared" si="5"/>
        <v>-1.4190646606948822E-2</v>
      </c>
      <c r="H62" s="24">
        <f t="shared" si="19"/>
        <v>387.226</v>
      </c>
      <c r="I62" s="47">
        <f t="shared" si="7"/>
        <v>0.10866919956137207</v>
      </c>
      <c r="J62" s="25">
        <f t="shared" si="8"/>
        <v>4.6664252004259922E-2</v>
      </c>
      <c r="K62" s="24">
        <f t="shared" si="20"/>
        <v>387.42599999999999</v>
      </c>
      <c r="L62" s="47">
        <f t="shared" si="10"/>
        <v>5.1649424367162492E-4</v>
      </c>
      <c r="M62" s="57">
        <f t="shared" si="21"/>
        <v>382.77599999999995</v>
      </c>
      <c r="N62" s="25">
        <f t="shared" si="12"/>
        <v>-1.1491996921694425E-2</v>
      </c>
    </row>
    <row r="63" spans="1:18">
      <c r="A63" s="6">
        <v>3800</v>
      </c>
      <c r="B63" s="17">
        <f t="shared" si="14"/>
        <v>359.08800000000002</v>
      </c>
      <c r="C63" s="24">
        <f t="shared" si="15"/>
        <v>380.18600000000004</v>
      </c>
      <c r="D63" s="47">
        <f t="shared" si="2"/>
        <v>5.8754400035645894E-2</v>
      </c>
      <c r="E63" s="57">
        <f t="shared" si="22"/>
        <v>374.93600000000004</v>
      </c>
      <c r="F63" s="38">
        <f t="shared" si="4"/>
        <v>4.4134028427572108E-2</v>
      </c>
      <c r="G63" s="25">
        <f t="shared" si="5"/>
        <v>-1.38090303167397E-2</v>
      </c>
      <c r="H63" s="24">
        <f t="shared" si="19"/>
        <v>399.22199999999998</v>
      </c>
      <c r="I63" s="47">
        <f t="shared" si="7"/>
        <v>0.11176647507017766</v>
      </c>
      <c r="J63" s="25">
        <f t="shared" si="8"/>
        <v>5.0070228782753551E-2</v>
      </c>
      <c r="K63" s="24">
        <f t="shared" si="20"/>
        <v>399.42200000000003</v>
      </c>
      <c r="L63" s="47">
        <f t="shared" si="10"/>
        <v>5.0097439519877535E-4</v>
      </c>
      <c r="M63" s="57">
        <f t="shared" si="21"/>
        <v>394.77199999999999</v>
      </c>
      <c r="N63" s="25">
        <f t="shared" si="12"/>
        <v>-1.1146680293170189E-2</v>
      </c>
    </row>
    <row r="64" spans="1:18">
      <c r="A64" s="6">
        <v>3900</v>
      </c>
      <c r="B64" s="17">
        <f t="shared" si="14"/>
        <v>368.90499999999997</v>
      </c>
      <c r="C64" s="24">
        <f t="shared" si="15"/>
        <v>390.40999999999997</v>
      </c>
      <c r="D64" s="47">
        <f t="shared" si="2"/>
        <v>5.829414076794838E-2</v>
      </c>
      <c r="E64" s="57">
        <f t="shared" si="22"/>
        <v>385.15999999999997</v>
      </c>
      <c r="F64" s="38">
        <f t="shared" si="4"/>
        <v>4.4062834605115127E-2</v>
      </c>
      <c r="G64" s="25">
        <f t="shared" si="5"/>
        <v>-1.3447401449757947E-2</v>
      </c>
      <c r="H64" s="24">
        <f t="shared" si="19"/>
        <v>411.21799999999996</v>
      </c>
      <c r="I64" s="47">
        <f t="shared" si="7"/>
        <v>0.11469890622246917</v>
      </c>
      <c r="J64" s="25">
        <f t="shared" si="8"/>
        <v>5.3297815117440625E-2</v>
      </c>
      <c r="K64" s="24">
        <f t="shared" si="20"/>
        <v>411.41800000000001</v>
      </c>
      <c r="L64" s="47">
        <f t="shared" si="10"/>
        <v>4.8636003287804883E-4</v>
      </c>
      <c r="M64" s="57">
        <f t="shared" si="21"/>
        <v>406.76799999999997</v>
      </c>
      <c r="N64" s="25">
        <f t="shared" si="12"/>
        <v>-1.0821510731534098E-2</v>
      </c>
    </row>
    <row r="65" spans="1:16">
      <c r="A65" s="6">
        <v>4000</v>
      </c>
      <c r="B65" s="17">
        <f t="shared" si="14"/>
        <v>378.72199999999998</v>
      </c>
      <c r="C65" s="24">
        <f t="shared" si="15"/>
        <v>400.63400000000001</v>
      </c>
      <c r="D65" s="47">
        <f t="shared" si="2"/>
        <v>5.7857742618596324E-2</v>
      </c>
      <c r="E65" s="57">
        <f t="shared" si="22"/>
        <v>395.38400000000001</v>
      </c>
      <c r="F65" s="38">
        <f t="shared" si="4"/>
        <v>4.3995331668083809E-2</v>
      </c>
      <c r="G65" s="25">
        <f t="shared" si="5"/>
        <v>-1.3104229795773699E-2</v>
      </c>
      <c r="H65" s="24">
        <f t="shared" si="19"/>
        <v>423.214</v>
      </c>
      <c r="I65" s="47">
        <f t="shared" si="7"/>
        <v>0.11747931200194343</v>
      </c>
      <c r="J65" s="25">
        <f t="shared" si="8"/>
        <v>5.636066834067998E-2</v>
      </c>
      <c r="K65" s="24">
        <f t="shared" si="20"/>
        <v>423.41399999999999</v>
      </c>
      <c r="L65" s="47">
        <f t="shared" si="10"/>
        <v>4.7257415869982712E-4</v>
      </c>
      <c r="M65" s="57">
        <f t="shared" si="21"/>
        <v>418.76400000000001</v>
      </c>
      <c r="N65" s="25">
        <f t="shared" si="12"/>
        <v>-1.0514775031071724E-2</v>
      </c>
      <c r="P65" s="74">
        <f>H65-B65</f>
        <v>44.492000000000019</v>
      </c>
    </row>
    <row r="66" spans="1:16">
      <c r="A66" s="6">
        <v>5000</v>
      </c>
      <c r="B66" s="17">
        <f t="shared" si="14"/>
        <v>476.892</v>
      </c>
      <c r="C66" s="24">
        <f t="shared" si="15"/>
        <v>502.87400000000002</v>
      </c>
      <c r="D66" s="47">
        <f t="shared" si="2"/>
        <v>5.4481937210102138E-2</v>
      </c>
      <c r="E66" s="57">
        <f t="shared" si="22"/>
        <v>497.62400000000002</v>
      </c>
      <c r="F66" s="38">
        <f t="shared" si="4"/>
        <v>4.3473155347542057E-2</v>
      </c>
      <c r="G66" s="25">
        <f t="shared" si="5"/>
        <v>-1.0439990932122162E-2</v>
      </c>
      <c r="H66" s="24">
        <f t="shared" si="19"/>
        <v>543.17399999999998</v>
      </c>
      <c r="I66" s="47">
        <f t="shared" si="7"/>
        <v>0.13898744369794416</v>
      </c>
      <c r="J66" s="25">
        <f t="shared" si="8"/>
        <v>8.0139358964670976E-2</v>
      </c>
      <c r="K66" s="24">
        <f t="shared" si="20"/>
        <v>543.37400000000002</v>
      </c>
      <c r="L66" s="47">
        <f t="shared" si="10"/>
        <v>3.6820613652355504E-4</v>
      </c>
      <c r="M66" s="57">
        <f t="shared" si="21"/>
        <v>538.72399999999993</v>
      </c>
      <c r="N66" s="25">
        <f t="shared" si="12"/>
        <v>-8.1925865376473207E-3</v>
      </c>
    </row>
    <row r="67" spans="1:16">
      <c r="A67" s="6">
        <v>6000</v>
      </c>
      <c r="B67" s="17">
        <f t="shared" si="14"/>
        <v>575.0619999999999</v>
      </c>
      <c r="C67" s="24">
        <f t="shared" si="15"/>
        <v>605.11400000000003</v>
      </c>
      <c r="D67" s="47">
        <f t="shared" si="2"/>
        <v>5.2258712973557879E-2</v>
      </c>
      <c r="E67" s="57">
        <f t="shared" si="22"/>
        <v>599.86400000000003</v>
      </c>
      <c r="F67" s="38">
        <f t="shared" si="4"/>
        <v>4.3129262583860767E-2</v>
      </c>
      <c r="G67" s="25">
        <f t="shared" si="5"/>
        <v>-8.6760511242509677E-3</v>
      </c>
      <c r="H67" s="24">
        <f t="shared" si="19"/>
        <v>663.13400000000001</v>
      </c>
      <c r="I67" s="47">
        <f t="shared" si="7"/>
        <v>0.15315218185169621</v>
      </c>
      <c r="J67" s="25">
        <f t="shared" si="8"/>
        <v>9.5882759281722088E-2</v>
      </c>
      <c r="K67" s="24">
        <f t="shared" si="20"/>
        <v>663.33399999999995</v>
      </c>
      <c r="L67" s="47">
        <f t="shared" si="10"/>
        <v>3.0159816869581679E-4</v>
      </c>
      <c r="M67" s="57">
        <f t="shared" si="21"/>
        <v>658.68399999999997</v>
      </c>
      <c r="N67" s="25">
        <f t="shared" si="12"/>
        <v>-6.7105592534842809E-3</v>
      </c>
    </row>
    <row r="68" spans="1:16">
      <c r="A68" s="6">
        <v>7000</v>
      </c>
      <c r="B68" s="17">
        <f t="shared" si="14"/>
        <v>673.23199999999997</v>
      </c>
      <c r="C68" s="24">
        <f t="shared" si="15"/>
        <v>707.35400000000004</v>
      </c>
      <c r="D68" s="47">
        <f t="shared" si="2"/>
        <v>5.0683865294579092E-2</v>
      </c>
      <c r="E68" s="57">
        <f t="shared" si="22"/>
        <v>702.10400000000004</v>
      </c>
      <c r="F68" s="38">
        <f t="shared" si="4"/>
        <v>4.2885662000618024E-2</v>
      </c>
      <c r="G68" s="25">
        <f t="shared" si="5"/>
        <v>-7.4220263121435653E-3</v>
      </c>
      <c r="H68" s="24">
        <f t="shared" si="19"/>
        <v>783.09400000000005</v>
      </c>
      <c r="I68" s="47">
        <f t="shared" si="7"/>
        <v>0.16318594481545751</v>
      </c>
      <c r="J68" s="25">
        <f t="shared" si="8"/>
        <v>0.10707509959652452</v>
      </c>
      <c r="K68" s="24">
        <f t="shared" si="20"/>
        <v>783.29399999999998</v>
      </c>
      <c r="L68" s="47">
        <f t="shared" si="10"/>
        <v>2.553971809258298E-4</v>
      </c>
      <c r="M68" s="57">
        <f t="shared" si="21"/>
        <v>778.64400000000001</v>
      </c>
      <c r="N68" s="25">
        <f t="shared" si="12"/>
        <v>-5.6825872756017092E-3</v>
      </c>
    </row>
    <row r="69" spans="1:16">
      <c r="A69" s="6">
        <v>8000</v>
      </c>
      <c r="B69" s="17">
        <f t="shared" si="14"/>
        <v>771.40199999999993</v>
      </c>
      <c r="C69" s="24">
        <f t="shared" si="15"/>
        <v>809.59400000000005</v>
      </c>
      <c r="D69" s="47">
        <f t="shared" si="2"/>
        <v>4.9509853487546211E-2</v>
      </c>
      <c r="E69" s="57">
        <f t="shared" si="22"/>
        <v>804.34400000000005</v>
      </c>
      <c r="F69" s="38">
        <f t="shared" si="4"/>
        <v>4.2704063510335885E-2</v>
      </c>
      <c r="G69" s="25">
        <f t="shared" si="5"/>
        <v>-6.4847318532499001E-3</v>
      </c>
      <c r="H69" s="24">
        <f t="shared" si="19"/>
        <v>903.05399999999986</v>
      </c>
      <c r="I69" s="47">
        <f t="shared" si="7"/>
        <v>0.17066587849137019</v>
      </c>
      <c r="J69" s="25">
        <f t="shared" si="8"/>
        <v>0.11544057885804465</v>
      </c>
      <c r="K69" s="24">
        <f t="shared" si="20"/>
        <v>903.25399999999991</v>
      </c>
      <c r="L69" s="47">
        <f t="shared" si="10"/>
        <v>2.2147069831930926E-4</v>
      </c>
      <c r="M69" s="57">
        <f t="shared" si="21"/>
        <v>898.60399999999993</v>
      </c>
      <c r="N69" s="25">
        <f t="shared" si="12"/>
        <v>-4.9277230376034353E-3</v>
      </c>
    </row>
    <row r="70" spans="1:16">
      <c r="A70" s="6">
        <v>9000</v>
      </c>
      <c r="B70" s="17">
        <f t="shared" si="14"/>
        <v>869.57199999999989</v>
      </c>
      <c r="C70" s="24">
        <f t="shared" si="15"/>
        <v>911.83400000000006</v>
      </c>
      <c r="D70" s="47">
        <f t="shared" si="2"/>
        <v>4.8600920912817085E-2</v>
      </c>
      <c r="E70" s="57">
        <f t="shared" si="22"/>
        <v>906.58400000000006</v>
      </c>
      <c r="F70" s="38">
        <f t="shared" si="4"/>
        <v>4.2563468004949763E-2</v>
      </c>
      <c r="G70" s="25">
        <f t="shared" si="5"/>
        <v>-5.7576269364818591E-3</v>
      </c>
      <c r="H70" s="24">
        <f t="shared" si="19"/>
        <v>1023.0139999999999</v>
      </c>
      <c r="I70" s="47">
        <f t="shared" si="7"/>
        <v>0.17645692363599566</v>
      </c>
      <c r="J70" s="25">
        <f t="shared" si="8"/>
        <v>0.12193008815200994</v>
      </c>
      <c r="K70" s="24">
        <f t="shared" si="20"/>
        <v>1023.2139999999999</v>
      </c>
      <c r="L70" s="47">
        <f t="shared" si="10"/>
        <v>1.9550074583538982E-4</v>
      </c>
      <c r="M70" s="57">
        <f t="shared" si="21"/>
        <v>1018.564</v>
      </c>
      <c r="N70" s="25">
        <f t="shared" si="12"/>
        <v>-4.3498915948363684E-3</v>
      </c>
    </row>
    <row r="71" spans="1:16">
      <c r="A71" s="6">
        <v>10000</v>
      </c>
      <c r="B71" s="17">
        <f t="shared" si="14"/>
        <v>967.74199999999985</v>
      </c>
      <c r="C71" s="24">
        <f t="shared" si="15"/>
        <v>1014.074</v>
      </c>
      <c r="D71" s="47">
        <f t="shared" si="2"/>
        <v>4.787639680824033E-2</v>
      </c>
      <c r="E71" s="57">
        <f t="shared" si="22"/>
        <v>1008.824</v>
      </c>
      <c r="F71" s="38">
        <f t="shared" si="4"/>
        <v>4.2451397169906972E-2</v>
      </c>
      <c r="G71" s="25">
        <f t="shared" si="5"/>
        <v>-5.1771369742247613E-3</v>
      </c>
      <c r="H71" s="24">
        <f t="shared" si="19"/>
        <v>1142.9739999999999</v>
      </c>
      <c r="I71" s="47">
        <f t="shared" si="7"/>
        <v>0.18107305459512982</v>
      </c>
      <c r="J71" s="25">
        <f t="shared" si="8"/>
        <v>0.12711103923382316</v>
      </c>
      <c r="K71" s="24">
        <f t="shared" si="20"/>
        <v>1143.174</v>
      </c>
      <c r="L71" s="47">
        <f t="shared" si="10"/>
        <v>1.7498210807948868E-4</v>
      </c>
      <c r="M71" s="57">
        <f t="shared" si="21"/>
        <v>1138.5239999999999</v>
      </c>
      <c r="N71" s="25">
        <f t="shared" si="12"/>
        <v>-3.8933519047677774E-3</v>
      </c>
    </row>
    <row r="72" spans="1:16">
      <c r="A72" s="6">
        <v>11000</v>
      </c>
      <c r="B72" s="17">
        <f t="shared" si="14"/>
        <v>1065.912</v>
      </c>
      <c r="C72" s="24">
        <f t="shared" si="15"/>
        <v>1116.3140000000001</v>
      </c>
      <c r="D72" s="47">
        <f t="shared" si="2"/>
        <v>4.7285329370529691E-2</v>
      </c>
      <c r="E72" s="57">
        <f t="shared" si="22"/>
        <v>1111.0640000000001</v>
      </c>
      <c r="F72" s="38">
        <f t="shared" si="4"/>
        <v>4.2359969678547611E-2</v>
      </c>
      <c r="G72" s="25">
        <f t="shared" si="5"/>
        <v>-4.7029778359852156E-3</v>
      </c>
      <c r="H72" s="24">
        <f t="shared" si="19"/>
        <v>1262.934</v>
      </c>
      <c r="I72" s="47">
        <f t="shared" si="7"/>
        <v>0.18483889852070334</v>
      </c>
      <c r="J72" s="25">
        <f t="shared" si="8"/>
        <v>0.1313429733927908</v>
      </c>
      <c r="K72" s="24">
        <f t="shared" si="20"/>
        <v>1263.134</v>
      </c>
      <c r="L72" s="47">
        <f t="shared" si="10"/>
        <v>1.5836140289203195E-4</v>
      </c>
      <c r="M72" s="57">
        <f t="shared" si="21"/>
        <v>1258.4839999999999</v>
      </c>
      <c r="N72" s="25">
        <f t="shared" si="12"/>
        <v>-3.5235412143469458E-3</v>
      </c>
    </row>
    <row r="73" spans="1:16">
      <c r="A73" s="6">
        <v>12000</v>
      </c>
      <c r="B73" s="17">
        <f t="shared" si="14"/>
        <v>1164.0819999999999</v>
      </c>
      <c r="C73" s="24">
        <f t="shared" si="15"/>
        <v>1218.5540000000001</v>
      </c>
      <c r="D73" s="47">
        <f t="shared" si="2"/>
        <v>4.6793954377784566E-2</v>
      </c>
      <c r="E73" s="57">
        <f t="shared" si="22"/>
        <v>1213.3040000000001</v>
      </c>
      <c r="F73" s="38">
        <f t="shared" si="4"/>
        <v>4.2283962813616405E-2</v>
      </c>
      <c r="G73" s="25">
        <f t="shared" si="5"/>
        <v>-4.3083851844070917E-3</v>
      </c>
      <c r="H73" s="24">
        <f t="shared" si="19"/>
        <v>1382.894</v>
      </c>
      <c r="I73" s="47">
        <f t="shared" si="7"/>
        <v>0.18796957602643125</v>
      </c>
      <c r="J73" s="25">
        <f t="shared" si="8"/>
        <v>0.13486476594389737</v>
      </c>
      <c r="K73" s="24">
        <f t="shared" si="20"/>
        <v>1383.0940000000001</v>
      </c>
      <c r="L73" s="47">
        <f t="shared" si="10"/>
        <v>1.4462424451913559E-4</v>
      </c>
      <c r="M73" s="57">
        <f t="shared" si="21"/>
        <v>1378.444</v>
      </c>
      <c r="N73" s="25">
        <f t="shared" si="12"/>
        <v>-3.2178894405500676E-3</v>
      </c>
    </row>
    <row r="74" spans="1:16">
      <c r="A74" s="6">
        <v>13000</v>
      </c>
      <c r="B74" s="17">
        <f t="shared" si="14"/>
        <v>1262.252</v>
      </c>
      <c r="C74" s="24">
        <f t="shared" si="15"/>
        <v>1320.7940000000001</v>
      </c>
      <c r="D74" s="47">
        <f t="shared" si="2"/>
        <v>4.6379011481067288E-2</v>
      </c>
      <c r="E74" s="57">
        <f t="shared" si="22"/>
        <v>1315.5440000000001</v>
      </c>
      <c r="F74" s="38">
        <f t="shared" si="4"/>
        <v>4.2219778617898919E-2</v>
      </c>
      <c r="G74" s="25">
        <f t="shared" si="5"/>
        <v>-3.9748817756591866E-3</v>
      </c>
      <c r="H74" s="24">
        <f t="shared" si="19"/>
        <v>1502.854</v>
      </c>
      <c r="I74" s="47">
        <f t="shared" si="7"/>
        <v>0.19061328482743548</v>
      </c>
      <c r="J74" s="25">
        <f t="shared" si="8"/>
        <v>0.13784132877647834</v>
      </c>
      <c r="K74" s="24">
        <f t="shared" si="20"/>
        <v>1503.0540000000001</v>
      </c>
      <c r="L74" s="47">
        <f t="shared" si="10"/>
        <v>1.3308012621322197E-4</v>
      </c>
      <c r="M74" s="57">
        <f t="shared" si="21"/>
        <v>1498.404</v>
      </c>
      <c r="N74" s="25">
        <f t="shared" si="12"/>
        <v>-2.9610328082435456E-3</v>
      </c>
    </row>
    <row r="75" spans="1:16">
      <c r="A75" s="6">
        <v>14000</v>
      </c>
      <c r="B75" s="17">
        <f t="shared" si="14"/>
        <v>1360.4219999999998</v>
      </c>
      <c r="C75" s="24">
        <f t="shared" si="15"/>
        <v>1423.0340000000001</v>
      </c>
      <c r="D75" s="47">
        <f t="shared" si="2"/>
        <v>4.6023954331817857E-2</v>
      </c>
      <c r="E75" s="57">
        <f t="shared" si="22"/>
        <v>1417.7840000000001</v>
      </c>
      <c r="F75" s="38">
        <f t="shared" si="4"/>
        <v>4.2164857669164654E-2</v>
      </c>
      <c r="G75" s="25">
        <f t="shared" si="5"/>
        <v>-3.6893004664681236E-3</v>
      </c>
      <c r="H75" s="24">
        <f t="shared" si="19"/>
        <v>1622.8140000000001</v>
      </c>
      <c r="I75" s="47">
        <f t="shared" si="7"/>
        <v>0.19287544600131454</v>
      </c>
      <c r="J75" s="25">
        <f t="shared" si="8"/>
        <v>0.14039018041733364</v>
      </c>
      <c r="K75" s="24">
        <f t="shared" si="20"/>
        <v>1623.0140000000001</v>
      </c>
      <c r="L75" s="47">
        <f t="shared" si="10"/>
        <v>1.2324271296651709E-4</v>
      </c>
      <c r="M75" s="57">
        <f t="shared" si="21"/>
        <v>1618.364</v>
      </c>
      <c r="N75" s="25">
        <f t="shared" si="12"/>
        <v>-2.7421503635044098E-3</v>
      </c>
    </row>
    <row r="76" spans="1:16">
      <c r="A76" s="6">
        <v>15000</v>
      </c>
      <c r="B76" s="17">
        <f t="shared" si="14"/>
        <v>1458.5919999999999</v>
      </c>
      <c r="C76" s="24">
        <f t="shared" si="15"/>
        <v>1525.2739999999999</v>
      </c>
      <c r="D76" s="47">
        <f t="shared" si="2"/>
        <v>4.5716691165178486E-2</v>
      </c>
      <c r="E76" s="57">
        <f t="shared" si="22"/>
        <v>1520.0239999999999</v>
      </c>
      <c r="F76" s="38">
        <f t="shared" si="4"/>
        <v>4.2117329589083187E-2</v>
      </c>
      <c r="G76" s="25">
        <f t="shared" si="5"/>
        <v>-3.4420045185324082E-3</v>
      </c>
      <c r="H76" s="24">
        <f t="shared" si="19"/>
        <v>1742.7740000000001</v>
      </c>
      <c r="I76" s="47">
        <f t="shared" si="7"/>
        <v>0.19483309931769835</v>
      </c>
      <c r="J76" s="25">
        <f t="shared" si="8"/>
        <v>0.14259733005348563</v>
      </c>
      <c r="K76" s="24">
        <f t="shared" si="20"/>
        <v>1742.9740000000002</v>
      </c>
      <c r="L76" s="47">
        <f t="shared" si="10"/>
        <v>1.147595729567032E-4</v>
      </c>
      <c r="M76" s="57">
        <f t="shared" si="21"/>
        <v>1738.3240000000001</v>
      </c>
      <c r="N76" s="25">
        <f t="shared" si="12"/>
        <v>-2.5534004982860916E-3</v>
      </c>
    </row>
    <row r="77" spans="1:16">
      <c r="A77" s="6">
        <v>16000</v>
      </c>
      <c r="B77" s="17">
        <f t="shared" si="14"/>
        <v>1556.7619999999999</v>
      </c>
      <c r="C77" s="24">
        <f t="shared" si="15"/>
        <v>1627.5139999999999</v>
      </c>
      <c r="D77" s="47">
        <f t="shared" si="2"/>
        <v>4.5448180261337283E-2</v>
      </c>
      <c r="E77" s="57">
        <f t="shared" si="22"/>
        <v>1622.2639999999999</v>
      </c>
      <c r="F77" s="38">
        <f t="shared" si="4"/>
        <v>4.2075795786382215E-2</v>
      </c>
      <c r="G77" s="25">
        <f t="shared" si="5"/>
        <v>-3.2257787029788994E-3</v>
      </c>
      <c r="H77" s="24">
        <f t="shared" si="19"/>
        <v>1862.7339999999999</v>
      </c>
      <c r="I77" s="47">
        <f t="shared" si="7"/>
        <v>0.19654385191827653</v>
      </c>
      <c r="J77" s="25">
        <f t="shared" si="8"/>
        <v>0.14452717457422795</v>
      </c>
      <c r="K77" s="24">
        <f t="shared" si="20"/>
        <v>1862.934</v>
      </c>
      <c r="L77" s="47">
        <f t="shared" si="10"/>
        <v>1.0736906074621792E-4</v>
      </c>
      <c r="M77" s="57">
        <f t="shared" si="21"/>
        <v>1858.2839999999999</v>
      </c>
      <c r="N77" s="25">
        <f t="shared" si="12"/>
        <v>-2.3889616016028298E-3</v>
      </c>
    </row>
    <row r="78" spans="1:16">
      <c r="A78" s="6">
        <v>17000</v>
      </c>
      <c r="B78" s="17">
        <f t="shared" si="14"/>
        <v>1654.9319999999998</v>
      </c>
      <c r="C78" s="24">
        <f t="shared" si="15"/>
        <v>1729.7539999999999</v>
      </c>
      <c r="D78" s="47">
        <f t="shared" si="2"/>
        <v>4.5211525307384308E-2</v>
      </c>
      <c r="E78" s="57">
        <f t="shared" si="22"/>
        <v>1724.5039999999999</v>
      </c>
      <c r="F78" s="38">
        <f t="shared" si="4"/>
        <v>4.2039189525612003E-2</v>
      </c>
      <c r="G78" s="25">
        <f t="shared" si="5"/>
        <v>-3.0351136635614084E-3</v>
      </c>
      <c r="H78" s="24">
        <f t="shared" si="19"/>
        <v>1982.694</v>
      </c>
      <c r="I78" s="47">
        <f t="shared" si="7"/>
        <v>0.19805164200100078</v>
      </c>
      <c r="J78" s="25">
        <f t="shared" si="8"/>
        <v>0.14622888572594719</v>
      </c>
      <c r="K78" s="24">
        <f t="shared" si="20"/>
        <v>1982.894</v>
      </c>
      <c r="L78" s="47">
        <f t="shared" si="10"/>
        <v>1.0087285279526013E-4</v>
      </c>
      <c r="M78" s="57">
        <f t="shared" si="21"/>
        <v>1978.2439999999999</v>
      </c>
      <c r="N78" s="25">
        <f t="shared" si="12"/>
        <v>-2.2444209746940503E-3</v>
      </c>
    </row>
    <row r="79" spans="1:16">
      <c r="A79" s="6">
        <v>18000</v>
      </c>
      <c r="B79" s="17">
        <f t="shared" si="14"/>
        <v>1753.1019999999999</v>
      </c>
      <c r="C79" s="24">
        <f t="shared" si="15"/>
        <v>1831.9939999999999</v>
      </c>
      <c r="D79" s="47">
        <f t="shared" si="2"/>
        <v>4.5001374706092431E-2</v>
      </c>
      <c r="E79" s="57">
        <f t="shared" si="22"/>
        <v>1826.7439999999999</v>
      </c>
      <c r="F79" s="38">
        <f t="shared" si="4"/>
        <v>4.2006683011028487E-2</v>
      </c>
      <c r="G79" s="25">
        <f t="shared" si="5"/>
        <v>-2.8657299095957737E-3</v>
      </c>
      <c r="H79" s="24">
        <f t="shared" si="19"/>
        <v>2102.654</v>
      </c>
      <c r="I79" s="47">
        <f t="shared" si="7"/>
        <v>0.19939056597961793</v>
      </c>
      <c r="J79" s="25">
        <f t="shared" si="8"/>
        <v>0.14774065853927473</v>
      </c>
      <c r="K79" s="24">
        <f t="shared" si="20"/>
        <v>2102.8539999999998</v>
      </c>
      <c r="L79" s="47">
        <f t="shared" si="10"/>
        <v>9.5117884349882621E-5</v>
      </c>
      <c r="M79" s="57">
        <f t="shared" si="21"/>
        <v>2098.2039999999997</v>
      </c>
      <c r="N79" s="25">
        <f t="shared" si="12"/>
        <v>-2.1163729267869428E-3</v>
      </c>
    </row>
    <row r="80" spans="1:16">
      <c r="A80" s="6">
        <v>19000</v>
      </c>
      <c r="B80" s="17">
        <f t="shared" si="14"/>
        <v>1851.2719999999999</v>
      </c>
      <c r="C80" s="24">
        <f t="shared" si="15"/>
        <v>1934.2339999999999</v>
      </c>
      <c r="D80" s="47">
        <f t="shared" ref="D80:D81" si="23">(C80-B80)/B80</f>
        <v>4.4813512006879587E-2</v>
      </c>
      <c r="E80" s="57">
        <f t="shared" si="22"/>
        <v>1928.9839999999999</v>
      </c>
      <c r="F80" s="38">
        <f t="shared" ref="F80:F81" si="24">(E80-B80)/B80</f>
        <v>4.197762403363741E-2</v>
      </c>
      <c r="G80" s="25">
        <f t="shared" ref="G80:G81" si="25">(E80-C80)/C80</f>
        <v>-2.7142527739663349E-3</v>
      </c>
      <c r="H80" s="24">
        <f t="shared" si="19"/>
        <v>2222.614</v>
      </c>
      <c r="I80" s="47">
        <f t="shared" ref="I80:I81" si="26">(H80-B80)/B80</f>
        <v>0.20058748795422829</v>
      </c>
      <c r="J80" s="25">
        <f t="shared" ref="J80:J81" si="27">(H80-C80)/C80</f>
        <v>0.1490926123726499</v>
      </c>
      <c r="K80" s="24">
        <f t="shared" si="20"/>
        <v>2222.8139999999999</v>
      </c>
      <c r="L80" s="47">
        <f t="shared" ref="L80:L81" si="28">(K80-H80)/H80</f>
        <v>8.9984135796777168E-5</v>
      </c>
      <c r="M80" s="57">
        <f t="shared" si="21"/>
        <v>2218.1639999999998</v>
      </c>
      <c r="N80" s="25">
        <f t="shared" ref="N80:N81" si="29">(M80-H80)/H80</f>
        <v>-2.0021470214802357E-3</v>
      </c>
    </row>
    <row r="81" spans="1:14">
      <c r="A81" s="9">
        <v>20000</v>
      </c>
      <c r="B81" s="22">
        <f t="shared" si="14"/>
        <v>1949.4419999999998</v>
      </c>
      <c r="C81" s="34">
        <f t="shared" si="15"/>
        <v>2036.4739999999999</v>
      </c>
      <c r="D81" s="52">
        <f t="shared" si="23"/>
        <v>4.4644570087235304E-2</v>
      </c>
      <c r="E81" s="62">
        <f t="shared" si="22"/>
        <v>2031.2239999999999</v>
      </c>
      <c r="F81" s="43">
        <f t="shared" si="24"/>
        <v>4.1951491760206336E-2</v>
      </c>
      <c r="G81" s="35">
        <f t="shared" si="25"/>
        <v>-2.5779852824047841E-3</v>
      </c>
      <c r="H81" s="34">
        <f t="shared" si="19"/>
        <v>2342.5740000000001</v>
      </c>
      <c r="I81" s="52">
        <f t="shared" si="26"/>
        <v>0.20166386073553372</v>
      </c>
      <c r="J81" s="35">
        <f t="shared" si="27"/>
        <v>0.15030881808459137</v>
      </c>
      <c r="K81" s="34">
        <f t="shared" si="20"/>
        <v>2342.7739999999999</v>
      </c>
      <c r="L81" s="52">
        <f t="shared" si="28"/>
        <v>8.5376171681158456E-5</v>
      </c>
      <c r="M81" s="62">
        <f t="shared" si="21"/>
        <v>2338.1239999999998</v>
      </c>
      <c r="N81" s="35">
        <f t="shared" si="29"/>
        <v>-1.8996198199076198E-3</v>
      </c>
    </row>
  </sheetData>
  <mergeCells count="50">
    <mergeCell ref="H8:J8"/>
    <mergeCell ref="H9:J9"/>
    <mergeCell ref="H10:J10"/>
    <mergeCell ref="C3:G3"/>
    <mergeCell ref="H3:J3"/>
    <mergeCell ref="M7:N7"/>
    <mergeCell ref="K3:N3"/>
    <mergeCell ref="C4:D4"/>
    <mergeCell ref="E4:G4"/>
    <mergeCell ref="K4:L4"/>
    <mergeCell ref="K5:L5"/>
    <mergeCell ref="A1:N1"/>
    <mergeCell ref="A2:N2"/>
    <mergeCell ref="H4:J4"/>
    <mergeCell ref="H5:J5"/>
    <mergeCell ref="H6:J6"/>
    <mergeCell ref="M5:N5"/>
    <mergeCell ref="M6:N6"/>
    <mergeCell ref="M12:N12"/>
    <mergeCell ref="E5:G5"/>
    <mergeCell ref="E6:G6"/>
    <mergeCell ref="E7:G7"/>
    <mergeCell ref="E8:G8"/>
    <mergeCell ref="E9:G9"/>
    <mergeCell ref="H11:J11"/>
    <mergeCell ref="H12:J12"/>
    <mergeCell ref="K6:L6"/>
    <mergeCell ref="K7:L7"/>
    <mergeCell ref="K8:L8"/>
    <mergeCell ref="K9:L9"/>
    <mergeCell ref="K10:L10"/>
    <mergeCell ref="K11:L11"/>
    <mergeCell ref="K12:L12"/>
    <mergeCell ref="H7:J7"/>
    <mergeCell ref="C12:D12"/>
    <mergeCell ref="M4:N4"/>
    <mergeCell ref="E10:G10"/>
    <mergeCell ref="E11:G11"/>
    <mergeCell ref="E12:G12"/>
    <mergeCell ref="C5:D5"/>
    <mergeCell ref="C6:D6"/>
    <mergeCell ref="C7:D7"/>
    <mergeCell ref="C8:D8"/>
    <mergeCell ref="C9:D9"/>
    <mergeCell ref="C10:D10"/>
    <mergeCell ref="C11:D11"/>
    <mergeCell ref="M8:N8"/>
    <mergeCell ref="M9:N9"/>
    <mergeCell ref="M10:N10"/>
    <mergeCell ref="M11:N11"/>
  </mergeCells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="60" zoomScaleNormal="100" workbookViewId="0">
      <selection activeCell="Q32" sqref="Q32"/>
    </sheetView>
  </sheetViews>
  <sheetFormatPr defaultRowHeight="15"/>
  <cols>
    <col min="1" max="1" width="21.28515625" customWidth="1"/>
    <col min="2" max="2" width="15.140625" customWidth="1"/>
    <col min="3" max="3" width="15.28515625" bestFit="1" customWidth="1"/>
    <col min="4" max="4" width="9.5703125" bestFit="1" customWidth="1"/>
    <col min="5" max="5" width="5.140625" customWidth="1"/>
    <col min="7" max="7" width="5.140625" customWidth="1"/>
    <col min="8" max="8" width="21.28515625" customWidth="1"/>
    <col min="9" max="9" width="16.85546875" customWidth="1"/>
    <col min="10" max="10" width="4.5703125" customWidth="1"/>
    <col min="11" max="11" width="9.140625" hidden="1" customWidth="1"/>
    <col min="12" max="12" width="20" customWidth="1"/>
    <col min="13" max="13" width="15.28515625" customWidth="1"/>
  </cols>
  <sheetData>
    <row r="1" spans="1:14">
      <c r="A1" s="580" t="s">
        <v>50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3" spans="1:14">
      <c r="A3" s="474" t="s">
        <v>51</v>
      </c>
      <c r="B3" s="474">
        <v>7.9000000000000001E-2</v>
      </c>
    </row>
    <row r="4" spans="1:14">
      <c r="A4" s="474" t="s">
        <v>52</v>
      </c>
      <c r="B4" s="474">
        <v>0.161</v>
      </c>
    </row>
    <row r="6" spans="1:14" s="10" customFormat="1">
      <c r="A6" s="475" t="s">
        <v>72</v>
      </c>
      <c r="B6" s="475" t="s">
        <v>73</v>
      </c>
      <c r="C6" s="475" t="s">
        <v>74</v>
      </c>
      <c r="D6" s="475" t="s">
        <v>75</v>
      </c>
      <c r="E6" s="475"/>
      <c r="F6" s="475" t="s">
        <v>80</v>
      </c>
      <c r="G6" s="475"/>
      <c r="H6" s="475" t="s">
        <v>76</v>
      </c>
      <c r="I6" s="475" t="s">
        <v>77</v>
      </c>
      <c r="J6" s="475"/>
      <c r="K6" s="475"/>
      <c r="L6" s="475" t="s">
        <v>78</v>
      </c>
      <c r="M6" s="475" t="s">
        <v>79</v>
      </c>
    </row>
    <row r="7" spans="1:14" ht="60">
      <c r="A7" s="528" t="s">
        <v>38</v>
      </c>
      <c r="B7" s="529" t="s">
        <v>65</v>
      </c>
      <c r="C7" s="530" t="s">
        <v>69</v>
      </c>
      <c r="D7" s="530" t="s">
        <v>66</v>
      </c>
      <c r="E7" s="528"/>
      <c r="F7" s="530" t="s">
        <v>67</v>
      </c>
      <c r="G7" s="528"/>
      <c r="H7" s="530" t="s">
        <v>83</v>
      </c>
      <c r="I7" s="530" t="s">
        <v>68</v>
      </c>
      <c r="J7" s="531"/>
      <c r="K7" s="530" t="s">
        <v>18</v>
      </c>
      <c r="L7" s="530" t="s">
        <v>70</v>
      </c>
      <c r="M7" s="530" t="s">
        <v>71</v>
      </c>
    </row>
    <row r="8" spans="1:14">
      <c r="A8" s="499" t="s">
        <v>53</v>
      </c>
      <c r="B8" s="503">
        <v>22267.816075268805</v>
      </c>
      <c r="C8" s="507">
        <v>45649933</v>
      </c>
      <c r="D8" s="510">
        <f t="shared" ref="D8:D19" si="0">C8/B8</f>
        <v>2050.0408682061984</v>
      </c>
      <c r="E8" s="479"/>
      <c r="F8" s="513">
        <f>'Residential Rate Comparison'!I46</f>
        <v>1.6082289710144068E-2</v>
      </c>
      <c r="G8" s="479"/>
      <c r="H8" s="516">
        <f>(F8*$B$3)*D8</f>
        <v>2.6045787416500614</v>
      </c>
      <c r="I8" s="519">
        <f>(H8*B8)/1000</f>
        <v>57.99828037261863</v>
      </c>
      <c r="J8" s="479"/>
      <c r="K8" s="479">
        <f t="shared" ref="K8:K19" si="1">(H8/D8)/F8</f>
        <v>7.9000000000000001E-2</v>
      </c>
      <c r="L8" s="523">
        <f t="shared" ref="L8:L19" si="2">(F8*$B$4)*D8</f>
        <v>5.3080655367805045</v>
      </c>
      <c r="M8" s="481">
        <f>(L8*B8)/1000</f>
        <v>118.19902708850125</v>
      </c>
    </row>
    <row r="9" spans="1:14">
      <c r="A9" s="12" t="s">
        <v>54</v>
      </c>
      <c r="B9" s="504">
        <v>20138.329354838683</v>
      </c>
      <c r="C9" s="508">
        <v>43270919</v>
      </c>
      <c r="D9" s="511">
        <f t="shared" si="0"/>
        <v>2148.6846419861135</v>
      </c>
      <c r="E9" s="483"/>
      <c r="F9" s="514">
        <f>'Residential Rate Comparison'!I47</f>
        <v>2.6087042610486066E-2</v>
      </c>
      <c r="G9" s="483"/>
      <c r="H9" s="517">
        <f t="shared" ref="H9:H19" si="3">(F9*$B$3)*D9</f>
        <v>4.4281733971471109</v>
      </c>
      <c r="I9" s="520">
        <f t="shared" ref="I9:I19" si="4">(H9*B9)/1000</f>
        <v>89.176014312083396</v>
      </c>
      <c r="J9" s="483"/>
      <c r="K9" s="483">
        <f t="shared" si="1"/>
        <v>7.9000000000000001E-2</v>
      </c>
      <c r="L9" s="524">
        <f t="shared" si="2"/>
        <v>9.0245052777301868</v>
      </c>
      <c r="M9" s="484">
        <f t="shared" ref="M9:M19" si="5">(L9*B9)/1000</f>
        <v>181.73845954741043</v>
      </c>
    </row>
    <row r="10" spans="1:14">
      <c r="A10" s="12" t="s">
        <v>55</v>
      </c>
      <c r="B10" s="504">
        <v>17810.524569892485</v>
      </c>
      <c r="C10" s="508">
        <v>40050471</v>
      </c>
      <c r="D10" s="511">
        <f t="shared" si="0"/>
        <v>2248.6968782324734</v>
      </c>
      <c r="E10" s="483"/>
      <c r="F10" s="514">
        <f>'Residential Rate Comparison'!I48</f>
        <v>3.5164492784410424E-2</v>
      </c>
      <c r="G10" s="483"/>
      <c r="H10" s="517">
        <f t="shared" si="3"/>
        <v>6.246868526765633</v>
      </c>
      <c r="I10" s="520">
        <f t="shared" si="4"/>
        <v>111.26000538084737</v>
      </c>
      <c r="J10" s="483"/>
      <c r="K10" s="483">
        <f t="shared" si="1"/>
        <v>7.9000000000000001E-2</v>
      </c>
      <c r="L10" s="524">
        <f t="shared" si="2"/>
        <v>12.730959908978061</v>
      </c>
      <c r="M10" s="484">
        <f t="shared" si="5"/>
        <v>226.74507425716993</v>
      </c>
    </row>
    <row r="11" spans="1:14">
      <c r="A11" s="12" t="s">
        <v>56</v>
      </c>
      <c r="B11" s="504">
        <v>16145.035591397842</v>
      </c>
      <c r="C11" s="508">
        <v>37930330</v>
      </c>
      <c r="D11" s="511">
        <f t="shared" si="0"/>
        <v>2349.3494198433032</v>
      </c>
      <c r="E11" s="483"/>
      <c r="F11" s="514">
        <f>'Residential Rate Comparison'!I49</f>
        <v>4.3437852470110477E-2</v>
      </c>
      <c r="G11" s="483"/>
      <c r="H11" s="517">
        <f t="shared" si="3"/>
        <v>8.0620047864915509</v>
      </c>
      <c r="I11" s="520">
        <f t="shared" si="4"/>
        <v>130.16135421592585</v>
      </c>
      <c r="J11" s="483"/>
      <c r="K11" s="483">
        <f t="shared" si="1"/>
        <v>7.9000000000000001E-2</v>
      </c>
      <c r="L11" s="524">
        <f t="shared" si="2"/>
        <v>16.430161653482781</v>
      </c>
      <c r="M11" s="484">
        <f t="shared" si="5"/>
        <v>265.26554466789952</v>
      </c>
    </row>
    <row r="12" spans="1:14">
      <c r="A12" s="12" t="s">
        <v>57</v>
      </c>
      <c r="B12" s="504">
        <v>13997.410483870957</v>
      </c>
      <c r="C12" s="508">
        <v>34273351</v>
      </c>
      <c r="D12" s="511">
        <f t="shared" si="0"/>
        <v>2448.5493970111656</v>
      </c>
      <c r="E12" s="483"/>
      <c r="F12" s="514">
        <f>'Residential Rate Comparison'!I50</f>
        <v>5.1009431150012816E-2</v>
      </c>
      <c r="G12" s="483"/>
      <c r="H12" s="517">
        <f t="shared" si="3"/>
        <v>9.8670298388554691</v>
      </c>
      <c r="I12" s="520">
        <f t="shared" si="4"/>
        <v>138.11286691106312</v>
      </c>
      <c r="J12" s="483"/>
      <c r="K12" s="483">
        <f t="shared" si="1"/>
        <v>7.8999999999999987E-2</v>
      </c>
      <c r="L12" s="524">
        <f t="shared" si="2"/>
        <v>20.108757013363679</v>
      </c>
      <c r="M12" s="484">
        <f t="shared" si="5"/>
        <v>281.47052623647039</v>
      </c>
    </row>
    <row r="13" spans="1:14">
      <c r="A13" s="12" t="s">
        <v>58</v>
      </c>
      <c r="B13" s="504">
        <v>13022.874462365591</v>
      </c>
      <c r="C13" s="508">
        <v>33193713</v>
      </c>
      <c r="D13" s="511">
        <f t="shared" si="0"/>
        <v>2548.8775996363552</v>
      </c>
      <c r="E13" s="483"/>
      <c r="F13" s="514">
        <f>'Residential Rate Comparison'!I51</f>
        <v>5.796488785000245E-2</v>
      </c>
      <c r="G13" s="483"/>
      <c r="H13" s="517">
        <f t="shared" si="3"/>
        <v>11.671886932298078</v>
      </c>
      <c r="I13" s="520">
        <f t="shared" si="4"/>
        <v>152.00151825824329</v>
      </c>
      <c r="J13" s="483"/>
      <c r="K13" s="483">
        <f t="shared" si="1"/>
        <v>7.9000000000000015E-2</v>
      </c>
      <c r="L13" s="524">
        <f t="shared" si="2"/>
        <v>23.787010077215072</v>
      </c>
      <c r="M13" s="484">
        <f t="shared" si="5"/>
        <v>309.77524607059712</v>
      </c>
    </row>
    <row r="14" spans="1:14">
      <c r="A14" s="12" t="s">
        <v>59</v>
      </c>
      <c r="B14" s="504">
        <v>11298.027741935486</v>
      </c>
      <c r="C14" s="508">
        <v>29920440</v>
      </c>
      <c r="D14" s="511">
        <f t="shared" si="0"/>
        <v>2648.2887706978026</v>
      </c>
      <c r="E14" s="483"/>
      <c r="F14" s="514">
        <f>'Residential Rate Comparison'!I52</f>
        <v>6.4376485955850285E-2</v>
      </c>
      <c r="G14" s="483"/>
      <c r="H14" s="517">
        <f t="shared" si="3"/>
        <v>13.468514463455186</v>
      </c>
      <c r="I14" s="520">
        <f t="shared" si="4"/>
        <v>152.16765005077602</v>
      </c>
      <c r="J14" s="483"/>
      <c r="K14" s="483">
        <f t="shared" si="1"/>
        <v>7.9000000000000001E-2</v>
      </c>
      <c r="L14" s="524">
        <f t="shared" si="2"/>
        <v>27.448491501471963</v>
      </c>
      <c r="M14" s="484">
        <f t="shared" si="5"/>
        <v>310.11381845791067</v>
      </c>
    </row>
    <row r="15" spans="1:14">
      <c r="A15" s="12" t="s">
        <v>60</v>
      </c>
      <c r="B15" s="504">
        <v>10262.06973118279</v>
      </c>
      <c r="C15" s="508">
        <v>28210880</v>
      </c>
      <c r="D15" s="511">
        <f t="shared" si="0"/>
        <v>2749.0438809119705</v>
      </c>
      <c r="E15" s="483"/>
      <c r="F15" s="514">
        <f>'Residential Rate Comparison'!I53</f>
        <v>7.0305613257804891E-2</v>
      </c>
      <c r="G15" s="483"/>
      <c r="H15" s="517">
        <f t="shared" si="3"/>
        <v>15.268584057690433</v>
      </c>
      <c r="I15" s="520">
        <f t="shared" si="4"/>
        <v>156.68727429644508</v>
      </c>
      <c r="J15" s="483"/>
      <c r="K15" s="483">
        <f t="shared" si="1"/>
        <v>7.9000000000000001E-2</v>
      </c>
      <c r="L15" s="524">
        <f t="shared" si="2"/>
        <v>31.11698776314126</v>
      </c>
      <c r="M15" s="484">
        <f t="shared" si="5"/>
        <v>319.32469824971719</v>
      </c>
    </row>
    <row r="16" spans="1:14">
      <c r="A16" s="12" t="s">
        <v>61</v>
      </c>
      <c r="B16" s="504">
        <v>9011.694623655907</v>
      </c>
      <c r="C16" s="508">
        <v>25665636</v>
      </c>
      <c r="D16" s="511">
        <f t="shared" si="0"/>
        <v>2848.0365871061713</v>
      </c>
      <c r="E16" s="483"/>
      <c r="F16" s="514">
        <f>'Residential Rate Comparison'!I54</f>
        <v>7.580475372596808E-2</v>
      </c>
      <c r="G16" s="483"/>
      <c r="H16" s="517">
        <f t="shared" si="3"/>
        <v>17.055682254962267</v>
      </c>
      <c r="I16" s="520">
        <f t="shared" si="4"/>
        <v>153.70060007982693</v>
      </c>
      <c r="J16" s="483"/>
      <c r="K16" s="483">
        <f t="shared" si="1"/>
        <v>7.9000000000000015E-2</v>
      </c>
      <c r="L16" s="524">
        <f t="shared" si="2"/>
        <v>34.759048646188923</v>
      </c>
      <c r="M16" s="484">
        <f t="shared" si="5"/>
        <v>313.23793180825487</v>
      </c>
    </row>
    <row r="17" spans="1:15">
      <c r="A17" s="12" t="s">
        <v>62</v>
      </c>
      <c r="B17" s="504">
        <v>8244.9665591397934</v>
      </c>
      <c r="C17" s="508">
        <v>24289074</v>
      </c>
      <c r="D17" s="511">
        <f t="shared" si="0"/>
        <v>2945.9275335780267</v>
      </c>
      <c r="E17" s="483"/>
      <c r="F17" s="514">
        <f>'Residential Rate Comparison'!I55</f>
        <v>8.0919045310673454E-2</v>
      </c>
      <c r="G17" s="483"/>
      <c r="H17" s="517">
        <f t="shared" si="3"/>
        <v>18.832149842153306</v>
      </c>
      <c r="I17" s="520">
        <f t="shared" si="4"/>
        <v>155.27044568526375</v>
      </c>
      <c r="J17" s="483"/>
      <c r="K17" s="483">
        <f t="shared" si="1"/>
        <v>7.9000000000000001E-2</v>
      </c>
      <c r="L17" s="524">
        <f t="shared" si="2"/>
        <v>38.379444615021292</v>
      </c>
      <c r="M17" s="484">
        <f t="shared" si="5"/>
        <v>316.43723740920836</v>
      </c>
    </row>
    <row r="18" spans="1:15">
      <c r="A18" s="12" t="s">
        <v>63</v>
      </c>
      <c r="B18" s="504">
        <v>29932.986989247493</v>
      </c>
      <c r="C18" s="508">
        <v>96457446</v>
      </c>
      <c r="D18" s="511">
        <f t="shared" si="0"/>
        <v>3222.4463944961249</v>
      </c>
      <c r="E18" s="483"/>
      <c r="F18" s="514">
        <f>AVERAGE('Residential Rate Comparison'!I56:I60)</f>
        <v>9.4061557348017313E-2</v>
      </c>
      <c r="G18" s="483"/>
      <c r="H18" s="517">
        <f t="shared" si="3"/>
        <v>23.945557780607899</v>
      </c>
      <c r="I18" s="520">
        <f t="shared" si="4"/>
        <v>716.76206949721029</v>
      </c>
      <c r="J18" s="483"/>
      <c r="K18" s="483">
        <f t="shared" si="1"/>
        <v>7.9000000000000001E-2</v>
      </c>
      <c r="L18" s="524">
        <f t="shared" si="2"/>
        <v>48.800440540226226</v>
      </c>
      <c r="M18" s="484">
        <f t="shared" si="5"/>
        <v>1460.7429517601374</v>
      </c>
    </row>
    <row r="19" spans="1:15">
      <c r="A19" s="438" t="s">
        <v>64</v>
      </c>
      <c r="B19" s="505">
        <v>40453.232795698917</v>
      </c>
      <c r="C19" s="509">
        <v>181926064</v>
      </c>
      <c r="D19" s="512">
        <f t="shared" si="0"/>
        <v>4497.1946968683997</v>
      </c>
      <c r="E19" s="485"/>
      <c r="F19" s="515">
        <f>AVERAGE('Residential Rate Comparison'!I61:I67)</f>
        <v>0.12144947088848371</v>
      </c>
      <c r="G19" s="485"/>
      <c r="H19" s="518">
        <f t="shared" si="3"/>
        <v>43.148371396955802</v>
      </c>
      <c r="I19" s="521">
        <f t="shared" si="4"/>
        <v>1745.4911128763297</v>
      </c>
      <c r="J19" s="485"/>
      <c r="K19" s="485">
        <f t="shared" si="1"/>
        <v>7.9000000000000001E-2</v>
      </c>
      <c r="L19" s="525">
        <f t="shared" si="2"/>
        <v>87.935288543163082</v>
      </c>
      <c r="M19" s="486">
        <f t="shared" si="5"/>
        <v>3557.2666983935319</v>
      </c>
    </row>
    <row r="20" spans="1:15">
      <c r="A20" s="487" t="s">
        <v>3</v>
      </c>
      <c r="B20" s="506">
        <f>SUM(B8:B19)</f>
        <v>212584.96897849475</v>
      </c>
      <c r="C20" s="488">
        <f>SUM(C8:C19)</f>
        <v>620838257</v>
      </c>
      <c r="D20" s="526"/>
      <c r="E20" s="489"/>
      <c r="F20" s="489"/>
      <c r="G20" s="489"/>
      <c r="H20" s="527"/>
      <c r="I20" s="522">
        <f>SUM(I8:I19)</f>
        <v>3758.7891919366334</v>
      </c>
      <c r="J20" s="490"/>
      <c r="K20" s="490"/>
      <c r="L20" s="493"/>
      <c r="M20" s="491">
        <f>SUM(M8:M19)</f>
        <v>7660.3172139468097</v>
      </c>
      <c r="N20">
        <f>Elasticity!M20/('Residential Rate Worksheet'!I11/1000)</f>
        <v>2.8964978098966206E-2</v>
      </c>
      <c r="O20" t="s">
        <v>358</v>
      </c>
    </row>
    <row r="21" spans="1:15">
      <c r="A21" s="478"/>
      <c r="B21" s="479"/>
      <c r="C21" s="479"/>
      <c r="D21" s="479"/>
      <c r="E21" s="479"/>
      <c r="F21" s="479"/>
      <c r="G21" s="479"/>
      <c r="H21" s="480"/>
      <c r="I21" s="479"/>
      <c r="J21" s="479"/>
      <c r="K21" s="479"/>
      <c r="L21" s="479"/>
      <c r="M21" s="492"/>
    </row>
    <row r="22" spans="1:15">
      <c r="A22" s="487" t="s">
        <v>85</v>
      </c>
      <c r="B22" s="574">
        <v>1619854622</v>
      </c>
      <c r="C22" s="485"/>
      <c r="D22" s="485"/>
      <c r="E22" s="485"/>
      <c r="F22" s="485"/>
      <c r="G22" s="485"/>
      <c r="H22" s="487" t="s">
        <v>84</v>
      </c>
      <c r="I22" s="572">
        <f>(I20*1000)/B22</f>
        <v>2.320448477836694E-3</v>
      </c>
      <c r="J22" s="490"/>
      <c r="K22" s="490"/>
      <c r="L22" s="490"/>
      <c r="M22" s="573">
        <f>(M20*1000)/B22</f>
        <v>4.729015252300098E-3</v>
      </c>
    </row>
  </sheetData>
  <mergeCells count="1">
    <mergeCell ref="A1:N1"/>
  </mergeCells>
  <pageMargins left="0.7" right="0.7" top="0.75" bottom="0.75" header="0.3" footer="0.3"/>
  <pageSetup scale="77" orientation="landscape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view="pageBreakPreview" zoomScale="60" zoomScaleNormal="100" workbookViewId="0">
      <selection activeCell="Q33" sqref="Q33"/>
    </sheetView>
  </sheetViews>
  <sheetFormatPr defaultRowHeight="15"/>
  <cols>
    <col min="1" max="1" width="22.28515625" customWidth="1"/>
    <col min="2" max="2" width="4.140625" customWidth="1"/>
    <col min="3" max="3" width="16.28515625" bestFit="1" customWidth="1"/>
    <col min="4" max="4" width="3.140625" customWidth="1"/>
    <col min="5" max="5" width="16.28515625" bestFit="1" customWidth="1"/>
    <col min="6" max="6" width="2.85546875" customWidth="1"/>
    <col min="7" max="7" width="16.28515625" bestFit="1" customWidth="1"/>
    <col min="8" max="8" width="19.140625" customWidth="1"/>
    <col min="11" max="11" width="12.85546875" customWidth="1"/>
    <col min="13" max="13" width="14.42578125" customWidth="1"/>
    <col min="15" max="15" width="21.7109375" customWidth="1"/>
    <col min="16" max="16" width="21.42578125" bestFit="1" customWidth="1"/>
    <col min="17" max="17" width="20.7109375" customWidth="1"/>
    <col min="18" max="18" width="20.28515625" customWidth="1"/>
  </cols>
  <sheetData>
    <row r="1" spans="1:22" ht="28.5" customHeight="1">
      <c r="A1" s="496" t="s">
        <v>360</v>
      </c>
      <c r="C1" s="615" t="s">
        <v>359</v>
      </c>
      <c r="D1" s="615"/>
      <c r="E1" s="615"/>
      <c r="F1" s="615"/>
      <c r="G1" s="615"/>
      <c r="I1" s="585"/>
      <c r="J1" s="585"/>
      <c r="K1" s="585"/>
      <c r="L1" s="585"/>
      <c r="M1" s="585"/>
      <c r="O1" s="2"/>
      <c r="Q1" s="2"/>
    </row>
    <row r="2" spans="1:22" ht="34.5" customHeight="1">
      <c r="C2" s="476" t="s">
        <v>15</v>
      </c>
      <c r="D2" s="493"/>
      <c r="E2" s="477" t="s">
        <v>16</v>
      </c>
      <c r="F2" s="474"/>
      <c r="G2" s="477" t="s">
        <v>17</v>
      </c>
      <c r="H2" s="561"/>
      <c r="I2" s="532"/>
      <c r="J2" s="532"/>
      <c r="K2" s="532"/>
      <c r="L2" s="532"/>
      <c r="M2" s="532"/>
      <c r="O2" s="2"/>
      <c r="P2" s="501"/>
      <c r="Q2" s="500"/>
      <c r="R2" s="502"/>
      <c r="V2" s="2"/>
    </row>
    <row r="3" spans="1:22">
      <c r="A3" s="499" t="s">
        <v>11</v>
      </c>
      <c r="B3" s="492"/>
      <c r="C3" s="495">
        <f>ROUND(('Residential Rate Worksheet'!I8*7.75)/'Revenue Stability'!C12, 4)</f>
        <v>6.9400000000000003E-2</v>
      </c>
      <c r="D3" s="479"/>
      <c r="E3" s="495">
        <f>ROUND(('Residential Rate Worksheet'!I8*14)/E12, 4)</f>
        <v>0.1145</v>
      </c>
      <c r="F3" s="479"/>
      <c r="G3" s="495">
        <f>ROUND(('Residential Rate Worksheet'!M8*'Residential Rate Worksheet'!I8)/'Revenue Stability'!G12, 4)</f>
        <v>0.1123</v>
      </c>
      <c r="I3" s="4"/>
      <c r="J3" s="4"/>
      <c r="K3" s="4"/>
      <c r="L3" s="4"/>
      <c r="M3" s="4"/>
      <c r="O3" s="1"/>
      <c r="P3" s="468"/>
      <c r="Q3" s="500"/>
      <c r="R3" s="468"/>
      <c r="S3" s="75"/>
      <c r="U3" s="75"/>
      <c r="V3" s="1"/>
    </row>
    <row r="4" spans="1:22">
      <c r="A4" s="12" t="s">
        <v>12</v>
      </c>
      <c r="B4" s="497"/>
      <c r="C4" s="494">
        <f>ROUND((673194199*0.06199)/C12, 4)</f>
        <v>0.2979</v>
      </c>
      <c r="D4" s="483"/>
      <c r="E4" s="494">
        <f>ROUND((673194199*0.06503)/E12, 4)</f>
        <v>0.28539999999999999</v>
      </c>
      <c r="F4" s="483"/>
      <c r="G4" s="494">
        <f>ROUND(('Residential Rate Worksheet'!M9*'Residential Rate Worksheet'!I9)/'Revenue Stability'!G12, 4)</f>
        <v>0.37969999999999998</v>
      </c>
      <c r="I4" s="4"/>
      <c r="J4" s="4"/>
      <c r="K4" s="4"/>
      <c r="L4" s="4"/>
      <c r="M4" s="4"/>
      <c r="P4" s="468"/>
      <c r="Q4" s="500"/>
      <c r="R4" s="468"/>
    </row>
    <row r="5" spans="1:22">
      <c r="A5" s="12" t="s">
        <v>362</v>
      </c>
      <c r="B5" s="497"/>
      <c r="C5" s="547">
        <f>C3+C4</f>
        <v>0.36730000000000002</v>
      </c>
      <c r="D5" s="548"/>
      <c r="E5" s="547">
        <f>E3+E4</f>
        <v>0.39989999999999998</v>
      </c>
      <c r="F5" s="548"/>
      <c r="G5" s="547">
        <f>G3+G4</f>
        <v>0.49199999999999999</v>
      </c>
      <c r="I5" s="4"/>
      <c r="J5" s="4"/>
      <c r="K5" s="4"/>
      <c r="L5" s="4"/>
      <c r="M5" s="4"/>
      <c r="P5" s="468"/>
      <c r="Q5" s="500"/>
      <c r="R5" s="468"/>
    </row>
    <row r="6" spans="1:22">
      <c r="A6" s="12"/>
      <c r="B6" s="497"/>
      <c r="C6" s="547"/>
      <c r="D6" s="548"/>
      <c r="E6" s="547"/>
      <c r="F6" s="548"/>
      <c r="G6" s="547"/>
      <c r="I6" s="4"/>
      <c r="J6" s="4"/>
      <c r="K6" s="4"/>
      <c r="L6" s="4"/>
      <c r="M6" s="4"/>
      <c r="P6" s="468"/>
      <c r="Q6" s="500"/>
      <c r="R6" s="468"/>
    </row>
    <row r="7" spans="1:22">
      <c r="A7" s="12" t="s">
        <v>13</v>
      </c>
      <c r="B7" s="497"/>
      <c r="C7" s="494">
        <f>ROUND((905507102*0.09817)/C12, 4)</f>
        <v>0.63460000000000005</v>
      </c>
      <c r="D7" s="483"/>
      <c r="E7" s="494">
        <f>ROUND((905507102*0.10224)/E12, 4)</f>
        <v>0.60350000000000004</v>
      </c>
      <c r="F7" s="483"/>
      <c r="G7" s="494">
        <f>ROUND(('Residential Rate Worksheet'!M10*'Residential Rate Worksheet'!I10)/'Revenue Stability'!G12, 4)</f>
        <v>0.29120000000000001</v>
      </c>
      <c r="I7" s="4"/>
      <c r="J7" s="4"/>
      <c r="K7" s="4"/>
      <c r="L7" s="4"/>
      <c r="M7" s="4"/>
      <c r="P7" s="468"/>
      <c r="Q7" s="500"/>
      <c r="R7" s="468"/>
    </row>
    <row r="8" spans="1:22">
      <c r="A8" s="438" t="s">
        <v>14</v>
      </c>
      <c r="B8" s="498"/>
      <c r="C8" s="438"/>
      <c r="D8" s="485"/>
      <c r="E8" s="438"/>
      <c r="F8" s="485"/>
      <c r="G8" s="533">
        <f>ROUND(('Residential Rate Worksheet'!M11*'Residential Rate Worksheet'!I11)/'Revenue Stability'!G12, 4)</f>
        <v>0.21859999999999999</v>
      </c>
      <c r="I8" s="4"/>
      <c r="J8" s="4"/>
      <c r="K8" s="4"/>
      <c r="L8" s="4"/>
      <c r="M8" s="4"/>
      <c r="P8" s="468"/>
      <c r="Q8" s="500"/>
      <c r="R8" s="468"/>
    </row>
    <row r="9" spans="1:22">
      <c r="A9" s="490"/>
      <c r="B9" s="490"/>
      <c r="C9" s="483"/>
      <c r="D9" s="490"/>
      <c r="E9" s="483"/>
      <c r="F9" s="490"/>
      <c r="G9" s="497"/>
      <c r="I9" s="4"/>
      <c r="J9" s="4"/>
      <c r="K9" s="4"/>
      <c r="L9" s="4"/>
      <c r="M9" s="4"/>
      <c r="P9" s="468"/>
      <c r="Q9" s="500"/>
      <c r="R9" s="468"/>
    </row>
    <row r="10" spans="1:22">
      <c r="A10" s="474" t="s">
        <v>18</v>
      </c>
      <c r="B10" s="493"/>
      <c r="C10" s="534">
        <f>SUM(C3:C7)</f>
        <v>1.3692000000000002</v>
      </c>
      <c r="D10" s="490"/>
      <c r="E10" s="534">
        <f>SUM(E3:E7)</f>
        <v>1.4033</v>
      </c>
      <c r="F10" s="490"/>
      <c r="G10" s="534">
        <f>SUM(G3:G8)</f>
        <v>1.4937999999999998</v>
      </c>
      <c r="I10" s="4"/>
      <c r="J10" s="4"/>
      <c r="K10" s="4"/>
      <c r="L10" s="4"/>
      <c r="M10" s="4"/>
      <c r="P10" s="468"/>
      <c r="Q10" s="500"/>
      <c r="R10" s="468"/>
    </row>
    <row r="11" spans="1:22">
      <c r="A11" s="482"/>
      <c r="B11" s="490"/>
      <c r="C11" s="483"/>
      <c r="D11" s="490"/>
      <c r="E11" s="483"/>
      <c r="F11" s="490"/>
      <c r="G11" s="497"/>
      <c r="I11" s="4"/>
      <c r="J11" s="4"/>
      <c r="K11" s="4"/>
      <c r="L11" s="4"/>
      <c r="M11" s="4"/>
      <c r="P11" s="468"/>
      <c r="Q11" s="500"/>
      <c r="R11" s="468"/>
    </row>
    <row r="12" spans="1:22">
      <c r="A12" s="474" t="s">
        <v>0</v>
      </c>
      <c r="B12" s="493"/>
      <c r="C12" s="535">
        <v>140088119</v>
      </c>
      <c r="D12" s="490"/>
      <c r="E12" s="535">
        <v>153403855</v>
      </c>
      <c r="F12" s="490"/>
      <c r="G12" s="536">
        <f>'Residential Rate Worksheet'!P4</f>
        <v>145160675.93982399</v>
      </c>
      <c r="I12" s="4"/>
      <c r="J12" s="4"/>
      <c r="K12" s="4"/>
      <c r="L12" s="4"/>
      <c r="M12" s="4"/>
      <c r="P12" s="468"/>
      <c r="Q12" s="500"/>
      <c r="R12" s="468"/>
    </row>
    <row r="16" spans="1:22">
      <c r="A16" s="2"/>
      <c r="C16" s="2"/>
    </row>
    <row r="17" spans="1:3">
      <c r="A17" s="1"/>
      <c r="C17" s="1"/>
    </row>
    <row r="18" spans="1:3">
      <c r="A18" s="1"/>
      <c r="C18" s="1"/>
    </row>
    <row r="19" spans="1:3">
      <c r="A19" s="1"/>
      <c r="C19" s="1"/>
    </row>
  </sheetData>
  <mergeCells count="2">
    <mergeCell ref="C1:G1"/>
    <mergeCell ref="I1:M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view="pageBreakPreview" zoomScale="60" zoomScaleNormal="100" workbookViewId="0"/>
  </sheetViews>
  <sheetFormatPr defaultRowHeight="15"/>
  <cols>
    <col min="1" max="1" width="22.28515625" bestFit="1" customWidth="1"/>
    <col min="2" max="2" width="12.7109375" customWidth="1"/>
    <col min="3" max="3" width="12.5703125" customWidth="1"/>
    <col min="4" max="4" width="20.85546875" bestFit="1" customWidth="1"/>
    <col min="5" max="5" width="15.5703125" customWidth="1"/>
    <col min="6" max="6" width="14" customWidth="1"/>
    <col min="7" max="7" width="15.28515625" customWidth="1"/>
    <col min="8" max="8" width="10" bestFit="1" customWidth="1"/>
    <col min="9" max="9" width="13" customWidth="1"/>
    <col min="10" max="10" width="7" customWidth="1"/>
    <col min="11" max="11" width="11.85546875" hidden="1" customWidth="1"/>
    <col min="12" max="12" width="0" hidden="1" customWidth="1"/>
    <col min="13" max="13" width="19.140625" customWidth="1"/>
    <col min="14" max="15" width="9.140625" customWidth="1"/>
    <col min="16" max="16" width="16.28515625" bestFit="1" customWidth="1"/>
    <col min="17" max="17" width="8.28515625" customWidth="1"/>
  </cols>
  <sheetData>
    <row r="1" spans="1:20">
      <c r="A1" s="496" t="s">
        <v>370</v>
      </c>
      <c r="M1" s="537" t="s">
        <v>352</v>
      </c>
    </row>
    <row r="2" spans="1:20">
      <c r="M2" s="570">
        <f>'[1]Summary Table'!$S$54</f>
        <v>0.95377539539730727</v>
      </c>
    </row>
    <row r="3" spans="1:20" ht="30" customHeight="1">
      <c r="A3" s="531" t="s">
        <v>0</v>
      </c>
      <c r="B3" s="568" t="s">
        <v>81</v>
      </c>
      <c r="C3" s="569" t="s">
        <v>82</v>
      </c>
      <c r="D3" s="475" t="s">
        <v>1</v>
      </c>
      <c r="E3" s="569" t="s">
        <v>10</v>
      </c>
      <c r="F3" s="475" t="s">
        <v>9</v>
      </c>
      <c r="G3" s="475"/>
      <c r="H3" s="475" t="s">
        <v>8</v>
      </c>
      <c r="I3" s="569" t="s">
        <v>367</v>
      </c>
      <c r="P3" s="561" t="s">
        <v>0</v>
      </c>
    </row>
    <row r="4" spans="1:20">
      <c r="A4" s="499"/>
      <c r="B4" s="549">
        <f>'[1]Unit Costs-target'!$D$33</f>
        <v>40043134.709343404</v>
      </c>
      <c r="C4" s="551">
        <f>'[1]Unit Costs-target'!$D$39</f>
        <v>49528687.083347321</v>
      </c>
      <c r="D4" s="549">
        <f>'[1]Summary Table'!$I$54</f>
        <v>23289824.359387986</v>
      </c>
      <c r="E4" s="551">
        <f>'[1]Distribution Summary'!$F$68-I4</f>
        <v>19806932.600183714</v>
      </c>
      <c r="F4" s="553">
        <f>'[1]Summary Table'!$L$54</f>
        <v>2920152.8740602974</v>
      </c>
      <c r="G4" s="479"/>
      <c r="H4" s="553">
        <f>'[1]Summary Table'!$K$54</f>
        <v>5561170.7472939258</v>
      </c>
      <c r="I4" s="552">
        <f>'[1]Unit Costs-target'!$D$121+'[1]Unit Costs-target'!$D$122+'[1]Unit Costs-target'!$D$127</f>
        <v>11045967.471983049</v>
      </c>
      <c r="K4" s="1">
        <f>SUM(B4:I4)</f>
        <v>152195869.84559968</v>
      </c>
      <c r="P4" s="81">
        <f>'[1]Summary Table'!$R$54</f>
        <v>145160675.93982399</v>
      </c>
    </row>
    <row r="5" spans="1:20" ht="30">
      <c r="A5" s="557" t="s">
        <v>351</v>
      </c>
      <c r="B5" s="554">
        <f>B$4*$M$2</f>
        <v>38192156.640351646</v>
      </c>
      <c r="C5" s="555">
        <f t="shared" ref="C5:I5" si="0">C$4*$M$2</f>
        <v>47239243.106429093</v>
      </c>
      <c r="D5" s="554">
        <f t="shared" si="0"/>
        <v>22213261.437109116</v>
      </c>
      <c r="E5" s="555">
        <f t="shared" si="0"/>
        <v>18891364.972348038</v>
      </c>
      <c r="F5" s="554">
        <f t="shared" si="0"/>
        <v>2785169.9620774435</v>
      </c>
      <c r="G5" s="555"/>
      <c r="H5" s="554">
        <f t="shared" si="0"/>
        <v>5304107.8283722028</v>
      </c>
      <c r="I5" s="556">
        <f t="shared" si="0"/>
        <v>10535371.993136426</v>
      </c>
      <c r="J5" s="1"/>
      <c r="K5" s="1"/>
      <c r="P5" s="81"/>
    </row>
    <row r="6" spans="1:20">
      <c r="A6" s="12"/>
      <c r="B6" s="12"/>
      <c r="C6" s="483"/>
      <c r="D6" s="12"/>
      <c r="E6" s="483"/>
      <c r="F6" s="12"/>
      <c r="G6" s="483"/>
      <c r="H6" s="482"/>
      <c r="I6" s="479"/>
      <c r="P6" s="81">
        <f>P4-'Rates by Class'!L94-'Rates by Class'!L90-'Rates by Class'!L91-'Rates by Class'!L92</f>
        <v>145428135.12373585</v>
      </c>
      <c r="Q6" t="s">
        <v>350</v>
      </c>
    </row>
    <row r="7" spans="1:20">
      <c r="A7" s="559" t="s">
        <v>365</v>
      </c>
      <c r="B7" s="499"/>
      <c r="C7" s="479"/>
      <c r="D7" s="499"/>
      <c r="E7" s="479"/>
      <c r="F7" s="499"/>
      <c r="G7" s="560" t="s">
        <v>363</v>
      </c>
      <c r="H7" s="482"/>
      <c r="I7" s="558" t="s">
        <v>6</v>
      </c>
      <c r="M7" s="537" t="s">
        <v>369</v>
      </c>
      <c r="N7" s="537"/>
      <c r="O7" s="537"/>
      <c r="P7" s="537" t="s">
        <v>335</v>
      </c>
    </row>
    <row r="8" spans="1:20">
      <c r="A8" s="12" t="s">
        <v>7</v>
      </c>
      <c r="B8" s="12"/>
      <c r="C8" s="483"/>
      <c r="D8" s="12"/>
      <c r="E8" s="483"/>
      <c r="F8" s="12"/>
      <c r="G8" s="497">
        <f>ROUND((H4+I4)/I8, 2)</f>
        <v>13.24</v>
      </c>
      <c r="H8" s="482"/>
      <c r="I8" s="483">
        <v>1254495</v>
      </c>
      <c r="K8">
        <f>G8*I8</f>
        <v>16609513.800000001</v>
      </c>
      <c r="M8">
        <v>13</v>
      </c>
      <c r="P8" s="81">
        <f>M8*I8</f>
        <v>16308435</v>
      </c>
      <c r="R8">
        <v>1202807</v>
      </c>
      <c r="S8">
        <v>13.2</v>
      </c>
      <c r="T8">
        <f>R8*S8</f>
        <v>15877052.399999999</v>
      </c>
    </row>
    <row r="9" spans="1:20">
      <c r="A9" s="474" t="s">
        <v>2</v>
      </c>
      <c r="B9" s="474">
        <f>ROUND(($B$4/3)/I9, 5)</f>
        <v>1.567E-2</v>
      </c>
      <c r="C9" s="490"/>
      <c r="D9" s="474">
        <f>ROUND(D4/I9, 5)</f>
        <v>2.7349999999999999E-2</v>
      </c>
      <c r="E9" s="490">
        <f>ROUND(E4/I9,5)</f>
        <v>2.3259999999999999E-2</v>
      </c>
      <c r="F9" s="474">
        <f>ROUND(($F$4/3)/I9, 5)</f>
        <v>1.14E-3</v>
      </c>
      <c r="G9" s="493">
        <f>SUM(B9:F9)</f>
        <v>6.7420000000000008E-2</v>
      </c>
      <c r="H9" s="482"/>
      <c r="I9" s="483">
        <v>851679450</v>
      </c>
      <c r="K9">
        <f t="shared" ref="K9:K11" si="1">G9*I9</f>
        <v>57420228.519000009</v>
      </c>
      <c r="M9" s="80">
        <f>ROUND((G9*N9),5)</f>
        <v>6.472E-2</v>
      </c>
      <c r="N9">
        <v>0.96</v>
      </c>
      <c r="P9" s="81">
        <f>M9*I9</f>
        <v>55120694.004000001</v>
      </c>
      <c r="R9">
        <v>50454</v>
      </c>
      <c r="S9">
        <v>8.5500000000000007</v>
      </c>
      <c r="T9">
        <f>R9*S9</f>
        <v>431381.7</v>
      </c>
    </row>
    <row r="10" spans="1:20">
      <c r="A10" s="12" t="s">
        <v>4</v>
      </c>
      <c r="B10" s="550">
        <f t="shared" ref="B10:B11" si="2">ROUND(($B$4/3)/I10, 5)</f>
        <v>2.895E-2</v>
      </c>
      <c r="C10" s="483">
        <f>ROUND((C4*0.6)/I10, 5)</f>
        <v>6.4460000000000003E-2</v>
      </c>
      <c r="D10" s="12"/>
      <c r="E10" s="483"/>
      <c r="F10" s="12">
        <f t="shared" ref="F10:F11" si="3">ROUND(($F$4/3)/I10, 5)</f>
        <v>2.1099999999999999E-3</v>
      </c>
      <c r="G10" s="497">
        <f>SUM(B10:F10)</f>
        <v>9.5520000000000008E-2</v>
      </c>
      <c r="H10" s="482"/>
      <c r="I10" s="483">
        <v>461007328</v>
      </c>
      <c r="K10">
        <f t="shared" si="1"/>
        <v>44035419.970560007</v>
      </c>
      <c r="M10">
        <f>ROUND((G10*N10),5)</f>
        <v>9.1700000000000004E-2</v>
      </c>
      <c r="N10">
        <v>0.96</v>
      </c>
      <c r="O10">
        <f>M10-M9</f>
        <v>2.6980000000000004E-2</v>
      </c>
      <c r="P10" s="81">
        <f t="shared" ref="P10:P11" si="4">M10*I10</f>
        <v>42274371.977600001</v>
      </c>
      <c r="T10">
        <f>SUM(T8:T9)</f>
        <v>16308434.099999998</v>
      </c>
    </row>
    <row r="11" spans="1:20">
      <c r="A11" s="474" t="s">
        <v>5</v>
      </c>
      <c r="B11" s="474">
        <f t="shared" si="2"/>
        <v>5.0470000000000001E-2</v>
      </c>
      <c r="C11" s="490">
        <f>ROUND((C4*0.4)/I11, 5)</f>
        <v>7.4910000000000004E-2</v>
      </c>
      <c r="D11" s="474"/>
      <c r="E11" s="490"/>
      <c r="F11" s="474">
        <f t="shared" si="3"/>
        <v>3.6800000000000001E-3</v>
      </c>
      <c r="G11" s="493">
        <f>SUM(B11:F11)</f>
        <v>0.12905999999999998</v>
      </c>
      <c r="H11" s="482"/>
      <c r="I11" s="483">
        <v>264468255</v>
      </c>
      <c r="K11">
        <f t="shared" si="1"/>
        <v>34132272.990299992</v>
      </c>
      <c r="M11">
        <f>ROUND((P6-P8-P9-P10)/I11, 5)</f>
        <v>0.11996</v>
      </c>
      <c r="N11" s="72">
        <f>M11/G11</f>
        <v>0.92949015961568271</v>
      </c>
      <c r="O11">
        <f>M11-M10</f>
        <v>2.8259999999999993E-2</v>
      </c>
      <c r="P11" s="81">
        <f t="shared" si="4"/>
        <v>31725611.869799998</v>
      </c>
      <c r="T11" s="1">
        <f>P8-T10</f>
        <v>0.90000000223517418</v>
      </c>
    </row>
    <row r="12" spans="1:20">
      <c r="A12" s="478"/>
      <c r="B12" s="499"/>
      <c r="C12" s="479"/>
      <c r="D12" s="499"/>
      <c r="E12" s="479"/>
      <c r="F12" s="499"/>
      <c r="G12" s="492"/>
    </row>
    <row r="13" spans="1:20">
      <c r="A13" s="562" t="s">
        <v>366</v>
      </c>
      <c r="B13" s="12"/>
      <c r="C13" s="483"/>
      <c r="D13" s="12"/>
      <c r="E13" s="483"/>
      <c r="F13" s="12"/>
      <c r="G13" s="497"/>
      <c r="I13">
        <f>SUM(I9:I11)</f>
        <v>1577155033</v>
      </c>
      <c r="K13">
        <f>SUM(K8:K11)</f>
        <v>152197435.27986002</v>
      </c>
      <c r="M13" t="s">
        <v>3</v>
      </c>
      <c r="P13" s="81">
        <f>SUM(P8:P11)</f>
        <v>145429112.85140002</v>
      </c>
    </row>
    <row r="14" spans="1:20">
      <c r="A14" s="487" t="s">
        <v>2</v>
      </c>
      <c r="B14" s="565">
        <f>B9*N9</f>
        <v>1.50432E-2</v>
      </c>
      <c r="C14" s="566"/>
      <c r="D14" s="565">
        <f>D9*N9</f>
        <v>2.6255999999999998E-2</v>
      </c>
      <c r="E14" s="566">
        <f>E9*N9</f>
        <v>2.2329599999999998E-2</v>
      </c>
      <c r="F14" s="565">
        <f>F9*N9</f>
        <v>1.0943999999999999E-3</v>
      </c>
      <c r="G14" s="493">
        <f>ROUND(SUM(B14:F14),5)</f>
        <v>6.472E-2</v>
      </c>
    </row>
    <row r="15" spans="1:20">
      <c r="A15" s="482" t="s">
        <v>4</v>
      </c>
      <c r="B15" s="564">
        <f>B10*N10</f>
        <v>2.7792000000000001E-2</v>
      </c>
      <c r="C15" s="563">
        <f>C10*N10</f>
        <v>6.1881600000000002E-2</v>
      </c>
      <c r="D15" s="564"/>
      <c r="E15" s="563"/>
      <c r="F15" s="564">
        <f>F10*N10</f>
        <v>2.0255999999999998E-3</v>
      </c>
      <c r="G15" s="497">
        <f t="shared" ref="G15:G16" si="5">ROUND(SUM(B15:F15),5)</f>
        <v>9.1700000000000004E-2</v>
      </c>
      <c r="M15" t="s">
        <v>18</v>
      </c>
      <c r="P15" s="468">
        <f>P6-P13</f>
        <v>-977.72766417264938</v>
      </c>
    </row>
    <row r="16" spans="1:20">
      <c r="A16" s="487" t="s">
        <v>5</v>
      </c>
      <c r="B16" s="565">
        <f>B11*N11</f>
        <v>4.6911368355803507E-2</v>
      </c>
      <c r="C16" s="566">
        <f>C11*N11</f>
        <v>6.9628107856810798E-2</v>
      </c>
      <c r="D16" s="565"/>
      <c r="E16" s="566"/>
      <c r="F16" s="565">
        <f>F11*N11</f>
        <v>3.4205237873857126E-3</v>
      </c>
      <c r="G16" s="493">
        <f t="shared" si="5"/>
        <v>0.11996</v>
      </c>
      <c r="J16" s="3"/>
    </row>
    <row r="18" spans="1:6" hidden="1">
      <c r="A18" t="s">
        <v>326</v>
      </c>
    </row>
    <row r="19" spans="1:6" hidden="1">
      <c r="A19" t="s">
        <v>2</v>
      </c>
      <c r="B19" s="80">
        <f>B14+F14</f>
        <v>1.6137599999999998E-2</v>
      </c>
    </row>
    <row r="20" spans="1:6" hidden="1">
      <c r="A20" t="s">
        <v>4</v>
      </c>
      <c r="B20" s="80">
        <f>SUM(B15:F15)</f>
        <v>9.1699200000000008E-2</v>
      </c>
    </row>
    <row r="21" spans="1:6" hidden="1">
      <c r="A21" t="s">
        <v>5</v>
      </c>
      <c r="B21" s="80">
        <f>SUM(B16:F16)</f>
        <v>0.11996000000000001</v>
      </c>
      <c r="D21" s="567"/>
    </row>
    <row r="22" spans="1:6" hidden="1">
      <c r="E22" s="567"/>
    </row>
    <row r="23" spans="1:6">
      <c r="A23" s="531" t="s">
        <v>364</v>
      </c>
      <c r="B23" s="474"/>
    </row>
    <row r="24" spans="1:6">
      <c r="A24" s="474" t="s">
        <v>11</v>
      </c>
      <c r="B24" s="544">
        <f>(M8*I8)/D25</f>
        <v>0.16654612303056715</v>
      </c>
    </row>
    <row r="25" spans="1:6">
      <c r="A25" s="474" t="s">
        <v>2</v>
      </c>
      <c r="B25" s="544">
        <f>(G14*I9)/D25</f>
        <v>0.56290734734022174</v>
      </c>
      <c r="D25" s="571">
        <f>B5+D5+E5+F5+H5+I5</f>
        <v>97921432.83339487</v>
      </c>
      <c r="E25" s="493" t="s">
        <v>368</v>
      </c>
      <c r="F25" s="80"/>
    </row>
    <row r="26" spans="1:6">
      <c r="A26" s="474" t="s">
        <v>4</v>
      </c>
      <c r="B26" s="544">
        <f>((G15-C15)*I10)/D25</f>
        <v>0.14038296327448274</v>
      </c>
      <c r="D26" s="1"/>
    </row>
    <row r="27" spans="1:6">
      <c r="A27" s="474" t="s">
        <v>5</v>
      </c>
      <c r="B27" s="544">
        <f>((G16-C16)*I11)/D25</f>
        <v>0.13593742759672778</v>
      </c>
    </row>
    <row r="28" spans="1:6">
      <c r="A28" s="474"/>
      <c r="B28" s="544">
        <f>SUM(B24:B27)</f>
        <v>1.0057738612419995</v>
      </c>
    </row>
  </sheetData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2014-10-10T20:48:53+00:00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4C30243-93CA-4B42-9C4A-0732F19D83BF}"/>
</file>

<file path=customXml/itemProps2.xml><?xml version="1.0" encoding="utf-8"?>
<ds:datastoreItem xmlns:ds="http://schemas.openxmlformats.org/officeDocument/2006/customXml" ds:itemID="{F54D546A-E36B-4A55-A7FF-2FA923EEB1B8}"/>
</file>

<file path=customXml/itemProps3.xml><?xml version="1.0" encoding="utf-8"?>
<ds:datastoreItem xmlns:ds="http://schemas.openxmlformats.org/officeDocument/2006/customXml" ds:itemID="{D12C6805-3B4E-46A9-8AD0-6225D99348FF}"/>
</file>

<file path=customXml/itemProps4.xml><?xml version="1.0" encoding="utf-8"?>
<ds:datastoreItem xmlns:ds="http://schemas.openxmlformats.org/officeDocument/2006/customXml" ds:itemID="{1253C82A-D726-44D3-AE81-2877710678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Rates by Class</vt:lpstr>
      <vt:lpstr>Unbundled</vt:lpstr>
      <vt:lpstr>Residential Rate Comparison</vt:lpstr>
      <vt:lpstr>Elasticity</vt:lpstr>
      <vt:lpstr>Revenue Stability</vt:lpstr>
      <vt:lpstr>Residential Rate Worksheet</vt:lpstr>
      <vt:lpstr>Elasticity!Print_Area</vt:lpstr>
      <vt:lpstr>'Rates by Class'!Print_Area</vt:lpstr>
      <vt:lpstr>'Residential Rate Comparison'!Print_Area</vt:lpstr>
      <vt:lpstr>'Revenue Stability'!Print_Area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 Design and Support</dc:title>
  <dc:creator>Twitch</dc:creator>
  <cp:lastModifiedBy>Jeremy Twitchell</cp:lastModifiedBy>
  <cp:lastPrinted>2014-10-09T23:18:27Z</cp:lastPrinted>
  <dcterms:created xsi:type="dcterms:W3CDTF">2014-09-24T06:43:55Z</dcterms:created>
  <dcterms:modified xsi:type="dcterms:W3CDTF">2014-10-09T23:18:32Z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