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https://stateofwa-my.sharepoint.com/personal/betty_erdahl_utc_wa_gov/Documents/DATA/PSE/2022 GRC 220066-220067/230393 Tacoma LNG/Bench Requests/"/>
    </mc:Choice>
  </mc:AlternateContent>
  <xr:revisionPtr revIDLastSave="46" documentId="8_{8E790FC9-E8A8-4A9C-A86D-B14C4AB9ADED}" xr6:coauthVersionLast="47" xr6:coauthVersionMax="47" xr10:uidLastSave="{B1025D66-2531-4E4C-BE3E-DF18454D2CC8}"/>
  <bookViews>
    <workbookView xWindow="57480" yWindow="-120" windowWidth="29040" windowHeight="17640" tabRatio="850" firstSheet="2" activeTab="4" xr2:uid="{00000000-000D-0000-FFFF-FFFF00000000}"/>
  </bookViews>
  <sheets>
    <sheet name="Table of Contents" sheetId="98" r:id="rId1"/>
    <sheet name="Rate Summary" sheetId="69" r:id="rId2"/>
    <sheet name="Rate Design (Sch. 141D)" sheetId="84" r:id="rId3"/>
    <sheet name="Rate Spread (Sch. 141D Blocks)" sheetId="75" r:id="rId4"/>
    <sheet name="BR6 Response-Table 1" sheetId="101" r:id="rId5"/>
    <sheet name="Rate Spread (Sch. 141D)" sheetId="91" r:id="rId6"/>
    <sheet name="Rate Spread (Sch. 141N)" sheetId="96" r:id="rId7"/>
    <sheet name="Exh. WJD-3 p. 1" sheetId="99" r:id="rId8"/>
    <sheet name="Sch. 88T Rate Design" sheetId="92" r:id="rId9"/>
    <sheet name="Rate Design (Sch. 141N)" sheetId="95" r:id="rId10"/>
    <sheet name="Rate Spread (Sch. 141N Blocks)" sheetId="97" r:id="rId11"/>
    <sheet name="Workpapers--&gt;" sheetId="33" r:id="rId12"/>
    <sheet name="Exh JDT-5 (JDT-Rate Spread)" sheetId="93" r:id="rId13"/>
    <sheet name="Exh JDT-5 (JDT-INTRPL-RD)" sheetId="94" r:id="rId14"/>
    <sheet name="RY#2 Therms" sheetId="88" r:id="rId15"/>
    <sheet name="Puget LNG" sheetId="86" r:id="rId16"/>
  </sheets>
  <definedNames>
    <definedName name="_xlnm.Print_Area" localSheetId="12">'Exh JDT-5 (JDT-Rate Spread)'!$A$1:$L$89</definedName>
    <definedName name="_xlnm.Print_Area" localSheetId="2">'Rate Design (Sch. 141D)'!$A$1:$G$34</definedName>
    <definedName name="_xlnm.Print_Area" localSheetId="9">'Rate Design (Sch. 141N)'!$A$1:$G$26</definedName>
    <definedName name="_xlnm.Print_Area" localSheetId="3">'Rate Spread (Sch. 141D Blocks)'!$A$1:$I$28</definedName>
    <definedName name="_xlnm.Print_Area" localSheetId="5">'Rate Spread (Sch. 141D)'!$A$1:$H$22</definedName>
    <definedName name="_xlnm.Print_Area" localSheetId="10">'Rate Spread (Sch. 141N Blocks)'!$A$1:$I$19</definedName>
    <definedName name="_xlnm.Print_Area" localSheetId="6">'Rate Spread (Sch. 141N)'!$A$1:$G$20</definedName>
    <definedName name="_xlnm.Print_Area" localSheetId="14">'RY#2 Therms'!$A$1:$N$53</definedName>
    <definedName name="_xlnm.Print_Area" localSheetId="8">'Sch. 88T Rate Design'!$B$1:$O$27</definedName>
    <definedName name="_xlnm.Print_Titles" localSheetId="13">'Exh JDT-5 (JDT-INTRPL-RD)'!$1:$8</definedName>
    <definedName name="_xlnm.Print_Titles" localSheetId="12">'Exh JDT-5 (JDT-Rate Spread)'!$1:$8</definedName>
    <definedName name="_xlnm.Print_Titles" localSheetId="15">'Puget LNG'!$A:$D</definedName>
    <definedName name="_xlnm.Print_Titles" localSheetId="1">'Rate Summary'!$A:$C</definedName>
    <definedName name="_xlnm.Print_Titles" localSheetId="8">'Sch. 88T Rate Design'!$1:$8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01" l="1"/>
  <c r="F16" i="101"/>
  <c r="F15" i="101"/>
  <c r="F14" i="101"/>
  <c r="F13" i="101"/>
  <c r="F12" i="101"/>
  <c r="F11" i="101"/>
  <c r="B11" i="101"/>
  <c r="B12" i="101" s="1"/>
  <c r="B13" i="101" s="1"/>
  <c r="B14" i="101" s="1"/>
  <c r="B15" i="101" s="1"/>
  <c r="B16" i="101" s="1"/>
  <c r="B17" i="101" s="1"/>
  <c r="B18" i="101" s="1"/>
  <c r="F10" i="101"/>
  <c r="F18" i="101" l="1"/>
  <c r="AL26" i="92" l="1"/>
  <c r="AK26" i="92"/>
  <c r="AI26" i="92"/>
  <c r="AH26" i="92"/>
  <c r="AP25" i="92"/>
  <c r="AO25" i="92"/>
  <c r="AM25" i="92"/>
  <c r="AL25" i="92"/>
  <c r="AK25" i="92"/>
  <c r="AJ25" i="92"/>
  <c r="AI25" i="92"/>
  <c r="AH25" i="92"/>
  <c r="AL24" i="92"/>
  <c r="AK24" i="92"/>
  <c r="AI24" i="92"/>
  <c r="AK23" i="92"/>
  <c r="AK22" i="92"/>
  <c r="AK21" i="92"/>
  <c r="AK20" i="92"/>
  <c r="AK19" i="92"/>
  <c r="AK18" i="92"/>
  <c r="AP17" i="92"/>
  <c r="AO17" i="92"/>
  <c r="AM17" i="92"/>
  <c r="AL17" i="92"/>
  <c r="AK17" i="92"/>
  <c r="AJ17" i="92"/>
  <c r="AI17" i="92"/>
  <c r="AH17" i="92"/>
  <c r="AP16" i="92"/>
  <c r="AO16" i="92"/>
  <c r="AM16" i="92"/>
  <c r="AL16" i="92"/>
  <c r="AK16" i="92"/>
  <c r="AJ16" i="92"/>
  <c r="AI16" i="92"/>
  <c r="AH16" i="92"/>
  <c r="AO15" i="92"/>
  <c r="AL15" i="92"/>
  <c r="AK15" i="92"/>
  <c r="AJ15" i="92"/>
  <c r="AI15" i="92"/>
  <c r="AH15" i="92"/>
  <c r="AL14" i="92"/>
  <c r="AK14" i="92"/>
  <c r="AL13" i="92"/>
  <c r="AK13" i="92"/>
  <c r="B14" i="99" l="1"/>
  <c r="Q19" i="96"/>
  <c r="O19" i="96"/>
  <c r="N19" i="96"/>
  <c r="B15" i="99"/>
  <c r="S19" i="91"/>
  <c r="Q19" i="91"/>
  <c r="P19" i="91"/>
  <c r="D41" i="99" l="1"/>
  <c r="H41" i="99" s="1"/>
  <c r="A40" i="99"/>
  <c r="F34" i="99"/>
  <c r="H34" i="99"/>
  <c r="B28" i="99"/>
  <c r="B45" i="99" s="1"/>
  <c r="F24" i="99"/>
  <c r="E24" i="99"/>
  <c r="J23" i="99"/>
  <c r="B23" i="99"/>
  <c r="H23" i="99" s="1"/>
  <c r="F22" i="99"/>
  <c r="E22" i="99"/>
  <c r="J15" i="99"/>
  <c r="I15" i="99"/>
  <c r="H15" i="99"/>
  <c r="F14" i="99"/>
  <c r="E14" i="99"/>
  <c r="H14" i="99"/>
  <c r="I23" i="99" l="1"/>
  <c r="K23" i="99" s="1"/>
  <c r="E34" i="99"/>
  <c r="I34" i="99" s="1"/>
  <c r="J34" i="99"/>
  <c r="E41" i="99"/>
  <c r="I41" i="99" s="1"/>
  <c r="I14" i="99"/>
  <c r="J14" i="99"/>
  <c r="B16" i="99"/>
  <c r="B22" i="99"/>
  <c r="B24" i="99"/>
  <c r="F41" i="99"/>
  <c r="J41" i="99" s="1"/>
  <c r="J22" i="99" l="1"/>
  <c r="I22" i="99"/>
  <c r="H22" i="99"/>
  <c r="K34" i="99"/>
  <c r="H35" i="99" s="1"/>
  <c r="H16" i="99"/>
  <c r="H17" i="99" s="1"/>
  <c r="J16" i="99"/>
  <c r="J17" i="99" s="1"/>
  <c r="I16" i="99"/>
  <c r="I17" i="99" s="1"/>
  <c r="J24" i="99"/>
  <c r="I24" i="99"/>
  <c r="H24" i="99"/>
  <c r="K24" i="99" s="1"/>
  <c r="K41" i="99"/>
  <c r="H42" i="99" s="1"/>
  <c r="E20" i="95"/>
  <c r="E21" i="95"/>
  <c r="E22" i="95"/>
  <c r="D18" i="97"/>
  <c r="D17" i="97"/>
  <c r="E23" i="95" s="1"/>
  <c r="D16" i="97"/>
  <c r="D15" i="97"/>
  <c r="D14" i="97"/>
  <c r="A14" i="97"/>
  <c r="A15" i="97" s="1"/>
  <c r="A16" i="97" s="1"/>
  <c r="A17" i="97" s="1"/>
  <c r="A18" i="97" s="1"/>
  <c r="A19" i="97" s="1"/>
  <c r="D13" i="97"/>
  <c r="E19" i="95" s="1"/>
  <c r="A13" i="97"/>
  <c r="A4" i="97"/>
  <c r="A2" i="97"/>
  <c r="A25" i="95"/>
  <c r="A26" i="95"/>
  <c r="A13" i="96"/>
  <c r="A14" i="96" s="1"/>
  <c r="A15" i="96" s="1"/>
  <c r="A16" i="96" s="1"/>
  <c r="A17" i="96" s="1"/>
  <c r="A18" i="96" s="1"/>
  <c r="A19" i="96" s="1"/>
  <c r="A20" i="96" s="1"/>
  <c r="A13" i="95"/>
  <c r="A14" i="95" s="1"/>
  <c r="A15" i="95" s="1"/>
  <c r="A16" i="95" s="1"/>
  <c r="A17" i="95" s="1"/>
  <c r="A18" i="95" s="1"/>
  <c r="A19" i="95" s="1"/>
  <c r="A20" i="95" s="1"/>
  <c r="A21" i="95" s="1"/>
  <c r="A22" i="95" s="1"/>
  <c r="A23" i="95" s="1"/>
  <c r="A24" i="95" s="1"/>
  <c r="A4" i="95"/>
  <c r="A2" i="95"/>
  <c r="I42" i="99" l="1"/>
  <c r="E24" i="95"/>
  <c r="J42" i="99"/>
  <c r="J28" i="99"/>
  <c r="I35" i="99"/>
  <c r="I36" i="99" s="1"/>
  <c r="I25" i="99"/>
  <c r="K17" i="99"/>
  <c r="J18" i="99" s="1"/>
  <c r="F22" i="91" s="1"/>
  <c r="R22" i="91" s="1"/>
  <c r="H25" i="99"/>
  <c r="H28" i="99" s="1"/>
  <c r="K22" i="99"/>
  <c r="K25" i="99" s="1"/>
  <c r="I43" i="99"/>
  <c r="J35" i="99"/>
  <c r="J25" i="99"/>
  <c r="D19" i="97"/>
  <c r="D30" i="69"/>
  <c r="D29" i="69"/>
  <c r="E14" i="92"/>
  <c r="AI14" i="92" s="1"/>
  <c r="E13" i="92"/>
  <c r="AI13" i="92" s="1"/>
  <c r="D14" i="75"/>
  <c r="D15" i="75"/>
  <c r="D16" i="75"/>
  <c r="D17" i="75"/>
  <c r="D18" i="75"/>
  <c r="D13" i="75"/>
  <c r="D150" i="94"/>
  <c r="D149" i="94"/>
  <c r="F131" i="94"/>
  <c r="F130" i="94"/>
  <c r="L125" i="94"/>
  <c r="I125" i="94"/>
  <c r="F124" i="94"/>
  <c r="F123" i="94"/>
  <c r="F141" i="94" s="1"/>
  <c r="D116" i="94"/>
  <c r="D106" i="94" s="1"/>
  <c r="F114" i="94"/>
  <c r="F113" i="94"/>
  <c r="F112" i="94"/>
  <c r="F111" i="94"/>
  <c r="F110" i="94"/>
  <c r="I107" i="94"/>
  <c r="K107" i="94" s="1"/>
  <c r="L107" i="94" s="1"/>
  <c r="H105" i="94"/>
  <c r="H124" i="94" s="1"/>
  <c r="I104" i="94"/>
  <c r="K104" i="94" s="1"/>
  <c r="L104" i="94" s="1"/>
  <c r="F104" i="94"/>
  <c r="F80" i="94"/>
  <c r="F95" i="94" s="1"/>
  <c r="I76" i="94"/>
  <c r="K76" i="94" s="1"/>
  <c r="L76" i="94" s="1"/>
  <c r="I75" i="94"/>
  <c r="H74" i="94"/>
  <c r="I74" i="94" s="1"/>
  <c r="K74" i="94" s="1"/>
  <c r="F74" i="94"/>
  <c r="D67" i="94"/>
  <c r="F66" i="94"/>
  <c r="D95" i="94"/>
  <c r="F65" i="94"/>
  <c r="D94" i="94"/>
  <c r="D96" i="94" s="1"/>
  <c r="D162" i="94" s="1"/>
  <c r="H61" i="94"/>
  <c r="I61" i="94" s="1"/>
  <c r="D61" i="94"/>
  <c r="H60" i="94"/>
  <c r="H75" i="94" s="1"/>
  <c r="F60" i="94"/>
  <c r="H59" i="94"/>
  <c r="F59" i="94"/>
  <c r="F88" i="94" s="1"/>
  <c r="D88" i="94"/>
  <c r="D51" i="94"/>
  <c r="F35" i="94"/>
  <c r="I30" i="94"/>
  <c r="K30" i="94" s="1"/>
  <c r="L30" i="94" s="1"/>
  <c r="F29" i="94"/>
  <c r="F28" i="94"/>
  <c r="H28" i="94"/>
  <c r="D43" i="94"/>
  <c r="F46" i="94"/>
  <c r="F13" i="94"/>
  <c r="F44" i="94" s="1"/>
  <c r="I12" i="94"/>
  <c r="K12" i="94" s="1"/>
  <c r="L12" i="94" s="1"/>
  <c r="F12" i="94"/>
  <c r="D12" i="91"/>
  <c r="P12" i="91" s="1"/>
  <c r="D92" i="93"/>
  <c r="C86" i="93"/>
  <c r="F87" i="93" s="1"/>
  <c r="D12" i="96" s="1"/>
  <c r="N12" i="96" s="1"/>
  <c r="D84" i="93"/>
  <c r="A84" i="93"/>
  <c r="D83" i="93"/>
  <c r="D80" i="93"/>
  <c r="D79" i="93"/>
  <c r="A79" i="93"/>
  <c r="D75" i="93"/>
  <c r="A75" i="93"/>
  <c r="D71" i="93"/>
  <c r="A71" i="93"/>
  <c r="C70" i="93"/>
  <c r="C74" i="93"/>
  <c r="D67" i="93"/>
  <c r="D66" i="93"/>
  <c r="A66" i="93"/>
  <c r="D63" i="93"/>
  <c r="A63" i="93"/>
  <c r="D62" i="93"/>
  <c r="I57" i="93"/>
  <c r="G57" i="93"/>
  <c r="G48" i="93"/>
  <c r="C48" i="93"/>
  <c r="L46" i="93"/>
  <c r="L47" i="93" s="1"/>
  <c r="L49" i="93" s="1"/>
  <c r="D37" i="93"/>
  <c r="D36" i="93"/>
  <c r="A36" i="93"/>
  <c r="L32" i="93"/>
  <c r="L48" i="93" s="1"/>
  <c r="H32" i="93"/>
  <c r="H48" i="93" s="1"/>
  <c r="F32" i="93"/>
  <c r="F48" i="93" s="1"/>
  <c r="C32" i="93"/>
  <c r="L30" i="93"/>
  <c r="L31" i="93" s="1"/>
  <c r="D29" i="93"/>
  <c r="D28" i="93"/>
  <c r="A28" i="93"/>
  <c r="D26" i="93"/>
  <c r="A26" i="93"/>
  <c r="L23" i="93"/>
  <c r="H23" i="93"/>
  <c r="H25" i="93" s="1"/>
  <c r="K32" i="93"/>
  <c r="K48" i="93" s="1"/>
  <c r="J32" i="93"/>
  <c r="J48" i="93" s="1"/>
  <c r="G32" i="93"/>
  <c r="D22" i="93"/>
  <c r="L16" i="93"/>
  <c r="J23" i="93"/>
  <c r="J25" i="93" s="1"/>
  <c r="F23" i="93"/>
  <c r="D20" i="93"/>
  <c r="D19" i="93"/>
  <c r="D18" i="93"/>
  <c r="A18" i="93"/>
  <c r="L15" i="93"/>
  <c r="C15" i="93"/>
  <c r="L57" i="93"/>
  <c r="K57" i="93"/>
  <c r="J57" i="93"/>
  <c r="H57" i="93"/>
  <c r="F57" i="93"/>
  <c r="D14" i="93"/>
  <c r="I16" i="93"/>
  <c r="H16" i="93"/>
  <c r="D13" i="93"/>
  <c r="K15" i="93"/>
  <c r="K27" i="93" s="1"/>
  <c r="D11" i="93"/>
  <c r="A11" i="93"/>
  <c r="A12" i="93" s="1"/>
  <c r="A10" i="93"/>
  <c r="D9" i="93"/>
  <c r="H87" i="93" l="1"/>
  <c r="L87" i="93"/>
  <c r="I87" i="93"/>
  <c r="F149" i="94"/>
  <c r="J87" i="93"/>
  <c r="J26" i="99"/>
  <c r="H45" i="99"/>
  <c r="I26" i="99"/>
  <c r="K28" i="99"/>
  <c r="K45" i="99" s="1"/>
  <c r="I28" i="99"/>
  <c r="J45" i="99"/>
  <c r="J48" i="99" s="1"/>
  <c r="H26" i="99"/>
  <c r="H18" i="99"/>
  <c r="I18" i="99"/>
  <c r="F106" i="94"/>
  <c r="F143" i="94" s="1"/>
  <c r="F91" i="94"/>
  <c r="I62" i="94"/>
  <c r="F105" i="94"/>
  <c r="F142" i="94" s="1"/>
  <c r="I105" i="94"/>
  <c r="D142" i="94"/>
  <c r="F61" i="94"/>
  <c r="F90" i="94" s="1"/>
  <c r="D90" i="94"/>
  <c r="F18" i="94"/>
  <c r="D21" i="94"/>
  <c r="D14" i="94" s="1"/>
  <c r="F19" i="94"/>
  <c r="F50" i="94" s="1"/>
  <c r="D44" i="94"/>
  <c r="D148" i="94"/>
  <c r="F129" i="94"/>
  <c r="F148" i="94" s="1"/>
  <c r="D49" i="94"/>
  <c r="F33" i="94"/>
  <c r="F36" i="94" s="1"/>
  <c r="F38" i="94" s="1"/>
  <c r="D36" i="94"/>
  <c r="F89" i="94"/>
  <c r="F96" i="94" s="1"/>
  <c r="F98" i="94" s="1"/>
  <c r="L74" i="94"/>
  <c r="D50" i="94"/>
  <c r="F34" i="94"/>
  <c r="I90" i="94"/>
  <c r="K90" i="94" s="1"/>
  <c r="L90" i="94" s="1"/>
  <c r="K61" i="94"/>
  <c r="L61" i="94" s="1"/>
  <c r="F14" i="94"/>
  <c r="F45" i="94" s="1"/>
  <c r="I15" i="94"/>
  <c r="F20" i="94"/>
  <c r="F51" i="94" s="1"/>
  <c r="F43" i="94"/>
  <c r="F75" i="94"/>
  <c r="K75" i="94" s="1"/>
  <c r="L75" i="94" s="1"/>
  <c r="D89" i="94"/>
  <c r="F115" i="94"/>
  <c r="D134" i="94"/>
  <c r="F128" i="94"/>
  <c r="F147" i="94" s="1"/>
  <c r="D147" i="94"/>
  <c r="I124" i="94"/>
  <c r="F94" i="94"/>
  <c r="F81" i="94"/>
  <c r="F83" i="94" s="1"/>
  <c r="I144" i="94"/>
  <c r="F132" i="94"/>
  <c r="F151" i="94" s="1"/>
  <c r="D151" i="94"/>
  <c r="D152" i="94"/>
  <c r="F133" i="94"/>
  <c r="D141" i="94"/>
  <c r="I28" i="94"/>
  <c r="F67" i="94"/>
  <c r="I60" i="94"/>
  <c r="D81" i="94"/>
  <c r="F79" i="94"/>
  <c r="I123" i="94"/>
  <c r="F150" i="94"/>
  <c r="I59" i="94"/>
  <c r="F144" i="94"/>
  <c r="L35" i="93"/>
  <c r="L33" i="93"/>
  <c r="L34" i="93" s="1"/>
  <c r="G15" i="93"/>
  <c r="G27" i="93" s="1"/>
  <c r="G16" i="93"/>
  <c r="K16" i="93"/>
  <c r="K23" i="93"/>
  <c r="G23" i="93"/>
  <c r="C57" i="93"/>
  <c r="L50" i="93"/>
  <c r="A13" i="93"/>
  <c r="D12" i="93"/>
  <c r="H15" i="93"/>
  <c r="D21" i="93"/>
  <c r="L25" i="93"/>
  <c r="L24" i="93"/>
  <c r="L51" i="93"/>
  <c r="D10" i="93"/>
  <c r="F16" i="93"/>
  <c r="F17" i="93" s="1"/>
  <c r="F52" i="93" s="1"/>
  <c r="F15" i="93"/>
  <c r="F27" i="93" s="1"/>
  <c r="J16" i="93"/>
  <c r="J15" i="93"/>
  <c r="I15" i="93"/>
  <c r="I27" i="93" s="1"/>
  <c r="F24" i="93"/>
  <c r="I32" i="93"/>
  <c r="I48" i="93" s="1"/>
  <c r="D48" i="93" s="1"/>
  <c r="I23" i="93"/>
  <c r="F25" i="93"/>
  <c r="K87" i="93"/>
  <c r="C16" i="93"/>
  <c r="C17" i="93" s="1"/>
  <c r="C52" i="93" s="1"/>
  <c r="C23" i="93"/>
  <c r="L55" i="93"/>
  <c r="L56" i="93" s="1"/>
  <c r="I168" i="94" s="1"/>
  <c r="K168" i="94" s="1"/>
  <c r="L168" i="94" s="1"/>
  <c r="G87" i="93"/>
  <c r="K105" i="94" l="1"/>
  <c r="L105" i="94" s="1"/>
  <c r="F152" i="94"/>
  <c r="F153" i="94" s="1"/>
  <c r="F155" i="94" s="1"/>
  <c r="D52" i="94"/>
  <c r="D15" i="96"/>
  <c r="D15" i="91"/>
  <c r="P15" i="91" s="1"/>
  <c r="D17" i="96"/>
  <c r="D17" i="91"/>
  <c r="P17" i="91" s="1"/>
  <c r="D18" i="96"/>
  <c r="D18" i="91"/>
  <c r="P18" i="91" s="1"/>
  <c r="D13" i="96"/>
  <c r="D13" i="91"/>
  <c r="P13" i="91" s="1"/>
  <c r="D16" i="96"/>
  <c r="D16" i="91"/>
  <c r="P16" i="91" s="1"/>
  <c r="D14" i="96"/>
  <c r="D14" i="91"/>
  <c r="P14" i="91" s="1"/>
  <c r="H29" i="99"/>
  <c r="J29" i="99"/>
  <c r="H48" i="99"/>
  <c r="I19" i="99"/>
  <c r="I29" i="99"/>
  <c r="I45" i="99"/>
  <c r="I48" i="99" s="1"/>
  <c r="I49" i="99" s="1"/>
  <c r="I27" i="99"/>
  <c r="K59" i="94"/>
  <c r="I88" i="94"/>
  <c r="I46" i="94"/>
  <c r="K46" i="94" s="1"/>
  <c r="L46" i="94" s="1"/>
  <c r="K15" i="94"/>
  <c r="L15" i="94" s="1"/>
  <c r="I91" i="94"/>
  <c r="K91" i="94" s="1"/>
  <c r="L91" i="94" s="1"/>
  <c r="K62" i="94"/>
  <c r="L62" i="94" s="1"/>
  <c r="K60" i="94"/>
  <c r="L60" i="94" s="1"/>
  <c r="I89" i="94"/>
  <c r="K89" i="94" s="1"/>
  <c r="L89" i="94" s="1"/>
  <c r="I142" i="94"/>
  <c r="K142" i="94" s="1"/>
  <c r="L142" i="94" s="1"/>
  <c r="K124" i="94"/>
  <c r="L124" i="94" s="1"/>
  <c r="D153" i="94"/>
  <c r="D163" i="94" s="1"/>
  <c r="D161" i="94"/>
  <c r="D164" i="94" s="1"/>
  <c r="D45" i="94"/>
  <c r="I141" i="94"/>
  <c r="K123" i="94"/>
  <c r="F162" i="94"/>
  <c r="F69" i="94"/>
  <c r="F134" i="94"/>
  <c r="F136" i="94" s="1"/>
  <c r="K28" i="94"/>
  <c r="K144" i="94"/>
  <c r="L144" i="94" s="1"/>
  <c r="F21" i="94"/>
  <c r="F49" i="94"/>
  <c r="F52" i="94" s="1"/>
  <c r="F54" i="94" s="1"/>
  <c r="F169" i="94" s="1"/>
  <c r="F174" i="94" s="1"/>
  <c r="I43" i="94"/>
  <c r="F116" i="94"/>
  <c r="C24" i="93"/>
  <c r="D23" i="93"/>
  <c r="C25" i="93"/>
  <c r="J27" i="93"/>
  <c r="C27" i="93" s="1"/>
  <c r="J24" i="93"/>
  <c r="K24" i="93"/>
  <c r="K25" i="93"/>
  <c r="J17" i="93"/>
  <c r="J52" i="93" s="1"/>
  <c r="H27" i="93"/>
  <c r="H24" i="93"/>
  <c r="L17" i="93"/>
  <c r="L52" i="93" s="1"/>
  <c r="K17" i="93"/>
  <c r="K52" i="93" s="1"/>
  <c r="L58" i="93"/>
  <c r="L59" i="93" s="1"/>
  <c r="L60" i="93"/>
  <c r="A15" i="93"/>
  <c r="D32" i="93"/>
  <c r="G17" i="93"/>
  <c r="G52" i="93" s="1"/>
  <c r="D15" i="93"/>
  <c r="H17" i="93"/>
  <c r="H52" i="93" s="1"/>
  <c r="I24" i="93"/>
  <c r="I25" i="93"/>
  <c r="A14" i="93"/>
  <c r="A17" i="93" s="1"/>
  <c r="A16" i="93"/>
  <c r="G24" i="93"/>
  <c r="G25" i="93"/>
  <c r="I17" i="93"/>
  <c r="I52" i="93" s="1"/>
  <c r="N14" i="96" l="1"/>
  <c r="N17" i="96"/>
  <c r="E17" i="96"/>
  <c r="O17" i="96" s="1"/>
  <c r="N15" i="96"/>
  <c r="E15" i="96"/>
  <c r="O15" i="96" s="1"/>
  <c r="N13" i="96"/>
  <c r="E13" i="96"/>
  <c r="O13" i="96" s="1"/>
  <c r="D20" i="96"/>
  <c r="E14" i="96" s="1"/>
  <c r="O14" i="96" s="1"/>
  <c r="N16" i="96"/>
  <c r="E16" i="96"/>
  <c r="O16" i="96" s="1"/>
  <c r="N18" i="96"/>
  <c r="E18" i="96"/>
  <c r="O18" i="96" s="1"/>
  <c r="I30" i="99"/>
  <c r="K43" i="94"/>
  <c r="L123" i="94"/>
  <c r="K88" i="94"/>
  <c r="F161" i="94"/>
  <c r="F23" i="94"/>
  <c r="K141" i="94"/>
  <c r="L59" i="94"/>
  <c r="F118" i="94"/>
  <c r="F163" i="94"/>
  <c r="L28" i="94"/>
  <c r="D169" i="94"/>
  <c r="D27" i="93"/>
  <c r="C34" i="93"/>
  <c r="A19" i="93"/>
  <c r="A20" i="93" s="1"/>
  <c r="N20" i="96" l="1"/>
  <c r="E12" i="96"/>
  <c r="L141" i="94"/>
  <c r="L88" i="94"/>
  <c r="F164" i="94"/>
  <c r="F173" i="94" s="1"/>
  <c r="L43" i="94"/>
  <c r="K30" i="93"/>
  <c r="G30" i="93"/>
  <c r="C38" i="93"/>
  <c r="I30" i="93"/>
  <c r="C30" i="93"/>
  <c r="H30" i="93"/>
  <c r="J30" i="93"/>
  <c r="F30" i="93"/>
  <c r="A21" i="93"/>
  <c r="O12" i="96" l="1"/>
  <c r="E20" i="96"/>
  <c r="O20" i="96" s="1"/>
  <c r="C31" i="93"/>
  <c r="D30" i="93"/>
  <c r="J31" i="93"/>
  <c r="I31" i="93"/>
  <c r="F31" i="93"/>
  <c r="K55" i="93"/>
  <c r="K31" i="93"/>
  <c r="A22" i="93"/>
  <c r="H31" i="93"/>
  <c r="J40" i="93"/>
  <c r="J41" i="93" s="1"/>
  <c r="J46" i="93" s="1"/>
  <c r="J47" i="93" s="1"/>
  <c r="F40" i="93"/>
  <c r="F41" i="93" s="1"/>
  <c r="K40" i="93"/>
  <c r="K41" i="93" s="1"/>
  <c r="K46" i="93" s="1"/>
  <c r="K47" i="93" s="1"/>
  <c r="I40" i="93"/>
  <c r="I41" i="93" s="1"/>
  <c r="I46" i="93" s="1"/>
  <c r="I47" i="93" s="1"/>
  <c r="G40" i="93"/>
  <c r="G41" i="93" s="1"/>
  <c r="G46" i="93" s="1"/>
  <c r="G47" i="93" s="1"/>
  <c r="L40" i="93"/>
  <c r="H40" i="93"/>
  <c r="H41" i="93" s="1"/>
  <c r="H46" i="93" s="1"/>
  <c r="H47" i="93" s="1"/>
  <c r="L44" i="93"/>
  <c r="L45" i="93" s="1"/>
  <c r="G31" i="93"/>
  <c r="H55" i="93" l="1"/>
  <c r="I55" i="93"/>
  <c r="G55" i="93"/>
  <c r="G35" i="93"/>
  <c r="G33" i="93"/>
  <c r="G34" i="93" s="1"/>
  <c r="H35" i="93"/>
  <c r="H33" i="93"/>
  <c r="H34" i="93" s="1"/>
  <c r="K64" i="93"/>
  <c r="K56" i="93"/>
  <c r="O104" i="94" s="1"/>
  <c r="I64" i="93"/>
  <c r="I56" i="93"/>
  <c r="O12" i="94" s="1"/>
  <c r="K51" i="93"/>
  <c r="K49" i="93"/>
  <c r="K50" i="93" s="1"/>
  <c r="K44" i="93" s="1"/>
  <c r="K45" i="93" s="1"/>
  <c r="H64" i="93"/>
  <c r="H56" i="93"/>
  <c r="I33" i="93"/>
  <c r="I34" i="93" s="1"/>
  <c r="I35" i="93"/>
  <c r="C41" i="93"/>
  <c r="C42" i="93" s="1"/>
  <c r="F43" i="93" s="1"/>
  <c r="F46" i="93" s="1"/>
  <c r="G64" i="93"/>
  <c r="G56" i="93"/>
  <c r="G49" i="93"/>
  <c r="G50" i="93" s="1"/>
  <c r="G44" i="93" s="1"/>
  <c r="G45" i="93" s="1"/>
  <c r="G51" i="93"/>
  <c r="J51" i="93"/>
  <c r="J49" i="93"/>
  <c r="J50" i="93" s="1"/>
  <c r="J44" i="93" s="1"/>
  <c r="J45" i="93" s="1"/>
  <c r="F35" i="93"/>
  <c r="F33" i="93"/>
  <c r="F34" i="93" s="1"/>
  <c r="D34" i="93" s="1"/>
  <c r="D31" i="93"/>
  <c r="C33" i="93"/>
  <c r="C35" i="93"/>
  <c r="H49" i="93"/>
  <c r="H50" i="93" s="1"/>
  <c r="H44" i="93" s="1"/>
  <c r="H45" i="93" s="1"/>
  <c r="H51" i="93"/>
  <c r="J35" i="93"/>
  <c r="J33" i="93"/>
  <c r="J34" i="93" s="1"/>
  <c r="I51" i="93"/>
  <c r="I49" i="93"/>
  <c r="I50" i="93" s="1"/>
  <c r="I44" i="93" s="1"/>
  <c r="I45" i="93" s="1"/>
  <c r="A23" i="93"/>
  <c r="K33" i="93"/>
  <c r="K34" i="93" s="1"/>
  <c r="K35" i="93"/>
  <c r="J55" i="93"/>
  <c r="F47" i="93" l="1"/>
  <c r="C46" i="93"/>
  <c r="D46" i="93" s="1"/>
  <c r="F55" i="93"/>
  <c r="A25" i="93"/>
  <c r="I60" i="93"/>
  <c r="I58" i="93"/>
  <c r="I59" i="93" s="1"/>
  <c r="O16" i="94" s="1"/>
  <c r="D33" i="93"/>
  <c r="G58" i="93"/>
  <c r="G59" i="93" s="1"/>
  <c r="G60" i="93"/>
  <c r="K58" i="93"/>
  <c r="K59" i="93" s="1"/>
  <c r="O108" i="94" s="1"/>
  <c r="K60" i="93"/>
  <c r="J64" i="93"/>
  <c r="J56" i="93"/>
  <c r="O59" i="94" s="1"/>
  <c r="O65" i="94" s="1"/>
  <c r="H58" i="93"/>
  <c r="H59" i="93" s="1"/>
  <c r="H60" i="93"/>
  <c r="A24" i="93"/>
  <c r="H13" i="94" l="1"/>
  <c r="H14" i="94"/>
  <c r="I14" i="94" s="1"/>
  <c r="H19" i="94"/>
  <c r="H20" i="94"/>
  <c r="O110" i="94"/>
  <c r="H115" i="94" s="1"/>
  <c r="H106" i="94"/>
  <c r="I106" i="94" s="1"/>
  <c r="H65" i="94"/>
  <c r="H66" i="94"/>
  <c r="I169" i="94"/>
  <c r="I174" i="94" s="1"/>
  <c r="F64" i="93"/>
  <c r="C55" i="93"/>
  <c r="F56" i="93"/>
  <c r="A27" i="93"/>
  <c r="J60" i="93"/>
  <c r="J58" i="93"/>
  <c r="J59" i="93" s="1"/>
  <c r="O63" i="94" s="1"/>
  <c r="C47" i="93"/>
  <c r="F51" i="93"/>
  <c r="F49" i="93"/>
  <c r="F50" i="93" s="1"/>
  <c r="F44" i="93" s="1"/>
  <c r="F45" i="93" s="1"/>
  <c r="H80" i="94" l="1"/>
  <c r="I80" i="94" s="1"/>
  <c r="K80" i="94" s="1"/>
  <c r="L80" i="94" s="1"/>
  <c r="I66" i="94"/>
  <c r="H79" i="94"/>
  <c r="I79" i="94" s="1"/>
  <c r="I65" i="94"/>
  <c r="H35" i="94"/>
  <c r="I35" i="94" s="1"/>
  <c r="K35" i="94" s="1"/>
  <c r="L35" i="94" s="1"/>
  <c r="I20" i="94"/>
  <c r="K106" i="94"/>
  <c r="L106" i="94" s="1"/>
  <c r="I143" i="94"/>
  <c r="H34" i="94"/>
  <c r="I34" i="94" s="1"/>
  <c r="K34" i="94" s="1"/>
  <c r="L34" i="94" s="1"/>
  <c r="I19" i="94"/>
  <c r="H133" i="94"/>
  <c r="E18" i="97"/>
  <c r="F18" i="97" s="1"/>
  <c r="E18" i="75"/>
  <c r="I115" i="94"/>
  <c r="K115" i="94" s="1"/>
  <c r="L115" i="94" s="1"/>
  <c r="I45" i="94"/>
  <c r="K45" i="94" s="1"/>
  <c r="L45" i="94" s="1"/>
  <c r="K14" i="94"/>
  <c r="L14" i="94" s="1"/>
  <c r="H29" i="94"/>
  <c r="I29" i="94" s="1"/>
  <c r="I13" i="94"/>
  <c r="K167" i="94"/>
  <c r="K169" i="94" s="1"/>
  <c r="L167" i="94"/>
  <c r="C56" i="93"/>
  <c r="C60" i="93" s="1"/>
  <c r="F60" i="93"/>
  <c r="F58" i="93"/>
  <c r="C51" i="93"/>
  <c r="C49" i="93"/>
  <c r="D47" i="93"/>
  <c r="A29" i="93"/>
  <c r="A30" i="93" s="1"/>
  <c r="C64" i="93"/>
  <c r="K143" i="94" l="1"/>
  <c r="I51" i="94"/>
  <c r="K51" i="94" s="1"/>
  <c r="L51" i="94" s="1"/>
  <c r="K20" i="94"/>
  <c r="L20" i="94" s="1"/>
  <c r="I133" i="94"/>
  <c r="E23" i="92"/>
  <c r="AI23" i="92" s="1"/>
  <c r="E27" i="75"/>
  <c r="K65" i="94"/>
  <c r="I67" i="94"/>
  <c r="I94" i="94"/>
  <c r="I44" i="94"/>
  <c r="K13" i="94"/>
  <c r="H18" i="94"/>
  <c r="I50" i="94"/>
  <c r="K50" i="94" s="1"/>
  <c r="L50" i="94" s="1"/>
  <c r="K19" i="94"/>
  <c r="L19" i="94" s="1"/>
  <c r="K79" i="94"/>
  <c r="I81" i="94"/>
  <c r="I83" i="94" s="1"/>
  <c r="A31" i="93"/>
  <c r="A32" i="93" s="1"/>
  <c r="A33" i="93" s="1"/>
  <c r="A34" i="93" s="1"/>
  <c r="A35" i="93" s="1"/>
  <c r="A37" i="93" s="1"/>
  <c r="A44" i="93" s="1"/>
  <c r="A45" i="93" s="1"/>
  <c r="A46" i="93" s="1"/>
  <c r="A47" i="93" s="1"/>
  <c r="A48" i="93" s="1"/>
  <c r="A49" i="93" s="1"/>
  <c r="A50" i="93" s="1"/>
  <c r="A51" i="93" s="1"/>
  <c r="A52" i="93" s="1"/>
  <c r="A54" i="93" s="1"/>
  <c r="A55" i="93" s="1"/>
  <c r="A56" i="93" s="1"/>
  <c r="A57" i="93" s="1"/>
  <c r="A58" i="93" s="1"/>
  <c r="A59" i="93" s="1"/>
  <c r="A60" i="93" s="1"/>
  <c r="A62" i="93" s="1"/>
  <c r="A64" i="93" s="1"/>
  <c r="A65" i="93" s="1"/>
  <c r="A67" i="93" s="1"/>
  <c r="A68" i="93" s="1"/>
  <c r="A69" i="93" s="1"/>
  <c r="A70" i="93" s="1"/>
  <c r="A72" i="93" s="1"/>
  <c r="A73" i="93" s="1"/>
  <c r="A74" i="93" s="1"/>
  <c r="A76" i="93" s="1"/>
  <c r="A77" i="93" s="1"/>
  <c r="A78" i="93" s="1"/>
  <c r="A80" i="93" s="1"/>
  <c r="A81" i="93" s="1"/>
  <c r="A82" i="93" s="1"/>
  <c r="A83" i="93" s="1"/>
  <c r="A85" i="93" s="1"/>
  <c r="A86" i="93" s="1"/>
  <c r="A87" i="93" s="1"/>
  <c r="K29" i="94"/>
  <c r="I95" i="94"/>
  <c r="K95" i="94" s="1"/>
  <c r="L95" i="94" s="1"/>
  <c r="K66" i="94"/>
  <c r="L66" i="94" s="1"/>
  <c r="L169" i="94"/>
  <c r="K174" i="94"/>
  <c r="D64" i="93"/>
  <c r="H65" i="93"/>
  <c r="I65" i="93"/>
  <c r="G65" i="93"/>
  <c r="K65" i="93"/>
  <c r="J65" i="93"/>
  <c r="C50" i="93"/>
  <c r="D50" i="93" s="1"/>
  <c r="D49" i="93"/>
  <c r="F65" i="93"/>
  <c r="F59" i="93"/>
  <c r="C58" i="93"/>
  <c r="C59" i="93" s="1"/>
  <c r="I18" i="94" l="1"/>
  <c r="H33" i="94"/>
  <c r="I33" i="94" s="1"/>
  <c r="K44" i="94"/>
  <c r="I152" i="94"/>
  <c r="K133" i="94"/>
  <c r="L133" i="94" s="1"/>
  <c r="L13" i="94"/>
  <c r="I96" i="94"/>
  <c r="I98" i="94" s="1"/>
  <c r="O61" i="94" s="1"/>
  <c r="K94" i="94"/>
  <c r="L79" i="94"/>
  <c r="K81" i="94"/>
  <c r="I162" i="94"/>
  <c r="K162" i="94" s="1"/>
  <c r="L162" i="94" s="1"/>
  <c r="I69" i="94"/>
  <c r="L29" i="94"/>
  <c r="L65" i="94"/>
  <c r="K67" i="94"/>
  <c r="L143" i="94"/>
  <c r="G81" i="93"/>
  <c r="G70" i="93"/>
  <c r="G74" i="93"/>
  <c r="G82" i="93"/>
  <c r="I81" i="93"/>
  <c r="I70" i="93"/>
  <c r="I82" i="93"/>
  <c r="I74" i="93"/>
  <c r="J81" i="93"/>
  <c r="J82" i="93"/>
  <c r="J70" i="93"/>
  <c r="J74" i="93"/>
  <c r="H82" i="93"/>
  <c r="H74" i="93"/>
  <c r="H81" i="93"/>
  <c r="H70" i="93"/>
  <c r="C65" i="93"/>
  <c r="D65" i="93" s="1"/>
  <c r="F81" i="93"/>
  <c r="F82" i="93"/>
  <c r="F70" i="93"/>
  <c r="D70" i="93" s="1"/>
  <c r="F74" i="93"/>
  <c r="K81" i="93"/>
  <c r="K70" i="93"/>
  <c r="K74" i="93"/>
  <c r="K82" i="93"/>
  <c r="L81" i="94" l="1"/>
  <c r="K83" i="94"/>
  <c r="L83" i="94" s="1"/>
  <c r="L44" i="94"/>
  <c r="K152" i="94"/>
  <c r="L152" i="94" s="1"/>
  <c r="O109" i="94"/>
  <c r="K69" i="94"/>
  <c r="L69" i="94" s="1"/>
  <c r="L67" i="94"/>
  <c r="L94" i="94"/>
  <c r="K96" i="94"/>
  <c r="K33" i="94"/>
  <c r="I36" i="94"/>
  <c r="I38" i="94" s="1"/>
  <c r="K18" i="94"/>
  <c r="I49" i="94"/>
  <c r="I21" i="94"/>
  <c r="D82" i="93"/>
  <c r="D81" i="93"/>
  <c r="D74" i="93"/>
  <c r="I161" i="94" l="1"/>
  <c r="I23" i="94"/>
  <c r="K49" i="94"/>
  <c r="I52" i="94"/>
  <c r="I54" i="94" s="1"/>
  <c r="O14" i="94" s="1"/>
  <c r="L18" i="94"/>
  <c r="K21" i="94"/>
  <c r="L33" i="94"/>
  <c r="K36" i="94"/>
  <c r="H111" i="94"/>
  <c r="H112" i="94"/>
  <c r="H113" i="94"/>
  <c r="H114" i="94"/>
  <c r="H110" i="94"/>
  <c r="L96" i="94"/>
  <c r="K98" i="94"/>
  <c r="L98" i="94" s="1"/>
  <c r="L15" i="92"/>
  <c r="AP15" i="92" s="1"/>
  <c r="I15" i="92"/>
  <c r="AM15" i="92" s="1"/>
  <c r="K38" i="94" l="1"/>
  <c r="L38" i="94" s="1"/>
  <c r="L36" i="94"/>
  <c r="E17" i="97"/>
  <c r="F17" i="97" s="1"/>
  <c r="E17" i="75"/>
  <c r="H132" i="94"/>
  <c r="I114" i="94"/>
  <c r="K114" i="94" s="1"/>
  <c r="L114" i="94" s="1"/>
  <c r="E13" i="97"/>
  <c r="F13" i="97" s="1"/>
  <c r="E13" i="75"/>
  <c r="I110" i="94"/>
  <c r="H128" i="94"/>
  <c r="E16" i="97"/>
  <c r="F16" i="97" s="1"/>
  <c r="E16" i="75"/>
  <c r="I113" i="94"/>
  <c r="K113" i="94" s="1"/>
  <c r="L113" i="94" s="1"/>
  <c r="H131" i="94"/>
  <c r="L49" i="94"/>
  <c r="K52" i="94"/>
  <c r="L21" i="94"/>
  <c r="K23" i="94"/>
  <c r="L23" i="94" s="1"/>
  <c r="E15" i="97"/>
  <c r="F15" i="97" s="1"/>
  <c r="E15" i="75"/>
  <c r="I112" i="94"/>
  <c r="K112" i="94" s="1"/>
  <c r="L112" i="94" s="1"/>
  <c r="H130" i="94"/>
  <c r="E14" i="97"/>
  <c r="F14" i="97" s="1"/>
  <c r="E14" i="75"/>
  <c r="I111" i="94"/>
  <c r="K111" i="94" s="1"/>
  <c r="L111" i="94" s="1"/>
  <c r="H129" i="94"/>
  <c r="K161" i="94"/>
  <c r="F19" i="97" l="1"/>
  <c r="L52" i="94"/>
  <c r="K54" i="94"/>
  <c r="L54" i="94" s="1"/>
  <c r="I131" i="94"/>
  <c r="E21" i="92"/>
  <c r="AI21" i="92" s="1"/>
  <c r="E25" i="75"/>
  <c r="I130" i="94"/>
  <c r="E20" i="92"/>
  <c r="AI20" i="92" s="1"/>
  <c r="E24" i="75"/>
  <c r="I132" i="94"/>
  <c r="E22" i="92"/>
  <c r="AI22" i="92" s="1"/>
  <c r="E26" i="75"/>
  <c r="L161" i="94"/>
  <c r="I129" i="94"/>
  <c r="E23" i="75"/>
  <c r="E19" i="92"/>
  <c r="AI19" i="92" s="1"/>
  <c r="I128" i="94"/>
  <c r="E18" i="92"/>
  <c r="AI18" i="92" s="1"/>
  <c r="E22" i="75"/>
  <c r="K110" i="94"/>
  <c r="L110" i="94" s="1"/>
  <c r="I116" i="94"/>
  <c r="I149" i="94" l="1"/>
  <c r="K149" i="94" s="1"/>
  <c r="L149" i="94" s="1"/>
  <c r="K130" i="94"/>
  <c r="L130" i="94" s="1"/>
  <c r="I150" i="94"/>
  <c r="K150" i="94" s="1"/>
  <c r="L150" i="94" s="1"/>
  <c r="K131" i="94"/>
  <c r="L131" i="94" s="1"/>
  <c r="I118" i="94"/>
  <c r="I163" i="94"/>
  <c r="K116" i="94"/>
  <c r="I148" i="94"/>
  <c r="K148" i="94" s="1"/>
  <c r="L148" i="94" s="1"/>
  <c r="K129" i="94"/>
  <c r="L129" i="94" s="1"/>
  <c r="K132" i="94"/>
  <c r="L132" i="94" s="1"/>
  <c r="I151" i="94"/>
  <c r="K151" i="94" s="1"/>
  <c r="L151" i="94" s="1"/>
  <c r="I134" i="94"/>
  <c r="I136" i="94" s="1"/>
  <c r="K128" i="94"/>
  <c r="I147" i="94"/>
  <c r="L116" i="94" l="1"/>
  <c r="K118" i="94"/>
  <c r="L118" i="94" s="1"/>
  <c r="K147" i="94"/>
  <c r="I153" i="94"/>
  <c r="I155" i="94" s="1"/>
  <c r="O106" i="94" s="1"/>
  <c r="L128" i="94"/>
  <c r="K134" i="94"/>
  <c r="K163" i="94"/>
  <c r="I164" i="94"/>
  <c r="E20" i="84"/>
  <c r="E21" i="84"/>
  <c r="E22" i="84"/>
  <c r="E23" i="84"/>
  <c r="E24" i="84"/>
  <c r="E19" i="84"/>
  <c r="A13" i="75"/>
  <c r="A14" i="75" s="1"/>
  <c r="A15" i="75" s="1"/>
  <c r="A16" i="75" s="1"/>
  <c r="A17" i="75" s="1"/>
  <c r="A18" i="75" s="1"/>
  <c r="A19" i="75" s="1"/>
  <c r="A20" i="75" s="1"/>
  <c r="A21" i="75" s="1"/>
  <c r="A22" i="75" s="1"/>
  <c r="A23" i="75" s="1"/>
  <c r="A24" i="75" s="1"/>
  <c r="A25" i="75" s="1"/>
  <c r="A26" i="75" s="1"/>
  <c r="A27" i="75" s="1"/>
  <c r="A28" i="75" s="1"/>
  <c r="D19" i="75"/>
  <c r="F18" i="75"/>
  <c r="F17" i="75"/>
  <c r="F16" i="75"/>
  <c r="F15" i="75"/>
  <c r="F14" i="75"/>
  <c r="F13" i="75"/>
  <c r="A13" i="91"/>
  <c r="A14" i="91" s="1"/>
  <c r="A15" i="91" s="1"/>
  <c r="A16" i="91" s="1"/>
  <c r="A17" i="91" s="1"/>
  <c r="A18" i="91" s="1"/>
  <c r="A19" i="91" s="1"/>
  <c r="A20" i="91" s="1"/>
  <c r="A21" i="91" s="1"/>
  <c r="A22" i="91" s="1"/>
  <c r="D20" i="91"/>
  <c r="L163" i="94" l="1"/>
  <c r="K164" i="94"/>
  <c r="L164" i="94" s="1"/>
  <c r="L147" i="94"/>
  <c r="K153" i="94"/>
  <c r="E16" i="91"/>
  <c r="Q16" i="91" s="1"/>
  <c r="P20" i="91"/>
  <c r="L134" i="94"/>
  <c r="K136" i="94"/>
  <c r="L136" i="94" s="1"/>
  <c r="E17" i="91"/>
  <c r="Q17" i="91" s="1"/>
  <c r="E13" i="91"/>
  <c r="Q13" i="91" s="1"/>
  <c r="F19" i="91"/>
  <c r="R19" i="91" s="1"/>
  <c r="E12" i="91"/>
  <c r="Q12" i="91" s="1"/>
  <c r="E15" i="91"/>
  <c r="Q15" i="91" s="1"/>
  <c r="E18" i="91"/>
  <c r="Q18" i="91" s="1"/>
  <c r="E14" i="91"/>
  <c r="Q14" i="91" s="1"/>
  <c r="F19" i="75"/>
  <c r="L153" i="94" l="1"/>
  <c r="K155" i="94"/>
  <c r="L155" i="94" s="1"/>
  <c r="F19" i="96"/>
  <c r="P19" i="96" s="1"/>
  <c r="I30" i="92"/>
  <c r="AM30" i="92" s="1"/>
  <c r="E20" i="91"/>
  <c r="Q20" i="91" s="1"/>
  <c r="F20" i="91"/>
  <c r="R20" i="91" s="1"/>
  <c r="H19" i="91"/>
  <c r="E17" i="101" l="1"/>
  <c r="G17" i="101" s="1"/>
  <c r="G17" i="96"/>
  <c r="G14" i="96"/>
  <c r="G16" i="96"/>
  <c r="G15" i="96"/>
  <c r="G13" i="96"/>
  <c r="G12" i="96"/>
  <c r="F20" i="96"/>
  <c r="P20" i="96" s="1"/>
  <c r="G18" i="96"/>
  <c r="G19" i="97"/>
  <c r="H19" i="97" s="1"/>
  <c r="H18" i="97" s="1"/>
  <c r="I18" i="97" s="1"/>
  <c r="D24" i="95" s="1"/>
  <c r="F24" i="95" s="1"/>
  <c r="E26" i="69" s="1"/>
  <c r="Q17" i="96"/>
  <c r="Q14" i="96"/>
  <c r="G28" i="75"/>
  <c r="T19" i="91"/>
  <c r="G12" i="91"/>
  <c r="S12" i="91" s="1"/>
  <c r="G15" i="91"/>
  <c r="G16" i="91"/>
  <c r="G13" i="91"/>
  <c r="G18" i="91"/>
  <c r="G17" i="91"/>
  <c r="G14" i="91"/>
  <c r="Q12" i="96" l="1"/>
  <c r="D15" i="95"/>
  <c r="D14" i="95"/>
  <c r="Q18" i="96"/>
  <c r="D13" i="95"/>
  <c r="Q16" i="96"/>
  <c r="D16" i="95"/>
  <c r="Q13" i="96"/>
  <c r="D12" i="95"/>
  <c r="G20" i="96"/>
  <c r="Q20" i="96" s="1"/>
  <c r="Q15" i="96"/>
  <c r="H13" i="91"/>
  <c r="S13" i="91"/>
  <c r="H18" i="91"/>
  <c r="S18" i="91"/>
  <c r="H16" i="91"/>
  <c r="S16" i="91"/>
  <c r="H15" i="91"/>
  <c r="S15" i="91"/>
  <c r="H17" i="91"/>
  <c r="S17" i="91"/>
  <c r="H14" i="91"/>
  <c r="S14" i="91"/>
  <c r="H15" i="97"/>
  <c r="I15" i="97" s="1"/>
  <c r="D21" i="95" s="1"/>
  <c r="F21" i="95" s="1"/>
  <c r="E23" i="69" s="1"/>
  <c r="H14" i="97"/>
  <c r="I14" i="97" s="1"/>
  <c r="D20" i="95" s="1"/>
  <c r="F20" i="95" s="1"/>
  <c r="E22" i="69" s="1"/>
  <c r="H17" i="97"/>
  <c r="I17" i="97" s="1"/>
  <c r="D23" i="95" s="1"/>
  <c r="F23" i="95" s="1"/>
  <c r="E25" i="69" s="1"/>
  <c r="H13" i="97"/>
  <c r="I13" i="97" s="1"/>
  <c r="H16" i="97"/>
  <c r="I16" i="97" s="1"/>
  <c r="D22" i="95" s="1"/>
  <c r="F22" i="95" s="1"/>
  <c r="E24" i="69" s="1"/>
  <c r="H12" i="91"/>
  <c r="G20" i="91"/>
  <c r="S20" i="91" s="1"/>
  <c r="E15" i="101" l="1"/>
  <c r="G15" i="101" s="1"/>
  <c r="E11" i="101"/>
  <c r="G11" i="101" s="1"/>
  <c r="E14" i="101"/>
  <c r="G14" i="101" s="1"/>
  <c r="E13" i="101"/>
  <c r="G13" i="101" s="1"/>
  <c r="T12" i="91"/>
  <c r="E10" i="101"/>
  <c r="E12" i="101"/>
  <c r="G12" i="101" s="1"/>
  <c r="T18" i="91"/>
  <c r="E16" i="101"/>
  <c r="G16" i="101" s="1"/>
  <c r="D16" i="84"/>
  <c r="T16" i="91"/>
  <c r="D14" i="84"/>
  <c r="T14" i="91"/>
  <c r="D15" i="84"/>
  <c r="T15" i="91"/>
  <c r="G19" i="75"/>
  <c r="H19" i="75" s="1"/>
  <c r="T17" i="91"/>
  <c r="D13" i="84"/>
  <c r="T13" i="91"/>
  <c r="D19" i="95"/>
  <c r="I19" i="97"/>
  <c r="H20" i="91"/>
  <c r="T20" i="91" s="1"/>
  <c r="D12" i="84"/>
  <c r="E18" i="101" l="1"/>
  <c r="G10" i="101"/>
  <c r="G18" i="101" s="1"/>
  <c r="F19" i="95"/>
  <c r="E21" i="69" s="1"/>
  <c r="D26" i="95"/>
  <c r="H18" i="75"/>
  <c r="I18" i="75" s="1"/>
  <c r="M49" i="88"/>
  <c r="J49" i="88"/>
  <c r="I49" i="88"/>
  <c r="H49" i="88"/>
  <c r="F49" i="88"/>
  <c r="E49" i="88"/>
  <c r="D49" i="88"/>
  <c r="B49" i="88"/>
  <c r="E48" i="88"/>
  <c r="K47" i="88"/>
  <c r="G47" i="88"/>
  <c r="F47" i="88"/>
  <c r="C47" i="88"/>
  <c r="K46" i="88"/>
  <c r="G46" i="88"/>
  <c r="C46" i="88"/>
  <c r="L45" i="88"/>
  <c r="H45" i="88"/>
  <c r="D45" i="88"/>
  <c r="E44" i="88"/>
  <c r="B43" i="88"/>
  <c r="K42" i="88"/>
  <c r="M41" i="88"/>
  <c r="I41" i="88"/>
  <c r="E41" i="88"/>
  <c r="J40" i="88"/>
  <c r="I40" i="88"/>
  <c r="F40" i="88"/>
  <c r="B40" i="88"/>
  <c r="J39" i="88"/>
  <c r="F39" i="88"/>
  <c r="B39" i="88"/>
  <c r="K38" i="88"/>
  <c r="G38" i="88"/>
  <c r="C38" i="88"/>
  <c r="L37" i="88"/>
  <c r="H37" i="88"/>
  <c r="D37" i="88"/>
  <c r="M36" i="88"/>
  <c r="I36" i="88"/>
  <c r="E36" i="88"/>
  <c r="L49" i="88"/>
  <c r="K49" i="88"/>
  <c r="G49" i="88"/>
  <c r="C49" i="88"/>
  <c r="N31" i="88"/>
  <c r="N30" i="88"/>
  <c r="M48" i="88"/>
  <c r="L48" i="88"/>
  <c r="K48" i="88"/>
  <c r="J48" i="88"/>
  <c r="I48" i="88"/>
  <c r="H48" i="88"/>
  <c r="G48" i="88"/>
  <c r="F48" i="88"/>
  <c r="D48" i="88"/>
  <c r="C48" i="88"/>
  <c r="B48" i="88"/>
  <c r="J43" i="88"/>
  <c r="F43" i="88"/>
  <c r="N28" i="88"/>
  <c r="M43" i="88"/>
  <c r="L43" i="88"/>
  <c r="K43" i="88"/>
  <c r="I43" i="88"/>
  <c r="H43" i="88"/>
  <c r="G43" i="88"/>
  <c r="E43" i="88"/>
  <c r="D43" i="88"/>
  <c r="C43" i="88"/>
  <c r="L47" i="88"/>
  <c r="H47" i="88"/>
  <c r="D47" i="88"/>
  <c r="M47" i="88"/>
  <c r="J47" i="88"/>
  <c r="I47" i="88"/>
  <c r="E47" i="88"/>
  <c r="B47" i="88"/>
  <c r="N24" i="88"/>
  <c r="M42" i="88"/>
  <c r="L42" i="88"/>
  <c r="J42" i="88"/>
  <c r="I42" i="88"/>
  <c r="H42" i="88"/>
  <c r="G42" i="88"/>
  <c r="F42" i="88"/>
  <c r="E42" i="88"/>
  <c r="D42" i="88"/>
  <c r="C42" i="88"/>
  <c r="B42" i="88"/>
  <c r="L46" i="88"/>
  <c r="H46" i="88"/>
  <c r="D46" i="88"/>
  <c r="N22" i="88"/>
  <c r="M46" i="88"/>
  <c r="J46" i="88"/>
  <c r="I46" i="88"/>
  <c r="F46" i="88"/>
  <c r="E46" i="88"/>
  <c r="B46" i="88"/>
  <c r="J41" i="88"/>
  <c r="F41" i="88"/>
  <c r="B41" i="88"/>
  <c r="L41" i="88"/>
  <c r="K41" i="88"/>
  <c r="H41" i="88"/>
  <c r="G41" i="88"/>
  <c r="D41" i="88"/>
  <c r="C41" i="88"/>
  <c r="M38" i="88"/>
  <c r="L38" i="88"/>
  <c r="J38" i="88"/>
  <c r="I38" i="88"/>
  <c r="H38" i="88"/>
  <c r="F38" i="88"/>
  <c r="E38" i="88"/>
  <c r="D38" i="88"/>
  <c r="B38" i="88"/>
  <c r="M45" i="88"/>
  <c r="I45" i="88"/>
  <c r="E45" i="88"/>
  <c r="N17" i="88"/>
  <c r="K45" i="88"/>
  <c r="J45" i="88"/>
  <c r="G45" i="88"/>
  <c r="F45" i="88"/>
  <c r="C45" i="88"/>
  <c r="B45" i="88"/>
  <c r="K40" i="88"/>
  <c r="G40" i="88"/>
  <c r="C40" i="88"/>
  <c r="N15" i="88"/>
  <c r="M40" i="88"/>
  <c r="L40" i="88"/>
  <c r="H40" i="88"/>
  <c r="E40" i="88"/>
  <c r="D40" i="88"/>
  <c r="N14" i="88"/>
  <c r="M44" i="88"/>
  <c r="I44" i="88"/>
  <c r="N13" i="88"/>
  <c r="L44" i="88"/>
  <c r="K44" i="88"/>
  <c r="J44" i="88"/>
  <c r="H44" i="88"/>
  <c r="G44" i="88"/>
  <c r="F44" i="88"/>
  <c r="D44" i="88"/>
  <c r="C44" i="88"/>
  <c r="B44" i="88"/>
  <c r="K39" i="88"/>
  <c r="G39" i="88"/>
  <c r="C39" i="88"/>
  <c r="M39" i="88"/>
  <c r="L39" i="88"/>
  <c r="I39" i="88"/>
  <c r="H39" i="88"/>
  <c r="E39" i="88"/>
  <c r="D39" i="88"/>
  <c r="M37" i="88"/>
  <c r="K37" i="88"/>
  <c r="J37" i="88"/>
  <c r="I37" i="88"/>
  <c r="G37" i="88"/>
  <c r="F37" i="88"/>
  <c r="E37" i="88"/>
  <c r="C37" i="88"/>
  <c r="B37" i="88"/>
  <c r="L36" i="88"/>
  <c r="K36" i="88"/>
  <c r="J36" i="88"/>
  <c r="H36" i="88"/>
  <c r="G36" i="88"/>
  <c r="F36" i="88"/>
  <c r="D36" i="88"/>
  <c r="C36" i="88"/>
  <c r="B36" i="88"/>
  <c r="C7" i="88"/>
  <c r="D7" i="88" s="1"/>
  <c r="E7" i="88" s="1"/>
  <c r="F7" i="88" s="1"/>
  <c r="G7" i="88" s="1"/>
  <c r="H7" i="88" s="1"/>
  <c r="I7" i="88" s="1"/>
  <c r="J7" i="88" s="1"/>
  <c r="K7" i="88" s="1"/>
  <c r="L7" i="88" s="1"/>
  <c r="M7" i="88" s="1"/>
  <c r="BC54" i="86"/>
  <c r="G54" i="86"/>
  <c r="BL51" i="86"/>
  <c r="BK51" i="86"/>
  <c r="BJ51" i="86"/>
  <c r="BI51" i="86"/>
  <c r="BH51" i="86"/>
  <c r="BG51" i="86"/>
  <c r="BF51" i="86"/>
  <c r="BE51" i="86"/>
  <c r="BD51" i="86"/>
  <c r="BC51" i="86"/>
  <c r="BB51" i="86"/>
  <c r="BA51" i="86"/>
  <c r="AZ51" i="86"/>
  <c r="AY51" i="86"/>
  <c r="AX51" i="86"/>
  <c r="AW51" i="86"/>
  <c r="AV51" i="86"/>
  <c r="AU51" i="86"/>
  <c r="AT51" i="86"/>
  <c r="AS51" i="86"/>
  <c r="AR51" i="86"/>
  <c r="AQ51" i="86"/>
  <c r="AP51" i="86"/>
  <c r="AO51" i="86"/>
  <c r="AN51" i="86"/>
  <c r="AM51" i="86"/>
  <c r="AL51" i="86"/>
  <c r="AK51" i="86"/>
  <c r="AJ51" i="86"/>
  <c r="AI51" i="86"/>
  <c r="AH51" i="86"/>
  <c r="AG51" i="86"/>
  <c r="AF51" i="86"/>
  <c r="AE51" i="86"/>
  <c r="AD51" i="86"/>
  <c r="AC51" i="86"/>
  <c r="AB51" i="86"/>
  <c r="AA51" i="86"/>
  <c r="Z51" i="86"/>
  <c r="Y51" i="86"/>
  <c r="X51" i="86"/>
  <c r="W51" i="86"/>
  <c r="V51" i="86"/>
  <c r="U51" i="86"/>
  <c r="T51" i="86"/>
  <c r="S51" i="86"/>
  <c r="R51" i="86"/>
  <c r="Q51" i="86"/>
  <c r="P51" i="86"/>
  <c r="O51" i="86"/>
  <c r="N51" i="86"/>
  <c r="M51" i="86"/>
  <c r="L51" i="86"/>
  <c r="K51" i="86"/>
  <c r="J51" i="86"/>
  <c r="I51" i="86"/>
  <c r="H51" i="86"/>
  <c r="G51" i="86"/>
  <c r="F51" i="86"/>
  <c r="E51" i="86"/>
  <c r="AZ49" i="86"/>
  <c r="AV49" i="86"/>
  <c r="AV62" i="86" s="1"/>
  <c r="AB49" i="86"/>
  <c r="T49" i="86"/>
  <c r="P49" i="86"/>
  <c r="P62" i="86" s="1"/>
  <c r="BL48" i="86"/>
  <c r="BD48" i="86"/>
  <c r="AV48" i="86"/>
  <c r="AF48" i="86"/>
  <c r="X48" i="86"/>
  <c r="P48" i="86"/>
  <c r="BH47" i="86"/>
  <c r="AZ47" i="86"/>
  <c r="AV47" i="86"/>
  <c r="AV60" i="86" s="1"/>
  <c r="AB47" i="86"/>
  <c r="T47" i="86"/>
  <c r="P47" i="86"/>
  <c r="P60" i="86" s="1"/>
  <c r="BE46" i="86"/>
  <c r="BE59" i="86" s="1"/>
  <c r="BD46" i="86"/>
  <c r="AV46" i="86"/>
  <c r="X46" i="86"/>
  <c r="P46" i="86"/>
  <c r="BA45" i="86"/>
  <c r="BA58" i="86" s="1"/>
  <c r="AZ45" i="86"/>
  <c r="AV45" i="86"/>
  <c r="AV58" i="86" s="1"/>
  <c r="AB45" i="86"/>
  <c r="T45" i="86"/>
  <c r="P45" i="86"/>
  <c r="P58" i="86" s="1"/>
  <c r="BD44" i="86"/>
  <c r="AW44" i="86"/>
  <c r="AW50" i="86" s="1"/>
  <c r="AV44" i="86"/>
  <c r="X44" i="86"/>
  <c r="U44" i="86"/>
  <c r="BL42" i="86"/>
  <c r="BK42" i="86"/>
  <c r="BJ42" i="86"/>
  <c r="BI42" i="86"/>
  <c r="BH42" i="86"/>
  <c r="BG42" i="86"/>
  <c r="BF42" i="86"/>
  <c r="BE42" i="86"/>
  <c r="BD42" i="86"/>
  <c r="BD54" i="86" s="1"/>
  <c r="BC42" i="86"/>
  <c r="BB42" i="86"/>
  <c r="BA42" i="86"/>
  <c r="AZ42" i="86"/>
  <c r="AZ54" i="86" s="1"/>
  <c r="AY42" i="86"/>
  <c r="AY54" i="86" s="1"/>
  <c r="AX42" i="86"/>
  <c r="AX54" i="86" s="1"/>
  <c r="AW42" i="86"/>
  <c r="AW54" i="86" s="1"/>
  <c r="AV42" i="86"/>
  <c r="AV54" i="86" s="1"/>
  <c r="AU42" i="86"/>
  <c r="AT42" i="86"/>
  <c r="AS42" i="86"/>
  <c r="AR42" i="86"/>
  <c r="AR54" i="86" s="1"/>
  <c r="AQ42" i="86"/>
  <c r="AQ54" i="86" s="1"/>
  <c r="AP42" i="86"/>
  <c r="AP54" i="86" s="1"/>
  <c r="AO42" i="86"/>
  <c r="AO54" i="86" s="1"/>
  <c r="AN42" i="86"/>
  <c r="AN54" i="86" s="1"/>
  <c r="AM42" i="86"/>
  <c r="AM54" i="86" s="1"/>
  <c r="AL42" i="86"/>
  <c r="AK42" i="86"/>
  <c r="AJ42" i="86"/>
  <c r="AI42" i="86"/>
  <c r="AI54" i="86" s="1"/>
  <c r="AH42" i="86"/>
  <c r="AH54" i="86" s="1"/>
  <c r="AG42" i="86"/>
  <c r="AG54" i="86" s="1"/>
  <c r="AF42" i="86"/>
  <c r="AF54" i="86" s="1"/>
  <c r="AE42" i="86"/>
  <c r="AD42" i="86"/>
  <c r="AC42" i="86"/>
  <c r="AB42" i="86"/>
  <c r="AA42" i="86"/>
  <c r="AA54" i="86" s="1"/>
  <c r="Z42" i="86"/>
  <c r="Z54" i="86" s="1"/>
  <c r="Y42" i="86"/>
  <c r="Y54" i="86" s="1"/>
  <c r="X42" i="86"/>
  <c r="X54" i="86" s="1"/>
  <c r="W42" i="86"/>
  <c r="W54" i="86" s="1"/>
  <c r="V42" i="86"/>
  <c r="U42" i="86"/>
  <c r="T42" i="86"/>
  <c r="S42" i="86"/>
  <c r="R42" i="86"/>
  <c r="Q42" i="86"/>
  <c r="Q54" i="86" s="1"/>
  <c r="P42" i="86"/>
  <c r="P54" i="86" s="1"/>
  <c r="O42" i="86"/>
  <c r="N42" i="86"/>
  <c r="M42" i="86"/>
  <c r="L42" i="86"/>
  <c r="K42" i="86"/>
  <c r="J42" i="86"/>
  <c r="I42" i="86"/>
  <c r="I54" i="86" s="1"/>
  <c r="H42" i="86"/>
  <c r="H54" i="86" s="1"/>
  <c r="G42" i="86"/>
  <c r="F42" i="86"/>
  <c r="E42" i="86"/>
  <c r="BL64" i="86"/>
  <c r="BK64" i="86"/>
  <c r="BJ64" i="86"/>
  <c r="BI64" i="86"/>
  <c r="BH64" i="86"/>
  <c r="BG64" i="86"/>
  <c r="BF64" i="86"/>
  <c r="BE64" i="86"/>
  <c r="BD64" i="86"/>
  <c r="BC64" i="86"/>
  <c r="BB64" i="86"/>
  <c r="BA64" i="86"/>
  <c r="AZ64" i="86"/>
  <c r="AY64" i="86"/>
  <c r="AX64" i="86"/>
  <c r="AW64" i="86"/>
  <c r="AV64" i="86"/>
  <c r="AU64" i="86"/>
  <c r="AT64" i="86"/>
  <c r="AS64" i="86"/>
  <c r="AR64" i="86"/>
  <c r="AQ64" i="86"/>
  <c r="AP64" i="86"/>
  <c r="AO64" i="86"/>
  <c r="AN64" i="86"/>
  <c r="AM64" i="86"/>
  <c r="AL64" i="86"/>
  <c r="AK64" i="86"/>
  <c r="AJ64" i="86"/>
  <c r="AI64" i="86"/>
  <c r="AH64" i="86"/>
  <c r="AG64" i="86"/>
  <c r="AF64" i="86"/>
  <c r="AE64" i="86"/>
  <c r="AD64" i="86"/>
  <c r="AC64" i="86"/>
  <c r="AB64" i="86"/>
  <c r="AA64" i="86"/>
  <c r="Z64" i="86"/>
  <c r="Y64" i="86"/>
  <c r="X64" i="86"/>
  <c r="W64" i="86"/>
  <c r="V64" i="86"/>
  <c r="U64" i="86"/>
  <c r="T64" i="86"/>
  <c r="S64" i="86"/>
  <c r="R64" i="86"/>
  <c r="Q64" i="86"/>
  <c r="P64" i="86"/>
  <c r="O64" i="86"/>
  <c r="N64" i="86"/>
  <c r="M64" i="86"/>
  <c r="L64" i="86"/>
  <c r="K64" i="86"/>
  <c r="J64" i="86"/>
  <c r="I64" i="86"/>
  <c r="H64" i="86"/>
  <c r="G64" i="86"/>
  <c r="F64" i="86"/>
  <c r="E64" i="86"/>
  <c r="BA62" i="86"/>
  <c r="AS62" i="86"/>
  <c r="AO62" i="86"/>
  <c r="U62" i="86"/>
  <c r="BI61" i="86"/>
  <c r="BE61" i="86"/>
  <c r="AW61" i="86"/>
  <c r="AO61" i="86"/>
  <c r="AK61" i="86"/>
  <c r="Q61" i="86"/>
  <c r="M61" i="86"/>
  <c r="BA60" i="86"/>
  <c r="AW60" i="86"/>
  <c r="AK60" i="86"/>
  <c r="M60" i="86"/>
  <c r="I60" i="86"/>
  <c r="E60" i="86"/>
  <c r="AW59" i="86"/>
  <c r="AS59" i="86"/>
  <c r="AG59" i="86"/>
  <c r="U59" i="86"/>
  <c r="I59" i="86"/>
  <c r="BI58" i="86"/>
  <c r="BE58" i="86"/>
  <c r="AS58" i="86"/>
  <c r="Q58" i="86"/>
  <c r="M58" i="86"/>
  <c r="U57" i="86"/>
  <c r="BL54" i="86"/>
  <c r="BK54" i="86"/>
  <c r="BJ54" i="86"/>
  <c r="BI54" i="86"/>
  <c r="BH54" i="86"/>
  <c r="BG54" i="86"/>
  <c r="BF54" i="86"/>
  <c r="BE54" i="86"/>
  <c r="BB54" i="86"/>
  <c r="BA54" i="86"/>
  <c r="AU54" i="86"/>
  <c r="AT54" i="86"/>
  <c r="AS54" i="86"/>
  <c r="AL54" i="86"/>
  <c r="AK54" i="86"/>
  <c r="AJ54" i="86"/>
  <c r="AE54" i="86"/>
  <c r="AD54" i="86"/>
  <c r="AC54" i="86"/>
  <c r="AB54" i="86"/>
  <c r="V54" i="86"/>
  <c r="U54" i="86"/>
  <c r="T54" i="86"/>
  <c r="S54" i="86"/>
  <c r="R54" i="86"/>
  <c r="O54" i="86"/>
  <c r="N54" i="86"/>
  <c r="M54" i="86"/>
  <c r="L54" i="86"/>
  <c r="K54" i="86"/>
  <c r="J54" i="86"/>
  <c r="F54" i="86"/>
  <c r="E54" i="86"/>
  <c r="E26" i="86"/>
  <c r="E22" i="86"/>
  <c r="BL17" i="86"/>
  <c r="BL49" i="86" s="1"/>
  <c r="BL62" i="86" s="1"/>
  <c r="BK17" i="86"/>
  <c r="BK49" i="86" s="1"/>
  <c r="BK62" i="86" s="1"/>
  <c r="BJ17" i="86"/>
  <c r="BJ49" i="86" s="1"/>
  <c r="BI17" i="86"/>
  <c r="BI49" i="86" s="1"/>
  <c r="BH17" i="86"/>
  <c r="BH49" i="86" s="1"/>
  <c r="BG17" i="86"/>
  <c r="BG49" i="86" s="1"/>
  <c r="BF17" i="86"/>
  <c r="BF49" i="86" s="1"/>
  <c r="BE17" i="86"/>
  <c r="BE49" i="86" s="1"/>
  <c r="BE62" i="86" s="1"/>
  <c r="BD17" i="86"/>
  <c r="BD49" i="86" s="1"/>
  <c r="BD62" i="86" s="1"/>
  <c r="BC17" i="86"/>
  <c r="BC49" i="86" s="1"/>
  <c r="BC62" i="86" s="1"/>
  <c r="BB17" i="86"/>
  <c r="BB49" i="86" s="1"/>
  <c r="BA17" i="86"/>
  <c r="BA49" i="86" s="1"/>
  <c r="AZ17" i="86"/>
  <c r="AY17" i="86"/>
  <c r="AY49" i="86" s="1"/>
  <c r="AX17" i="86"/>
  <c r="AX49" i="86" s="1"/>
  <c r="AW17" i="86"/>
  <c r="AW49" i="86" s="1"/>
  <c r="AW62" i="86" s="1"/>
  <c r="AV17" i="86"/>
  <c r="AU17" i="86"/>
  <c r="AU49" i="86" s="1"/>
  <c r="AU62" i="86" s="1"/>
  <c r="AT17" i="86"/>
  <c r="AT49" i="86" s="1"/>
  <c r="AS17" i="86"/>
  <c r="AS49" i="86" s="1"/>
  <c r="AR17" i="86"/>
  <c r="AR49" i="86" s="1"/>
  <c r="AQ17" i="86"/>
  <c r="AQ49" i="86" s="1"/>
  <c r="AP17" i="86"/>
  <c r="AP49" i="86" s="1"/>
  <c r="AO17" i="86"/>
  <c r="AO49" i="86" s="1"/>
  <c r="AN17" i="86"/>
  <c r="AN49" i="86" s="1"/>
  <c r="AN62" i="86" s="1"/>
  <c r="AM17" i="86"/>
  <c r="AM49" i="86" s="1"/>
  <c r="AM62" i="86" s="1"/>
  <c r="AL17" i="86"/>
  <c r="AL49" i="86" s="1"/>
  <c r="AK17" i="86"/>
  <c r="AK49" i="86" s="1"/>
  <c r="AJ17" i="86"/>
  <c r="AJ49" i="86" s="1"/>
  <c r="AI17" i="86"/>
  <c r="AI49" i="86" s="1"/>
  <c r="AH17" i="86"/>
  <c r="AH49" i="86" s="1"/>
  <c r="AG17" i="86"/>
  <c r="AG49" i="86" s="1"/>
  <c r="AG62" i="86" s="1"/>
  <c r="AF17" i="86"/>
  <c r="AF49" i="86" s="1"/>
  <c r="AF62" i="86" s="1"/>
  <c r="AE17" i="86"/>
  <c r="AE49" i="86" s="1"/>
  <c r="AE62" i="86" s="1"/>
  <c r="AD17" i="86"/>
  <c r="AD49" i="86" s="1"/>
  <c r="AC17" i="86"/>
  <c r="AB17" i="86"/>
  <c r="AA17" i="86"/>
  <c r="AA49" i="86" s="1"/>
  <c r="Z17" i="86"/>
  <c r="Z49" i="86" s="1"/>
  <c r="Y17" i="86"/>
  <c r="Y49" i="86" s="1"/>
  <c r="Y62" i="86" s="1"/>
  <c r="X17" i="86"/>
  <c r="X49" i="86" s="1"/>
  <c r="X62" i="86" s="1"/>
  <c r="W17" i="86"/>
  <c r="W49" i="86" s="1"/>
  <c r="W62" i="86" s="1"/>
  <c r="V17" i="86"/>
  <c r="V49" i="86" s="1"/>
  <c r="U17" i="86"/>
  <c r="U49" i="86" s="1"/>
  <c r="T17" i="86"/>
  <c r="S17" i="86"/>
  <c r="S49" i="86" s="1"/>
  <c r="R17" i="86"/>
  <c r="R49" i="86" s="1"/>
  <c r="Q17" i="86"/>
  <c r="Q49" i="86" s="1"/>
  <c r="Q62" i="86" s="1"/>
  <c r="P17" i="86"/>
  <c r="O17" i="86"/>
  <c r="O49" i="86" s="1"/>
  <c r="O62" i="86" s="1"/>
  <c r="N17" i="86"/>
  <c r="N49" i="86" s="1"/>
  <c r="M17" i="86"/>
  <c r="M49" i="86" s="1"/>
  <c r="M62" i="86" s="1"/>
  <c r="L17" i="86"/>
  <c r="L49" i="86" s="1"/>
  <c r="K17" i="86"/>
  <c r="K49" i="86" s="1"/>
  <c r="J17" i="86"/>
  <c r="J49" i="86" s="1"/>
  <c r="I17" i="86"/>
  <c r="I49" i="86" s="1"/>
  <c r="I62" i="86" s="1"/>
  <c r="H17" i="86"/>
  <c r="H49" i="86" s="1"/>
  <c r="H62" i="86" s="1"/>
  <c r="G17" i="86"/>
  <c r="G49" i="86" s="1"/>
  <c r="G62" i="86" s="1"/>
  <c r="F17" i="86"/>
  <c r="F49" i="86" s="1"/>
  <c r="E17" i="86"/>
  <c r="E49" i="86" s="1"/>
  <c r="E62" i="86" s="1"/>
  <c r="BL16" i="86"/>
  <c r="BK16" i="86"/>
  <c r="BK48" i="86" s="1"/>
  <c r="BJ16" i="86"/>
  <c r="BJ48" i="86" s="1"/>
  <c r="BI16" i="86"/>
  <c r="BI48" i="86" s="1"/>
  <c r="BH16" i="86"/>
  <c r="BH48" i="86" s="1"/>
  <c r="BH61" i="86" s="1"/>
  <c r="BG16" i="86"/>
  <c r="BG48" i="86" s="1"/>
  <c r="BG61" i="86" s="1"/>
  <c r="BF16" i="86"/>
  <c r="BF48" i="86" s="1"/>
  <c r="BE16" i="86"/>
  <c r="BE48" i="86" s="1"/>
  <c r="BD16" i="86"/>
  <c r="BC16" i="86"/>
  <c r="BC48" i="86" s="1"/>
  <c r="BB16" i="86"/>
  <c r="BB48" i="86" s="1"/>
  <c r="BA16" i="86"/>
  <c r="BA48" i="86" s="1"/>
  <c r="BA61" i="86" s="1"/>
  <c r="AZ16" i="86"/>
  <c r="AZ48" i="86" s="1"/>
  <c r="AZ61" i="86" s="1"/>
  <c r="AY16" i="86"/>
  <c r="AY48" i="86" s="1"/>
  <c r="AY61" i="86" s="1"/>
  <c r="AX16" i="86"/>
  <c r="AX48" i="86" s="1"/>
  <c r="AW16" i="86"/>
  <c r="AW48" i="86" s="1"/>
  <c r="AV16" i="86"/>
  <c r="AU16" i="86"/>
  <c r="AU48" i="86" s="1"/>
  <c r="AT16" i="86"/>
  <c r="AT48" i="86" s="1"/>
  <c r="AS16" i="86"/>
  <c r="AS48" i="86" s="1"/>
  <c r="AS61" i="86" s="1"/>
  <c r="AR16" i="86"/>
  <c r="AR48" i="86" s="1"/>
  <c r="AR61" i="86" s="1"/>
  <c r="AQ16" i="86"/>
  <c r="AQ48" i="86" s="1"/>
  <c r="AQ61" i="86" s="1"/>
  <c r="AP16" i="86"/>
  <c r="AP48" i="86" s="1"/>
  <c r="AO16" i="86"/>
  <c r="AO48" i="86" s="1"/>
  <c r="AN16" i="86"/>
  <c r="AN48" i="86" s="1"/>
  <c r="AM16" i="86"/>
  <c r="AM48" i="86" s="1"/>
  <c r="AL16" i="86"/>
  <c r="AL48" i="86" s="1"/>
  <c r="AK16" i="86"/>
  <c r="AK48" i="86" s="1"/>
  <c r="AJ16" i="86"/>
  <c r="AJ48" i="86" s="1"/>
  <c r="AJ61" i="86" s="1"/>
  <c r="AI16" i="86"/>
  <c r="AI48" i="86" s="1"/>
  <c r="AI61" i="86" s="1"/>
  <c r="AH16" i="86"/>
  <c r="AH48" i="86" s="1"/>
  <c r="AG16" i="86"/>
  <c r="AG48" i="86" s="1"/>
  <c r="AF16" i="86"/>
  <c r="AE16" i="86"/>
  <c r="AE48" i="86" s="1"/>
  <c r="AD16" i="86"/>
  <c r="AD48" i="86" s="1"/>
  <c r="AC16" i="86"/>
  <c r="AB16" i="86"/>
  <c r="AB48" i="86" s="1"/>
  <c r="AB61" i="86" s="1"/>
  <c r="AA16" i="86"/>
  <c r="AA48" i="86" s="1"/>
  <c r="AA61" i="86" s="1"/>
  <c r="Z16" i="86"/>
  <c r="Z48" i="86" s="1"/>
  <c r="Y16" i="86"/>
  <c r="Y48" i="86" s="1"/>
  <c r="Y61" i="86" s="1"/>
  <c r="X16" i="86"/>
  <c r="W16" i="86"/>
  <c r="W48" i="86" s="1"/>
  <c r="V16" i="86"/>
  <c r="V48" i="86" s="1"/>
  <c r="U16" i="86"/>
  <c r="U48" i="86" s="1"/>
  <c r="U61" i="86" s="1"/>
  <c r="T16" i="86"/>
  <c r="T48" i="86" s="1"/>
  <c r="T61" i="86" s="1"/>
  <c r="S16" i="86"/>
  <c r="S48" i="86" s="1"/>
  <c r="S61" i="86" s="1"/>
  <c r="R16" i="86"/>
  <c r="R48" i="86" s="1"/>
  <c r="Q16" i="86"/>
  <c r="Q48" i="86" s="1"/>
  <c r="P16" i="86"/>
  <c r="O16" i="86"/>
  <c r="O48" i="86" s="1"/>
  <c r="N16" i="86"/>
  <c r="N48" i="86" s="1"/>
  <c r="M16" i="86"/>
  <c r="M48" i="86" s="1"/>
  <c r="L16" i="86"/>
  <c r="L48" i="86" s="1"/>
  <c r="L61" i="86" s="1"/>
  <c r="K16" i="86"/>
  <c r="K48" i="86" s="1"/>
  <c r="K61" i="86" s="1"/>
  <c r="J16" i="86"/>
  <c r="J48" i="86" s="1"/>
  <c r="I16" i="86"/>
  <c r="I48" i="86" s="1"/>
  <c r="I61" i="86" s="1"/>
  <c r="H16" i="86"/>
  <c r="H48" i="86" s="1"/>
  <c r="G16" i="86"/>
  <c r="G48" i="86" s="1"/>
  <c r="F16" i="86"/>
  <c r="F48" i="86" s="1"/>
  <c r="E16" i="86"/>
  <c r="E48" i="86" s="1"/>
  <c r="E61" i="86" s="1"/>
  <c r="BL15" i="86"/>
  <c r="BL47" i="86" s="1"/>
  <c r="BL60" i="86" s="1"/>
  <c r="BK15" i="86"/>
  <c r="BK47" i="86" s="1"/>
  <c r="BK60" i="86" s="1"/>
  <c r="BJ15" i="86"/>
  <c r="BJ47" i="86" s="1"/>
  <c r="BI15" i="86"/>
  <c r="BI47" i="86" s="1"/>
  <c r="BI60" i="86" s="1"/>
  <c r="BH15" i="86"/>
  <c r="BG15" i="86"/>
  <c r="BG47" i="86" s="1"/>
  <c r="BF15" i="86"/>
  <c r="BF47" i="86" s="1"/>
  <c r="BE15" i="86"/>
  <c r="BE47" i="86" s="1"/>
  <c r="BE60" i="86" s="1"/>
  <c r="BD15" i="86"/>
  <c r="BD47" i="86" s="1"/>
  <c r="BD60" i="86" s="1"/>
  <c r="BC15" i="86"/>
  <c r="BC47" i="86" s="1"/>
  <c r="BC60" i="86" s="1"/>
  <c r="BB15" i="86"/>
  <c r="BB47" i="86" s="1"/>
  <c r="BA15" i="86"/>
  <c r="BA47" i="86" s="1"/>
  <c r="AZ15" i="86"/>
  <c r="AY15" i="86"/>
  <c r="AY47" i="86" s="1"/>
  <c r="AX15" i="86"/>
  <c r="AX47" i="86" s="1"/>
  <c r="AW15" i="86"/>
  <c r="AW47" i="86" s="1"/>
  <c r="AV15" i="86"/>
  <c r="AU15" i="86"/>
  <c r="AU47" i="86" s="1"/>
  <c r="AU60" i="86" s="1"/>
  <c r="AT15" i="86"/>
  <c r="AT47" i="86" s="1"/>
  <c r="AS15" i="86"/>
  <c r="AS47" i="86" s="1"/>
  <c r="AS60" i="86" s="1"/>
  <c r="AR15" i="86"/>
  <c r="AR47" i="86" s="1"/>
  <c r="AQ15" i="86"/>
  <c r="AQ47" i="86" s="1"/>
  <c r="AP15" i="86"/>
  <c r="AP47" i="86" s="1"/>
  <c r="AO15" i="86"/>
  <c r="AO47" i="86" s="1"/>
  <c r="AO60" i="86" s="1"/>
  <c r="AN15" i="86"/>
  <c r="AN47" i="86" s="1"/>
  <c r="AN60" i="86" s="1"/>
  <c r="AM15" i="86"/>
  <c r="AM47" i="86" s="1"/>
  <c r="AM60" i="86" s="1"/>
  <c r="AL15" i="86"/>
  <c r="AL47" i="86" s="1"/>
  <c r="AK15" i="86"/>
  <c r="AK47" i="86" s="1"/>
  <c r="AJ15" i="86"/>
  <c r="AJ47" i="86" s="1"/>
  <c r="AI15" i="86"/>
  <c r="AI47" i="86" s="1"/>
  <c r="AH15" i="86"/>
  <c r="AH47" i="86" s="1"/>
  <c r="AG15" i="86"/>
  <c r="AG47" i="86" s="1"/>
  <c r="AG60" i="86" s="1"/>
  <c r="AF15" i="86"/>
  <c r="AF47" i="86" s="1"/>
  <c r="AF60" i="86" s="1"/>
  <c r="AE15" i="86"/>
  <c r="AE47" i="86" s="1"/>
  <c r="AE60" i="86" s="1"/>
  <c r="AD15" i="86"/>
  <c r="AD47" i="86" s="1"/>
  <c r="AC15" i="86"/>
  <c r="AB15" i="86"/>
  <c r="AA15" i="86"/>
  <c r="AA47" i="86" s="1"/>
  <c r="Z15" i="86"/>
  <c r="Z47" i="86" s="1"/>
  <c r="Y15" i="86"/>
  <c r="Y47" i="86" s="1"/>
  <c r="Y60" i="86" s="1"/>
  <c r="X15" i="86"/>
  <c r="X47" i="86" s="1"/>
  <c r="X60" i="86" s="1"/>
  <c r="W15" i="86"/>
  <c r="W47" i="86" s="1"/>
  <c r="W60" i="86" s="1"/>
  <c r="V15" i="86"/>
  <c r="V47" i="86" s="1"/>
  <c r="U15" i="86"/>
  <c r="U47" i="86" s="1"/>
  <c r="U60" i="86" s="1"/>
  <c r="T15" i="86"/>
  <c r="S15" i="86"/>
  <c r="S47" i="86" s="1"/>
  <c r="R15" i="86"/>
  <c r="R47" i="86" s="1"/>
  <c r="Q15" i="86"/>
  <c r="Q47" i="86" s="1"/>
  <c r="Q60" i="86" s="1"/>
  <c r="P15" i="86"/>
  <c r="O15" i="86"/>
  <c r="O47" i="86" s="1"/>
  <c r="O60" i="86" s="1"/>
  <c r="N15" i="86"/>
  <c r="N47" i="86" s="1"/>
  <c r="M15" i="86"/>
  <c r="M47" i="86" s="1"/>
  <c r="L15" i="86"/>
  <c r="L47" i="86" s="1"/>
  <c r="K15" i="86"/>
  <c r="K47" i="86" s="1"/>
  <c r="J15" i="86"/>
  <c r="J47" i="86" s="1"/>
  <c r="I15" i="86"/>
  <c r="I47" i="86" s="1"/>
  <c r="H15" i="86"/>
  <c r="H47" i="86" s="1"/>
  <c r="H60" i="86" s="1"/>
  <c r="G15" i="86"/>
  <c r="G47" i="86" s="1"/>
  <c r="G60" i="86" s="1"/>
  <c r="F15" i="86"/>
  <c r="F47" i="86" s="1"/>
  <c r="E15" i="86"/>
  <c r="E47" i="86" s="1"/>
  <c r="BL14" i="86"/>
  <c r="BL46" i="86" s="1"/>
  <c r="BK14" i="86"/>
  <c r="BK46" i="86" s="1"/>
  <c r="BJ14" i="86"/>
  <c r="BJ46" i="86" s="1"/>
  <c r="BI14" i="86"/>
  <c r="BI46" i="86" s="1"/>
  <c r="BI59" i="86" s="1"/>
  <c r="BH14" i="86"/>
  <c r="BH46" i="86" s="1"/>
  <c r="BH59" i="86" s="1"/>
  <c r="BG14" i="86"/>
  <c r="BG46" i="86" s="1"/>
  <c r="BG59" i="86" s="1"/>
  <c r="BF14" i="86"/>
  <c r="BF46" i="86" s="1"/>
  <c r="BE14" i="86"/>
  <c r="BD14" i="86"/>
  <c r="BC14" i="86"/>
  <c r="BC46" i="86" s="1"/>
  <c r="BB14" i="86"/>
  <c r="BB46" i="86" s="1"/>
  <c r="BA14" i="86"/>
  <c r="BA46" i="86" s="1"/>
  <c r="BA59" i="86" s="1"/>
  <c r="AZ14" i="86"/>
  <c r="AZ46" i="86" s="1"/>
  <c r="AZ59" i="86" s="1"/>
  <c r="AY14" i="86"/>
  <c r="AY46" i="86" s="1"/>
  <c r="AY59" i="86" s="1"/>
  <c r="AX14" i="86"/>
  <c r="AX46" i="86" s="1"/>
  <c r="AW14" i="86"/>
  <c r="AW46" i="86" s="1"/>
  <c r="AV14" i="86"/>
  <c r="AU14" i="86"/>
  <c r="AU46" i="86" s="1"/>
  <c r="AT14" i="86"/>
  <c r="AT46" i="86" s="1"/>
  <c r="AS14" i="86"/>
  <c r="AS46" i="86" s="1"/>
  <c r="AR14" i="86"/>
  <c r="AR46" i="86" s="1"/>
  <c r="AR59" i="86" s="1"/>
  <c r="AQ14" i="86"/>
  <c r="AQ46" i="86" s="1"/>
  <c r="AQ59" i="86" s="1"/>
  <c r="AP14" i="86"/>
  <c r="AP46" i="86" s="1"/>
  <c r="AO14" i="86"/>
  <c r="AO46" i="86" s="1"/>
  <c r="AO59" i="86" s="1"/>
  <c r="AN14" i="86"/>
  <c r="AN46" i="86" s="1"/>
  <c r="AM14" i="86"/>
  <c r="AM46" i="86" s="1"/>
  <c r="AL14" i="86"/>
  <c r="AL46" i="86" s="1"/>
  <c r="AK14" i="86"/>
  <c r="AK46" i="86" s="1"/>
  <c r="AK59" i="86" s="1"/>
  <c r="AJ14" i="86"/>
  <c r="AJ46" i="86" s="1"/>
  <c r="AJ59" i="86" s="1"/>
  <c r="AI14" i="86"/>
  <c r="AI46" i="86" s="1"/>
  <c r="AI59" i="86" s="1"/>
  <c r="AH14" i="86"/>
  <c r="AH46" i="86" s="1"/>
  <c r="AG14" i="86"/>
  <c r="AG46" i="86" s="1"/>
  <c r="AF14" i="86"/>
  <c r="AF46" i="86" s="1"/>
  <c r="AE14" i="86"/>
  <c r="AE46" i="86" s="1"/>
  <c r="AD14" i="86"/>
  <c r="AD46" i="86" s="1"/>
  <c r="AC14" i="86"/>
  <c r="AB14" i="86"/>
  <c r="AB46" i="86" s="1"/>
  <c r="AB59" i="86" s="1"/>
  <c r="AA14" i="86"/>
  <c r="AA46" i="86" s="1"/>
  <c r="AA59" i="86" s="1"/>
  <c r="Z14" i="86"/>
  <c r="Z46" i="86" s="1"/>
  <c r="Y14" i="86"/>
  <c r="Y46" i="86" s="1"/>
  <c r="X14" i="86"/>
  <c r="W14" i="86"/>
  <c r="W46" i="86" s="1"/>
  <c r="V14" i="86"/>
  <c r="V46" i="86" s="1"/>
  <c r="U14" i="86"/>
  <c r="U46" i="86" s="1"/>
  <c r="T14" i="86"/>
  <c r="T46" i="86" s="1"/>
  <c r="T59" i="86" s="1"/>
  <c r="S14" i="86"/>
  <c r="S46" i="86" s="1"/>
  <c r="S59" i="86" s="1"/>
  <c r="R14" i="86"/>
  <c r="R46" i="86" s="1"/>
  <c r="Q14" i="86"/>
  <c r="Q46" i="86" s="1"/>
  <c r="Q59" i="86" s="1"/>
  <c r="P14" i="86"/>
  <c r="O14" i="86"/>
  <c r="O46" i="86" s="1"/>
  <c r="N14" i="86"/>
  <c r="N46" i="86" s="1"/>
  <c r="M14" i="86"/>
  <c r="M46" i="86" s="1"/>
  <c r="M59" i="86" s="1"/>
  <c r="L14" i="86"/>
  <c r="L46" i="86" s="1"/>
  <c r="L59" i="86" s="1"/>
  <c r="K14" i="86"/>
  <c r="K46" i="86" s="1"/>
  <c r="K59" i="86" s="1"/>
  <c r="J14" i="86"/>
  <c r="J46" i="86" s="1"/>
  <c r="I14" i="86"/>
  <c r="I46" i="86" s="1"/>
  <c r="H14" i="86"/>
  <c r="H46" i="86" s="1"/>
  <c r="G14" i="86"/>
  <c r="G46" i="86" s="1"/>
  <c r="F14" i="86"/>
  <c r="F46" i="86" s="1"/>
  <c r="E14" i="86"/>
  <c r="E46" i="86" s="1"/>
  <c r="E59" i="86" s="1"/>
  <c r="BL13" i="86"/>
  <c r="BL45" i="86" s="1"/>
  <c r="BL58" i="86" s="1"/>
  <c r="BK13" i="86"/>
  <c r="BK45" i="86" s="1"/>
  <c r="BK58" i="86" s="1"/>
  <c r="BJ13" i="86"/>
  <c r="BJ45" i="86" s="1"/>
  <c r="BI13" i="86"/>
  <c r="BI45" i="86" s="1"/>
  <c r="BH13" i="86"/>
  <c r="BH45" i="86" s="1"/>
  <c r="BG13" i="86"/>
  <c r="BG45" i="86" s="1"/>
  <c r="BF13" i="86"/>
  <c r="BF45" i="86" s="1"/>
  <c r="BE13" i="86"/>
  <c r="BE45" i="86" s="1"/>
  <c r="BD13" i="86"/>
  <c r="BD45" i="86" s="1"/>
  <c r="BD58" i="86" s="1"/>
  <c r="BC13" i="86"/>
  <c r="BC45" i="86" s="1"/>
  <c r="BC58" i="86" s="1"/>
  <c r="BB13" i="86"/>
  <c r="BB45" i="86" s="1"/>
  <c r="BA13" i="86"/>
  <c r="AZ13" i="86"/>
  <c r="AY13" i="86"/>
  <c r="AY45" i="86" s="1"/>
  <c r="AX13" i="86"/>
  <c r="AX45" i="86" s="1"/>
  <c r="AW13" i="86"/>
  <c r="AW45" i="86" s="1"/>
  <c r="AW58" i="86" s="1"/>
  <c r="AV13" i="86"/>
  <c r="AU13" i="86"/>
  <c r="AU45" i="86" s="1"/>
  <c r="AU58" i="86" s="1"/>
  <c r="AT13" i="86"/>
  <c r="AT45" i="86" s="1"/>
  <c r="AS13" i="86"/>
  <c r="AS45" i="86" s="1"/>
  <c r="AR13" i="86"/>
  <c r="AR45" i="86" s="1"/>
  <c r="AQ13" i="86"/>
  <c r="AQ45" i="86" s="1"/>
  <c r="AP13" i="86"/>
  <c r="AP45" i="86" s="1"/>
  <c r="AO13" i="86"/>
  <c r="AO45" i="86" s="1"/>
  <c r="AO58" i="86" s="1"/>
  <c r="AN13" i="86"/>
  <c r="AN45" i="86" s="1"/>
  <c r="AN58" i="86" s="1"/>
  <c r="AM13" i="86"/>
  <c r="AM45" i="86" s="1"/>
  <c r="AM58" i="86" s="1"/>
  <c r="AL13" i="86"/>
  <c r="AL45" i="86" s="1"/>
  <c r="AK13" i="86"/>
  <c r="AK45" i="86" s="1"/>
  <c r="AK58" i="86" s="1"/>
  <c r="AJ13" i="86"/>
  <c r="AJ45" i="86" s="1"/>
  <c r="AI13" i="86"/>
  <c r="AI45" i="86" s="1"/>
  <c r="AH13" i="86"/>
  <c r="AH45" i="86" s="1"/>
  <c r="AG13" i="86"/>
  <c r="AG45" i="86" s="1"/>
  <c r="AG58" i="86" s="1"/>
  <c r="AF13" i="86"/>
  <c r="AF45" i="86" s="1"/>
  <c r="AF58" i="86" s="1"/>
  <c r="AE13" i="86"/>
  <c r="AE45" i="86" s="1"/>
  <c r="AE58" i="86" s="1"/>
  <c r="AD13" i="86"/>
  <c r="AD45" i="86" s="1"/>
  <c r="AC13" i="86"/>
  <c r="AB13" i="86"/>
  <c r="AA13" i="86"/>
  <c r="AA45" i="86" s="1"/>
  <c r="Z13" i="86"/>
  <c r="Z45" i="86" s="1"/>
  <c r="Y13" i="86"/>
  <c r="Y45" i="86" s="1"/>
  <c r="Y58" i="86" s="1"/>
  <c r="X13" i="86"/>
  <c r="X45" i="86" s="1"/>
  <c r="X58" i="86" s="1"/>
  <c r="W13" i="86"/>
  <c r="W45" i="86" s="1"/>
  <c r="W58" i="86" s="1"/>
  <c r="V13" i="86"/>
  <c r="V45" i="86" s="1"/>
  <c r="U13" i="86"/>
  <c r="U45" i="86" s="1"/>
  <c r="T13" i="86"/>
  <c r="S13" i="86"/>
  <c r="S45" i="86" s="1"/>
  <c r="R13" i="86"/>
  <c r="R45" i="86" s="1"/>
  <c r="Q13" i="86"/>
  <c r="Q45" i="86" s="1"/>
  <c r="P13" i="86"/>
  <c r="O13" i="86"/>
  <c r="O45" i="86" s="1"/>
  <c r="O58" i="86" s="1"/>
  <c r="N13" i="86"/>
  <c r="N45" i="86" s="1"/>
  <c r="M13" i="86"/>
  <c r="M45" i="86" s="1"/>
  <c r="L13" i="86"/>
  <c r="L45" i="86" s="1"/>
  <c r="K13" i="86"/>
  <c r="K45" i="86" s="1"/>
  <c r="J13" i="86"/>
  <c r="J45" i="86" s="1"/>
  <c r="I13" i="86"/>
  <c r="I45" i="86" s="1"/>
  <c r="I58" i="86" s="1"/>
  <c r="H13" i="86"/>
  <c r="H45" i="86" s="1"/>
  <c r="H58" i="86" s="1"/>
  <c r="G13" i="86"/>
  <c r="G45" i="86" s="1"/>
  <c r="G58" i="86" s="1"/>
  <c r="F13" i="86"/>
  <c r="F45" i="86" s="1"/>
  <c r="E13" i="86"/>
  <c r="E45" i="86" s="1"/>
  <c r="E58" i="86" s="1"/>
  <c r="BL12" i="86"/>
  <c r="BK12" i="86"/>
  <c r="BK44" i="86" s="1"/>
  <c r="BJ12" i="86"/>
  <c r="BJ44" i="86" s="1"/>
  <c r="BJ50" i="86" s="1"/>
  <c r="BI12" i="86"/>
  <c r="BI44" i="86" s="1"/>
  <c r="BI57" i="86" s="1"/>
  <c r="BH12" i="86"/>
  <c r="BH18" i="86" s="1"/>
  <c r="BH19" i="86" s="1"/>
  <c r="BG12" i="86"/>
  <c r="BG44" i="86" s="1"/>
  <c r="BG50" i="86" s="1"/>
  <c r="BF12" i="86"/>
  <c r="BE12" i="86"/>
  <c r="BD12" i="86"/>
  <c r="BC12" i="86"/>
  <c r="BC44" i="86" s="1"/>
  <c r="BC50" i="86" s="1"/>
  <c r="BB12" i="86"/>
  <c r="BB44" i="86" s="1"/>
  <c r="BB50" i="86" s="1"/>
  <c r="BA12" i="86"/>
  <c r="BA44" i="86" s="1"/>
  <c r="BA50" i="86" s="1"/>
  <c r="BA65" i="86" s="1"/>
  <c r="BA68" i="86" s="1"/>
  <c r="AZ12" i="86"/>
  <c r="AZ18" i="86" s="1"/>
  <c r="AZ19" i="86" s="1"/>
  <c r="AY12" i="86"/>
  <c r="AY44" i="86" s="1"/>
  <c r="AY50" i="86" s="1"/>
  <c r="AX12" i="86"/>
  <c r="AW12" i="86"/>
  <c r="AV12" i="86"/>
  <c r="AU12" i="86"/>
  <c r="AU44" i="86" s="1"/>
  <c r="AT12" i="86"/>
  <c r="AT44" i="86" s="1"/>
  <c r="AT50" i="86" s="1"/>
  <c r="AS12" i="86"/>
  <c r="AS44" i="86" s="1"/>
  <c r="AS50" i="86" s="1"/>
  <c r="AS65" i="86" s="1"/>
  <c r="AS68" i="86" s="1"/>
  <c r="AR12" i="86"/>
  <c r="AR18" i="86" s="1"/>
  <c r="AR19" i="86" s="1"/>
  <c r="AQ12" i="86"/>
  <c r="AQ44" i="86" s="1"/>
  <c r="AQ50" i="86" s="1"/>
  <c r="AP12" i="86"/>
  <c r="AO12" i="86"/>
  <c r="AN12" i="86"/>
  <c r="AM12" i="86"/>
  <c r="AM44" i="86" s="1"/>
  <c r="AL12" i="86"/>
  <c r="AL44" i="86" s="1"/>
  <c r="AL50" i="86" s="1"/>
  <c r="AK12" i="86"/>
  <c r="AK44" i="86" s="1"/>
  <c r="AK57" i="86" s="1"/>
  <c r="AJ12" i="86"/>
  <c r="AJ18" i="86" s="1"/>
  <c r="AJ19" i="86" s="1"/>
  <c r="AI12" i="86"/>
  <c r="AI44" i="86" s="1"/>
  <c r="AI50" i="86" s="1"/>
  <c r="AH12" i="86"/>
  <c r="AG12" i="86"/>
  <c r="AF12" i="86"/>
  <c r="AF44" i="86" s="1"/>
  <c r="AF50" i="86" s="1"/>
  <c r="AE12" i="86"/>
  <c r="AE44" i="86" s="1"/>
  <c r="AD12" i="86"/>
  <c r="AD44" i="86" s="1"/>
  <c r="AD50" i="86" s="1"/>
  <c r="AC12" i="86"/>
  <c r="AB12" i="86"/>
  <c r="AB18" i="86" s="1"/>
  <c r="AB19" i="86" s="1"/>
  <c r="AA12" i="86"/>
  <c r="AA44" i="86" s="1"/>
  <c r="AA50" i="86" s="1"/>
  <c r="Z12" i="86"/>
  <c r="Y12" i="86"/>
  <c r="X12" i="86"/>
  <c r="W12" i="86"/>
  <c r="W44" i="86" s="1"/>
  <c r="W50" i="86" s="1"/>
  <c r="V12" i="86"/>
  <c r="V44" i="86" s="1"/>
  <c r="V50" i="86" s="1"/>
  <c r="U12" i="86"/>
  <c r="U18" i="86" s="1"/>
  <c r="U19" i="86" s="1"/>
  <c r="T12" i="86"/>
  <c r="T44" i="86" s="1"/>
  <c r="S12" i="86"/>
  <c r="S18" i="86" s="1"/>
  <c r="S19" i="86" s="1"/>
  <c r="R12" i="86"/>
  <c r="Q12" i="86"/>
  <c r="P12" i="86"/>
  <c r="P44" i="86" s="1"/>
  <c r="O12" i="86"/>
  <c r="N12" i="86"/>
  <c r="N44" i="86" s="1"/>
  <c r="N50" i="86" s="1"/>
  <c r="M12" i="86"/>
  <c r="M44" i="86" s="1"/>
  <c r="M50" i="86" s="1"/>
  <c r="L12" i="86"/>
  <c r="L44" i="86" s="1"/>
  <c r="K12" i="86"/>
  <c r="K18" i="86" s="1"/>
  <c r="K19" i="86" s="1"/>
  <c r="J12" i="86"/>
  <c r="I12" i="86"/>
  <c r="H12" i="86"/>
  <c r="H44" i="86" s="1"/>
  <c r="G12" i="86"/>
  <c r="F12" i="86"/>
  <c r="F44" i="86" s="1"/>
  <c r="F50" i="86" s="1"/>
  <c r="E12" i="86"/>
  <c r="E18" i="86" s="1"/>
  <c r="E19" i="86" s="1"/>
  <c r="F6" i="86"/>
  <c r="F26" i="86" s="1"/>
  <c r="BA57" i="86" l="1"/>
  <c r="BA63" i="86" s="1"/>
  <c r="X50" i="86"/>
  <c r="N39" i="88"/>
  <c r="F22" i="86"/>
  <c r="AB44" i="86"/>
  <c r="AB50" i="86" s="1"/>
  <c r="AB65" i="86" s="1"/>
  <c r="AB68" i="86" s="1"/>
  <c r="BD50" i="86"/>
  <c r="AA57" i="86"/>
  <c r="N47" i="88"/>
  <c r="AI57" i="86"/>
  <c r="AM50" i="86"/>
  <c r="AM65" i="86" s="1"/>
  <c r="AM68" i="86" s="1"/>
  <c r="BH44" i="86"/>
  <c r="AQ57" i="86"/>
  <c r="G50" i="88"/>
  <c r="N43" i="88"/>
  <c r="L50" i="86"/>
  <c r="N45" i="88"/>
  <c r="AE50" i="86"/>
  <c r="H50" i="86"/>
  <c r="X18" i="86"/>
  <c r="X19" i="86" s="1"/>
  <c r="AF18" i="86"/>
  <c r="AF19" i="86" s="1"/>
  <c r="AN18" i="86"/>
  <c r="AN19" i="86" s="1"/>
  <c r="AV18" i="86"/>
  <c r="AV19" i="86" s="1"/>
  <c r="BD18" i="86"/>
  <c r="BD19" i="86" s="1"/>
  <c r="BL18" i="86"/>
  <c r="BL19" i="86" s="1"/>
  <c r="D13" i="92"/>
  <c r="AJ44" i="86"/>
  <c r="AJ57" i="86" s="1"/>
  <c r="BL44" i="86"/>
  <c r="BL50" i="86" s="1"/>
  <c r="BL65" i="86" s="1"/>
  <c r="BL68" i="86" s="1"/>
  <c r="C50" i="88"/>
  <c r="AC44" i="86"/>
  <c r="AC57" i="86" s="1"/>
  <c r="D22" i="75"/>
  <c r="D18" i="92"/>
  <c r="AC46" i="86"/>
  <c r="AC59" i="86" s="1"/>
  <c r="D20" i="92"/>
  <c r="D24" i="75"/>
  <c r="O18" i="86"/>
  <c r="O19" i="86" s="1"/>
  <c r="AW18" i="86"/>
  <c r="AW19" i="86" s="1"/>
  <c r="AC45" i="86"/>
  <c r="AC58" i="86" s="1"/>
  <c r="D19" i="92"/>
  <c r="D23" i="75"/>
  <c r="AC47" i="86"/>
  <c r="D25" i="75"/>
  <c r="D21" i="92"/>
  <c r="AC49" i="86"/>
  <c r="AC62" i="86" s="1"/>
  <c r="D23" i="92"/>
  <c r="D27" i="75"/>
  <c r="AS57" i="86"/>
  <c r="AS63" i="86" s="1"/>
  <c r="AN44" i="86"/>
  <c r="AN50" i="86" s="1"/>
  <c r="BG57" i="86"/>
  <c r="AY57" i="86"/>
  <c r="G6" i="86"/>
  <c r="G26" i="86" s="1"/>
  <c r="AC48" i="86"/>
  <c r="AC61" i="86" s="1"/>
  <c r="D26" i="75"/>
  <c r="D22" i="92"/>
  <c r="AZ44" i="86"/>
  <c r="AZ57" i="86" s="1"/>
  <c r="G18" i="86"/>
  <c r="G19" i="86" s="1"/>
  <c r="AU50" i="86"/>
  <c r="AW57" i="86"/>
  <c r="AW63" i="86" s="1"/>
  <c r="AR44" i="86"/>
  <c r="AR57" i="86" s="1"/>
  <c r="D14" i="92"/>
  <c r="K50" i="88"/>
  <c r="D24" i="84"/>
  <c r="F24" i="84" s="1"/>
  <c r="F26" i="69" s="1"/>
  <c r="H13" i="75"/>
  <c r="H17" i="75"/>
  <c r="H16" i="75"/>
  <c r="H15" i="75"/>
  <c r="H14" i="75"/>
  <c r="F50" i="88"/>
  <c r="N8" i="88"/>
  <c r="N16" i="88"/>
  <c r="J32" i="88"/>
  <c r="N37" i="88"/>
  <c r="N25" i="88"/>
  <c r="C32" i="88"/>
  <c r="B50" i="88"/>
  <c r="N36" i="88"/>
  <c r="J50" i="88"/>
  <c r="N42" i="88"/>
  <c r="B32" i="88"/>
  <c r="N49" i="88"/>
  <c r="N9" i="88"/>
  <c r="K32" i="88"/>
  <c r="E50" i="88"/>
  <c r="D50" i="88"/>
  <c r="H50" i="88"/>
  <c r="L50" i="88"/>
  <c r="N10" i="88"/>
  <c r="N11" i="88"/>
  <c r="N44" i="88"/>
  <c r="N12" i="88"/>
  <c r="N38" i="88"/>
  <c r="N19" i="88"/>
  <c r="N41" i="88"/>
  <c r="N20" i="88"/>
  <c r="N26" i="88"/>
  <c r="N27" i="88"/>
  <c r="F32" i="88"/>
  <c r="I50" i="88"/>
  <c r="N40" i="88"/>
  <c r="E32" i="88"/>
  <c r="I32" i="88"/>
  <c r="M32" i="88"/>
  <c r="N46" i="88"/>
  <c r="N21" i="88"/>
  <c r="N48" i="88"/>
  <c r="N29" i="88"/>
  <c r="G32" i="88"/>
  <c r="M50" i="88"/>
  <c r="N18" i="88"/>
  <c r="D32" i="88"/>
  <c r="H32" i="88"/>
  <c r="L32" i="88"/>
  <c r="N23" i="88"/>
  <c r="J44" i="86"/>
  <c r="J50" i="86" s="1"/>
  <c r="J65" i="86" s="1"/>
  <c r="J68" i="86" s="1"/>
  <c r="J18" i="86"/>
  <c r="J19" i="86" s="1"/>
  <c r="R44" i="86"/>
  <c r="R50" i="86" s="1"/>
  <c r="R65" i="86" s="1"/>
  <c r="R68" i="86" s="1"/>
  <c r="R18" i="86"/>
  <c r="R19" i="86" s="1"/>
  <c r="Z44" i="86"/>
  <c r="Z50" i="86" s="1"/>
  <c r="Z18" i="86"/>
  <c r="Z19" i="86" s="1"/>
  <c r="AH44" i="86"/>
  <c r="AH50" i="86" s="1"/>
  <c r="AH18" i="86"/>
  <c r="AH19" i="86" s="1"/>
  <c r="BF44" i="86"/>
  <c r="BF50" i="86" s="1"/>
  <c r="BF65" i="86" s="1"/>
  <c r="BF68" i="86" s="1"/>
  <c r="BF18" i="86"/>
  <c r="BF19" i="86" s="1"/>
  <c r="F18" i="86"/>
  <c r="F19" i="86" s="1"/>
  <c r="V18" i="86"/>
  <c r="V19" i="86" s="1"/>
  <c r="AL18" i="86"/>
  <c r="AL19" i="86" s="1"/>
  <c r="BB18" i="86"/>
  <c r="BB19" i="86" s="1"/>
  <c r="AS66" i="86"/>
  <c r="AS70" i="86" s="1"/>
  <c r="BA66" i="86"/>
  <c r="BA70" i="86" s="1"/>
  <c r="E57" i="86"/>
  <c r="E63" i="86" s="1"/>
  <c r="M57" i="86"/>
  <c r="M63" i="86" s="1"/>
  <c r="BE57" i="86"/>
  <c r="BE63" i="86" s="1"/>
  <c r="U58" i="86"/>
  <c r="U63" i="86" s="1"/>
  <c r="Y59" i="86"/>
  <c r="AC60" i="86"/>
  <c r="AG61" i="86"/>
  <c r="AK62" i="86"/>
  <c r="AK63" i="86" s="1"/>
  <c r="AK66" i="86" s="1"/>
  <c r="AK70" i="86" s="1"/>
  <c r="BI62" i="86"/>
  <c r="BI63" i="86" s="1"/>
  <c r="BI66" i="86" s="1"/>
  <c r="BI70" i="86" s="1"/>
  <c r="E65" i="86"/>
  <c r="E68" i="86" s="1"/>
  <c r="M65" i="86"/>
  <c r="M68" i="86" s="1"/>
  <c r="AW65" i="86"/>
  <c r="AW68" i="86" s="1"/>
  <c r="BI65" i="86"/>
  <c r="BI68" i="86" s="1"/>
  <c r="E44" i="86"/>
  <c r="E50" i="86" s="1"/>
  <c r="M18" i="86"/>
  <c r="M19" i="86" s="1"/>
  <c r="AC18" i="86"/>
  <c r="AC19" i="86" s="1"/>
  <c r="AS18" i="86"/>
  <c r="AS19" i="86" s="1"/>
  <c r="BI18" i="86"/>
  <c r="BI19" i="86" s="1"/>
  <c r="F57" i="86"/>
  <c r="N57" i="86"/>
  <c r="V57" i="86"/>
  <c r="Z57" i="86"/>
  <c r="AD57" i="86"/>
  <c r="AH57" i="86"/>
  <c r="AL57" i="86"/>
  <c r="AT57" i="86"/>
  <c r="AX57" i="86"/>
  <c r="BB57" i="86"/>
  <c r="BJ57" i="86"/>
  <c r="F58" i="86"/>
  <c r="J58" i="86"/>
  <c r="N58" i="86"/>
  <c r="R58" i="86"/>
  <c r="V58" i="86"/>
  <c r="Z58" i="86"/>
  <c r="AD58" i="86"/>
  <c r="AH58" i="86"/>
  <c r="AL58" i="86"/>
  <c r="AP58" i="86"/>
  <c r="AT58" i="86"/>
  <c r="AX58" i="86"/>
  <c r="BB58" i="86"/>
  <c r="BF58" i="86"/>
  <c r="BJ58" i="86"/>
  <c r="F59" i="86"/>
  <c r="J59" i="86"/>
  <c r="N59" i="86"/>
  <c r="V65" i="86"/>
  <c r="V68" i="86" s="1"/>
  <c r="BB65" i="86"/>
  <c r="BB68" i="86" s="1"/>
  <c r="AP44" i="86"/>
  <c r="AP50" i="86" s="1"/>
  <c r="AP65" i="86" s="1"/>
  <c r="AP68" i="86" s="1"/>
  <c r="AP18" i="86"/>
  <c r="AP19" i="86" s="1"/>
  <c r="AX44" i="86"/>
  <c r="AX50" i="86" s="1"/>
  <c r="AX18" i="86"/>
  <c r="AX19" i="86" s="1"/>
  <c r="N18" i="86"/>
  <c r="N19" i="86" s="1"/>
  <c r="AD18" i="86"/>
  <c r="AD19" i="86" s="1"/>
  <c r="AT18" i="86"/>
  <c r="AT19" i="86" s="1"/>
  <c r="BJ18" i="86"/>
  <c r="BJ19" i="86" s="1"/>
  <c r="U50" i="86"/>
  <c r="U65" i="86" s="1"/>
  <c r="U68" i="86" s="1"/>
  <c r="H6" i="86"/>
  <c r="I44" i="86"/>
  <c r="I50" i="86" s="1"/>
  <c r="I65" i="86" s="1"/>
  <c r="I68" i="86" s="1"/>
  <c r="I18" i="86"/>
  <c r="I19" i="86" s="1"/>
  <c r="Q44" i="86"/>
  <c r="Q50" i="86" s="1"/>
  <c r="Q65" i="86" s="1"/>
  <c r="Q68" i="86" s="1"/>
  <c r="Q18" i="86"/>
  <c r="Q19" i="86" s="1"/>
  <c r="Y44" i="86"/>
  <c r="Y50" i="86" s="1"/>
  <c r="Y65" i="86" s="1"/>
  <c r="Y68" i="86" s="1"/>
  <c r="Y18" i="86"/>
  <c r="Y19" i="86" s="1"/>
  <c r="AG44" i="86"/>
  <c r="AG50" i="86" s="1"/>
  <c r="AG65" i="86" s="1"/>
  <c r="AG68" i="86" s="1"/>
  <c r="AG18" i="86"/>
  <c r="AG19" i="86" s="1"/>
  <c r="AK50" i="86"/>
  <c r="AK65" i="86" s="1"/>
  <c r="AK68" i="86" s="1"/>
  <c r="AO18" i="86"/>
  <c r="AO19" i="86" s="1"/>
  <c r="AO44" i="86"/>
  <c r="AO50" i="86" s="1"/>
  <c r="AO65" i="86" s="1"/>
  <c r="AO68" i="86" s="1"/>
  <c r="BE44" i="86"/>
  <c r="BE50" i="86" s="1"/>
  <c r="BE65" i="86" s="1"/>
  <c r="BE68" i="86" s="1"/>
  <c r="BE18" i="86"/>
  <c r="BE19" i="86" s="1"/>
  <c r="BI50" i="86"/>
  <c r="AK18" i="86"/>
  <c r="AK19" i="86" s="1"/>
  <c r="BA18" i="86"/>
  <c r="BA19" i="86" s="1"/>
  <c r="V59" i="86"/>
  <c r="AD59" i="86"/>
  <c r="AL59" i="86"/>
  <c r="AT59" i="86"/>
  <c r="BB59" i="86"/>
  <c r="BJ59" i="86"/>
  <c r="F60" i="86"/>
  <c r="N60" i="86"/>
  <c r="R60" i="86"/>
  <c r="Z60" i="86"/>
  <c r="AD60" i="86"/>
  <c r="AH60" i="86"/>
  <c r="AL60" i="86"/>
  <c r="AT60" i="86"/>
  <c r="AX60" i="86"/>
  <c r="BB60" i="86"/>
  <c r="BF60" i="86"/>
  <c r="BJ60" i="86"/>
  <c r="F61" i="86"/>
  <c r="J61" i="86"/>
  <c r="N61" i="86"/>
  <c r="R61" i="86"/>
  <c r="V61" i="86"/>
  <c r="Z61" i="86"/>
  <c r="AD61" i="86"/>
  <c r="AH61" i="86"/>
  <c r="AL61" i="86"/>
  <c r="AP61" i="86"/>
  <c r="AT61" i="86"/>
  <c r="AX61" i="86"/>
  <c r="BB61" i="86"/>
  <c r="BF61" i="86"/>
  <c r="BJ61" i="86"/>
  <c r="F62" i="86"/>
  <c r="J62" i="86"/>
  <c r="N62" i="86"/>
  <c r="R62" i="86"/>
  <c r="V62" i="86"/>
  <c r="Z62" i="86"/>
  <c r="AD62" i="86"/>
  <c r="AH62" i="86"/>
  <c r="AL62" i="86"/>
  <c r="AP62" i="86"/>
  <c r="AT62" i="86"/>
  <c r="AX62" i="86"/>
  <c r="BB62" i="86"/>
  <c r="BF62" i="86"/>
  <c r="BJ62" i="86"/>
  <c r="F65" i="86"/>
  <c r="F68" i="86" s="1"/>
  <c r="N65" i="86"/>
  <c r="N68" i="86" s="1"/>
  <c r="Z65" i="86"/>
  <c r="Z68" i="86" s="1"/>
  <c r="AD65" i="86"/>
  <c r="AD68" i="86" s="1"/>
  <c r="AH65" i="86"/>
  <c r="AH68" i="86" s="1"/>
  <c r="AL65" i="86"/>
  <c r="AL68" i="86" s="1"/>
  <c r="AT65" i="86"/>
  <c r="AT68" i="86" s="1"/>
  <c r="AX65" i="86"/>
  <c r="AX68" i="86" s="1"/>
  <c r="BJ65" i="86"/>
  <c r="BJ68" i="86" s="1"/>
  <c r="L57" i="86"/>
  <c r="R59" i="86"/>
  <c r="Z59" i="86"/>
  <c r="AH59" i="86"/>
  <c r="AP59" i="86"/>
  <c r="AX59" i="86"/>
  <c r="BF59" i="86"/>
  <c r="J60" i="86"/>
  <c r="AP60" i="86"/>
  <c r="V60" i="86"/>
  <c r="P50" i="86"/>
  <c r="P65" i="86" s="1"/>
  <c r="P68" i="86" s="1"/>
  <c r="T50" i="86"/>
  <c r="T57" i="86"/>
  <c r="AV50" i="86"/>
  <c r="AV65" i="86" s="1"/>
  <c r="AV68" i="86" s="1"/>
  <c r="W59" i="86"/>
  <c r="AM59" i="86"/>
  <c r="AU59" i="86"/>
  <c r="BK59" i="86"/>
  <c r="S60" i="86"/>
  <c r="AA60" i="86"/>
  <c r="AQ60" i="86"/>
  <c r="BG60" i="86"/>
  <c r="O61" i="86"/>
  <c r="W61" i="86"/>
  <c r="AE61" i="86"/>
  <c r="AU61" i="86"/>
  <c r="BK61" i="86"/>
  <c r="K62" i="86"/>
  <c r="AI62" i="86"/>
  <c r="AY62" i="86"/>
  <c r="BG62" i="86"/>
  <c r="O65" i="86"/>
  <c r="O68" i="86" s="1"/>
  <c r="W65" i="86"/>
  <c r="W68" i="86" s="1"/>
  <c r="AA65" i="86"/>
  <c r="AA68" i="86" s="1"/>
  <c r="AE65" i="86"/>
  <c r="AE68" i="86" s="1"/>
  <c r="AI65" i="86"/>
  <c r="AI68" i="86" s="1"/>
  <c r="AQ65" i="86"/>
  <c r="AQ68" i="86" s="1"/>
  <c r="AU65" i="86"/>
  <c r="AU68" i="86" s="1"/>
  <c r="AY65" i="86"/>
  <c r="AY68" i="86" s="1"/>
  <c r="BG65" i="86"/>
  <c r="BG68" i="86" s="1"/>
  <c r="BK65" i="86"/>
  <c r="BK68" i="86" s="1"/>
  <c r="G44" i="86"/>
  <c r="G50" i="86" s="1"/>
  <c r="G65" i="86" s="1"/>
  <c r="G68" i="86" s="1"/>
  <c r="K44" i="86"/>
  <c r="O44" i="86"/>
  <c r="O50" i="86" s="1"/>
  <c r="S44" i="86"/>
  <c r="S50" i="86" s="1"/>
  <c r="S65" i="86" s="1"/>
  <c r="S68" i="86" s="1"/>
  <c r="AZ50" i="86"/>
  <c r="AZ65" i="86" s="1"/>
  <c r="AZ68" i="86" s="1"/>
  <c r="BK50" i="86"/>
  <c r="W18" i="86"/>
  <c r="W19" i="86" s="1"/>
  <c r="AA18" i="86"/>
  <c r="AA19" i="86" s="1"/>
  <c r="AE18" i="86"/>
  <c r="AE19" i="86" s="1"/>
  <c r="AI18" i="86"/>
  <c r="AI19" i="86" s="1"/>
  <c r="AM18" i="86"/>
  <c r="AM19" i="86" s="1"/>
  <c r="AQ18" i="86"/>
  <c r="AQ19" i="86" s="1"/>
  <c r="AU18" i="86"/>
  <c r="AU19" i="86" s="1"/>
  <c r="AY18" i="86"/>
  <c r="AY19" i="86" s="1"/>
  <c r="BC18" i="86"/>
  <c r="BC19" i="86" s="1"/>
  <c r="BG18" i="86"/>
  <c r="BG19" i="86" s="1"/>
  <c r="BK18" i="86"/>
  <c r="BK19" i="86" s="1"/>
  <c r="O57" i="86"/>
  <c r="W57" i="86"/>
  <c r="AE57" i="86"/>
  <c r="AM57" i="86"/>
  <c r="AM63" i="86" s="1"/>
  <c r="AU57" i="86"/>
  <c r="BC57" i="86"/>
  <c r="BC63" i="86" s="1"/>
  <c r="BC66" i="86" s="1"/>
  <c r="BC70" i="86" s="1"/>
  <c r="BK57" i="86"/>
  <c r="K58" i="86"/>
  <c r="S58" i="86"/>
  <c r="AA58" i="86"/>
  <c r="AA63" i="86" s="1"/>
  <c r="AI58" i="86"/>
  <c r="AQ58" i="86"/>
  <c r="AY58" i="86"/>
  <c r="BG58" i="86"/>
  <c r="BG63" i="86" s="1"/>
  <c r="BG66" i="86" s="1"/>
  <c r="BG70" i="86" s="1"/>
  <c r="G59" i="86"/>
  <c r="O59" i="86"/>
  <c r="AE59" i="86"/>
  <c r="BC59" i="86"/>
  <c r="K60" i="86"/>
  <c r="AI60" i="86"/>
  <c r="AI63" i="86" s="1"/>
  <c r="AI66" i="86" s="1"/>
  <c r="AI70" i="86" s="1"/>
  <c r="AY60" i="86"/>
  <c r="G61" i="86"/>
  <c r="AM61" i="86"/>
  <c r="BC61" i="86"/>
  <c r="S62" i="86"/>
  <c r="AA62" i="86"/>
  <c r="AQ62" i="86"/>
  <c r="BC65" i="86"/>
  <c r="BC68" i="86" s="1"/>
  <c r="H18" i="86"/>
  <c r="H19" i="86" s="1"/>
  <c r="L18" i="86"/>
  <c r="L19" i="86" s="1"/>
  <c r="P18" i="86"/>
  <c r="P19" i="86" s="1"/>
  <c r="T18" i="86"/>
  <c r="T19" i="86" s="1"/>
  <c r="H57" i="86"/>
  <c r="P57" i="86"/>
  <c r="X57" i="86"/>
  <c r="X63" i="86" s="1"/>
  <c r="X66" i="86" s="1"/>
  <c r="X70" i="86" s="1"/>
  <c r="AF57" i="86"/>
  <c r="AN57" i="86"/>
  <c r="AV57" i="86"/>
  <c r="BD57" i="86"/>
  <c r="L58" i="86"/>
  <c r="T58" i="86"/>
  <c r="AB58" i="86"/>
  <c r="AJ58" i="86"/>
  <c r="AR58" i="86"/>
  <c r="AZ58" i="86"/>
  <c r="AZ63" i="86" s="1"/>
  <c r="BH58" i="86"/>
  <c r="H59" i="86"/>
  <c r="P59" i="86"/>
  <c r="X59" i="86"/>
  <c r="AF59" i="86"/>
  <c r="AN59" i="86"/>
  <c r="AV59" i="86"/>
  <c r="BD59" i="86"/>
  <c r="BL59" i="86"/>
  <c r="L60" i="86"/>
  <c r="T60" i="86"/>
  <c r="AB60" i="86"/>
  <c r="AJ60" i="86"/>
  <c r="AR60" i="86"/>
  <c r="AZ60" i="86"/>
  <c r="BH60" i="86"/>
  <c r="H61" i="86"/>
  <c r="P61" i="86"/>
  <c r="X61" i="86"/>
  <c r="AF61" i="86"/>
  <c r="AN61" i="86"/>
  <c r="AV61" i="86"/>
  <c r="BD61" i="86"/>
  <c r="BL61" i="86"/>
  <c r="L62" i="86"/>
  <c r="T62" i="86"/>
  <c r="AB62" i="86"/>
  <c r="AJ62" i="86"/>
  <c r="AR62" i="86"/>
  <c r="AZ62" i="86"/>
  <c r="BH62" i="86"/>
  <c r="H65" i="86"/>
  <c r="H68" i="86" s="1"/>
  <c r="L65" i="86"/>
  <c r="L68" i="86" s="1"/>
  <c r="T65" i="86"/>
  <c r="T68" i="86" s="1"/>
  <c r="X65" i="86"/>
  <c r="X68" i="86" s="1"/>
  <c r="AF65" i="86"/>
  <c r="AF68" i="86" s="1"/>
  <c r="AN65" i="86"/>
  <c r="AN68" i="86" s="1"/>
  <c r="BD65" i="86"/>
  <c r="BD68" i="86" s="1"/>
  <c r="AZ66" i="86" l="1"/>
  <c r="AZ70" i="86" s="1"/>
  <c r="F26" i="75"/>
  <c r="E31" i="84"/>
  <c r="AY63" i="86"/>
  <c r="AY66" i="86" s="1"/>
  <c r="AY70" i="86" s="1"/>
  <c r="R57" i="86"/>
  <c r="AH14" i="92"/>
  <c r="I14" i="92"/>
  <c r="F14" i="92"/>
  <c r="AJ14" i="92" s="1"/>
  <c r="AH21" i="92"/>
  <c r="F21" i="92"/>
  <c r="AJ21" i="92" s="1"/>
  <c r="AJ63" i="86"/>
  <c r="E30" i="84"/>
  <c r="F25" i="75"/>
  <c r="W63" i="86"/>
  <c r="W66" i="86" s="1"/>
  <c r="W70" i="86" s="1"/>
  <c r="E13" i="95"/>
  <c r="F13" i="95" s="1"/>
  <c r="E13" i="69" s="1"/>
  <c r="E13" i="84"/>
  <c r="F13" i="84" s="1"/>
  <c r="F13" i="69" s="1"/>
  <c r="AH23" i="92"/>
  <c r="F23" i="92"/>
  <c r="AJ23" i="92" s="1"/>
  <c r="AX63" i="86"/>
  <c r="AX66" i="86" s="1"/>
  <c r="AX70" i="86" s="1"/>
  <c r="AB57" i="86"/>
  <c r="AM66" i="86"/>
  <c r="AM70" i="86" s="1"/>
  <c r="F24" i="75"/>
  <c r="E29" i="84"/>
  <c r="BH50" i="86"/>
  <c r="BH65" i="86" s="1"/>
  <c r="BH68" i="86" s="1"/>
  <c r="BH57" i="86"/>
  <c r="AR63" i="86"/>
  <c r="AH13" i="92"/>
  <c r="F13" i="92"/>
  <c r="I13" i="92"/>
  <c r="AA66" i="86"/>
  <c r="AA70" i="86" s="1"/>
  <c r="AC63" i="86"/>
  <c r="E28" i="84"/>
  <c r="F23" i="75"/>
  <c r="AH18" i="92"/>
  <c r="F18" i="92"/>
  <c r="AJ18" i="92" s="1"/>
  <c r="D24" i="92"/>
  <c r="AH24" i="92" s="1"/>
  <c r="E12" i="95"/>
  <c r="E12" i="84"/>
  <c r="AP57" i="86"/>
  <c r="J57" i="86"/>
  <c r="BL57" i="86"/>
  <c r="AQ63" i="86"/>
  <c r="AQ66" i="86" s="1"/>
  <c r="AQ70" i="86" s="1"/>
  <c r="G22" i="86"/>
  <c r="E16" i="95"/>
  <c r="F16" i="95" s="1"/>
  <c r="E19" i="69" s="1"/>
  <c r="E16" i="84"/>
  <c r="F16" i="84" s="1"/>
  <c r="F19" i="69" s="1"/>
  <c r="AH19" i="92"/>
  <c r="F19" i="92"/>
  <c r="AJ19" i="92" s="1"/>
  <c r="F22" i="75"/>
  <c r="D28" i="75"/>
  <c r="E27" i="84"/>
  <c r="M66" i="86"/>
  <c r="M70" i="86" s="1"/>
  <c r="E14" i="95"/>
  <c r="F14" i="95" s="1"/>
  <c r="E15" i="69" s="1"/>
  <c r="E14" i="84"/>
  <c r="F14" i="84" s="1"/>
  <c r="F15" i="69" s="1"/>
  <c r="E66" i="86"/>
  <c r="E70" i="86" s="1"/>
  <c r="AH20" i="92"/>
  <c r="F20" i="92"/>
  <c r="AJ20" i="92" s="1"/>
  <c r="AJ50" i="86"/>
  <c r="AJ65" i="86" s="1"/>
  <c r="AJ68" i="86" s="1"/>
  <c r="G57" i="86"/>
  <c r="G63" i="86" s="1"/>
  <c r="G66" i="86" s="1"/>
  <c r="G70" i="86" s="1"/>
  <c r="BH63" i="86"/>
  <c r="BH66" i="86" s="1"/>
  <c r="BH70" i="86" s="1"/>
  <c r="BD63" i="86"/>
  <c r="BD66" i="86" s="1"/>
  <c r="BD70" i="86" s="1"/>
  <c r="AC50" i="86"/>
  <c r="AC65" i="86" s="1"/>
  <c r="AC68" i="86" s="1"/>
  <c r="BF57" i="86"/>
  <c r="BF63" i="86" s="1"/>
  <c r="BF66" i="86" s="1"/>
  <c r="BF70" i="86" s="1"/>
  <c r="U66" i="86"/>
  <c r="U70" i="86" s="1"/>
  <c r="E15" i="95"/>
  <c r="F15" i="95" s="1"/>
  <c r="E17" i="69" s="1"/>
  <c r="E15" i="84"/>
  <c r="F15" i="84" s="1"/>
  <c r="F17" i="69" s="1"/>
  <c r="AH22" i="92"/>
  <c r="F22" i="92"/>
  <c r="AJ22" i="92" s="1"/>
  <c r="F27" i="75"/>
  <c r="E32" i="84"/>
  <c r="AR50" i="86"/>
  <c r="AR65" i="86" s="1"/>
  <c r="AR68" i="86" s="1"/>
  <c r="N32" i="88"/>
  <c r="N50" i="88"/>
  <c r="BE66" i="86"/>
  <c r="BE70" i="86" s="1"/>
  <c r="AN63" i="86"/>
  <c r="AN66" i="86" s="1"/>
  <c r="AN70" i="86" s="1"/>
  <c r="H63" i="86"/>
  <c r="H66" i="86" s="1"/>
  <c r="H70" i="86" s="1"/>
  <c r="K50" i="86"/>
  <c r="K65" i="86" s="1"/>
  <c r="K68" i="86" s="1"/>
  <c r="K57" i="86"/>
  <c r="K63" i="86" s="1"/>
  <c r="K66" i="86" s="1"/>
  <c r="K70" i="86" s="1"/>
  <c r="H26" i="86"/>
  <c r="H22" i="86"/>
  <c r="I6" i="86"/>
  <c r="AP63" i="86"/>
  <c r="AP66" i="86" s="1"/>
  <c r="AP70" i="86" s="1"/>
  <c r="Z63" i="86"/>
  <c r="Z66" i="86" s="1"/>
  <c r="Z70" i="86" s="1"/>
  <c r="J63" i="86"/>
  <c r="J66" i="86" s="1"/>
  <c r="J70" i="86" s="1"/>
  <c r="BL63" i="86"/>
  <c r="BL66" i="86" s="1"/>
  <c r="BL70" i="86" s="1"/>
  <c r="AF63" i="86"/>
  <c r="AF66" i="86" s="1"/>
  <c r="AF70" i="86" s="1"/>
  <c r="BK63" i="86"/>
  <c r="BK66" i="86" s="1"/>
  <c r="BK70" i="86" s="1"/>
  <c r="AE63" i="86"/>
  <c r="AE66" i="86" s="1"/>
  <c r="AE70" i="86" s="1"/>
  <c r="S57" i="86"/>
  <c r="S63" i="86" s="1"/>
  <c r="S66" i="86" s="1"/>
  <c r="S70" i="86" s="1"/>
  <c r="BB63" i="86"/>
  <c r="BB66" i="86" s="1"/>
  <c r="BB70" i="86" s="1"/>
  <c r="AL63" i="86"/>
  <c r="AL66" i="86" s="1"/>
  <c r="AL70" i="86" s="1"/>
  <c r="V63" i="86"/>
  <c r="V66" i="86" s="1"/>
  <c r="V70" i="86" s="1"/>
  <c r="F63" i="86"/>
  <c r="F66" i="86" s="1"/>
  <c r="F70" i="86" s="1"/>
  <c r="AB63" i="86"/>
  <c r="AB66" i="86" s="1"/>
  <c r="AB70" i="86" s="1"/>
  <c r="AO57" i="86"/>
  <c r="AO63" i="86" s="1"/>
  <c r="AO66" i="86" s="1"/>
  <c r="AO70" i="86" s="1"/>
  <c r="Y57" i="86"/>
  <c r="Y63" i="86" s="1"/>
  <c r="Y66" i="86" s="1"/>
  <c r="Y70" i="86" s="1"/>
  <c r="I57" i="86"/>
  <c r="I63" i="86" s="1"/>
  <c r="I66" i="86" s="1"/>
  <c r="I70" i="86" s="1"/>
  <c r="AW66" i="86"/>
  <c r="AW70" i="86" s="1"/>
  <c r="AH63" i="86"/>
  <c r="AH66" i="86" s="1"/>
  <c r="AH70" i="86" s="1"/>
  <c r="R63" i="86"/>
  <c r="R66" i="86" s="1"/>
  <c r="R70" i="86" s="1"/>
  <c r="AV63" i="86"/>
  <c r="AV66" i="86" s="1"/>
  <c r="AV70" i="86" s="1"/>
  <c r="P63" i="86"/>
  <c r="P66" i="86" s="1"/>
  <c r="P70" i="86" s="1"/>
  <c r="AU63" i="86"/>
  <c r="AU66" i="86" s="1"/>
  <c r="AU70" i="86" s="1"/>
  <c r="O63" i="86"/>
  <c r="O66" i="86" s="1"/>
  <c r="O70" i="86" s="1"/>
  <c r="T63" i="86"/>
  <c r="T66" i="86" s="1"/>
  <c r="T70" i="86" s="1"/>
  <c r="L63" i="86"/>
  <c r="L66" i="86" s="1"/>
  <c r="L70" i="86" s="1"/>
  <c r="BJ63" i="86"/>
  <c r="BJ66" i="86" s="1"/>
  <c r="BJ70" i="86" s="1"/>
  <c r="AT63" i="86"/>
  <c r="AT66" i="86" s="1"/>
  <c r="AT70" i="86" s="1"/>
  <c r="AD63" i="86"/>
  <c r="AD66" i="86" s="1"/>
  <c r="AD70" i="86" s="1"/>
  <c r="N63" i="86"/>
  <c r="N66" i="86" s="1"/>
  <c r="N70" i="86" s="1"/>
  <c r="AG57" i="86"/>
  <c r="AG63" i="86" s="1"/>
  <c r="AG66" i="86" s="1"/>
  <c r="AG70" i="86" s="1"/>
  <c r="Q57" i="86"/>
  <c r="Q63" i="86" s="1"/>
  <c r="Q66" i="86" s="1"/>
  <c r="Q70" i="86" s="1"/>
  <c r="AM13" i="92" l="1"/>
  <c r="K13" i="92"/>
  <c r="AM14" i="92"/>
  <c r="K14" i="92"/>
  <c r="F28" i="75"/>
  <c r="AR66" i="86"/>
  <c r="AR70" i="86" s="1"/>
  <c r="AJ66" i="86"/>
  <c r="AJ70" i="86" s="1"/>
  <c r="E26" i="95"/>
  <c r="F12" i="95"/>
  <c r="AJ13" i="92"/>
  <c r="F24" i="92"/>
  <c r="E34" i="84"/>
  <c r="F12" i="84"/>
  <c r="AC66" i="86"/>
  <c r="AC70" i="86" s="1"/>
  <c r="I22" i="86"/>
  <c r="J6" i="86"/>
  <c r="I26" i="86"/>
  <c r="H22" i="75" l="1"/>
  <c r="I22" i="75" s="1"/>
  <c r="H26" i="75"/>
  <c r="I26" i="75" s="1"/>
  <c r="D31" i="84" s="1"/>
  <c r="F31" i="84" s="1"/>
  <c r="F36" i="69" s="1"/>
  <c r="H28" i="75"/>
  <c r="H24" i="75"/>
  <c r="I24" i="75" s="1"/>
  <c r="D29" i="84" s="1"/>
  <c r="F29" i="84" s="1"/>
  <c r="F34" i="69" s="1"/>
  <c r="H27" i="75"/>
  <c r="I27" i="75" s="1"/>
  <c r="D32" i="84" s="1"/>
  <c r="F32" i="84" s="1"/>
  <c r="F37" i="69" s="1"/>
  <c r="H23" i="75"/>
  <c r="I23" i="75" s="1"/>
  <c r="D28" i="84" s="1"/>
  <c r="F28" i="84" s="1"/>
  <c r="F33" i="69" s="1"/>
  <c r="H25" i="75"/>
  <c r="I25" i="75" s="1"/>
  <c r="D30" i="84" s="1"/>
  <c r="F30" i="84" s="1"/>
  <c r="F35" i="69" s="1"/>
  <c r="L14" i="92"/>
  <c r="AP14" i="92" s="1"/>
  <c r="AO14" i="92"/>
  <c r="F26" i="92"/>
  <c r="AJ24" i="92"/>
  <c r="AO13" i="92"/>
  <c r="L13" i="92"/>
  <c r="AP13" i="92" s="1"/>
  <c r="F10" i="69"/>
  <c r="F9" i="69"/>
  <c r="G12" i="84"/>
  <c r="F11" i="69" s="1"/>
  <c r="G12" i="95"/>
  <c r="E11" i="69" s="1"/>
  <c r="E9" i="69"/>
  <c r="E10" i="69"/>
  <c r="J22" i="86"/>
  <c r="K6" i="86"/>
  <c r="J26" i="86"/>
  <c r="O13" i="92" l="1"/>
  <c r="AJ26" i="92"/>
  <c r="D27" i="84"/>
  <c r="F27" i="84" s="1"/>
  <c r="F32" i="69" s="1"/>
  <c r="I28" i="75"/>
  <c r="L6" i="86"/>
  <c r="K26" i="86"/>
  <c r="K22" i="86"/>
  <c r="O17" i="92" l="1"/>
  <c r="AS13" i="92"/>
  <c r="L26" i="86"/>
  <c r="L22" i="86"/>
  <c r="M6" i="86"/>
  <c r="H22" i="92" l="1"/>
  <c r="H18" i="92"/>
  <c r="H19" i="92"/>
  <c r="H21" i="92"/>
  <c r="H23" i="92"/>
  <c r="AS17" i="92"/>
  <c r="H20" i="92"/>
  <c r="M26" i="86"/>
  <c r="M22" i="86"/>
  <c r="N6" i="86"/>
  <c r="AL19" i="92" l="1"/>
  <c r="D33" i="69"/>
  <c r="I19" i="92"/>
  <c r="AL20" i="92"/>
  <c r="D34" i="69"/>
  <c r="I20" i="92"/>
  <c r="AL21" i="92"/>
  <c r="D35" i="69"/>
  <c r="I21" i="92"/>
  <c r="AL18" i="92"/>
  <c r="D32" i="69"/>
  <c r="I18" i="92"/>
  <c r="AL23" i="92"/>
  <c r="D37" i="69"/>
  <c r="I23" i="92"/>
  <c r="AL22" i="92"/>
  <c r="D36" i="69"/>
  <c r="I22" i="92"/>
  <c r="N26" i="86"/>
  <c r="O6" i="86"/>
  <c r="N22" i="86"/>
  <c r="I24" i="92" l="1"/>
  <c r="K20" i="92"/>
  <c r="AM20" i="92"/>
  <c r="K18" i="92"/>
  <c r="AM18" i="92"/>
  <c r="K23" i="92"/>
  <c r="AM23" i="92"/>
  <c r="AM19" i="92"/>
  <c r="K19" i="92"/>
  <c r="AM22" i="92"/>
  <c r="K22" i="92"/>
  <c r="K21" i="92"/>
  <c r="AM21" i="92"/>
  <c r="P6" i="86"/>
  <c r="O26" i="86"/>
  <c r="O22" i="86"/>
  <c r="L22" i="92" l="1"/>
  <c r="AP22" i="92" s="1"/>
  <c r="AO22" i="92"/>
  <c r="L20" i="92"/>
  <c r="AP20" i="92" s="1"/>
  <c r="AO20" i="92"/>
  <c r="AO23" i="92"/>
  <c r="L23" i="92"/>
  <c r="AP23" i="92" s="1"/>
  <c r="L21" i="92"/>
  <c r="AP21" i="92" s="1"/>
  <c r="AO21" i="92"/>
  <c r="AO18" i="92"/>
  <c r="L18" i="92"/>
  <c r="AP18" i="92" s="1"/>
  <c r="K24" i="92"/>
  <c r="L19" i="92"/>
  <c r="AP19" i="92" s="1"/>
  <c r="AO19" i="92"/>
  <c r="I26" i="92"/>
  <c r="AM24" i="92"/>
  <c r="P26" i="86"/>
  <c r="P22" i="86"/>
  <c r="Q6" i="86"/>
  <c r="AO24" i="92" l="1"/>
  <c r="K26" i="92"/>
  <c r="L24" i="92"/>
  <c r="AP24" i="92" s="1"/>
  <c r="AM26" i="92"/>
  <c r="I31" i="92"/>
  <c r="O15" i="92"/>
  <c r="AS15" i="92" s="1"/>
  <c r="Q22" i="86"/>
  <c r="R6" i="86"/>
  <c r="Q26" i="86"/>
  <c r="I32" i="92" l="1"/>
  <c r="AM32" i="92" s="1"/>
  <c r="AM31" i="92"/>
  <c r="L26" i="92"/>
  <c r="AP26" i="92" s="1"/>
  <c r="AO26" i="92"/>
  <c r="R22" i="86"/>
  <c r="R26" i="86"/>
  <c r="S6" i="86"/>
  <c r="T6" i="86" l="1"/>
  <c r="S26" i="86"/>
  <c r="S22" i="86"/>
  <c r="T26" i="86" l="1"/>
  <c r="T22" i="86"/>
  <c r="U6" i="86"/>
  <c r="V6" i="86" l="1"/>
  <c r="U26" i="86"/>
  <c r="U22" i="86"/>
  <c r="W6" i="86" l="1"/>
  <c r="V26" i="86"/>
  <c r="V22" i="86"/>
  <c r="X6" i="86" l="1"/>
  <c r="W26" i="86"/>
  <c r="W22" i="86"/>
  <c r="X26" i="86" l="1"/>
  <c r="X22" i="86"/>
  <c r="Y6" i="86"/>
  <c r="Y22" i="86" l="1"/>
  <c r="Y26" i="86"/>
  <c r="Z6" i="86"/>
  <c r="AA6" i="86" l="1"/>
  <c r="Z22" i="86"/>
  <c r="Z26" i="86"/>
  <c r="AB6" i="86" l="1"/>
  <c r="AA26" i="86"/>
  <c r="AA22" i="86"/>
  <c r="AB26" i="86" l="1"/>
  <c r="AB22" i="86"/>
  <c r="AC6" i="86"/>
  <c r="AD6" i="86" l="1"/>
  <c r="AC26" i="86"/>
  <c r="AC22" i="86"/>
  <c r="AE6" i="86" l="1"/>
  <c r="AD26" i="86"/>
  <c r="AD22" i="86"/>
  <c r="AF6" i="86" l="1"/>
  <c r="AE26" i="86"/>
  <c r="AE22" i="86"/>
  <c r="AF26" i="86" l="1"/>
  <c r="AF22" i="86"/>
  <c r="AG6" i="86"/>
  <c r="AG22" i="86" l="1"/>
  <c r="AH6" i="86"/>
  <c r="AG26" i="86"/>
  <c r="AI6" i="86" l="1"/>
  <c r="AH22" i="86"/>
  <c r="AH26" i="86"/>
  <c r="AJ6" i="86" l="1"/>
  <c r="AI26" i="86"/>
  <c r="AI22" i="86"/>
  <c r="AJ26" i="86" l="1"/>
  <c r="AJ22" i="86"/>
  <c r="AK6" i="86"/>
  <c r="AL6" i="86" l="1"/>
  <c r="AK26" i="86"/>
  <c r="AK22" i="86"/>
  <c r="AM6" i="86" l="1"/>
  <c r="AL26" i="86"/>
  <c r="AL22" i="86"/>
  <c r="AN6" i="86" l="1"/>
  <c r="AM26" i="86"/>
  <c r="AM22" i="86"/>
  <c r="AN26" i="86" l="1"/>
  <c r="AN22" i="86"/>
  <c r="AO6" i="86"/>
  <c r="AO22" i="86" l="1"/>
  <c r="AO26" i="86"/>
  <c r="AP6" i="86"/>
  <c r="AQ6" i="86" l="1"/>
  <c r="AP22" i="86"/>
  <c r="AP26" i="86"/>
  <c r="AR6" i="86" l="1"/>
  <c r="AQ26" i="86"/>
  <c r="AQ22" i="86"/>
  <c r="AR26" i="86" l="1"/>
  <c r="AR22" i="86"/>
  <c r="AS6" i="86"/>
  <c r="AT6" i="86" l="1"/>
  <c r="AS26" i="86"/>
  <c r="AS22" i="86"/>
  <c r="AU6" i="86" l="1"/>
  <c r="AT26" i="86"/>
  <c r="AT22" i="86"/>
  <c r="AV6" i="86" l="1"/>
  <c r="AU26" i="86"/>
  <c r="AU22" i="86"/>
  <c r="AV26" i="86" l="1"/>
  <c r="AV22" i="86"/>
  <c r="AW6" i="86"/>
  <c r="AW22" i="86" l="1"/>
  <c r="AW26" i="86"/>
  <c r="AX6" i="86"/>
  <c r="AY6" i="86" l="1"/>
  <c r="AX22" i="86"/>
  <c r="AX26" i="86"/>
  <c r="AZ6" i="86" l="1"/>
  <c r="AY26" i="86"/>
  <c r="AY22" i="86"/>
  <c r="AZ26" i="86" l="1"/>
  <c r="AZ22" i="86"/>
  <c r="BA6" i="86"/>
  <c r="BB6" i="86" l="1"/>
  <c r="BA26" i="86"/>
  <c r="BA22" i="86"/>
  <c r="BC6" i="86" l="1"/>
  <c r="BB26" i="86"/>
  <c r="BB22" i="86"/>
  <c r="BD6" i="86" l="1"/>
  <c r="BC26" i="86"/>
  <c r="BC22" i="86"/>
  <c r="BD26" i="86" l="1"/>
  <c r="BD22" i="86"/>
  <c r="BE6" i="86"/>
  <c r="BE22" i="86" l="1"/>
  <c r="BE26" i="86"/>
  <c r="BF6" i="86"/>
  <c r="BG6" i="86" l="1"/>
  <c r="BF22" i="86"/>
  <c r="BF26" i="86"/>
  <c r="BH6" i="86" l="1"/>
  <c r="BG26" i="86"/>
  <c r="BG22" i="86"/>
  <c r="BH26" i="86" l="1"/>
  <c r="BH22" i="86"/>
  <c r="BI6" i="86"/>
  <c r="BJ6" i="86" l="1"/>
  <c r="BI26" i="86"/>
  <c r="BI22" i="86"/>
  <c r="BK6" i="86" l="1"/>
  <c r="BJ26" i="86"/>
  <c r="BJ22" i="86"/>
  <c r="BL6" i="86" l="1"/>
  <c r="BK26" i="86"/>
  <c r="BK22" i="86"/>
  <c r="BL26" i="86" l="1"/>
  <c r="BL22" i="86"/>
  <c r="A2" i="75" l="1"/>
  <c r="A2" i="84"/>
  <c r="A13" i="84" l="1"/>
  <c r="A14" i="84" s="1"/>
  <c r="A15" i="84" s="1"/>
  <c r="A16" i="84" s="1"/>
  <c r="A17" i="84" s="1"/>
  <c r="A18" i="84" s="1"/>
  <c r="A19" i="84" s="1"/>
  <c r="A20" i="84" s="1"/>
  <c r="A21" i="84" s="1"/>
  <c r="A22" i="84" s="1"/>
  <c r="A23" i="84" s="1"/>
  <c r="A24" i="84" s="1"/>
  <c r="A25" i="84" s="1"/>
  <c r="A26" i="84" s="1"/>
  <c r="A27" i="84" s="1"/>
  <c r="A28" i="84" s="1"/>
  <c r="A29" i="84" s="1"/>
  <c r="A30" i="84" s="1"/>
  <c r="A31" i="84" s="1"/>
  <c r="A32" i="84" s="1"/>
  <c r="A33" i="84" s="1"/>
  <c r="A34" i="84" s="1"/>
  <c r="I13" i="75" l="1"/>
  <c r="D19" i="84" s="1"/>
  <c r="I14" i="75"/>
  <c r="D20" i="84" s="1"/>
  <c r="F20" i="84" s="1"/>
  <c r="F22" i="69" s="1"/>
  <c r="I15" i="75"/>
  <c r="D21" i="84" s="1"/>
  <c r="F21" i="84" s="1"/>
  <c r="F23" i="69" s="1"/>
  <c r="I16" i="75"/>
  <c r="D22" i="84" s="1"/>
  <c r="F22" i="84" s="1"/>
  <c r="F24" i="69" s="1"/>
  <c r="I17" i="75"/>
  <c r="D23" i="84" s="1"/>
  <c r="F23" i="84" s="1"/>
  <c r="F25" i="69" s="1"/>
  <c r="F19" i="84" l="1"/>
  <c r="F21" i="69" s="1"/>
  <c r="D34" i="84"/>
  <c r="I19" i="75"/>
  <c r="A4" i="84"/>
  <c r="A4" i="75"/>
</calcChain>
</file>

<file path=xl/sharedStrings.xml><?xml version="1.0" encoding="utf-8"?>
<sst xmlns="http://schemas.openxmlformats.org/spreadsheetml/2006/main" count="1126" uniqueCount="367">
  <si>
    <t>Puget Sound Energy</t>
  </si>
  <si>
    <t>Proposed</t>
  </si>
  <si>
    <t>Revenue</t>
  </si>
  <si>
    <t>Rate per</t>
  </si>
  <si>
    <t>Rate Class</t>
  </si>
  <si>
    <t>Schedules</t>
  </si>
  <si>
    <t>Requirement</t>
  </si>
  <si>
    <t>Therm</t>
  </si>
  <si>
    <t>Residential</t>
  </si>
  <si>
    <t>16, 23, 53</t>
  </si>
  <si>
    <t>Commercial &amp; Industrial</t>
  </si>
  <si>
    <t>Large Volume</t>
  </si>
  <si>
    <t>Interruptible</t>
  </si>
  <si>
    <t>Limited Interruptible</t>
  </si>
  <si>
    <t>Non-exclusive Interruptible</t>
  </si>
  <si>
    <t>Contracts</t>
  </si>
  <si>
    <t>Total</t>
  </si>
  <si>
    <t>87T</t>
  </si>
  <si>
    <t>(a)</t>
  </si>
  <si>
    <t>(b)</t>
  </si>
  <si>
    <t>(c)</t>
  </si>
  <si>
    <t>(d)</t>
  </si>
  <si>
    <t>Line</t>
  </si>
  <si>
    <t>No.</t>
  </si>
  <si>
    <t>TOTAL</t>
  </si>
  <si>
    <t>Check</t>
  </si>
  <si>
    <t>Proposed Rates Effective November 1, 2023</t>
  </si>
  <si>
    <t>Demand</t>
  </si>
  <si>
    <t>Allocated</t>
  </si>
  <si>
    <t>Schedule 23</t>
  </si>
  <si>
    <t>Schedule 53</t>
  </si>
  <si>
    <t>Schedule 16</t>
  </si>
  <si>
    <t>Schedule 31 - Sales</t>
  </si>
  <si>
    <t>Schedule 41 - Sales</t>
  </si>
  <si>
    <t>Schedule 85 - Sales</t>
  </si>
  <si>
    <t>First 25,000 Therms</t>
  </si>
  <si>
    <t>Next 25,000 Therms</t>
  </si>
  <si>
    <t>Next 50,000 Therms</t>
  </si>
  <si>
    <t>Schedule 86 - Sales</t>
  </si>
  <si>
    <t>Schedule 87 - Sales</t>
  </si>
  <si>
    <t>Next 100,000 therms</t>
  </si>
  <si>
    <t>Next 300,000 therms</t>
  </si>
  <si>
    <t>All over 500,000 therms</t>
  </si>
  <si>
    <t>(e)</t>
  </si>
  <si>
    <t>Customer Class</t>
  </si>
  <si>
    <t>Rate Schedule</t>
  </si>
  <si>
    <t>Per therm</t>
  </si>
  <si>
    <t>Per Mantel</t>
  </si>
  <si>
    <t>Non-Exclusive Interruptible</t>
  </si>
  <si>
    <t>Summary of Rates</t>
  </si>
  <si>
    <t>Therms</t>
  </si>
  <si>
    <t>Change</t>
  </si>
  <si>
    <t>First 25,000 therms</t>
  </si>
  <si>
    <t>Next 25,000 therms</t>
  </si>
  <si>
    <t>Next 50,000 therms</t>
  </si>
  <si>
    <t>Over 500,000 therms</t>
  </si>
  <si>
    <t>% of Margin</t>
  </si>
  <si>
    <t>(f)</t>
  </si>
  <si>
    <t>(g)</t>
  </si>
  <si>
    <t>Allocation of Revenue Requirement</t>
  </si>
  <si>
    <t>Schedule 87 - Non-Exclusive Interruptible</t>
  </si>
  <si>
    <t>Base Rate</t>
  </si>
  <si>
    <t>Rev Req</t>
  </si>
  <si>
    <t>Distribution Upgrades related to providing service to/from Tacoma LNG</t>
  </si>
  <si>
    <t>Note: Dist.Upgrades were never included in the CapEx Allocation by function discussed in the prior Settlement.  It was always intended that Dist.Upgrade costs would be part of gas system and recovered through transportation service.</t>
  </si>
  <si>
    <t>To Tacoma LNG = 21,400 Dth/day or .89M scfh - Impacts on Upgrades 1,2 and 3</t>
  </si>
  <si>
    <t>From Tacoma LNG = 66,000 Dth/day or 2.75M scfh - Impacts on Upgrade 1 only.</t>
  </si>
  <si>
    <t>Per PSE</t>
  </si>
  <si>
    <t>Theoretical Allocation</t>
  </si>
  <si>
    <t>CapEx Allocated</t>
  </si>
  <si>
    <t>Project</t>
  </si>
  <si>
    <t>CapEx ($Million)</t>
  </si>
  <si>
    <t>In-Service Date</t>
  </si>
  <si>
    <t>Non LNG PSE Dist</t>
  </si>
  <si>
    <t>LNG for PSE Dist</t>
  </si>
  <si>
    <t>PSE Dist for PLNG</t>
  </si>
  <si>
    <t>Upgrade 1- new 4 mile line</t>
  </si>
  <si>
    <t>4 mile 16" line (est. attributed as follows:)</t>
  </si>
  <si>
    <t>85% for permits,trench &amp; 12" pipe (21,400 to plant)</t>
  </si>
  <si>
    <t>Oct.2017</t>
  </si>
  <si>
    <t>85% for permits,trench &amp; 12" pipe (21,400 from plant)</t>
  </si>
  <si>
    <t>15% for upgrade to 16" (66,000 less 21,400 from plant)</t>
  </si>
  <si>
    <t>(estimates  by Gas Sys Planning - may be capable of other volumes, but unplanned, so 100% attributed to plant)</t>
  </si>
  <si>
    <t>PSE=</t>
  </si>
  <si>
    <t xml:space="preserve">PSE-Tacoma LNG-PSE Meter Station- 3 meters </t>
  </si>
  <si>
    <t>deliver 21,400 (liquefaction%)</t>
  </si>
  <si>
    <t>Dec.2020</t>
  </si>
  <si>
    <t>receive 66,000 (vaporization%)</t>
  </si>
  <si>
    <t>Boil Off gas (function of tank capacity)</t>
  </si>
  <si>
    <t>Total Plant Meter Station</t>
  </si>
  <si>
    <t>solely for Tacoma LNG plant</t>
  </si>
  <si>
    <t>Total Upgrade 1</t>
  </si>
  <si>
    <t>Upgrade 2 - Golden Givens Pipe and LS</t>
  </si>
  <si>
    <t>1 mile 12" line + GoldenGiven LS</t>
  </si>
  <si>
    <t>-as planned - upsized for system load growth- 39.8%</t>
  </si>
  <si>
    <t>Oct.2020</t>
  </si>
  <si>
    <t>See File: Golden Givens PipeCost Sharing (40 yr average)</t>
  </si>
  <si>
    <t>Upgrade 3 - Frederickson Gate Station</t>
  </si>
  <si>
    <t>upgrade Frederickson Gate Station</t>
  </si>
  <si>
    <t>2.356 Mscfh to 6.0 Mscfh (delta 3.644 Mscfh)</t>
  </si>
  <si>
    <t>Tacoma LNG = 21,400Dth/day = .892 Mscfh or 24.4%</t>
  </si>
  <si>
    <t>Sept.2017</t>
  </si>
  <si>
    <t>(intentionally sized to accomodate other growth)</t>
  </si>
  <si>
    <t>Total Upgrades 1-3</t>
  </si>
  <si>
    <t>All owned &amp; operated as part of PSE Distribution System</t>
  </si>
  <si>
    <t>Total Costs</t>
  </si>
  <si>
    <t>Note:   Because PLNG will have transportation service and pay a RS 87T rate, the allocated total of $19.02 M should be considered the "main extension cost" for service to PLNG and compared to RS87T margin allowance to determine if a CIAC is required or not.  This is how PSE would determine service costs to any other new RS87T customer.</t>
  </si>
  <si>
    <t>Mantle</t>
  </si>
  <si>
    <t>(e) = (c) / (d)</t>
  </si>
  <si>
    <t>(f) = (e) * 19</t>
  </si>
  <si>
    <t>88T</t>
  </si>
  <si>
    <t>2023 Gas Schedule 141D Distribution Pipeline Recovery Filing</t>
  </si>
  <si>
    <t>Sch. 141D Rates</t>
  </si>
  <si>
    <t>Calculation of Schedule 141D Rates</t>
  </si>
  <si>
    <t>Schedule 88T - Transport</t>
  </si>
  <si>
    <t>Gas Forecasted Volumes and Revenues</t>
  </si>
  <si>
    <t>Puget LNG</t>
  </si>
  <si>
    <t>Delivered Therms:</t>
  </si>
  <si>
    <t>87T-I</t>
  </si>
  <si>
    <t>Delivered Therms by Rate Block:</t>
  </si>
  <si>
    <t>Demand Therms:</t>
  </si>
  <si>
    <t>87-I</t>
  </si>
  <si>
    <t>Customers:</t>
  </si>
  <si>
    <t>Rates</t>
  </si>
  <si>
    <t>Basic charge</t>
  </si>
  <si>
    <t>$/month</t>
  </si>
  <si>
    <t>Delivery charge</t>
  </si>
  <si>
    <t xml:space="preserve">  First 25,000 therms</t>
  </si>
  <si>
    <t>$/therm</t>
  </si>
  <si>
    <t xml:space="preserve">  Next 25,000 therms</t>
  </si>
  <si>
    <t xml:space="preserve">  Next 50,000 therms</t>
  </si>
  <si>
    <t xml:space="preserve">  Next 100,000 therms</t>
  </si>
  <si>
    <t xml:space="preserve">  Next 300,000 therms</t>
  </si>
  <si>
    <t xml:space="preserve">  Over 500,000 therms</t>
  </si>
  <si>
    <t>Delivery demand charge</t>
  </si>
  <si>
    <t>Balancing charge (gas cost)</t>
  </si>
  <si>
    <t>Billing Determinants</t>
  </si>
  <si>
    <t>Bills</t>
  </si>
  <si>
    <t>Volume</t>
  </si>
  <si>
    <t>Total volume</t>
  </si>
  <si>
    <t>Contract thms</t>
  </si>
  <si>
    <t>Estimated Revenue</t>
  </si>
  <si>
    <t>Minimum bills</t>
  </si>
  <si>
    <t>Subtotal delivery charge</t>
  </si>
  <si>
    <t>Total revenue</t>
  </si>
  <si>
    <t>Gas cost</t>
  </si>
  <si>
    <t>Total base revenue</t>
  </si>
  <si>
    <t>2022 Gas General Rate Case Filing</t>
  </si>
  <si>
    <t xml:space="preserve">Forecasted Therms by Rate Schedule </t>
  </si>
  <si>
    <t>SCH_016GR</t>
  </si>
  <si>
    <t>SCH_023G</t>
  </si>
  <si>
    <t>SCH_031GC</t>
  </si>
  <si>
    <t>SCH_031GI</t>
  </si>
  <si>
    <t>SCH_031GTC</t>
  </si>
  <si>
    <t>SCH_031GTI</t>
  </si>
  <si>
    <t>SCH_041GC</t>
  </si>
  <si>
    <t>SCH_041GI</t>
  </si>
  <si>
    <t>SCH_041GTC</t>
  </si>
  <si>
    <t>SCH_041GTI</t>
  </si>
  <si>
    <t>SCH_053G</t>
  </si>
  <si>
    <t>SCH_085GC</t>
  </si>
  <si>
    <t>SCH_085GI</t>
  </si>
  <si>
    <t>SCH_085GTC</t>
  </si>
  <si>
    <t>SCH_085GTI</t>
  </si>
  <si>
    <t>SCH_086GC</t>
  </si>
  <si>
    <t>SCH_086GI</t>
  </si>
  <si>
    <t>SCH_086GTC</t>
  </si>
  <si>
    <t>SCH_086GTI</t>
  </si>
  <si>
    <t>SCH_087GC</t>
  </si>
  <si>
    <t>SCH_087GI</t>
  </si>
  <si>
    <t>SCH_087GTC</t>
  </si>
  <si>
    <t>SCH_087GTI</t>
  </si>
  <si>
    <t>SCH_099GT</t>
  </si>
  <si>
    <t>Residential Lighting (16)</t>
  </si>
  <si>
    <t xml:space="preserve">Residential (23) </t>
  </si>
  <si>
    <t>Residential (53)</t>
  </si>
  <si>
    <t>Commercial &amp; industrial (31)</t>
  </si>
  <si>
    <t>Large volume (41)</t>
  </si>
  <si>
    <t>Interruptible (85)</t>
  </si>
  <si>
    <t>Limited interruptible (86)</t>
  </si>
  <si>
    <t>Non exclusive interruptible (87)</t>
  </si>
  <si>
    <t>Trans. General Services (31T)</t>
  </si>
  <si>
    <t>Trans. large volume (41T)</t>
  </si>
  <si>
    <t>Trans. interrupt with firm option (85T)</t>
  </si>
  <si>
    <t>Trans. interrupt with firm option (86T)</t>
  </si>
  <si>
    <t>Trans. non-exclus inter w/firm option (87T)</t>
  </si>
  <si>
    <t>Rate Year Ended December 31, 2024</t>
  </si>
  <si>
    <t>Jan. 2024 -</t>
  </si>
  <si>
    <t>Dec. 2024</t>
  </si>
  <si>
    <t>UG-220067</t>
  </si>
  <si>
    <t>Percent to</t>
  </si>
  <si>
    <t>Remaining</t>
  </si>
  <si>
    <t>Each Class</t>
  </si>
  <si>
    <t>Portion</t>
  </si>
  <si>
    <t>to Sch. 88T</t>
  </si>
  <si>
    <t>Allocation of</t>
  </si>
  <si>
    <t>Portion Allocated to Sch. 88T</t>
  </si>
  <si>
    <t>Sch. 141D</t>
  </si>
  <si>
    <t>Base Rates</t>
  </si>
  <si>
    <t>Allocation of Revenue Requirement to Rate Blocks</t>
  </si>
  <si>
    <t>Sch. 16</t>
  </si>
  <si>
    <t xml:space="preserve">Billing </t>
  </si>
  <si>
    <t>Current Base Rates</t>
  </si>
  <si>
    <t>Proposed Base Rates</t>
  </si>
  <si>
    <t xml:space="preserve">Difference </t>
  </si>
  <si>
    <t>Target</t>
  </si>
  <si>
    <t>Description</t>
  </si>
  <si>
    <t>Units</t>
  </si>
  <si>
    <t>Determinants</t>
  </si>
  <si>
    <t>Revenues</t>
  </si>
  <si>
    <t>$</t>
  </si>
  <si>
    <t>%</t>
  </si>
  <si>
    <t>Increase</t>
  </si>
  <si>
    <t>TARGET 88T</t>
  </si>
  <si>
    <t>Basic Charge</t>
  </si>
  <si>
    <t>Demand Charge</t>
  </si>
  <si>
    <t>over (under)</t>
  </si>
  <si>
    <t>Minimum Bills</t>
  </si>
  <si>
    <t>Delivery Charge:</t>
  </si>
  <si>
    <t>Total Delivery Charges</t>
  </si>
  <si>
    <t>Total Base Revenues</t>
  </si>
  <si>
    <t>Rate Spread and Schedule 141R and 141N Allocation</t>
  </si>
  <si>
    <t>Line No.</t>
  </si>
  <si>
    <t>Total Check</t>
  </si>
  <si>
    <t>Residential (16,23,53)</t>
  </si>
  <si>
    <t>Comm. &amp; Indus. (31,31T)</t>
  </si>
  <si>
    <t>Large Volume (41,41T)</t>
  </si>
  <si>
    <t>Interruptible (85, 85T)</t>
  </si>
  <si>
    <t>Limited Interruptible (86, 86T)</t>
  </si>
  <si>
    <t>Non-Exclusive Interruptible (87, 87T)</t>
  </si>
  <si>
    <t>Total Rate Base</t>
  </si>
  <si>
    <t>Gas Service Revenue - Sales</t>
  </si>
  <si>
    <t>Gas Service Revenue - Transport</t>
  </si>
  <si>
    <t>Other Revenues</t>
  </si>
  <si>
    <t>Total Revenue</t>
  </si>
  <si>
    <t>Revenue to Cost Ratio Under Current Rates</t>
  </si>
  <si>
    <t xml:space="preserve">Parity Ratio </t>
  </si>
  <si>
    <t>Scenario A: Revenues at Equalized Rates of Return</t>
  </si>
  <si>
    <t>Margin Increase/(Decrease)</t>
  </si>
  <si>
    <t>Total Rate Margin at Equalized Rates of Return</t>
  </si>
  <si>
    <t>Miscellaneous Revenue Margin</t>
  </si>
  <si>
    <t>Margin Revenue at Equalized Rates of Return</t>
  </si>
  <si>
    <t>Percent Increase</t>
  </si>
  <si>
    <t xml:space="preserve">Current Parity Ratio </t>
  </si>
  <si>
    <t>Current Total Margin Excluding Contracts</t>
  </si>
  <si>
    <t>Scenario B: Equal Percentage Increase</t>
  </si>
  <si>
    <t>Total Rate Margin</t>
  </si>
  <si>
    <t>Total Margin at Equal Percentage Increase</t>
  </si>
  <si>
    <t>Percent Increase xcld. Contracts</t>
  </si>
  <si>
    <t>Proposed Scenario C: Moderated based on Current Parity Ratio</t>
  </si>
  <si>
    <t>Targeted Multiple of System Increase</t>
  </si>
  <si>
    <t>Targeted Percent Increase</t>
  </si>
  <si>
    <t>Targeted Revenue Increase</t>
  </si>
  <si>
    <t>Delta</t>
  </si>
  <si>
    <t>Allocation of Delta</t>
  </si>
  <si>
    <t>Multiple of System Increase</t>
  </si>
  <si>
    <t xml:space="preserve">Proposed Parity Ratio </t>
  </si>
  <si>
    <t>Current Parity Ratio</t>
  </si>
  <si>
    <t>Settlement:</t>
  </si>
  <si>
    <t>Margin Increase:  Average of Scenario's B &amp; C</t>
  </si>
  <si>
    <t>Total Margin</t>
  </si>
  <si>
    <t xml:space="preserve">Percent Increase </t>
  </si>
  <si>
    <t>Proposed Parity Ratio</t>
  </si>
  <si>
    <t>Schedule 141R and 141N</t>
  </si>
  <si>
    <t>Base Deficiency Allocation</t>
  </si>
  <si>
    <t>Base Deficiency %</t>
  </si>
  <si>
    <t>Non-Refundable</t>
  </si>
  <si>
    <t xml:space="preserve">MYRP 2023 Sch. 141N </t>
  </si>
  <si>
    <t>Margin Adj. for Load</t>
  </si>
  <si>
    <t>MYRP 2023 Sch. 141N  after Adj. for Load</t>
  </si>
  <si>
    <t xml:space="preserve">MYRP 2024 Sch. 141N </t>
  </si>
  <si>
    <t>MYRP 2024 Sch. 141N  after Adj. for Load</t>
  </si>
  <si>
    <t xml:space="preserve">MYRP 2025 Sch. 141N </t>
  </si>
  <si>
    <t>MYRP 2025 Sch. 141N  after Adj. for Load</t>
  </si>
  <si>
    <t>Refundable</t>
  </si>
  <si>
    <t>MYRP 2023 Increase</t>
  </si>
  <si>
    <t>MYRP 2024 Increase</t>
  </si>
  <si>
    <t>MYRP 2025 Increase</t>
  </si>
  <si>
    <t>Schedule 141D</t>
  </si>
  <si>
    <t>Note:  Amounts in bold and italics are different from the October 18, 2022 PSE Response to WUTC Bench Request 002.</t>
  </si>
  <si>
    <t>Gas Rate Spread &amp; Design Work Paper</t>
  </si>
  <si>
    <t>Current and Proposed Rates by Rate Schedule (Schedules 85, 85T, 86, 86T, 87 &amp; 87T)</t>
  </si>
  <si>
    <t>TARGET 85/85T</t>
  </si>
  <si>
    <t>Procurement Charge</t>
  </si>
  <si>
    <t>All over 50,000 Therms</t>
  </si>
  <si>
    <t>Schedule 85 - Transportation</t>
  </si>
  <si>
    <t>Schedule 85 - Total</t>
  </si>
  <si>
    <t>TARGET 86/86T</t>
  </si>
  <si>
    <t>First 1,000 therms</t>
  </si>
  <si>
    <t>All over 1,000 therms</t>
  </si>
  <si>
    <t>Schedule 86 - Transportation</t>
  </si>
  <si>
    <t>Schedule 86 - Total</t>
  </si>
  <si>
    <t>TARGET 87/87T</t>
  </si>
  <si>
    <t xml:space="preserve"> </t>
  </si>
  <si>
    <t>Schedule 87 - Transportation</t>
  </si>
  <si>
    <t>Schedule 87 - Total</t>
  </si>
  <si>
    <t>Interruptible Summary</t>
  </si>
  <si>
    <t>Current</t>
  </si>
  <si>
    <t>Schedules 85, 85T</t>
  </si>
  <si>
    <t>Schedules 86, 86T</t>
  </si>
  <si>
    <t>Schedules 87, 87T</t>
  </si>
  <si>
    <t>Total Summary</t>
  </si>
  <si>
    <t>Plus Contracts</t>
  </si>
  <si>
    <t>Grand Total</t>
  </si>
  <si>
    <t>(1) Schedule 101 rates in effective November 1, 2018</t>
  </si>
  <si>
    <t>Backup</t>
  </si>
  <si>
    <t>Schedule 88T Base Rate Design</t>
  </si>
  <si>
    <t>Reduction in</t>
  </si>
  <si>
    <t>for Sch. 88T</t>
  </si>
  <si>
    <t>Decrease in Margin</t>
  </si>
  <si>
    <t>Index</t>
  </si>
  <si>
    <t>Work Sheet</t>
  </si>
  <si>
    <t>Category</t>
  </si>
  <si>
    <t>Exh JDT-5 (JDT-Rate Spread)</t>
  </si>
  <si>
    <t>Summary of rates by schedule</t>
  </si>
  <si>
    <t>Exh JDT-5 (JDT-INTRPL-RD)</t>
  </si>
  <si>
    <t>Dependent (Linked) Work Papers</t>
  </si>
  <si>
    <t>Precedent (Linked) Work Papers</t>
  </si>
  <si>
    <t>Rate Summary</t>
  </si>
  <si>
    <t>Rate Design (Sch. 141N)</t>
  </si>
  <si>
    <t>Rate Spread (Sch. 141N Blocks)</t>
  </si>
  <si>
    <t>Rate Spread (Sch. 141N)</t>
  </si>
  <si>
    <t>Sch. 88T Rate Design</t>
  </si>
  <si>
    <t>Rate Design (Sch. 141D Blocks)</t>
  </si>
  <si>
    <t>Rate Spread (Sch. 141D)</t>
  </si>
  <si>
    <t>Rate Design (Sch. 141D)</t>
  </si>
  <si>
    <t>RY#2 Therms</t>
  </si>
  <si>
    <t>Work Paper</t>
  </si>
  <si>
    <t>Development of Sch. 88T rates</t>
  </si>
  <si>
    <t>Development of Sch. 141D rates</t>
  </si>
  <si>
    <t>Allocation of Sch. 141D revenue requirement to schedules with rate blocks</t>
  </si>
  <si>
    <t>Allocation of Sch. 141D revenue requirement to rate schedules</t>
  </si>
  <si>
    <t>2022 GRC Allocation of deficiency and Sch. 141D, 141N &amp; 141R revenue requirement to rate classes</t>
  </si>
  <si>
    <t>2022 GRC Development of interruptible schedule base rates</t>
  </si>
  <si>
    <t>2022 GRC CY2024 Therms</t>
  </si>
  <si>
    <t>2022 GRC Puget LNG therms and revenues</t>
  </si>
  <si>
    <t>Exhibit JDT-4</t>
  </si>
  <si>
    <t>Exhibit JDT-5</t>
  </si>
  <si>
    <t>Exhibit JDT-6</t>
  </si>
  <si>
    <t>ALLOCATION OF DISTRIB PORJEGRC</t>
  </si>
  <si>
    <t>EXH. WJD-3 page 1 of 7</t>
  </si>
  <si>
    <t>Exh. WJD-3 p. 1</t>
  </si>
  <si>
    <t>Exhibit WJD-3 supporting allocation of LNG distribution projects for CIAC calculation</t>
  </si>
  <si>
    <t>NEW-PSE-WP-JDT-7-GAS-BILL-IMPACTS-05-2023.xlsx</t>
  </si>
  <si>
    <t>Development of Sch. 141N supplemental rates</t>
  </si>
  <si>
    <t>Allocation of Sch. 141N supplemental revenue requirement to schedules with rate blocks</t>
  </si>
  <si>
    <t>Allocation of Sch. 141N supplemental revenue requirement to rate schedules</t>
  </si>
  <si>
    <t>Exlusive Interruptible</t>
  </si>
  <si>
    <t>Exclusive Interruptible</t>
  </si>
  <si>
    <t>Schedule 88T - Exclusive Interruptible</t>
  </si>
  <si>
    <t>Schedule 88T - Exclusive Interruptible Transportation</t>
  </si>
  <si>
    <t>Calculation of Schedule 141N (Supplemental) Rates</t>
  </si>
  <si>
    <t>Sch. 141N Supp.</t>
  </si>
  <si>
    <t>Schedule 141N (Supplemental) Allocation of Revenue Requirement to Rate Blocks</t>
  </si>
  <si>
    <t>Schedule 141N (Supplemental) Allocation of Revenue Requirement</t>
  </si>
  <si>
    <t>Sch. 141N Rates (Supplemental)</t>
  </si>
  <si>
    <t>Staff's Position</t>
  </si>
  <si>
    <t>PSE's Original Filing</t>
  </si>
  <si>
    <t>Difference</t>
  </si>
  <si>
    <t>Staff</t>
  </si>
  <si>
    <t>PSE</t>
  </si>
  <si>
    <t>Enter Staff (1) or PSE (2)</t>
  </si>
  <si>
    <t>Total 88T</t>
  </si>
  <si>
    <t>PSE's Position</t>
  </si>
  <si>
    <t>UG-230393</t>
  </si>
  <si>
    <t>Table 1 - Comparison of Staff's and PSE's Rate Spread for Schedule 141D</t>
  </si>
  <si>
    <t>Staff Response to Bench Request 6, Attachment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</si>
</sst>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quot;$&quot;* #,##0.00000_);_(&quot;$&quot;* \(#,##0.00000\);_(&quot;$&quot;* &quot;-&quot;??_);_(@_)"/>
    <numFmt numFmtId="166" formatCode="_(* #,##0_);_(* \(#,##0\);_(* &quot;-&quot;??_);_(@_)"/>
    <numFmt numFmtId="167" formatCode="_(&quot;$&quot;* #,##0_);_(&quot;$&quot;* \(#,##0\);_(&quot;$&quot;* &quot;-&quot;??_);_(@_)"/>
    <numFmt numFmtId="168" formatCode="_(&quot;$&quot;* #,##0.00000_);_(&quot;$&quot;* \(#,##0.00000\);_(&quot;$&quot;* &quot;-&quot;?????_);_(@_)"/>
    <numFmt numFmtId="169" formatCode="&quot;$&quot;#,##0.00000\ ;\(&quot;$&quot;#,##0.00000\)"/>
    <numFmt numFmtId="170" formatCode="&quot;$&quot;#,##0.00\ ;\(&quot;$&quot;#,##0.00\)"/>
    <numFmt numFmtId="171" formatCode="0.000%"/>
    <numFmt numFmtId="172" formatCode="&quot;$&quot;#,##0\ ;\(&quot;$&quot;#,##0\)"/>
    <numFmt numFmtId="173" formatCode="0.0000%"/>
    <numFmt numFmtId="174" formatCode="_(&quot;$&quot;* #,##0.000000_);_(&quot;$&quot;* \(#,##0.000000\);_(&quot;$&quot;* &quot;-&quot;??_);_(@_)"/>
  </numFmts>
  <fonts count="29" x14ac:knownFonts="1">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i/>
      <sz val="10"/>
      <color rgb="FF0000FF"/>
      <name val="Arial"/>
      <family val="2"/>
    </font>
    <font>
      <b/>
      <sz val="10"/>
      <color theme="1"/>
      <name val="Arial"/>
      <family val="2"/>
    </font>
    <font>
      <sz val="10"/>
      <color rgb="FF008080"/>
      <name val="Arial"/>
      <family val="2"/>
    </font>
    <font>
      <sz val="10"/>
      <color rgb="FF0000FF"/>
      <name val="Arial"/>
      <family val="2"/>
    </font>
    <font>
      <sz val="10"/>
      <color indexed="12"/>
      <name val="Arial"/>
      <family val="2"/>
    </font>
    <font>
      <sz val="11"/>
      <color theme="1"/>
      <name val="Calibri"/>
      <family val="2"/>
      <scheme val="minor"/>
    </font>
    <font>
      <sz val="10"/>
      <name val="Arial"/>
      <family val="2"/>
    </font>
    <font>
      <b/>
      <sz val="16"/>
      <color theme="1"/>
      <name val="Calibri"/>
      <family val="2"/>
      <scheme val="minor"/>
    </font>
    <font>
      <sz val="11"/>
      <color rgb="FFC00000"/>
      <name val="Calibri"/>
      <family val="2"/>
      <scheme val="minor"/>
    </font>
    <font>
      <i/>
      <sz val="11"/>
      <color theme="1"/>
      <name val="Calibri"/>
      <family val="2"/>
      <scheme val="minor"/>
    </font>
    <font>
      <sz val="10"/>
      <color rgb="FFFF0000"/>
      <name val="Arial"/>
      <family val="2"/>
    </font>
    <font>
      <sz val="10"/>
      <color indexed="8"/>
      <name val="Arial"/>
      <family val="2"/>
    </font>
    <font>
      <sz val="10"/>
      <color indexed="10"/>
      <name val="Arial"/>
      <family val="2"/>
    </font>
    <font>
      <sz val="10"/>
      <color indexed="21"/>
      <name val="Arial"/>
      <family val="2"/>
    </font>
    <font>
      <b/>
      <sz val="11"/>
      <name val="Calibri"/>
      <family val="2"/>
      <scheme val="minor"/>
    </font>
    <font>
      <b/>
      <u val="singleAccounting"/>
      <sz val="11"/>
      <color theme="1"/>
      <name val="Calibri"/>
      <family val="2"/>
      <scheme val="minor"/>
    </font>
    <font>
      <sz val="11"/>
      <name val="Calibri"/>
      <family val="2"/>
      <scheme val="minor"/>
    </font>
    <font>
      <b/>
      <i/>
      <sz val="11"/>
      <color rgb="FF0000FF"/>
      <name val="Calibri"/>
      <family val="2"/>
      <scheme val="minor"/>
    </font>
    <font>
      <sz val="11"/>
      <color theme="0" tint="-0.499984740745262"/>
      <name val="Calibri"/>
      <family val="2"/>
      <scheme val="minor"/>
    </font>
    <font>
      <sz val="9"/>
      <name val="Times New Roman"/>
      <family val="1"/>
    </font>
    <font>
      <u/>
      <sz val="11"/>
      <color theme="10"/>
      <name val="Calibri"/>
      <family val="2"/>
      <scheme val="minor"/>
    </font>
    <font>
      <sz val="10"/>
      <color theme="1"/>
      <name val="Times New Roman"/>
      <family val="1"/>
    </font>
    <font>
      <sz val="8"/>
      <color theme="1"/>
      <name val="Times New Roman"/>
      <family val="1"/>
    </font>
    <font>
      <b/>
      <sz val="8"/>
      <color theme="1"/>
      <name val="Times New Roman"/>
      <family val="1"/>
    </font>
  </fonts>
  <fills count="5">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theme="0" tint="-4.9989318521683403E-2"/>
        <bgColor indexed="64"/>
      </patternFill>
    </fill>
  </fills>
  <borders count="39">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0">
    <xf numFmtId="0" fontId="0"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2" fillId="0" borderId="0"/>
    <xf numFmtId="0" fontId="11"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5" fillId="0" borderId="0" applyNumberFormat="0" applyFill="0" applyBorder="0" applyAlignment="0" applyProtection="0"/>
  </cellStyleXfs>
  <cellXfs count="365">
    <xf numFmtId="0" fontId="0" fillId="0" borderId="0" xfId="0"/>
    <xf numFmtId="0" fontId="0" fillId="0" borderId="0" xfId="0" applyAlignment="1">
      <alignment horizontal="center"/>
    </xf>
    <xf numFmtId="0" fontId="2" fillId="0" borderId="0" xfId="0" applyFont="1"/>
    <xf numFmtId="0" fontId="4" fillId="0" borderId="0" xfId="0" applyFont="1" applyAlignment="1">
      <alignment horizontal="center"/>
    </xf>
    <xf numFmtId="0" fontId="3" fillId="0" borderId="0" xfId="0" applyFont="1" applyAlignment="1">
      <alignment horizontal="left"/>
    </xf>
    <xf numFmtId="0" fontId="3" fillId="0" borderId="0" xfId="0" applyFont="1"/>
    <xf numFmtId="0" fontId="3" fillId="0" borderId="1" xfId="0" applyFont="1" applyBorder="1" applyAlignment="1">
      <alignment horizontal="center"/>
    </xf>
    <xf numFmtId="0" fontId="2" fillId="0" borderId="0" xfId="0" quotePrefix="1" applyFont="1"/>
    <xf numFmtId="0" fontId="3" fillId="0" borderId="0" xfId="0" applyFont="1" applyAlignment="1">
      <alignment horizontal="center" vertical="center"/>
    </xf>
    <xf numFmtId="0" fontId="3" fillId="0" borderId="6" xfId="0" applyFont="1" applyBorder="1" applyAlignment="1">
      <alignment horizontal="center" vertical="center" wrapText="1"/>
    </xf>
    <xf numFmtId="0" fontId="2"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xf numFmtId="0" fontId="2" fillId="0" borderId="7" xfId="0" applyFont="1" applyBorder="1"/>
    <xf numFmtId="0" fontId="2" fillId="0" borderId="0" xfId="0" applyFont="1" applyAlignment="1">
      <alignment horizontal="center"/>
    </xf>
    <xf numFmtId="3" fontId="2" fillId="0" borderId="0" xfId="0" applyNumberFormat="1" applyFont="1"/>
    <xf numFmtId="168" fontId="2" fillId="0" borderId="0" xfId="0" applyNumberFormat="1" applyFont="1"/>
    <xf numFmtId="167" fontId="2" fillId="0" borderId="0" xfId="0" applyNumberFormat="1" applyFont="1"/>
    <xf numFmtId="167" fontId="2" fillId="0" borderId="2" xfId="0" applyNumberFormat="1" applyFont="1" applyBorder="1"/>
    <xf numFmtId="164" fontId="2" fillId="0" borderId="0" xfId="0" applyNumberFormat="1" applyFont="1"/>
    <xf numFmtId="0" fontId="4" fillId="0" borderId="0" xfId="0" applyFont="1"/>
    <xf numFmtId="0" fontId="3" fillId="0" borderId="0" xfId="0" applyFont="1" applyAlignment="1">
      <alignment horizontal="center"/>
    </xf>
    <xf numFmtId="0" fontId="3" fillId="0" borderId="1" xfId="0" applyFont="1" applyBorder="1"/>
    <xf numFmtId="0" fontId="2" fillId="0" borderId="2" xfId="0" applyFont="1" applyBorder="1" applyAlignment="1">
      <alignment horizontal="center"/>
    </xf>
    <xf numFmtId="0" fontId="6" fillId="0" borderId="0" xfId="0" applyFont="1"/>
    <xf numFmtId="0" fontId="6" fillId="0" borderId="0" xfId="0" applyFont="1" applyAlignment="1">
      <alignment horizontal="center"/>
    </xf>
    <xf numFmtId="0" fontId="6" fillId="0" borderId="1" xfId="0" applyFont="1" applyBorder="1" applyAlignment="1">
      <alignment horizontal="center"/>
    </xf>
    <xf numFmtId="167" fontId="4" fillId="0" borderId="2" xfId="0" applyNumberFormat="1" applyFont="1" applyBorder="1"/>
    <xf numFmtId="167" fontId="7" fillId="0" borderId="0" xfId="0" applyNumberFormat="1" applyFont="1"/>
    <xf numFmtId="0" fontId="2" fillId="0" borderId="0" xfId="4"/>
    <xf numFmtId="0" fontId="3" fillId="0" borderId="0" xfId="4" applyFont="1"/>
    <xf numFmtId="0" fontId="12" fillId="0" borderId="0" xfId="0" applyFont="1"/>
    <xf numFmtId="44" fontId="0" fillId="0" borderId="0" xfId="2" applyFont="1"/>
    <xf numFmtId="44" fontId="13" fillId="0" borderId="0" xfId="2" applyFont="1"/>
    <xf numFmtId="0" fontId="0" fillId="0" borderId="0" xfId="0" applyAlignment="1">
      <alignment horizontal="left" wrapText="1"/>
    </xf>
    <xf numFmtId="0" fontId="1" fillId="0" borderId="0" xfId="0" applyFont="1" applyAlignment="1">
      <alignment horizontal="left" vertical="center" wrapText="1" indent="3"/>
    </xf>
    <xf numFmtId="44" fontId="0" fillId="0" borderId="0" xfId="2" applyFont="1" applyAlignment="1">
      <alignment horizontal="center" vertical="center" wrapText="1"/>
    </xf>
    <xf numFmtId="0" fontId="1" fillId="0" borderId="0" xfId="0" applyFont="1"/>
    <xf numFmtId="0" fontId="0" fillId="0" borderId="0" xfId="0" applyAlignment="1">
      <alignment horizontal="left" indent="1"/>
    </xf>
    <xf numFmtId="17" fontId="0" fillId="0" borderId="0" xfId="0" quotePrefix="1" applyNumberFormat="1" applyAlignment="1">
      <alignment horizontal="center"/>
    </xf>
    <xf numFmtId="164" fontId="0" fillId="0" borderId="0" xfId="3" applyNumberFormat="1" applyFont="1"/>
    <xf numFmtId="44" fontId="0" fillId="0" borderId="0" xfId="0" applyNumberFormat="1"/>
    <xf numFmtId="44" fontId="1" fillId="0" borderId="2" xfId="2" applyFont="1" applyBorder="1"/>
    <xf numFmtId="44" fontId="1" fillId="0" borderId="2" xfId="0" applyNumberFormat="1" applyFont="1" applyBorder="1"/>
    <xf numFmtId="44" fontId="0" fillId="0" borderId="0" xfId="2" applyFont="1" applyBorder="1"/>
    <xf numFmtId="164" fontId="0" fillId="0" borderId="15" xfId="3" applyNumberFormat="1" applyFont="1" applyBorder="1"/>
    <xf numFmtId="164" fontId="0" fillId="0" borderId="2" xfId="3" applyNumberFormat="1" applyFont="1" applyBorder="1"/>
    <xf numFmtId="164" fontId="1" fillId="2" borderId="16" xfId="3" applyNumberFormat="1" applyFont="1" applyFill="1" applyBorder="1" applyAlignment="1">
      <alignment horizontal="center"/>
    </xf>
    <xf numFmtId="0" fontId="0" fillId="0" borderId="0" xfId="0" applyAlignment="1">
      <alignment horizontal="center" wrapText="1"/>
    </xf>
    <xf numFmtId="164" fontId="0" fillId="0" borderId="12" xfId="3" applyNumberFormat="1" applyFont="1" applyBorder="1" applyAlignment="1">
      <alignment horizontal="right"/>
    </xf>
    <xf numFmtId="164" fontId="1" fillId="2" borderId="14" xfId="3" applyNumberFormat="1" applyFont="1" applyFill="1" applyBorder="1" applyAlignment="1">
      <alignment horizontal="center" vertical="center"/>
    </xf>
    <xf numFmtId="164" fontId="0" fillId="0" borderId="0" xfId="3" applyNumberFormat="1" applyFont="1" applyBorder="1"/>
    <xf numFmtId="164" fontId="0" fillId="0" borderId="0" xfId="3" applyNumberFormat="1" applyFont="1" applyBorder="1" applyAlignment="1">
      <alignment horizontal="right"/>
    </xf>
    <xf numFmtId="44" fontId="1" fillId="0" borderId="0" xfId="2" applyFont="1" applyBorder="1"/>
    <xf numFmtId="44" fontId="1" fillId="0" borderId="0" xfId="0" applyNumberFormat="1" applyFont="1"/>
    <xf numFmtId="44" fontId="10" fillId="0" borderId="0" xfId="2" applyFont="1" applyBorder="1"/>
    <xf numFmtId="0" fontId="14" fillId="0" borderId="0" xfId="0" applyFont="1"/>
    <xf numFmtId="164" fontId="0" fillId="0" borderId="12" xfId="0" applyNumberFormat="1" applyBorder="1" applyAlignment="1">
      <alignment horizontal="right"/>
    </xf>
    <xf numFmtId="164" fontId="1" fillId="2" borderId="14" xfId="0" applyNumberFormat="1" applyFont="1" applyFill="1" applyBorder="1" applyAlignment="1">
      <alignment horizontal="center" vertical="center"/>
    </xf>
    <xf numFmtId="164" fontId="0" fillId="0" borderId="0" xfId="0" applyNumberFormat="1"/>
    <xf numFmtId="0" fontId="14" fillId="0" borderId="0" xfId="0" quotePrefix="1" applyFont="1"/>
    <xf numFmtId="44" fontId="1" fillId="0" borderId="0" xfId="2" applyFont="1" applyFill="1"/>
    <xf numFmtId="9" fontId="0" fillId="0" borderId="0" xfId="0" applyNumberFormat="1"/>
    <xf numFmtId="166" fontId="0" fillId="0" borderId="0" xfId="1" applyNumberFormat="1" applyFont="1"/>
    <xf numFmtId="44" fontId="1" fillId="0" borderId="0" xfId="2" applyFont="1"/>
    <xf numFmtId="10" fontId="0" fillId="0" borderId="0" xfId="3" applyNumberFormat="1" applyFont="1"/>
    <xf numFmtId="44" fontId="1" fillId="0" borderId="3" xfId="2" applyFont="1" applyBorder="1"/>
    <xf numFmtId="44" fontId="1" fillId="0" borderId="3" xfId="0" applyNumberFormat="1" applyFont="1" applyBorder="1"/>
    <xf numFmtId="164" fontId="0" fillId="0" borderId="9" xfId="3" applyNumberFormat="1" applyFont="1" applyBorder="1"/>
    <xf numFmtId="164" fontId="1" fillId="2" borderId="14" xfId="0" applyNumberFormat="1" applyFont="1" applyFill="1" applyBorder="1" applyAlignment="1">
      <alignment horizontal="center"/>
    </xf>
    <xf numFmtId="0" fontId="0" fillId="0" borderId="0" xfId="0" applyAlignment="1">
      <alignment horizontal="right"/>
    </xf>
    <xf numFmtId="9" fontId="0" fillId="0" borderId="0" xfId="0" applyNumberFormat="1" applyAlignment="1">
      <alignment horizontal="left"/>
    </xf>
    <xf numFmtId="3" fontId="7" fillId="0" borderId="0" xfId="0" applyNumberFormat="1" applyFont="1"/>
    <xf numFmtId="165" fontId="4" fillId="0" borderId="0" xfId="0" applyNumberFormat="1" applyFont="1"/>
    <xf numFmtId="44" fontId="4" fillId="0" borderId="0" xfId="0" applyNumberFormat="1" applyFont="1"/>
    <xf numFmtId="3" fontId="4" fillId="0" borderId="2" xfId="0" applyNumberFormat="1" applyFont="1" applyBorder="1"/>
    <xf numFmtId="0" fontId="3" fillId="0" borderId="0" xfId="4" applyFont="1" applyAlignment="1">
      <alignment horizontal="centerContinuous"/>
    </xf>
    <xf numFmtId="0" fontId="2" fillId="0" borderId="0" xfId="4" applyAlignment="1">
      <alignment horizontal="center"/>
    </xf>
    <xf numFmtId="0" fontId="2" fillId="0" borderId="1" xfId="4" applyBorder="1" applyAlignment="1">
      <alignment horizontal="center"/>
    </xf>
    <xf numFmtId="17" fontId="8" fillId="0" borderId="1" xfId="4" applyNumberFormat="1" applyFont="1" applyBorder="1" applyAlignment="1">
      <alignment horizontal="center"/>
    </xf>
    <xf numFmtId="17" fontId="2" fillId="0" borderId="1" xfId="4" applyNumberFormat="1" applyBorder="1" applyAlignment="1">
      <alignment horizontal="center"/>
    </xf>
    <xf numFmtId="0" fontId="2" fillId="0" borderId="0" xfId="4" applyAlignment="1">
      <alignment horizontal="left"/>
    </xf>
    <xf numFmtId="166" fontId="8" fillId="0" borderId="0" xfId="4" applyNumberFormat="1" applyFont="1"/>
    <xf numFmtId="0" fontId="15" fillId="0" borderId="0" xfId="4" applyFont="1" applyAlignment="1">
      <alignment horizontal="right"/>
    </xf>
    <xf numFmtId="166" fontId="15" fillId="0" borderId="0" xfId="4" applyNumberFormat="1" applyFont="1" applyAlignment="1">
      <alignment horizontal="left"/>
    </xf>
    <xf numFmtId="17" fontId="2" fillId="0" borderId="0" xfId="4" applyNumberFormat="1"/>
    <xf numFmtId="166" fontId="2" fillId="0" borderId="0" xfId="4" applyNumberFormat="1" applyAlignment="1">
      <alignment horizontal="left"/>
    </xf>
    <xf numFmtId="166" fontId="4" fillId="0" borderId="0" xfId="4" applyNumberFormat="1" applyFont="1" applyAlignment="1">
      <alignment horizontal="left"/>
    </xf>
    <xf numFmtId="166" fontId="4" fillId="0" borderId="2" xfId="4" applyNumberFormat="1" applyFont="1" applyBorder="1" applyAlignment="1">
      <alignment horizontal="left"/>
    </xf>
    <xf numFmtId="0" fontId="15" fillId="0" borderId="0" xfId="4" applyFont="1" applyAlignment="1">
      <alignment horizontal="left"/>
    </xf>
    <xf numFmtId="17" fontId="4" fillId="0" borderId="1" xfId="4" applyNumberFormat="1" applyFont="1" applyBorder="1" applyAlignment="1">
      <alignment horizontal="center"/>
    </xf>
    <xf numFmtId="37" fontId="2" fillId="0" borderId="0" xfId="4" applyNumberFormat="1"/>
    <xf numFmtId="0" fontId="2" fillId="0" borderId="0" xfId="4" applyAlignment="1">
      <alignment horizontal="right"/>
    </xf>
    <xf numFmtId="44" fontId="7" fillId="0" borderId="0" xfId="4" applyNumberFormat="1" applyFont="1"/>
    <xf numFmtId="168" fontId="7" fillId="0" borderId="0" xfId="4" applyNumberFormat="1" applyFont="1"/>
    <xf numFmtId="3" fontId="4" fillId="0" borderId="0" xfId="4" applyNumberFormat="1" applyFont="1"/>
    <xf numFmtId="3" fontId="9" fillId="0" borderId="0" xfId="4" applyNumberFormat="1" applyFont="1"/>
    <xf numFmtId="166" fontId="2" fillId="0" borderId="2" xfId="4" applyNumberFormat="1" applyBorder="1"/>
    <xf numFmtId="166" fontId="4" fillId="0" borderId="0" xfId="4" applyNumberFormat="1" applyFont="1"/>
    <xf numFmtId="42" fontId="2" fillId="0" borderId="0" xfId="4" applyNumberFormat="1"/>
    <xf numFmtId="42" fontId="8" fillId="0" borderId="0" xfId="4" applyNumberFormat="1" applyFont="1"/>
    <xf numFmtId="42" fontId="2" fillId="0" borderId="2" xfId="4" applyNumberFormat="1" applyBorder="1"/>
    <xf numFmtId="3" fontId="7" fillId="0" borderId="0" xfId="4" applyNumberFormat="1" applyFont="1"/>
    <xf numFmtId="3" fontId="2" fillId="0" borderId="0" xfId="4" applyNumberFormat="1"/>
    <xf numFmtId="166" fontId="16" fillId="0" borderId="0" xfId="4" applyNumberFormat="1" applyFont="1"/>
    <xf numFmtId="166" fontId="4" fillId="0" borderId="2" xfId="4" applyNumberFormat="1" applyFont="1" applyBorder="1"/>
    <xf numFmtId="43" fontId="15" fillId="0" borderId="0" xfId="4" applyNumberFormat="1" applyFont="1"/>
    <xf numFmtId="3" fontId="2" fillId="0" borderId="2" xfId="4" applyNumberFormat="1" applyBorder="1"/>
    <xf numFmtId="0" fontId="5" fillId="0" borderId="0" xfId="4" applyFont="1"/>
    <xf numFmtId="0" fontId="15" fillId="0" borderId="0" xfId="4" applyFont="1"/>
    <xf numFmtId="167" fontId="4" fillId="0" borderId="0" xfId="0" applyNumberFormat="1" applyFont="1"/>
    <xf numFmtId="10" fontId="4" fillId="0" borderId="1" xfId="0" applyNumberFormat="1" applyFont="1" applyBorder="1" applyAlignment="1">
      <alignment horizontal="center"/>
    </xf>
    <xf numFmtId="167" fontId="4" fillId="0" borderId="1" xfId="0" applyNumberFormat="1" applyFont="1" applyBorder="1"/>
    <xf numFmtId="167" fontId="4" fillId="0" borderId="0" xfId="2" applyNumberFormat="1" applyFont="1" applyAlignment="1">
      <alignment horizontal="center"/>
    </xf>
    <xf numFmtId="164" fontId="4" fillId="0" borderId="0" xfId="0" applyNumberFormat="1" applyFont="1"/>
    <xf numFmtId="0" fontId="4" fillId="0" borderId="0" xfId="0" applyFont="1" applyAlignment="1">
      <alignment horizontal="right"/>
    </xf>
    <xf numFmtId="164" fontId="4" fillId="0" borderId="0" xfId="3" applyNumberFormat="1" applyFont="1" applyAlignment="1">
      <alignment horizontal="center"/>
    </xf>
    <xf numFmtId="164" fontId="4" fillId="0" borderId="1" xfId="0" applyNumberFormat="1" applyFont="1" applyBorder="1" applyAlignment="1">
      <alignment horizontal="center"/>
    </xf>
    <xf numFmtId="167" fontId="4" fillId="0" borderId="2" xfId="2" applyNumberFormat="1" applyFont="1" applyBorder="1" applyAlignment="1">
      <alignment horizontal="center"/>
    </xf>
    <xf numFmtId="165" fontId="4" fillId="0" borderId="8" xfId="2" applyNumberFormat="1" applyFont="1" applyBorder="1" applyAlignment="1"/>
    <xf numFmtId="44" fontId="4" fillId="0" borderId="8" xfId="2" applyFont="1" applyBorder="1" applyAlignment="1"/>
    <xf numFmtId="165" fontId="4" fillId="0" borderId="7" xfId="2" applyNumberFormat="1" applyFont="1" applyBorder="1" applyAlignment="1"/>
    <xf numFmtId="0" fontId="2" fillId="0" borderId="0" xfId="0" applyFont="1" applyAlignment="1">
      <alignment horizontal="centerContinuous"/>
    </xf>
    <xf numFmtId="3" fontId="2" fillId="0" borderId="0" xfId="0" applyNumberFormat="1" applyFont="1" applyAlignment="1">
      <alignment horizontal="centerContinuous"/>
    </xf>
    <xf numFmtId="169" fontId="2" fillId="0" borderId="0" xfId="0" applyNumberFormat="1" applyFont="1" applyAlignment="1">
      <alignment horizontal="centerContinuous"/>
    </xf>
    <xf numFmtId="170" fontId="2" fillId="0" borderId="0" xfId="0" applyNumberFormat="1" applyFont="1" applyAlignment="1">
      <alignment horizontal="centerContinuous"/>
    </xf>
    <xf numFmtId="171" fontId="2" fillId="0" borderId="0" xfId="0" applyNumberFormat="1" applyFont="1" applyAlignment="1">
      <alignment horizontal="centerContinuous"/>
    </xf>
    <xf numFmtId="0" fontId="3" fillId="0" borderId="0" xfId="0" applyFont="1" applyAlignment="1">
      <alignment horizontal="centerContinuous"/>
    </xf>
    <xf numFmtId="0" fontId="17" fillId="0" borderId="0" xfId="0" applyFont="1" applyAlignment="1">
      <alignment horizontal="left"/>
    </xf>
    <xf numFmtId="169" fontId="2" fillId="0" borderId="0" xfId="0" applyNumberFormat="1" applyFont="1"/>
    <xf numFmtId="170" fontId="2" fillId="0" borderId="0" xfId="0" applyNumberFormat="1" applyFont="1"/>
    <xf numFmtId="171" fontId="2" fillId="0" borderId="0" xfId="0" applyNumberFormat="1" applyFont="1" applyAlignment="1">
      <alignment horizontal="right"/>
    </xf>
    <xf numFmtId="171" fontId="2" fillId="0" borderId="0" xfId="0" applyNumberFormat="1" applyFont="1" applyAlignment="1">
      <alignment horizontal="left"/>
    </xf>
    <xf numFmtId="0" fontId="2" fillId="0" borderId="15" xfId="0" applyFont="1" applyBorder="1" applyAlignment="1">
      <alignment horizontal="center"/>
    </xf>
    <xf numFmtId="3" fontId="2" fillId="0" borderId="2" xfId="0" applyNumberFormat="1" applyFont="1" applyBorder="1" applyAlignment="1">
      <alignment horizontal="center"/>
    </xf>
    <xf numFmtId="0" fontId="2" fillId="0" borderId="4" xfId="0" applyFont="1" applyBorder="1" applyAlignment="1">
      <alignment horizontal="centerContinuous"/>
    </xf>
    <xf numFmtId="170" fontId="2" fillId="0" borderId="4" xfId="0" applyNumberFormat="1" applyFont="1" applyBorder="1" applyAlignment="1">
      <alignment horizontal="centerContinuous"/>
    </xf>
    <xf numFmtId="170" fontId="2" fillId="0" borderId="2" xfId="0" applyNumberFormat="1" applyFont="1" applyBorder="1" applyAlignment="1">
      <alignment horizontal="left"/>
    </xf>
    <xf numFmtId="0" fontId="2" fillId="0" borderId="6" xfId="0" applyFont="1" applyBorder="1" applyAlignment="1">
      <alignment horizontal="center"/>
    </xf>
    <xf numFmtId="0" fontId="2" fillId="0" borderId="10" xfId="0" applyFont="1" applyBorder="1" applyAlignment="1">
      <alignment horizontal="center"/>
    </xf>
    <xf numFmtId="3" fontId="2" fillId="0" borderId="1" xfId="0" applyNumberFormat="1" applyFont="1" applyBorder="1" applyAlignment="1">
      <alignment horizontal="center"/>
    </xf>
    <xf numFmtId="169" fontId="2" fillId="0" borderId="1" xfId="0" applyNumberFormat="1" applyFont="1" applyBorder="1" applyAlignment="1">
      <alignment horizontal="center"/>
    </xf>
    <xf numFmtId="170" fontId="2" fillId="0" borderId="1" xfId="0" applyNumberFormat="1" applyFont="1" applyBorder="1" applyAlignment="1">
      <alignment horizontal="center"/>
    </xf>
    <xf numFmtId="171" fontId="2" fillId="0" borderId="11" xfId="0" applyNumberFormat="1" applyFont="1" applyBorder="1" applyAlignment="1">
      <alignment horizontal="center"/>
    </xf>
    <xf numFmtId="171" fontId="2" fillId="0" borderId="0" xfId="0" applyNumberFormat="1" applyFont="1" applyAlignment="1">
      <alignment horizontal="center"/>
    </xf>
    <xf numFmtId="0" fontId="2" fillId="0" borderId="7" xfId="0" applyFont="1" applyBorder="1" applyAlignment="1">
      <alignment horizontal="center"/>
    </xf>
    <xf numFmtId="0" fontId="2" fillId="0" borderId="9" xfId="0" applyFont="1" applyBorder="1" applyProtection="1">
      <protection locked="0"/>
    </xf>
    <xf numFmtId="0" fontId="2" fillId="0" borderId="0" xfId="0" applyFont="1" applyProtection="1">
      <protection locked="0"/>
    </xf>
    <xf numFmtId="3" fontId="2" fillId="0" borderId="0" xfId="0" applyNumberFormat="1" applyFont="1" applyProtection="1">
      <protection locked="0"/>
    </xf>
    <xf numFmtId="170" fontId="2" fillId="0" borderId="0" xfId="0" applyNumberFormat="1" applyFont="1" applyAlignment="1">
      <alignment horizontal="right"/>
    </xf>
    <xf numFmtId="171" fontId="2" fillId="0" borderId="27" xfId="0" applyNumberFormat="1" applyFont="1" applyBorder="1" applyAlignment="1">
      <alignment horizontal="right"/>
    </xf>
    <xf numFmtId="0" fontId="2" fillId="0" borderId="9" xfId="0" applyFont="1" applyBorder="1"/>
    <xf numFmtId="172" fontId="2" fillId="0" borderId="0" xfId="0" applyNumberFormat="1" applyFont="1"/>
    <xf numFmtId="172" fontId="2" fillId="0" borderId="0" xfId="0" applyNumberFormat="1" applyFont="1" applyAlignment="1">
      <alignment horizontal="right"/>
    </xf>
    <xf numFmtId="164" fontId="2" fillId="0" borderId="27" xfId="0" applyNumberFormat="1" applyFont="1" applyBorder="1" applyAlignment="1">
      <alignment horizontal="right"/>
    </xf>
    <xf numFmtId="0" fontId="3" fillId="0" borderId="26" xfId="0" applyFont="1" applyBorder="1" applyProtection="1">
      <protection locked="0"/>
    </xf>
    <xf numFmtId="0" fontId="2" fillId="0" borderId="4" xfId="0" applyFont="1" applyBorder="1" applyProtection="1">
      <protection locked="0"/>
    </xf>
    <xf numFmtId="3" fontId="2" fillId="0" borderId="4" xfId="0" applyNumberFormat="1" applyFont="1" applyBorder="1"/>
    <xf numFmtId="169" fontId="2" fillId="0" borderId="4" xfId="0" applyNumberFormat="1" applyFont="1" applyBorder="1"/>
    <xf numFmtId="172" fontId="2" fillId="0" borderId="4" xfId="0" applyNumberFormat="1" applyFont="1" applyBorder="1"/>
    <xf numFmtId="170" fontId="2" fillId="0" borderId="4" xfId="0" applyNumberFormat="1" applyFont="1" applyBorder="1"/>
    <xf numFmtId="172" fontId="2" fillId="0" borderId="4" xfId="0" applyNumberFormat="1" applyFont="1" applyBorder="1" applyAlignment="1">
      <alignment horizontal="right"/>
    </xf>
    <xf numFmtId="170" fontId="2" fillId="0" borderId="4" xfId="0" applyNumberFormat="1" applyFont="1" applyBorder="1" applyAlignment="1">
      <alignment horizontal="right"/>
    </xf>
    <xf numFmtId="164" fontId="2" fillId="0" borderId="5" xfId="0" applyNumberFormat="1" applyFont="1" applyBorder="1" applyAlignment="1">
      <alignment horizontal="right"/>
    </xf>
    <xf numFmtId="170" fontId="8" fillId="0" borderId="0" xfId="0" applyNumberFormat="1" applyFont="1"/>
    <xf numFmtId="172" fontId="18" fillId="0" borderId="8" xfId="0" applyNumberFormat="1" applyFont="1" applyBorder="1" applyAlignment="1">
      <alignment horizontal="center"/>
    </xf>
    <xf numFmtId="172" fontId="2" fillId="0" borderId="8" xfId="0" applyNumberFormat="1" applyFont="1" applyBorder="1" applyAlignment="1">
      <alignment horizontal="center"/>
    </xf>
    <xf numFmtId="172" fontId="2" fillId="0" borderId="0" xfId="0" applyNumberFormat="1" applyFont="1" applyAlignment="1">
      <alignment horizontal="center"/>
    </xf>
    <xf numFmtId="172" fontId="2" fillId="0" borderId="7" xfId="0" applyNumberFormat="1" applyFont="1" applyBorder="1" applyAlignment="1">
      <alignment horizontal="center"/>
    </xf>
    <xf numFmtId="169" fontId="8" fillId="0" borderId="0" xfId="0" applyNumberFormat="1" applyFont="1"/>
    <xf numFmtId="164" fontId="2" fillId="0" borderId="27" xfId="0" applyNumberFormat="1" applyFont="1" applyBorder="1" applyAlignment="1">
      <alignment horizontal="center"/>
    </xf>
    <xf numFmtId="4" fontId="2" fillId="0" borderId="0" xfId="0" applyNumberFormat="1" applyFont="1" applyAlignment="1">
      <alignment horizontal="center"/>
    </xf>
    <xf numFmtId="10" fontId="2" fillId="0" borderId="28" xfId="0" applyNumberFormat="1" applyFont="1" applyBorder="1" applyAlignment="1">
      <alignment horizontal="center"/>
    </xf>
    <xf numFmtId="10" fontId="2" fillId="0" borderId="0" xfId="3" applyNumberFormat="1" applyFont="1" applyFill="1" applyBorder="1" applyAlignment="1">
      <alignment horizontal="center"/>
    </xf>
    <xf numFmtId="3" fontId="2" fillId="0" borderId="2" xfId="0" applyNumberFormat="1" applyFont="1" applyBorder="1"/>
    <xf numFmtId="172" fontId="2" fillId="0" borderId="2" xfId="0" applyNumberFormat="1" applyFont="1" applyBorder="1" applyAlignment="1">
      <alignment horizontal="right"/>
    </xf>
    <xf numFmtId="164" fontId="2" fillId="0" borderId="25" xfId="0" applyNumberFormat="1" applyFont="1" applyBorder="1" applyAlignment="1">
      <alignment horizontal="right"/>
    </xf>
    <xf numFmtId="164" fontId="2" fillId="0" borderId="27" xfId="0" applyNumberFormat="1" applyFont="1" applyBorder="1"/>
    <xf numFmtId="0" fontId="2" fillId="0" borderId="10" xfId="0" applyFont="1" applyBorder="1"/>
    <xf numFmtId="0" fontId="2" fillId="0" borderId="1" xfId="0" applyFont="1" applyBorder="1"/>
    <xf numFmtId="3" fontId="2" fillId="0" borderId="1" xfId="0" applyNumberFormat="1" applyFont="1" applyBorder="1"/>
    <xf numFmtId="169" fontId="2" fillId="0" borderId="1" xfId="0" applyNumberFormat="1" applyFont="1" applyBorder="1"/>
    <xf numFmtId="172" fontId="2" fillId="0" borderId="1" xfId="0" applyNumberFormat="1" applyFont="1" applyBorder="1"/>
    <xf numFmtId="170" fontId="2" fillId="0" borderId="1" xfId="0" applyNumberFormat="1" applyFont="1" applyBorder="1"/>
    <xf numFmtId="172" fontId="2" fillId="0" borderId="1" xfId="0" applyNumberFormat="1" applyFont="1" applyBorder="1" applyAlignment="1">
      <alignment horizontal="right"/>
    </xf>
    <xf numFmtId="170" fontId="2" fillId="0" borderId="1" xfId="0" applyNumberFormat="1" applyFont="1" applyBorder="1" applyAlignment="1">
      <alignment horizontal="right"/>
    </xf>
    <xf numFmtId="164" fontId="2" fillId="0" borderId="11" xfId="0" applyNumberFormat="1" applyFont="1" applyBorder="1" applyAlignment="1">
      <alignment horizontal="right"/>
    </xf>
    <xf numFmtId="164" fontId="2" fillId="0" borderId="0" xfId="0" applyNumberFormat="1" applyFont="1" applyAlignment="1">
      <alignment horizontal="right"/>
    </xf>
    <xf numFmtId="172" fontId="7" fillId="0" borderId="8" xfId="0" applyNumberFormat="1" applyFont="1" applyBorder="1" applyAlignment="1">
      <alignment horizontal="center"/>
    </xf>
    <xf numFmtId="0" fontId="19" fillId="0" borderId="29" xfId="0" quotePrefix="1" applyFont="1" applyBorder="1" applyAlignment="1">
      <alignment horizontal="center" wrapText="1"/>
    </xf>
    <xf numFmtId="0" fontId="20" fillId="0" borderId="0" xfId="0" applyFont="1"/>
    <xf numFmtId="0" fontId="20" fillId="0" borderId="0" xfId="0" applyFont="1" applyAlignment="1">
      <alignment horizontal="center" wrapText="1"/>
    </xf>
    <xf numFmtId="37" fontId="20" fillId="0" borderId="0" xfId="0" applyNumberFormat="1" applyFont="1" applyAlignment="1">
      <alignment horizontal="center" wrapText="1"/>
    </xf>
    <xf numFmtId="41" fontId="0" fillId="0" borderId="0" xfId="0" applyNumberFormat="1"/>
    <xf numFmtId="0" fontId="1" fillId="0" borderId="0" xfId="0" applyFont="1" applyAlignment="1">
      <alignment horizontal="left"/>
    </xf>
    <xf numFmtId="167" fontId="0" fillId="0" borderId="0" xfId="0" applyNumberFormat="1"/>
    <xf numFmtId="41" fontId="1" fillId="0" borderId="0" xfId="0" applyNumberFormat="1" applyFont="1"/>
    <xf numFmtId="167" fontId="1" fillId="0" borderId="0" xfId="0" applyNumberFormat="1" applyFont="1"/>
    <xf numFmtId="0" fontId="1" fillId="0" borderId="2" xfId="0" applyFont="1" applyBorder="1" applyAlignment="1">
      <alignment horizontal="left"/>
    </xf>
    <xf numFmtId="167" fontId="0" fillId="0" borderId="2" xfId="0" applyNumberFormat="1" applyBorder="1"/>
    <xf numFmtId="2" fontId="0" fillId="0" borderId="0" xfId="0" applyNumberFormat="1"/>
    <xf numFmtId="0" fontId="21" fillId="0" borderId="0" xfId="0" applyFont="1"/>
    <xf numFmtId="167" fontId="22" fillId="0" borderId="0" xfId="0" applyNumberFormat="1" applyFont="1"/>
    <xf numFmtId="0" fontId="19" fillId="0" borderId="2" xfId="0" applyFont="1" applyBorder="1"/>
    <xf numFmtId="10" fontId="0" fillId="0" borderId="0" xfId="0" applyNumberFormat="1"/>
    <xf numFmtId="39" fontId="21" fillId="0" borderId="0" xfId="0" applyNumberFormat="1" applyFont="1"/>
    <xf numFmtId="0" fontId="19" fillId="0" borderId="0" xfId="0" applyFont="1"/>
    <xf numFmtId="0" fontId="23" fillId="0" borderId="0" xfId="0" applyFont="1"/>
    <xf numFmtId="10" fontId="23" fillId="0" borderId="0" xfId="0" applyNumberFormat="1" applyFont="1"/>
    <xf numFmtId="41" fontId="23" fillId="0" borderId="0" xfId="0" applyNumberFormat="1" applyFont="1"/>
    <xf numFmtId="39" fontId="23" fillId="0" borderId="0" xfId="0" applyNumberFormat="1" applyFont="1"/>
    <xf numFmtId="0" fontId="23" fillId="0" borderId="0" xfId="0" applyFont="1" applyAlignment="1">
      <alignment horizontal="center"/>
    </xf>
    <xf numFmtId="167" fontId="23" fillId="0" borderId="0" xfId="0" applyNumberFormat="1" applyFont="1"/>
    <xf numFmtId="0" fontId="23" fillId="0" borderId="0" xfId="0" applyFont="1" applyAlignment="1">
      <alignment horizontal="left" wrapText="1"/>
    </xf>
    <xf numFmtId="43" fontId="0" fillId="0" borderId="0" xfId="0" applyNumberFormat="1"/>
    <xf numFmtId="43" fontId="0" fillId="0" borderId="0" xfId="1" applyFont="1" applyFill="1"/>
    <xf numFmtId="0" fontId="0" fillId="0" borderId="0" xfId="0" applyAlignment="1">
      <alignment horizontal="left"/>
    </xf>
    <xf numFmtId="0" fontId="24" fillId="0" borderId="0" xfId="0" quotePrefix="1" applyFont="1" applyAlignment="1">
      <alignment horizontal="center" wrapText="1"/>
    </xf>
    <xf numFmtId="0" fontId="1" fillId="0" borderId="0" xfId="0" applyFont="1" applyAlignment="1">
      <alignment horizontal="left" indent="1"/>
    </xf>
    <xf numFmtId="0" fontId="24" fillId="0" borderId="0" xfId="0" applyFont="1"/>
    <xf numFmtId="0" fontId="22" fillId="0" borderId="0" xfId="0" applyFont="1" applyAlignment="1">
      <alignment horizontal="left"/>
    </xf>
    <xf numFmtId="0" fontId="5" fillId="0" borderId="0" xfId="0" applyFont="1"/>
    <xf numFmtId="167" fontId="7" fillId="0" borderId="0" xfId="2" applyNumberFormat="1" applyFont="1" applyFill="1" applyAlignment="1">
      <alignment horizontal="center"/>
    </xf>
    <xf numFmtId="0" fontId="2" fillId="0" borderId="30" xfId="0" applyFont="1" applyBorder="1" applyAlignment="1">
      <alignment horizontal="center"/>
    </xf>
    <xf numFmtId="3" fontId="2" fillId="0" borderId="31" xfId="0" applyNumberFormat="1" applyFont="1" applyBorder="1" applyAlignment="1">
      <alignment horizontal="center"/>
    </xf>
    <xf numFmtId="169" fontId="2" fillId="0" borderId="31" xfId="0" applyNumberFormat="1" applyFont="1" applyBorder="1" applyAlignment="1">
      <alignment horizontal="center"/>
    </xf>
    <xf numFmtId="170" fontId="2" fillId="0" borderId="31" xfId="0" applyNumberFormat="1" applyFont="1" applyBorder="1" applyAlignment="1">
      <alignment horizontal="center"/>
    </xf>
    <xf numFmtId="171" fontId="2" fillId="0" borderId="32" xfId="0" applyNumberFormat="1" applyFont="1" applyBorder="1" applyAlignment="1">
      <alignment horizontal="center"/>
    </xf>
    <xf numFmtId="3" fontId="2" fillId="0" borderId="4" xfId="0" applyNumberFormat="1" applyFont="1" applyBorder="1" applyProtection="1">
      <protection locked="0"/>
    </xf>
    <xf numFmtId="0" fontId="4" fillId="0" borderId="6" xfId="0" applyFont="1" applyBorder="1" applyAlignment="1">
      <alignment horizontal="center"/>
    </xf>
    <xf numFmtId="10" fontId="9" fillId="0" borderId="0" xfId="0" applyNumberFormat="1" applyFont="1" applyAlignment="1">
      <alignment horizontal="center"/>
    </xf>
    <xf numFmtId="10" fontId="7" fillId="0" borderId="28" xfId="0" applyNumberFormat="1" applyFont="1" applyBorder="1" applyAlignment="1">
      <alignment horizontal="center"/>
    </xf>
    <xf numFmtId="10" fontId="2" fillId="0" borderId="0" xfId="0" applyNumberFormat="1" applyFont="1" applyAlignment="1">
      <alignment horizontal="center"/>
    </xf>
    <xf numFmtId="7" fontId="2" fillId="0" borderId="0" xfId="0" applyNumberFormat="1" applyFont="1"/>
    <xf numFmtId="9" fontId="9" fillId="0" borderId="0" xfId="0" applyNumberFormat="1" applyFont="1"/>
    <xf numFmtId="169" fontId="9" fillId="0" borderId="0" xfId="0" applyNumberFormat="1" applyFont="1"/>
    <xf numFmtId="169" fontId="2" fillId="0" borderId="0" xfId="0" applyNumberFormat="1" applyFont="1" applyAlignment="1">
      <alignment horizontal="center"/>
    </xf>
    <xf numFmtId="170" fontId="2" fillId="0" borderId="0" xfId="0" applyNumberFormat="1" applyFont="1" applyAlignment="1">
      <alignment horizontal="center"/>
    </xf>
    <xf numFmtId="0" fontId="2" fillId="0" borderId="30" xfId="0" applyFont="1" applyBorder="1"/>
    <xf numFmtId="0" fontId="2" fillId="0" borderId="31" xfId="0" applyFont="1" applyBorder="1"/>
    <xf numFmtId="3" fontId="2" fillId="0" borderId="31" xfId="0" applyNumberFormat="1" applyFont="1" applyBorder="1"/>
    <xf numFmtId="169" fontId="2" fillId="0" borderId="31" xfId="0" applyNumberFormat="1" applyFont="1" applyBorder="1"/>
    <xf numFmtId="172" fontId="2" fillId="0" borderId="31" xfId="0" applyNumberFormat="1" applyFont="1" applyBorder="1"/>
    <xf numFmtId="170" fontId="2" fillId="0" borderId="31" xfId="0" applyNumberFormat="1" applyFont="1" applyBorder="1"/>
    <xf numFmtId="170" fontId="2" fillId="0" borderId="31" xfId="0" applyNumberFormat="1" applyFont="1" applyBorder="1" applyAlignment="1">
      <alignment horizontal="right"/>
    </xf>
    <xf numFmtId="164" fontId="2" fillId="0" borderId="32" xfId="0" applyNumberFormat="1" applyFont="1" applyBorder="1"/>
    <xf numFmtId="0" fontId="3" fillId="0" borderId="0" xfId="0" applyFont="1" applyProtection="1">
      <protection locked="0"/>
    </xf>
    <xf numFmtId="172" fontId="2" fillId="0" borderId="0" xfId="0" applyNumberFormat="1" applyFont="1" applyProtection="1">
      <protection locked="0"/>
    </xf>
    <xf numFmtId="172" fontId="2" fillId="0" borderId="31" xfId="0" applyNumberFormat="1" applyFont="1" applyBorder="1" applyAlignment="1">
      <alignment horizontal="right"/>
    </xf>
    <xf numFmtId="164" fontId="2" fillId="0" borderId="5" xfId="0" applyNumberFormat="1" applyFont="1" applyBorder="1"/>
    <xf numFmtId="170" fontId="9" fillId="0" borderId="0" xfId="0" applyNumberFormat="1" applyFont="1" applyAlignment="1">
      <alignment horizontal="right"/>
    </xf>
    <xf numFmtId="10" fontId="4" fillId="0" borderId="28" xfId="3" applyNumberFormat="1" applyFont="1" applyBorder="1" applyAlignment="1">
      <alignment horizontal="center"/>
    </xf>
    <xf numFmtId="164" fontId="2" fillId="0" borderId="0" xfId="0" applyNumberFormat="1" applyFont="1" applyAlignment="1">
      <alignment horizontal="left"/>
    </xf>
    <xf numFmtId="169" fontId="2" fillId="0" borderId="31" xfId="0" applyNumberFormat="1" applyFont="1" applyBorder="1" applyAlignment="1">
      <alignment horizontal="right"/>
    </xf>
    <xf numFmtId="164" fontId="2" fillId="0" borderId="32" xfId="0" applyNumberFormat="1" applyFont="1" applyBorder="1" applyAlignment="1">
      <alignment horizontal="right"/>
    </xf>
    <xf numFmtId="169" fontId="2" fillId="0" borderId="0" xfId="0" applyNumberFormat="1" applyFont="1" applyAlignment="1">
      <alignment horizontal="right"/>
    </xf>
    <xf numFmtId="170" fontId="9" fillId="0" borderId="0" xfId="0" applyNumberFormat="1" applyFont="1"/>
    <xf numFmtId="10" fontId="2" fillId="0" borderId="28" xfId="3" applyNumberFormat="1" applyFont="1" applyFill="1" applyBorder="1" applyAlignment="1">
      <alignment horizontal="center"/>
    </xf>
    <xf numFmtId="173" fontId="9" fillId="0" borderId="0" xfId="0" applyNumberFormat="1" applyFont="1"/>
    <xf numFmtId="167" fontId="2" fillId="0" borderId="4" xfId="0" applyNumberFormat="1" applyFont="1" applyBorder="1"/>
    <xf numFmtId="172" fontId="9" fillId="0" borderId="0" xfId="0" applyNumberFormat="1" applyFont="1" applyAlignment="1">
      <alignment horizontal="right"/>
    </xf>
    <xf numFmtId="172" fontId="2" fillId="0" borderId="2" xfId="0" applyNumberFormat="1" applyFont="1" applyBorder="1"/>
    <xf numFmtId="172" fontId="2" fillId="0" borderId="31" xfId="0" applyNumberFormat="1" applyFont="1" applyBorder="1" applyAlignment="1">
      <alignment horizontal="center"/>
    </xf>
    <xf numFmtId="5" fontId="2" fillId="0" borderId="0" xfId="0" applyNumberFormat="1" applyFont="1"/>
    <xf numFmtId="5" fontId="2" fillId="0" borderId="2" xfId="0" applyNumberFormat="1" applyFont="1" applyBorder="1"/>
    <xf numFmtId="5" fontId="2" fillId="0" borderId="0" xfId="0" applyNumberFormat="1" applyFont="1" applyAlignment="1">
      <alignment horizontal="center"/>
    </xf>
    <xf numFmtId="5" fontId="18" fillId="0" borderId="0" xfId="0" applyNumberFormat="1" applyFont="1"/>
    <xf numFmtId="41" fontId="18" fillId="0" borderId="0" xfId="0" applyNumberFormat="1" applyFont="1"/>
    <xf numFmtId="41" fontId="2" fillId="0" borderId="0" xfId="0" applyNumberFormat="1" applyFont="1"/>
    <xf numFmtId="42" fontId="2" fillId="0" borderId="0" xfId="0" applyNumberFormat="1" applyFont="1"/>
    <xf numFmtId="42" fontId="18" fillId="0" borderId="0" xfId="0" applyNumberFormat="1" applyFont="1"/>
    <xf numFmtId="0" fontId="4" fillId="0" borderId="33" xfId="0" applyFont="1" applyBorder="1"/>
    <xf numFmtId="0" fontId="2" fillId="0" borderId="34" xfId="0" applyFont="1" applyBorder="1"/>
    <xf numFmtId="167" fontId="2" fillId="0" borderId="34" xfId="0" applyNumberFormat="1" applyFont="1" applyBorder="1"/>
    <xf numFmtId="172" fontId="2" fillId="0" borderId="35" xfId="0" applyNumberFormat="1" applyFont="1" applyBorder="1"/>
    <xf numFmtId="0" fontId="4" fillId="0" borderId="36" xfId="0" applyFont="1" applyBorder="1"/>
    <xf numFmtId="0" fontId="2" fillId="0" borderId="37" xfId="0" applyFont="1" applyBorder="1"/>
    <xf numFmtId="167" fontId="2" fillId="0" borderId="37" xfId="0" applyNumberFormat="1" applyFont="1" applyBorder="1"/>
    <xf numFmtId="172" fontId="2" fillId="0" borderId="38" xfId="0" applyNumberFormat="1" applyFont="1" applyBorder="1"/>
    <xf numFmtId="3" fontId="7" fillId="0" borderId="0" xfId="0" applyNumberFormat="1" applyFont="1" applyAlignment="1">
      <alignment horizontal="right"/>
    </xf>
    <xf numFmtId="168" fontId="7" fillId="0" borderId="0" xfId="0" applyNumberFormat="1" applyFont="1"/>
    <xf numFmtId="170" fontId="7" fillId="0" borderId="0" xfId="0" applyNumberFormat="1" applyFont="1"/>
    <xf numFmtId="169" fontId="7" fillId="0" borderId="0" xfId="0" applyNumberFormat="1" applyFont="1"/>
    <xf numFmtId="44" fontId="2" fillId="0" borderId="8" xfId="2" applyFont="1" applyBorder="1" applyAlignment="1"/>
    <xf numFmtId="165" fontId="2" fillId="0" borderId="8" xfId="2" applyNumberFormat="1" applyFont="1" applyBorder="1" applyAlignment="1"/>
    <xf numFmtId="165" fontId="2" fillId="0" borderId="7" xfId="2" applyNumberFormat="1" applyFont="1" applyBorder="1" applyAlignment="1"/>
    <xf numFmtId="165" fontId="4" fillId="0" borderId="9" xfId="2" applyNumberFormat="1" applyFont="1" applyBorder="1" applyAlignment="1"/>
    <xf numFmtId="165" fontId="4" fillId="0" borderId="10" xfId="2" applyNumberFormat="1" applyFont="1" applyBorder="1" applyAlignment="1"/>
    <xf numFmtId="174" fontId="2" fillId="0" borderId="0" xfId="2" applyNumberFormat="1" applyFont="1"/>
    <xf numFmtId="44" fontId="4" fillId="0" borderId="9" xfId="2" applyFont="1" applyBorder="1" applyAlignment="1"/>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2" fillId="0" borderId="0" xfId="0" applyFont="1" applyAlignment="1">
      <alignment horizontal="left" wrapText="1"/>
    </xf>
    <xf numFmtId="0" fontId="2" fillId="0" borderId="0" xfId="0" applyFont="1" applyAlignment="1">
      <alignment horizontal="left"/>
    </xf>
    <xf numFmtId="0" fontId="3" fillId="0" borderId="1" xfId="0" applyFont="1" applyBorder="1" applyAlignment="1">
      <alignment horizontal="left"/>
    </xf>
    <xf numFmtId="0" fontId="6" fillId="0" borderId="1" xfId="0" applyFont="1" applyBorder="1"/>
    <xf numFmtId="0" fontId="4" fillId="0" borderId="1" xfId="0" applyFont="1" applyBorder="1"/>
    <xf numFmtId="0" fontId="25" fillId="0" borderId="0" xfId="9" applyFill="1"/>
    <xf numFmtId="0" fontId="0" fillId="0" borderId="0" xfId="0" applyAlignment="1">
      <alignment horizontal="center" vertical="center" wrapText="1"/>
    </xf>
    <xf numFmtId="0" fontId="1" fillId="0" borderId="1" xfId="0" applyFont="1" applyBorder="1"/>
    <xf numFmtId="44" fontId="1" fillId="0" borderId="1" xfId="2" applyFont="1" applyBorder="1"/>
    <xf numFmtId="164" fontId="7" fillId="0" borderId="0" xfId="3" applyNumberFormat="1" applyFont="1"/>
    <xf numFmtId="0" fontId="4" fillId="0" borderId="26" xfId="0" applyFont="1" applyBorder="1" applyAlignment="1">
      <alignment horizontal="centerContinuous"/>
    </xf>
    <xf numFmtId="0" fontId="4" fillId="0" borderId="4" xfId="0" applyFont="1" applyBorder="1" applyAlignment="1">
      <alignment horizontal="centerContinuous"/>
    </xf>
    <xf numFmtId="0" fontId="4" fillId="0" borderId="5" xfId="0" applyFont="1" applyBorder="1" applyAlignment="1">
      <alignment horizontal="centerContinuous"/>
    </xf>
    <xf numFmtId="0" fontId="0" fillId="3" borderId="0" xfId="0" applyFill="1"/>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0" xfId="0" applyFont="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0" fillId="0" borderId="0" xfId="0" applyAlignment="1">
      <alignment horizontal="center" vertical="center" wrapText="1"/>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0" xfId="0" applyFont="1" applyBorder="1" applyAlignment="1">
      <alignment horizontal="center"/>
    </xf>
    <xf numFmtId="0" fontId="1" fillId="0" borderId="1" xfId="0" applyFont="1" applyBorder="1" applyAlignment="1">
      <alignment horizontal="center"/>
    </xf>
    <xf numFmtId="0" fontId="1" fillId="0" borderId="11" xfId="0" applyFont="1" applyBorder="1" applyAlignment="1">
      <alignment horizontal="center"/>
    </xf>
    <xf numFmtId="0" fontId="14" fillId="0" borderId="0" xfId="0" applyFont="1" applyAlignment="1">
      <alignment horizontal="center" wrapText="1"/>
    </xf>
    <xf numFmtId="170" fontId="2" fillId="0" borderId="4" xfId="0" applyNumberFormat="1" applyFont="1" applyBorder="1" applyAlignment="1">
      <alignment horizontal="center"/>
    </xf>
    <xf numFmtId="170" fontId="2" fillId="0" borderId="5" xfId="0" applyNumberFormat="1" applyFont="1" applyBorder="1" applyAlignment="1">
      <alignment horizontal="center"/>
    </xf>
    <xf numFmtId="0" fontId="3" fillId="0" borderId="0" xfId="4" applyFont="1" applyAlignment="1">
      <alignment horizontal="center"/>
    </xf>
    <xf numFmtId="0" fontId="6" fillId="0" borderId="0" xfId="4" applyFont="1" applyAlignment="1">
      <alignment horizontal="center"/>
    </xf>
    <xf numFmtId="0" fontId="26" fillId="0" borderId="0" xfId="0" applyFont="1"/>
    <xf numFmtId="167" fontId="26" fillId="0" borderId="0" xfId="0" applyNumberFormat="1" applyFont="1"/>
    <xf numFmtId="0" fontId="26" fillId="0" borderId="0" xfId="0" applyFont="1" applyBorder="1"/>
    <xf numFmtId="0" fontId="26" fillId="0" borderId="0" xfId="0" applyFont="1" applyAlignment="1">
      <alignment horizontal="right"/>
    </xf>
    <xf numFmtId="0" fontId="26" fillId="0" borderId="0" xfId="0" applyFont="1" applyFill="1" applyBorder="1"/>
    <xf numFmtId="167" fontId="26" fillId="0" borderId="0" xfId="0" applyNumberFormat="1" applyFont="1" applyFill="1" applyBorder="1"/>
    <xf numFmtId="0" fontId="27" fillId="0" borderId="15" xfId="0" applyFont="1" applyBorder="1"/>
    <xf numFmtId="0" fontId="27" fillId="0" borderId="2" xfId="0" applyFont="1" applyBorder="1"/>
    <xf numFmtId="0" fontId="27" fillId="0" borderId="28" xfId="0" applyFont="1" applyBorder="1" applyAlignment="1">
      <alignment horizontal="center"/>
    </xf>
    <xf numFmtId="0" fontId="27" fillId="0" borderId="9" xfId="0" applyFont="1" applyBorder="1"/>
    <xf numFmtId="0" fontId="27" fillId="0" borderId="0" xfId="0" applyFont="1" applyBorder="1"/>
    <xf numFmtId="0" fontId="28" fillId="0" borderId="0" xfId="0" applyFont="1" applyBorder="1" applyAlignment="1">
      <alignment horizontal="center"/>
    </xf>
    <xf numFmtId="0" fontId="28" fillId="0" borderId="27" xfId="0" applyFont="1" applyBorder="1" applyAlignment="1">
      <alignment horizontal="center"/>
    </xf>
    <xf numFmtId="0" fontId="28" fillId="0" borderId="9" xfId="0" applyFont="1" applyBorder="1" applyAlignment="1">
      <alignment horizontal="center"/>
    </xf>
    <xf numFmtId="0" fontId="28" fillId="0" borderId="10" xfId="0" applyFont="1" applyBorder="1" applyAlignment="1">
      <alignment horizontal="center"/>
    </xf>
    <xf numFmtId="0" fontId="28" fillId="0" borderId="1" xfId="0" applyFont="1" applyBorder="1" applyAlignment="1">
      <alignment horizontal="center"/>
    </xf>
    <xf numFmtId="0" fontId="28" fillId="0" borderId="11" xfId="0" applyFont="1" applyBorder="1" applyAlignment="1">
      <alignment horizontal="center"/>
    </xf>
    <xf numFmtId="0" fontId="27" fillId="0" borderId="0" xfId="0" applyFont="1" applyBorder="1" applyAlignment="1">
      <alignment horizontal="center"/>
    </xf>
    <xf numFmtId="0" fontId="27" fillId="0" borderId="25" xfId="0" applyFont="1" applyBorder="1" applyAlignment="1">
      <alignment horizontal="center"/>
    </xf>
    <xf numFmtId="0" fontId="27" fillId="0" borderId="9" xfId="0" applyFont="1" applyBorder="1" applyAlignment="1">
      <alignment horizontal="center"/>
    </xf>
    <xf numFmtId="167" fontId="27" fillId="0" borderId="0" xfId="0" applyNumberFormat="1" applyFont="1" applyBorder="1"/>
    <xf numFmtId="167" fontId="27" fillId="0" borderId="27" xfId="0" applyNumberFormat="1" applyFont="1" applyBorder="1"/>
    <xf numFmtId="167" fontId="27" fillId="4" borderId="0" xfId="0" applyNumberFormat="1" applyFont="1" applyFill="1" applyBorder="1"/>
    <xf numFmtId="0" fontId="27" fillId="0" borderId="10" xfId="0" applyFont="1" applyBorder="1" applyAlignment="1">
      <alignment horizontal="center"/>
    </xf>
    <xf numFmtId="0" fontId="27" fillId="0" borderId="1" xfId="0" applyFont="1" applyBorder="1"/>
    <xf numFmtId="167" fontId="27" fillId="0" borderId="4" xfId="0" applyNumberFormat="1" applyFont="1" applyBorder="1"/>
    <xf numFmtId="167" fontId="27" fillId="0" borderId="5" xfId="0" applyNumberFormat="1" applyFont="1" applyBorder="1"/>
  </cellXfs>
  <cellStyles count="10">
    <cellStyle name="Comma" xfId="1" builtinId="3"/>
    <cellStyle name="Comma 2" xfId="6" xr:uid="{00000000-0005-0000-0000-000001000000}"/>
    <cellStyle name="Currency" xfId="2" builtinId="4"/>
    <cellStyle name="Currency 2" xfId="8" xr:uid="{00000000-0005-0000-0000-000003000000}"/>
    <cellStyle name="Hyperlink" xfId="9" builtinId="8"/>
    <cellStyle name="Normal" xfId="0" builtinId="0"/>
    <cellStyle name="Normal 2" xfId="4" xr:uid="{00000000-0005-0000-0000-000006000000}"/>
    <cellStyle name="Normal 3" xfId="5" xr:uid="{00000000-0005-0000-0000-000007000000}"/>
    <cellStyle name="Percent" xfId="3" builtinId="5"/>
    <cellStyle name="Percent 2" xfId="7" xr:uid="{00000000-0005-0000-0000-000009000000}"/>
  </cellStyles>
  <dxfs count="0"/>
  <tableStyles count="0" defaultTableStyle="TableStyleMedium9" defaultPivotStyle="PivotStyleLight16"/>
  <colors>
    <mruColors>
      <color rgb="FF008080"/>
      <color rgb="FF0000FF"/>
      <color rgb="FF84FCBA"/>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0"/>
  <sheetViews>
    <sheetView zoomScaleNormal="100" zoomScaleSheetLayoutView="175" workbookViewId="0">
      <selection activeCell="B28" sqref="B28"/>
    </sheetView>
  </sheetViews>
  <sheetFormatPr defaultRowHeight="12.75" x14ac:dyDescent="0.2"/>
  <cols>
    <col min="1" max="1" width="32" style="21" customWidth="1"/>
    <col min="2" max="2" width="16.85546875" style="21" customWidth="1"/>
    <col min="3" max="3" width="86.7109375" style="21" bestFit="1" customWidth="1"/>
    <col min="4" max="16384" width="9.140625" style="21"/>
  </cols>
  <sheetData>
    <row r="1" spans="1:3" s="294" customFormat="1" x14ac:dyDescent="0.2">
      <c r="A1" s="4" t="s">
        <v>0</v>
      </c>
    </row>
    <row r="2" spans="1:3" s="294" customFormat="1" x14ac:dyDescent="0.2">
      <c r="A2" s="4" t="s">
        <v>111</v>
      </c>
    </row>
    <row r="3" spans="1:3" s="294" customFormat="1" x14ac:dyDescent="0.2">
      <c r="A3" s="4" t="s">
        <v>280</v>
      </c>
    </row>
    <row r="4" spans="1:3" s="294" customFormat="1" x14ac:dyDescent="0.2">
      <c r="A4" s="4" t="s">
        <v>310</v>
      </c>
      <c r="B4" s="295"/>
    </row>
    <row r="5" spans="1:3" s="294" customFormat="1" x14ac:dyDescent="0.2"/>
    <row r="6" spans="1:3" s="294" customFormat="1" x14ac:dyDescent="0.2">
      <c r="A6" s="296" t="s">
        <v>311</v>
      </c>
      <c r="B6" s="296" t="s">
        <v>312</v>
      </c>
      <c r="C6" s="296" t="s">
        <v>206</v>
      </c>
    </row>
    <row r="7" spans="1:3" ht="15" x14ac:dyDescent="0.25">
      <c r="A7" s="299" t="s">
        <v>318</v>
      </c>
      <c r="B7" s="21" t="s">
        <v>327</v>
      </c>
      <c r="C7" s="295" t="s">
        <v>314</v>
      </c>
    </row>
    <row r="8" spans="1:3" ht="15" x14ac:dyDescent="0.25">
      <c r="A8" s="299" t="s">
        <v>325</v>
      </c>
      <c r="B8" s="21" t="s">
        <v>336</v>
      </c>
      <c r="C8" s="294" t="s">
        <v>329</v>
      </c>
    </row>
    <row r="9" spans="1:3" ht="15" x14ac:dyDescent="0.25">
      <c r="A9" s="299" t="s">
        <v>323</v>
      </c>
      <c r="B9" s="21" t="s">
        <v>336</v>
      </c>
      <c r="C9" s="294" t="s">
        <v>330</v>
      </c>
    </row>
    <row r="10" spans="1:3" ht="15" x14ac:dyDescent="0.25">
      <c r="A10" s="299" t="s">
        <v>324</v>
      </c>
      <c r="B10" s="21" t="s">
        <v>336</v>
      </c>
      <c r="C10" s="294" t="s">
        <v>331</v>
      </c>
    </row>
    <row r="11" spans="1:3" ht="15" x14ac:dyDescent="0.25">
      <c r="A11" s="299" t="s">
        <v>322</v>
      </c>
      <c r="B11" s="21" t="s">
        <v>337</v>
      </c>
      <c r="C11" s="294" t="s">
        <v>328</v>
      </c>
    </row>
    <row r="12" spans="1:3" ht="15" x14ac:dyDescent="0.25">
      <c r="A12" s="299" t="s">
        <v>319</v>
      </c>
      <c r="B12" s="21" t="s">
        <v>338</v>
      </c>
      <c r="C12" s="294" t="s">
        <v>344</v>
      </c>
    </row>
    <row r="13" spans="1:3" ht="15" x14ac:dyDescent="0.25">
      <c r="A13" s="299" t="s">
        <v>320</v>
      </c>
      <c r="B13" s="21" t="s">
        <v>338</v>
      </c>
      <c r="C13" s="294" t="s">
        <v>345</v>
      </c>
    </row>
    <row r="14" spans="1:3" ht="15" x14ac:dyDescent="0.25">
      <c r="A14" s="299" t="s">
        <v>321</v>
      </c>
      <c r="B14" s="21" t="s">
        <v>338</v>
      </c>
      <c r="C14" s="294" t="s">
        <v>346</v>
      </c>
    </row>
    <row r="15" spans="1:3" ht="15" x14ac:dyDescent="0.25">
      <c r="A15" s="299" t="s">
        <v>341</v>
      </c>
      <c r="B15" s="21" t="s">
        <v>327</v>
      </c>
      <c r="C15" s="294" t="s">
        <v>342</v>
      </c>
    </row>
    <row r="16" spans="1:3" ht="15" x14ac:dyDescent="0.25">
      <c r="A16" s="299" t="s">
        <v>313</v>
      </c>
      <c r="B16" s="21" t="s">
        <v>327</v>
      </c>
      <c r="C16" s="295" t="s">
        <v>332</v>
      </c>
    </row>
    <row r="17" spans="1:3" ht="15" x14ac:dyDescent="0.25">
      <c r="A17" s="299" t="s">
        <v>315</v>
      </c>
      <c r="B17" s="21" t="s">
        <v>327</v>
      </c>
      <c r="C17" s="294" t="s">
        <v>333</v>
      </c>
    </row>
    <row r="18" spans="1:3" ht="15" x14ac:dyDescent="0.25">
      <c r="A18" s="299" t="s">
        <v>326</v>
      </c>
      <c r="B18" s="21" t="s">
        <v>327</v>
      </c>
      <c r="C18" s="294" t="s">
        <v>334</v>
      </c>
    </row>
    <row r="19" spans="1:3" ht="15" x14ac:dyDescent="0.25">
      <c r="A19" s="299" t="s">
        <v>116</v>
      </c>
      <c r="B19" s="21" t="s">
        <v>327</v>
      </c>
      <c r="C19" s="294" t="s">
        <v>335</v>
      </c>
    </row>
    <row r="20" spans="1:3" x14ac:dyDescent="0.2">
      <c r="C20" s="294"/>
    </row>
    <row r="22" spans="1:3" x14ac:dyDescent="0.2">
      <c r="A22" s="297" t="s">
        <v>316</v>
      </c>
      <c r="B22" s="298"/>
    </row>
    <row r="23" spans="1:3" x14ac:dyDescent="0.2">
      <c r="A23" s="21" t="s">
        <v>343</v>
      </c>
    </row>
    <row r="30" spans="1:3" x14ac:dyDescent="0.2">
      <c r="A30" s="297" t="s">
        <v>317</v>
      </c>
      <c r="B30" s="298"/>
    </row>
  </sheetData>
  <hyperlinks>
    <hyperlink ref="A7" location="'Rate Summary'!A1" display="Rate Summary" xr:uid="{00000000-0004-0000-0000-000000000000}"/>
    <hyperlink ref="A12" location="'Rate Design (Sch. 141N)'!A1" display="Rate Design (Sch. 141N)" xr:uid="{00000000-0004-0000-0000-000001000000}"/>
    <hyperlink ref="A13" location="'Rate Spread (Sch. 141N Blocks)'!A1" display="Rate Spread (Sch. 141N Blocks)" xr:uid="{00000000-0004-0000-0000-000002000000}"/>
    <hyperlink ref="A14" location="'Rate Spread (Sch. 141N)'!A1" display="Rate Spread (Sch. 141N)" xr:uid="{00000000-0004-0000-0000-000003000000}"/>
    <hyperlink ref="A11" location="'Sch. 88T Rate Design'!A1" display="Sch. 88T Rate Design" xr:uid="{00000000-0004-0000-0000-000004000000}"/>
    <hyperlink ref="A8" location="'Rate Design (Sch. 141D)'!A1" display="Rate Design (Sch. 141D)" xr:uid="{00000000-0004-0000-0000-000005000000}"/>
    <hyperlink ref="A9" location="'Rate Spread (Sch. 141D Blocks)'!A1" display="Rate Design (Sch. 141D Blocks)" xr:uid="{00000000-0004-0000-0000-000006000000}"/>
    <hyperlink ref="A10" location="'Rate Spread (Sch. 141D)'!A1" display="Rate Spread (Sch. 141D)" xr:uid="{00000000-0004-0000-0000-000007000000}"/>
    <hyperlink ref="A15" location="'Exh. WJD-3 p. 1'!A1" display="Exh. WJD-3 p. 1" xr:uid="{00000000-0004-0000-0000-000008000000}"/>
    <hyperlink ref="A16" location="'Exh JDT-5 (JDT-Rate Spread)'!A1" display="Exh JDT-5 (JDT-Rate Spread)" xr:uid="{00000000-0004-0000-0000-000009000000}"/>
    <hyperlink ref="A17" location="'Exh JDT-5 (JDT-INTRPL-RD)'!A1" display="Exh JDT-5 (JDT-INTRPL-RD)" xr:uid="{00000000-0004-0000-0000-00000A000000}"/>
    <hyperlink ref="A18" location="'RY#2 Therms'!A1" display="RY#2 Therms" xr:uid="{00000000-0004-0000-0000-00000B000000}"/>
    <hyperlink ref="A19" location="'Puget LNG'!A1" display="Puget LNG" xr:uid="{00000000-0004-0000-0000-00000C000000}"/>
  </hyperlink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7"/>
  <sheetViews>
    <sheetView zoomScale="90" zoomScaleNormal="90" workbookViewId="0">
      <selection activeCell="D1" sqref="D1:D1048576"/>
    </sheetView>
  </sheetViews>
  <sheetFormatPr defaultColWidth="9.140625" defaultRowHeight="12.75" x14ac:dyDescent="0.2"/>
  <cols>
    <col min="1" max="1" width="4.42578125" style="21" customWidth="1"/>
    <col min="2" max="2" width="27.5703125" style="21" customWidth="1"/>
    <col min="3" max="3" width="11.5703125" style="21" customWidth="1"/>
    <col min="4" max="5" width="15.7109375" style="21" customWidth="1"/>
    <col min="6" max="7" width="13.42578125" style="21" customWidth="1"/>
    <col min="8" max="16384" width="9.140625" style="21"/>
  </cols>
  <sheetData>
    <row r="1" spans="1:7" ht="15" customHeight="1" x14ac:dyDescent="0.2">
      <c r="A1" s="25" t="s">
        <v>0</v>
      </c>
    </row>
    <row r="2" spans="1:7" ht="15" customHeight="1" x14ac:dyDescent="0.2">
      <c r="A2" s="25" t="str">
        <f>'Rate Summary'!A2</f>
        <v>2023 Gas Schedule 141D Distribution Pipeline Recovery Filing</v>
      </c>
      <c r="B2" s="3"/>
      <c r="C2" s="3"/>
    </row>
    <row r="3" spans="1:7" ht="15" customHeight="1" x14ac:dyDescent="0.2">
      <c r="A3" s="25" t="s">
        <v>351</v>
      </c>
    </row>
    <row r="4" spans="1:7" ht="15" customHeight="1" x14ac:dyDescent="0.2">
      <c r="A4" s="25" t="str">
        <f>'Rate Summary'!A4</f>
        <v>Proposed Rates Effective November 1, 2023</v>
      </c>
    </row>
    <row r="5" spans="1:7" ht="15" customHeight="1" x14ac:dyDescent="0.2">
      <c r="A5" s="25"/>
    </row>
    <row r="6" spans="1:7" ht="15" customHeight="1" x14ac:dyDescent="0.2">
      <c r="A6" s="25"/>
    </row>
    <row r="7" spans="1:7" ht="15" customHeight="1" x14ac:dyDescent="0.2">
      <c r="A7" s="25"/>
      <c r="B7" s="25"/>
      <c r="C7" s="25"/>
      <c r="D7" s="26" t="s">
        <v>352</v>
      </c>
      <c r="E7" s="26" t="s">
        <v>189</v>
      </c>
      <c r="F7" s="25"/>
      <c r="G7" s="26" t="s">
        <v>200</v>
      </c>
    </row>
    <row r="8" spans="1:7" ht="15" customHeight="1" x14ac:dyDescent="0.2">
      <c r="A8" s="25"/>
      <c r="B8" s="26"/>
      <c r="C8" s="26"/>
      <c r="D8" s="26" t="s">
        <v>28</v>
      </c>
      <c r="E8" s="26" t="s">
        <v>50</v>
      </c>
      <c r="F8" s="26" t="s">
        <v>1</v>
      </c>
      <c r="G8" s="26" t="s">
        <v>3</v>
      </c>
    </row>
    <row r="9" spans="1:7" ht="15" customHeight="1" x14ac:dyDescent="0.2">
      <c r="A9" s="26" t="s">
        <v>22</v>
      </c>
      <c r="B9" s="26"/>
      <c r="C9" s="26"/>
      <c r="D9" s="26" t="s">
        <v>2</v>
      </c>
      <c r="E9" s="26" t="s">
        <v>187</v>
      </c>
      <c r="F9" s="26" t="s">
        <v>3</v>
      </c>
      <c r="G9" s="26" t="s">
        <v>107</v>
      </c>
    </row>
    <row r="10" spans="1:7" ht="15" customHeight="1" x14ac:dyDescent="0.2">
      <c r="A10" s="27" t="s">
        <v>23</v>
      </c>
      <c r="B10" s="27" t="s">
        <v>4</v>
      </c>
      <c r="C10" s="27" t="s">
        <v>5</v>
      </c>
      <c r="D10" s="27" t="s">
        <v>6</v>
      </c>
      <c r="E10" s="27" t="s">
        <v>188</v>
      </c>
      <c r="F10" s="27" t="s">
        <v>7</v>
      </c>
      <c r="G10" s="27" t="s">
        <v>24</v>
      </c>
    </row>
    <row r="11" spans="1:7" ht="15" customHeight="1" x14ac:dyDescent="0.2">
      <c r="B11" s="3" t="s">
        <v>18</v>
      </c>
      <c r="C11" s="3" t="s">
        <v>19</v>
      </c>
      <c r="D11" s="3" t="s">
        <v>20</v>
      </c>
      <c r="E11" s="3" t="s">
        <v>21</v>
      </c>
      <c r="F11" s="3" t="s">
        <v>108</v>
      </c>
      <c r="G11" s="3" t="s">
        <v>109</v>
      </c>
    </row>
    <row r="12" spans="1:7" ht="15" customHeight="1" x14ac:dyDescent="0.2">
      <c r="A12" s="3">
        <v>1</v>
      </c>
      <c r="B12" s="21" t="s">
        <v>8</v>
      </c>
      <c r="C12" s="3" t="s">
        <v>9</v>
      </c>
      <c r="D12" s="29">
        <f>'Rate Spread (Sch. 141N)'!G12</f>
        <v>1418926.4743485029</v>
      </c>
      <c r="E12" s="73">
        <f>SUM('RY#2 Therms'!N36:N38)</f>
        <v>639473381</v>
      </c>
      <c r="F12" s="74">
        <f>ROUND(D12/E12,5)</f>
        <v>2.2200000000000002E-3</v>
      </c>
      <c r="G12" s="75">
        <f>ROUND(F12*19,2)</f>
        <v>0.04</v>
      </c>
    </row>
    <row r="13" spans="1:7" ht="15" customHeight="1" x14ac:dyDescent="0.2">
      <c r="A13" s="3">
        <f>A12+1</f>
        <v>2</v>
      </c>
      <c r="B13" s="21" t="s">
        <v>10</v>
      </c>
      <c r="C13" s="3">
        <v>31</v>
      </c>
      <c r="D13" s="29">
        <f>'Rate Spread (Sch. 141N)'!G13</f>
        <v>499939.60571560578</v>
      </c>
      <c r="E13" s="73">
        <f>'RY#2 Therms'!N39</f>
        <v>245936243</v>
      </c>
      <c r="F13" s="74">
        <f t="shared" ref="F13:F16" si="0">ROUND(D13/E13,5)</f>
        <v>2.0300000000000001E-3</v>
      </c>
    </row>
    <row r="14" spans="1:7" ht="15" customHeight="1" x14ac:dyDescent="0.2">
      <c r="A14" s="3">
        <f t="shared" ref="A14:A26" si="1">A13+1</f>
        <v>3</v>
      </c>
      <c r="B14" s="21" t="s">
        <v>11</v>
      </c>
      <c r="C14" s="3">
        <v>41</v>
      </c>
      <c r="D14" s="29">
        <f>'Rate Spread (Sch. 141N)'!G14</f>
        <v>103738.17575235252</v>
      </c>
      <c r="E14" s="73">
        <f>'RY#2 Therms'!N40</f>
        <v>66890541</v>
      </c>
      <c r="F14" s="74">
        <f t="shared" si="0"/>
        <v>1.5499999999999999E-3</v>
      </c>
    </row>
    <row r="15" spans="1:7" ht="15" customHeight="1" x14ac:dyDescent="0.2">
      <c r="A15" s="3">
        <f t="shared" si="1"/>
        <v>4</v>
      </c>
      <c r="B15" s="21" t="s">
        <v>12</v>
      </c>
      <c r="C15" s="3">
        <v>85</v>
      </c>
      <c r="D15" s="29">
        <f>'Rate Spread (Sch. 141N)'!G15</f>
        <v>14001.811009733294</v>
      </c>
      <c r="E15" s="73">
        <f>'RY#2 Therms'!N41</f>
        <v>10745378</v>
      </c>
      <c r="F15" s="74">
        <f t="shared" si="0"/>
        <v>1.2999999999999999E-3</v>
      </c>
    </row>
    <row r="16" spans="1:7" ht="15" customHeight="1" x14ac:dyDescent="0.2">
      <c r="A16" s="3">
        <f t="shared" si="1"/>
        <v>5</v>
      </c>
      <c r="B16" s="21" t="s">
        <v>13</v>
      </c>
      <c r="C16" s="3">
        <v>86</v>
      </c>
      <c r="D16" s="29">
        <f>'Rate Spread (Sch. 141N)'!G16</f>
        <v>1897.6608855315956</v>
      </c>
      <c r="E16" s="73">
        <f>'RY#2 Therms'!N42</f>
        <v>5489408</v>
      </c>
      <c r="F16" s="74">
        <f t="shared" si="0"/>
        <v>3.5E-4</v>
      </c>
    </row>
    <row r="17" spans="1:6" ht="15" customHeight="1" x14ac:dyDescent="0.2">
      <c r="A17" s="3">
        <f t="shared" si="1"/>
        <v>6</v>
      </c>
      <c r="C17" s="3"/>
      <c r="D17" s="29"/>
      <c r="E17" s="73"/>
      <c r="F17" s="74"/>
    </row>
    <row r="18" spans="1:6" ht="15" customHeight="1" x14ac:dyDescent="0.2">
      <c r="A18" s="3">
        <f t="shared" si="1"/>
        <v>7</v>
      </c>
      <c r="B18" s="21" t="s">
        <v>14</v>
      </c>
      <c r="C18" s="3">
        <v>87</v>
      </c>
      <c r="D18" s="29"/>
      <c r="E18" s="73"/>
      <c r="F18" s="74"/>
    </row>
    <row r="19" spans="1:6" ht="15" customHeight="1" x14ac:dyDescent="0.2">
      <c r="A19" s="3">
        <f t="shared" si="1"/>
        <v>8</v>
      </c>
      <c r="B19" s="21" t="s">
        <v>52</v>
      </c>
      <c r="C19" s="3">
        <v>87</v>
      </c>
      <c r="D19" s="29">
        <f>'Rate Spread (Sch. 141N Blocks)'!I13</f>
        <v>3596.3423636498051</v>
      </c>
      <c r="E19" s="73">
        <f>'Rate Spread (Sch. 141N Blocks)'!D13</f>
        <v>1512193</v>
      </c>
      <c r="F19" s="74">
        <f>ROUND(D19/E19,5)</f>
        <v>2.3800000000000002E-3</v>
      </c>
    </row>
    <row r="20" spans="1:6" ht="15" customHeight="1" x14ac:dyDescent="0.2">
      <c r="A20" s="3">
        <f t="shared" si="1"/>
        <v>9</v>
      </c>
      <c r="B20" s="21" t="s">
        <v>53</v>
      </c>
      <c r="C20" s="3">
        <v>87</v>
      </c>
      <c r="D20" s="29">
        <f>'Rate Spread (Sch. 141N Blocks)'!I14</f>
        <v>2009.0705959607001</v>
      </c>
      <c r="E20" s="73">
        <f>'Rate Spread (Sch. 141N Blocks)'!D14</f>
        <v>1398016.115</v>
      </c>
      <c r="F20" s="74">
        <f t="shared" ref="F20:F24" si="2">ROUND(D20/E20,5)</f>
        <v>1.4400000000000001E-3</v>
      </c>
    </row>
    <row r="21" spans="1:6" ht="15" customHeight="1" x14ac:dyDescent="0.2">
      <c r="A21" s="3">
        <f t="shared" si="1"/>
        <v>10</v>
      </c>
      <c r="B21" s="21" t="s">
        <v>54</v>
      </c>
      <c r="C21" s="3">
        <v>87</v>
      </c>
      <c r="D21" s="29">
        <f>'Rate Spread (Sch. 141N Blocks)'!I15</f>
        <v>2118.9177411646315</v>
      </c>
      <c r="E21" s="73">
        <f>'Rate Spread (Sch. 141N Blocks)'!D15</f>
        <v>2316890.0959999999</v>
      </c>
      <c r="F21" s="74">
        <f t="shared" si="2"/>
        <v>9.1E-4</v>
      </c>
    </row>
    <row r="22" spans="1:6" ht="15" customHeight="1" x14ac:dyDescent="0.2">
      <c r="A22" s="3">
        <f t="shared" si="1"/>
        <v>11</v>
      </c>
      <c r="B22" s="21" t="s">
        <v>40</v>
      </c>
      <c r="C22" s="3">
        <v>87</v>
      </c>
      <c r="D22" s="29">
        <f>'Rate Spread (Sch. 141N Blocks)'!I16</f>
        <v>1785.6291726004395</v>
      </c>
      <c r="E22" s="73">
        <f>'Rate Spread (Sch. 141N Blocks)'!D16</f>
        <v>3045256.8779999996</v>
      </c>
      <c r="F22" s="74">
        <f t="shared" si="2"/>
        <v>5.9000000000000003E-4</v>
      </c>
    </row>
    <row r="23" spans="1:6" ht="15" customHeight="1" x14ac:dyDescent="0.2">
      <c r="A23" s="3">
        <f t="shared" si="1"/>
        <v>12</v>
      </c>
      <c r="B23" s="21" t="s">
        <v>41</v>
      </c>
      <c r="C23" s="3">
        <v>87</v>
      </c>
      <c r="D23" s="29">
        <f>'Rate Spread (Sch. 141N Blocks)'!I17</f>
        <v>1600.3924625835866</v>
      </c>
      <c r="E23" s="73">
        <f>'Rate Spread (Sch. 141N Blocks)'!D17</f>
        <v>3792042.2029999997</v>
      </c>
      <c r="F23" s="74">
        <f t="shared" si="2"/>
        <v>4.2000000000000002E-4</v>
      </c>
    </row>
    <row r="24" spans="1:6" ht="15" customHeight="1" x14ac:dyDescent="0.2">
      <c r="A24" s="3">
        <f t="shared" si="1"/>
        <v>13</v>
      </c>
      <c r="B24" s="21" t="s">
        <v>55</v>
      </c>
      <c r="C24" s="3">
        <v>87</v>
      </c>
      <c r="D24" s="29">
        <f>'Rate Spread (Sch. 141N Blocks)'!I18</f>
        <v>784.61984292932539</v>
      </c>
      <c r="E24" s="73">
        <f>'Rate Spread (Sch. 141N Blocks)'!D18</f>
        <v>9755057.4703552071</v>
      </c>
      <c r="F24" s="74">
        <f t="shared" si="2"/>
        <v>8.0000000000000007E-5</v>
      </c>
    </row>
    <row r="25" spans="1:6" ht="15" customHeight="1" x14ac:dyDescent="0.2">
      <c r="A25" s="3">
        <f t="shared" si="1"/>
        <v>14</v>
      </c>
      <c r="C25" s="3"/>
      <c r="D25" s="29"/>
      <c r="E25" s="73"/>
      <c r="F25" s="74"/>
    </row>
    <row r="26" spans="1:6" ht="15" customHeight="1" x14ac:dyDescent="0.2">
      <c r="A26" s="3">
        <f t="shared" si="1"/>
        <v>15</v>
      </c>
      <c r="B26" s="21" t="s">
        <v>16</v>
      </c>
      <c r="D26" s="28">
        <f>SUM(D12:D25)</f>
        <v>2050398.699890614</v>
      </c>
      <c r="E26" s="76">
        <f>SUM(E12:E25)</f>
        <v>990354406.76235509</v>
      </c>
    </row>
    <row r="27" spans="1:6" ht="15" customHeight="1" x14ac:dyDescent="0.2">
      <c r="A27" s="3"/>
    </row>
  </sheetData>
  <printOptions horizontalCentered="1"/>
  <pageMargins left="0.45" right="0.45" top="0.75" bottom="0.75" header="0.3" footer="0.3"/>
  <pageSetup scale="78" orientation="landscape" blackAndWhite="1" r:id="rId1"/>
  <headerFooter>
    <oddFooter>&amp;R&amp;A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9"/>
  <sheetViews>
    <sheetView zoomScale="90" zoomScaleNormal="90" workbookViewId="0">
      <pane ySplit="10" topLeftCell="A11" activePane="bottomLeft" state="frozen"/>
      <selection pane="bottomLeft" activeCell="G25" sqref="G25"/>
    </sheetView>
  </sheetViews>
  <sheetFormatPr defaultColWidth="8.85546875" defaultRowHeight="12.75" x14ac:dyDescent="0.2"/>
  <cols>
    <col min="1" max="1" width="4.5703125" style="2" customWidth="1"/>
    <col min="2" max="2" width="3.140625" style="2" customWidth="1"/>
    <col min="3" max="3" width="25.7109375" style="2" customWidth="1"/>
    <col min="4" max="4" width="13.7109375" style="2" customWidth="1"/>
    <col min="5" max="5" width="13.28515625" style="2" customWidth="1"/>
    <col min="6" max="6" width="14.5703125" style="2" bestFit="1" customWidth="1"/>
    <col min="7" max="7" width="15.85546875" style="2" bestFit="1" customWidth="1"/>
    <col min="8" max="8" width="11.28515625" style="2" bestFit="1" customWidth="1"/>
    <col min="9" max="9" width="15.85546875" style="2" bestFit="1" customWidth="1"/>
    <col min="10" max="10" width="9.42578125" style="2" customWidth="1"/>
    <col min="11" max="16384" width="8.85546875" style="2"/>
  </cols>
  <sheetData>
    <row r="1" spans="1:9" x14ac:dyDescent="0.2">
      <c r="A1" s="25" t="s">
        <v>0</v>
      </c>
      <c r="B1" s="21"/>
      <c r="C1" s="21"/>
      <c r="D1" s="21"/>
      <c r="E1" s="21"/>
      <c r="F1" s="21"/>
      <c r="G1" s="21"/>
      <c r="H1" s="21"/>
      <c r="I1" s="21"/>
    </row>
    <row r="2" spans="1:9" x14ac:dyDescent="0.2">
      <c r="A2" s="25" t="str">
        <f>'Rate Summary'!A2</f>
        <v>2023 Gas Schedule 141D Distribution Pipeline Recovery Filing</v>
      </c>
      <c r="B2" s="3"/>
      <c r="C2" s="3"/>
      <c r="D2" s="3"/>
      <c r="E2" s="3"/>
      <c r="F2" s="3"/>
      <c r="G2" s="3"/>
      <c r="H2" s="3"/>
      <c r="I2" s="3"/>
    </row>
    <row r="3" spans="1:9" x14ac:dyDescent="0.2">
      <c r="A3" s="25" t="s">
        <v>353</v>
      </c>
    </row>
    <row r="4" spans="1:9" x14ac:dyDescent="0.2">
      <c r="A4" s="25" t="str">
        <f>'Rate Summary'!A4</f>
        <v>Proposed Rates Effective November 1, 2023</v>
      </c>
      <c r="B4" s="15"/>
      <c r="C4" s="15"/>
      <c r="D4" s="15"/>
      <c r="E4" s="15"/>
      <c r="F4" s="15"/>
      <c r="G4" s="15"/>
      <c r="H4" s="15"/>
      <c r="I4" s="15"/>
    </row>
    <row r="5" spans="1:9" x14ac:dyDescent="0.2">
      <c r="A5" s="25"/>
      <c r="B5" s="15"/>
      <c r="C5" s="15"/>
      <c r="D5" s="15"/>
      <c r="E5" s="15"/>
      <c r="F5" s="15"/>
      <c r="G5" s="15"/>
      <c r="H5" s="15"/>
      <c r="I5" s="15"/>
    </row>
    <row r="6" spans="1:9" x14ac:dyDescent="0.2">
      <c r="A6" s="25"/>
      <c r="B6" s="15"/>
      <c r="C6" s="15"/>
      <c r="D6" s="15"/>
      <c r="E6" s="15"/>
      <c r="F6" s="15"/>
      <c r="G6" s="15"/>
      <c r="H6" s="15"/>
      <c r="I6" s="15"/>
    </row>
    <row r="7" spans="1:9" x14ac:dyDescent="0.2">
      <c r="D7" s="22" t="s">
        <v>189</v>
      </c>
      <c r="I7" s="22" t="s">
        <v>352</v>
      </c>
    </row>
    <row r="8" spans="1:9" x14ac:dyDescent="0.2">
      <c r="A8" s="5"/>
      <c r="B8" s="5"/>
      <c r="C8" s="5"/>
      <c r="D8" s="22" t="s">
        <v>50</v>
      </c>
      <c r="E8" s="22"/>
      <c r="F8" s="22"/>
      <c r="G8" s="22" t="s">
        <v>352</v>
      </c>
      <c r="H8" s="22"/>
      <c r="I8" s="22" t="s">
        <v>28</v>
      </c>
    </row>
    <row r="9" spans="1:9" x14ac:dyDescent="0.2">
      <c r="A9" s="5" t="s">
        <v>22</v>
      </c>
      <c r="B9" s="5"/>
      <c r="C9" s="5"/>
      <c r="D9" s="22" t="s">
        <v>187</v>
      </c>
      <c r="E9" s="22" t="s">
        <v>189</v>
      </c>
      <c r="F9" s="22" t="s">
        <v>61</v>
      </c>
      <c r="G9" s="22" t="s">
        <v>2</v>
      </c>
      <c r="H9" s="22" t="s">
        <v>56</v>
      </c>
      <c r="I9" s="22" t="s">
        <v>2</v>
      </c>
    </row>
    <row r="10" spans="1:9" x14ac:dyDescent="0.2">
      <c r="A10" s="23" t="s">
        <v>23</v>
      </c>
      <c r="B10" s="316" t="s">
        <v>45</v>
      </c>
      <c r="C10" s="316"/>
      <c r="D10" s="22" t="s">
        <v>188</v>
      </c>
      <c r="E10" s="6" t="s">
        <v>198</v>
      </c>
      <c r="F10" s="6" t="s">
        <v>2</v>
      </c>
      <c r="G10" s="6" t="s">
        <v>6</v>
      </c>
      <c r="H10" s="6" t="s">
        <v>51</v>
      </c>
      <c r="I10" s="6" t="s">
        <v>6</v>
      </c>
    </row>
    <row r="11" spans="1:9" x14ac:dyDescent="0.2">
      <c r="B11" s="15"/>
      <c r="C11" s="15" t="s">
        <v>18</v>
      </c>
      <c r="D11" s="24" t="s">
        <v>19</v>
      </c>
      <c r="E11" s="15" t="s">
        <v>20</v>
      </c>
      <c r="F11" s="15" t="s">
        <v>21</v>
      </c>
      <c r="G11" s="15" t="s">
        <v>43</v>
      </c>
      <c r="H11" s="15" t="s">
        <v>57</v>
      </c>
      <c r="I11" s="15" t="s">
        <v>58</v>
      </c>
    </row>
    <row r="12" spans="1:9" x14ac:dyDescent="0.2">
      <c r="A12" s="15">
        <v>1</v>
      </c>
      <c r="B12" s="2" t="s">
        <v>60</v>
      </c>
      <c r="D12" s="16"/>
      <c r="E12" s="17"/>
    </row>
    <row r="13" spans="1:9" x14ac:dyDescent="0.2">
      <c r="A13" s="15">
        <f t="shared" ref="A13:A19" si="0">A12+1</f>
        <v>2</v>
      </c>
      <c r="C13" s="2" t="s">
        <v>52</v>
      </c>
      <c r="D13" s="280">
        <f>'Exh JDT-5 (JDT-INTRPL-RD)'!D110</f>
        <v>1512193</v>
      </c>
      <c r="E13" s="281">
        <f>'Exh JDT-5 (JDT-INTRPL-RD)'!H110</f>
        <v>0.20754</v>
      </c>
      <c r="F13" s="18">
        <f t="shared" ref="F13:F18" si="1">ROUND(D13*E13,0)</f>
        <v>313841</v>
      </c>
      <c r="H13" s="20">
        <f t="shared" ref="H13:H16" si="2">($G$19-$I$18)/SUM($F$13:$F$17)</f>
        <v>1.1459122178586625E-2</v>
      </c>
      <c r="I13" s="18">
        <f>F13*H13</f>
        <v>3596.3423636498051</v>
      </c>
    </row>
    <row r="14" spans="1:9" x14ac:dyDescent="0.2">
      <c r="A14" s="15">
        <f t="shared" si="0"/>
        <v>3</v>
      </c>
      <c r="C14" s="2" t="s">
        <v>53</v>
      </c>
      <c r="D14" s="280">
        <f>'Exh JDT-5 (JDT-INTRPL-RD)'!D111</f>
        <v>1398016.115</v>
      </c>
      <c r="E14" s="281">
        <f>'Exh JDT-5 (JDT-INTRPL-RD)'!H111</f>
        <v>0.12540999999999999</v>
      </c>
      <c r="F14" s="18">
        <f t="shared" si="1"/>
        <v>175325</v>
      </c>
      <c r="H14" s="20">
        <f t="shared" si="2"/>
        <v>1.1459122178586625E-2</v>
      </c>
      <c r="I14" s="18">
        <f t="shared" ref="I14:I17" si="3">F14*H14</f>
        <v>2009.0705959607001</v>
      </c>
    </row>
    <row r="15" spans="1:9" x14ac:dyDescent="0.2">
      <c r="A15" s="15">
        <f t="shared" si="0"/>
        <v>4</v>
      </c>
      <c r="C15" s="2" t="s">
        <v>54</v>
      </c>
      <c r="D15" s="280">
        <f>'Exh JDT-5 (JDT-INTRPL-RD)'!D112</f>
        <v>2316890.0959999999</v>
      </c>
      <c r="E15" s="281">
        <f>'Exh JDT-5 (JDT-INTRPL-RD)'!H112</f>
        <v>7.9810000000000006E-2</v>
      </c>
      <c r="F15" s="18">
        <f t="shared" si="1"/>
        <v>184911</v>
      </c>
      <c r="H15" s="20">
        <f t="shared" si="2"/>
        <v>1.1459122178586625E-2</v>
      </c>
      <c r="I15" s="18">
        <f t="shared" si="3"/>
        <v>2118.9177411646315</v>
      </c>
    </row>
    <row r="16" spans="1:9" x14ac:dyDescent="0.2">
      <c r="A16" s="15">
        <f t="shared" si="0"/>
        <v>5</v>
      </c>
      <c r="C16" s="2" t="s">
        <v>40</v>
      </c>
      <c r="D16" s="280">
        <f>'Exh JDT-5 (JDT-INTRPL-RD)'!D113</f>
        <v>3045256.8779999996</v>
      </c>
      <c r="E16" s="281">
        <f>'Exh JDT-5 (JDT-INTRPL-RD)'!H113</f>
        <v>5.117E-2</v>
      </c>
      <c r="F16" s="18">
        <f t="shared" si="1"/>
        <v>155826</v>
      </c>
      <c r="H16" s="20">
        <f t="shared" si="2"/>
        <v>1.1459122178586625E-2</v>
      </c>
      <c r="I16" s="18">
        <f t="shared" si="3"/>
        <v>1785.6291726004395</v>
      </c>
    </row>
    <row r="17" spans="1:9" x14ac:dyDescent="0.2">
      <c r="A17" s="15">
        <f t="shared" si="0"/>
        <v>6</v>
      </c>
      <c r="C17" s="2" t="s">
        <v>41</v>
      </c>
      <c r="D17" s="280">
        <f>'Exh JDT-5 (JDT-INTRPL-RD)'!D114</f>
        <v>3792042.2029999997</v>
      </c>
      <c r="E17" s="281">
        <f>'Exh JDT-5 (JDT-INTRPL-RD)'!H114</f>
        <v>3.6830000000000002E-2</v>
      </c>
      <c r="F17" s="18">
        <f t="shared" si="1"/>
        <v>139661</v>
      </c>
      <c r="H17" s="20">
        <f>($G$19-$I$18)/SUM($F$13:$F$17)</f>
        <v>1.1459122178586625E-2</v>
      </c>
      <c r="I17" s="18">
        <f t="shared" si="3"/>
        <v>1600.3924625835866</v>
      </c>
    </row>
    <row r="18" spans="1:9" x14ac:dyDescent="0.2">
      <c r="A18" s="15">
        <f t="shared" si="0"/>
        <v>7</v>
      </c>
      <c r="C18" s="2" t="s">
        <v>55</v>
      </c>
      <c r="D18" s="280">
        <f>'Exh JDT-5 (JDT-INTRPL-RD)'!D115</f>
        <v>9755057.4703552071</v>
      </c>
      <c r="E18" s="281">
        <f>'Exh JDT-5 (JDT-INTRPL-RD)'!H115</f>
        <v>2.4830000000000001E-2</v>
      </c>
      <c r="F18" s="18">
        <f t="shared" si="1"/>
        <v>242218</v>
      </c>
      <c r="H18" s="20">
        <f>H19*0.33</f>
        <v>3.2393126973607471E-3</v>
      </c>
      <c r="I18" s="18">
        <f>F18*H18</f>
        <v>784.61984292932539</v>
      </c>
    </row>
    <row r="19" spans="1:9" x14ac:dyDescent="0.2">
      <c r="A19" s="15">
        <f t="shared" si="0"/>
        <v>8</v>
      </c>
      <c r="C19" s="2" t="s">
        <v>16</v>
      </c>
      <c r="D19" s="76">
        <f>SUM(D13:D18)</f>
        <v>21819455.762355208</v>
      </c>
      <c r="E19" s="17"/>
      <c r="F19" s="19">
        <f>SUM(F13:F18)</f>
        <v>1211782</v>
      </c>
      <c r="G19" s="29">
        <f>'Rate Spread (Sch. 141N)'!G17</f>
        <v>11894.972178888487</v>
      </c>
      <c r="H19" s="20">
        <f>$G$19/$F$19</f>
        <v>9.8160990829113549E-3</v>
      </c>
      <c r="I19" s="19">
        <f>SUM(I13:I18)</f>
        <v>11894.972178888487</v>
      </c>
    </row>
  </sheetData>
  <mergeCells count="1">
    <mergeCell ref="B10:C10"/>
  </mergeCells>
  <printOptions horizontalCentered="1"/>
  <pageMargins left="0.75" right="0.75" top="1" bottom="1" header="0.5" footer="0.5"/>
  <pageSetup scale="78" orientation="portrait" blackAndWhite="1" horizontalDpi="300" verticalDpi="300" r:id="rId1"/>
  <headerFooter alignWithMargins="0">
    <oddFooter>&amp;R&amp;A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
  <sheetViews>
    <sheetView workbookViewId="0">
      <selection activeCell="O21" sqref="O21"/>
    </sheetView>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N98"/>
  <sheetViews>
    <sheetView zoomScale="90" zoomScaleNormal="90" zoomScaleSheetLayoutView="85" workbookViewId="0">
      <pane xSplit="4" ySplit="8" topLeftCell="E57" activePane="bottomRight" state="frozen"/>
      <selection activeCell="U28" sqref="U28"/>
      <selection pane="topRight" activeCell="U28" sqref="U28"/>
      <selection pane="bottomLeft" activeCell="U28" sqref="U28"/>
      <selection pane="bottomRight"/>
    </sheetView>
  </sheetViews>
  <sheetFormatPr defaultRowHeight="15" outlineLevelRow="1" x14ac:dyDescent="0.25"/>
  <cols>
    <col min="1" max="1" width="5.5703125" customWidth="1"/>
    <col min="2" max="2" width="44" customWidth="1"/>
    <col min="3" max="3" width="21.5703125" bestFit="1" customWidth="1"/>
    <col min="4" max="4" width="6.5703125" customWidth="1"/>
    <col min="5" max="5" width="5.5703125" customWidth="1"/>
    <col min="6" max="6" width="19.85546875" bestFit="1" customWidth="1"/>
    <col min="7" max="7" width="18.85546875" bestFit="1" customWidth="1"/>
    <col min="8" max="8" width="16.28515625" customWidth="1"/>
    <col min="9" max="9" width="17.85546875" bestFit="1" customWidth="1"/>
    <col min="10" max="10" width="16.28515625" customWidth="1"/>
    <col min="11" max="11" width="17.85546875" customWidth="1"/>
    <col min="12" max="12" width="16.28515625" customWidth="1"/>
    <col min="14" max="14" width="11.85546875" bestFit="1" customWidth="1"/>
  </cols>
  <sheetData>
    <row r="2" spans="1:13" x14ac:dyDescent="0.25">
      <c r="B2" s="4" t="s">
        <v>0</v>
      </c>
    </row>
    <row r="3" spans="1:13" x14ac:dyDescent="0.25">
      <c r="B3" s="4" t="s">
        <v>147</v>
      </c>
    </row>
    <row r="4" spans="1:13" x14ac:dyDescent="0.25">
      <c r="B4" s="4" t="s">
        <v>280</v>
      </c>
    </row>
    <row r="5" spans="1:13" x14ac:dyDescent="0.25">
      <c r="B5" s="4" t="s">
        <v>221</v>
      </c>
    </row>
    <row r="6" spans="1:13" x14ac:dyDescent="0.25">
      <c r="B6" s="4"/>
    </row>
    <row r="8" spans="1:13" ht="51.75" x14ac:dyDescent="0.4">
      <c r="A8" s="190" t="s">
        <v>222</v>
      </c>
      <c r="B8" s="191" t="s">
        <v>206</v>
      </c>
      <c r="C8" s="192" t="s">
        <v>16</v>
      </c>
      <c r="D8" s="193" t="s">
        <v>223</v>
      </c>
      <c r="E8" s="192"/>
      <c r="F8" s="193" t="s">
        <v>224</v>
      </c>
      <c r="G8" s="193" t="s">
        <v>225</v>
      </c>
      <c r="H8" s="193" t="s">
        <v>226</v>
      </c>
      <c r="I8" s="193" t="s">
        <v>227</v>
      </c>
      <c r="J8" s="193" t="s">
        <v>228</v>
      </c>
      <c r="K8" s="193" t="s">
        <v>229</v>
      </c>
      <c r="L8" s="193" t="s">
        <v>15</v>
      </c>
    </row>
    <row r="9" spans="1:13" x14ac:dyDescent="0.25">
      <c r="D9" s="194" t="str">
        <f>IFERROR(IF(C9="","",IF(C9=0,0,IF(ABS(C9-SUM($F9:$L9))&lt;1,0,1))),1)</f>
        <v/>
      </c>
    </row>
    <row r="10" spans="1:13" x14ac:dyDescent="0.25">
      <c r="A10" s="1">
        <f>IF(B10="","",MAX(A$1:A9)+1)</f>
        <v>1</v>
      </c>
      <c r="B10" s="195" t="s">
        <v>230</v>
      </c>
      <c r="C10" s="196">
        <v>2479982097.015286</v>
      </c>
      <c r="D10" s="194">
        <f t="shared" ref="D10:D75" si="0">IFERROR(IF(C10="","",IF(C10=0,0,IF(ABS(C10-SUM($F10:$L10))&lt;1,0,1))),1)</f>
        <v>0</v>
      </c>
      <c r="E10" s="197"/>
      <c r="F10" s="196">
        <v>1578792311.3445001</v>
      </c>
      <c r="G10" s="196">
        <v>672558532.13824582</v>
      </c>
      <c r="H10" s="196">
        <v>109092957.14304021</v>
      </c>
      <c r="I10" s="196">
        <v>54780248.462351561</v>
      </c>
      <c r="J10" s="196">
        <v>5472879.5457234848</v>
      </c>
      <c r="K10" s="196">
        <v>55199147.567036271</v>
      </c>
      <c r="L10" s="196">
        <v>4086020.8143873857</v>
      </c>
      <c r="M10" s="198"/>
    </row>
    <row r="11" spans="1:13" x14ac:dyDescent="0.25">
      <c r="A11" s="1" t="str">
        <f>IF(B11="","",MAX(A$1:A10)+1)</f>
        <v/>
      </c>
      <c r="C11" s="196"/>
      <c r="D11" s="194" t="str">
        <f t="shared" si="0"/>
        <v/>
      </c>
      <c r="F11" s="196"/>
      <c r="G11" s="196"/>
      <c r="H11" s="196"/>
      <c r="I11" s="196"/>
      <c r="J11" s="196"/>
      <c r="K11" s="196"/>
      <c r="L11" s="196"/>
    </row>
    <row r="12" spans="1:13" x14ac:dyDescent="0.25">
      <c r="A12" s="1">
        <f>IF(B12="","",MAX(A$1:A11)+1)</f>
        <v>2</v>
      </c>
      <c r="B12" s="39" t="s">
        <v>231</v>
      </c>
      <c r="C12" s="196">
        <v>505230012.57985079</v>
      </c>
      <c r="D12" s="194">
        <f t="shared" si="0"/>
        <v>0</v>
      </c>
      <c r="F12" s="196">
        <v>373297420.9992581</v>
      </c>
      <c r="G12" s="196">
        <v>111423891.32188874</v>
      </c>
      <c r="H12" s="196">
        <v>16099373.816760825</v>
      </c>
      <c r="I12" s="196">
        <v>1951708.4759720333</v>
      </c>
      <c r="J12" s="196">
        <v>1141594.4005907846</v>
      </c>
      <c r="K12" s="196">
        <v>1316023.5653802969</v>
      </c>
      <c r="L12" s="196">
        <v>0</v>
      </c>
    </row>
    <row r="13" spans="1:13" x14ac:dyDescent="0.25">
      <c r="A13" s="1">
        <f>IF(B13="","",MAX(A$1:A12)+1)</f>
        <v>3</v>
      </c>
      <c r="B13" s="39" t="s">
        <v>232</v>
      </c>
      <c r="C13" s="196">
        <v>17393364.781592574</v>
      </c>
      <c r="D13" s="194">
        <f t="shared" si="0"/>
        <v>0</v>
      </c>
      <c r="F13" s="196">
        <v>0</v>
      </c>
      <c r="G13" s="196">
        <v>23614.13409035069</v>
      </c>
      <c r="H13" s="196">
        <v>4220060.4380970374</v>
      </c>
      <c r="I13" s="196">
        <v>6736111.6716514546</v>
      </c>
      <c r="J13" s="196">
        <v>354888.86008747591</v>
      </c>
      <c r="K13" s="196">
        <v>4379365.2253098423</v>
      </c>
      <c r="L13" s="196">
        <v>1679324.4523564125</v>
      </c>
    </row>
    <row r="14" spans="1:13" x14ac:dyDescent="0.25">
      <c r="A14" s="1">
        <f>IF(B14="","",MAX(A$1:A13)+1)</f>
        <v>4</v>
      </c>
      <c r="B14" s="39" t="s">
        <v>233</v>
      </c>
      <c r="C14" s="196">
        <v>4050270.1499999203</v>
      </c>
      <c r="D14" s="194">
        <f t="shared" si="0"/>
        <v>0</v>
      </c>
      <c r="F14" s="196">
        <v>3435955.7452309728</v>
      </c>
      <c r="G14" s="196">
        <v>570810.32727385894</v>
      </c>
      <c r="H14" s="196">
        <v>20149.575148323551</v>
      </c>
      <c r="I14" s="196">
        <v>21487.775853206404</v>
      </c>
      <c r="J14" s="196">
        <v>1177.091016426275</v>
      </c>
      <c r="K14" s="196">
        <v>678.83397261518985</v>
      </c>
      <c r="L14" s="196">
        <v>10.801504568895325</v>
      </c>
    </row>
    <row r="15" spans="1:13" x14ac:dyDescent="0.25">
      <c r="A15" s="1">
        <f>IF(B15="","",MAX(A$1:A14)+1)</f>
        <v>5</v>
      </c>
      <c r="B15" s="199" t="s">
        <v>234</v>
      </c>
      <c r="C15" s="200">
        <f>SUM(C12:C14)</f>
        <v>526673647.51144326</v>
      </c>
      <c r="D15" s="194">
        <f t="shared" si="0"/>
        <v>0</v>
      </c>
      <c r="F15" s="200">
        <f>SUM(F12:F14)</f>
        <v>376733376.74448907</v>
      </c>
      <c r="G15" s="200">
        <f t="shared" ref="G15:L15" si="1">SUM(G12:G14)</f>
        <v>112018315.78325295</v>
      </c>
      <c r="H15" s="200">
        <f t="shared" si="1"/>
        <v>20339583.830006182</v>
      </c>
      <c r="I15" s="200">
        <f t="shared" si="1"/>
        <v>8709307.923476696</v>
      </c>
      <c r="J15" s="200">
        <f t="shared" si="1"/>
        <v>1497660.3516946868</v>
      </c>
      <c r="K15" s="200">
        <f t="shared" si="1"/>
        <v>5696067.6246627541</v>
      </c>
      <c r="L15" s="200">
        <f t="shared" si="1"/>
        <v>1679335.2538609814</v>
      </c>
    </row>
    <row r="16" spans="1:13" x14ac:dyDescent="0.25">
      <c r="A16" s="1">
        <f>IF(B16="","",MAX(A$1:A15)+1)</f>
        <v>6</v>
      </c>
      <c r="B16" s="2" t="s">
        <v>235</v>
      </c>
      <c r="C16" s="201">
        <f>SUM(C12:C13)/C21</f>
        <v>0.9214194083912397</v>
      </c>
      <c r="D16" s="194"/>
      <c r="E16" s="201"/>
      <c r="F16" s="201">
        <f>SUM(F12:F13)/F21</f>
        <v>1.0067449316265176</v>
      </c>
      <c r="G16" s="201">
        <f t="shared" ref="G16:L16" si="2">SUM(G12:G13)/G21</f>
        <v>0.77131172076876142</v>
      </c>
      <c r="H16" s="201">
        <f t="shared" si="2"/>
        <v>0.83400607593798715</v>
      </c>
      <c r="I16" s="201">
        <f t="shared" si="2"/>
        <v>0.70179644352919224</v>
      </c>
      <c r="J16" s="201">
        <f t="shared" si="2"/>
        <v>1.1593407876782997</v>
      </c>
      <c r="K16" s="201">
        <f t="shared" si="2"/>
        <v>0.44762238157501322</v>
      </c>
      <c r="L16" s="201">
        <f t="shared" si="2"/>
        <v>1.4615574177129793</v>
      </c>
    </row>
    <row r="17" spans="1:14" x14ac:dyDescent="0.25">
      <c r="A17" s="1">
        <f>IF(B17="","",MAX(A$1:A16)+1)</f>
        <v>7</v>
      </c>
      <c r="B17" s="202" t="s">
        <v>236</v>
      </c>
      <c r="C17" s="201">
        <f>C16/$C$16</f>
        <v>1</v>
      </c>
      <c r="D17" s="194"/>
      <c r="F17" s="201">
        <f>F16/$C$16</f>
        <v>1.0926022639182875</v>
      </c>
      <c r="G17" s="201">
        <f t="shared" ref="G17:L17" si="3">G16/$C$16</f>
        <v>0.83709081200648883</v>
      </c>
      <c r="H17" s="201">
        <f t="shared" si="3"/>
        <v>0.90513187408774831</v>
      </c>
      <c r="I17" s="201">
        <f t="shared" si="3"/>
        <v>0.76164712522661082</v>
      </c>
      <c r="J17" s="201">
        <f t="shared" si="3"/>
        <v>1.2582118165955078</v>
      </c>
      <c r="K17" s="201">
        <f t="shared" si="3"/>
        <v>0.48579656288827627</v>
      </c>
      <c r="L17" s="201">
        <f t="shared" si="3"/>
        <v>1.5862021186039463</v>
      </c>
    </row>
    <row r="18" spans="1:14" x14ac:dyDescent="0.25">
      <c r="A18" s="1" t="str">
        <f>IF(B18="","",MAX(A$1:A17)+1)</f>
        <v/>
      </c>
      <c r="B18" s="202"/>
      <c r="C18" s="201"/>
      <c r="D18" s="194" t="str">
        <f t="shared" si="0"/>
        <v/>
      </c>
      <c r="F18" s="201"/>
      <c r="G18" s="201"/>
      <c r="H18" s="201"/>
      <c r="I18" s="201"/>
      <c r="J18" s="201"/>
      <c r="K18" s="201"/>
      <c r="L18" s="201"/>
    </row>
    <row r="19" spans="1:14" x14ac:dyDescent="0.25">
      <c r="A19" s="1">
        <f>IF(B19="","",MAX(A$1:A18)+1)</f>
        <v>8</v>
      </c>
      <c r="B19" s="5" t="s">
        <v>237</v>
      </c>
      <c r="D19" s="194" t="str">
        <f t="shared" si="0"/>
        <v/>
      </c>
    </row>
    <row r="20" spans="1:14" x14ac:dyDescent="0.25">
      <c r="A20" s="1">
        <f>IF(B20="","",MAX(A$1:A19)+1)</f>
        <v>9</v>
      </c>
      <c r="B20" s="202" t="s">
        <v>238</v>
      </c>
      <c r="C20" s="203">
        <v>44570424.507699192</v>
      </c>
      <c r="D20" s="194">
        <f t="shared" si="0"/>
        <v>0</v>
      </c>
      <c r="F20" s="196">
        <v>-2500996.5303996205</v>
      </c>
      <c r="G20" s="196">
        <v>33043369.575584128</v>
      </c>
      <c r="H20" s="196">
        <v>4044218.2904848903</v>
      </c>
      <c r="I20" s="196">
        <v>3691581.6400718149</v>
      </c>
      <c r="J20" s="196">
        <v>-205677.9370122801</v>
      </c>
      <c r="K20" s="196">
        <v>7028257.3564266078</v>
      </c>
      <c r="L20" s="196">
        <v>-530327.88745635445</v>
      </c>
    </row>
    <row r="21" spans="1:14" x14ac:dyDescent="0.25">
      <c r="A21" s="1">
        <f>IF(B21="","",MAX(A$1:A20)+1)</f>
        <v>10</v>
      </c>
      <c r="B21" s="202" t="s">
        <v>239</v>
      </c>
      <c r="C21" s="196">
        <v>567193801.86914253</v>
      </c>
      <c r="D21" s="194">
        <f t="shared" si="0"/>
        <v>0</v>
      </c>
      <c r="F21" s="196">
        <v>370796424.46885848</v>
      </c>
      <c r="G21" s="196">
        <v>144490875.03156322</v>
      </c>
      <c r="H21" s="196">
        <v>24363652.545342751</v>
      </c>
      <c r="I21" s="196">
        <v>12379401.787695304</v>
      </c>
      <c r="J21" s="196">
        <v>1290805.3236659805</v>
      </c>
      <c r="K21" s="196">
        <v>12723646.147116747</v>
      </c>
      <c r="L21" s="196">
        <v>1148996.5649000581</v>
      </c>
      <c r="N21" s="196"/>
    </row>
    <row r="22" spans="1:14" x14ac:dyDescent="0.25">
      <c r="A22" s="1">
        <f>IF(B22="","",MAX(A$1:A21)+1)</f>
        <v>11</v>
      </c>
      <c r="B22" s="202" t="s">
        <v>240</v>
      </c>
      <c r="C22" s="196">
        <v>4050270.1499999203</v>
      </c>
      <c r="D22" s="194">
        <f t="shared" si="0"/>
        <v>0</v>
      </c>
      <c r="F22" s="196">
        <v>3435955.7452309728</v>
      </c>
      <c r="G22" s="196">
        <v>570810.32727385894</v>
      </c>
      <c r="H22" s="196">
        <v>20149.575148323551</v>
      </c>
      <c r="I22" s="196">
        <v>21487.775853206404</v>
      </c>
      <c r="J22" s="196">
        <v>1177.091016426275</v>
      </c>
      <c r="K22" s="196">
        <v>678.83397261518985</v>
      </c>
      <c r="L22" s="196">
        <v>10.801504568895325</v>
      </c>
    </row>
    <row r="23" spans="1:14" x14ac:dyDescent="0.25">
      <c r="A23" s="1">
        <f>IF(B23="","",MAX(A$1:A22)+1)</f>
        <v>12</v>
      </c>
      <c r="B23" s="204" t="s">
        <v>241</v>
      </c>
      <c r="C23" s="200">
        <f>SUM(C21:C22)</f>
        <v>571244072.01914251</v>
      </c>
      <c r="D23" s="194">
        <f t="shared" si="0"/>
        <v>0</v>
      </c>
      <c r="F23" s="200">
        <f t="shared" ref="F23:L23" si="4">SUM(F21:F22)</f>
        <v>374232380.21408945</v>
      </c>
      <c r="G23" s="200">
        <f t="shared" si="4"/>
        <v>145061685.35883707</v>
      </c>
      <c r="H23" s="200">
        <f t="shared" si="4"/>
        <v>24383802.120491073</v>
      </c>
      <c r="I23" s="200">
        <f t="shared" si="4"/>
        <v>12400889.563548509</v>
      </c>
      <c r="J23" s="200">
        <f t="shared" si="4"/>
        <v>1291982.4146824067</v>
      </c>
      <c r="K23" s="200">
        <f t="shared" si="4"/>
        <v>12724324.981089361</v>
      </c>
      <c r="L23" s="200">
        <f t="shared" si="4"/>
        <v>1149007.366404627</v>
      </c>
    </row>
    <row r="24" spans="1:14" x14ac:dyDescent="0.25">
      <c r="A24" s="1">
        <f>IF(B24="","",MAX(A$1:A23)+1)</f>
        <v>13</v>
      </c>
      <c r="B24" s="202" t="s">
        <v>242</v>
      </c>
      <c r="C24" s="205">
        <f>C23/C15-1</f>
        <v>8.4626266604179934E-2</v>
      </c>
      <c r="D24" s="194"/>
      <c r="F24" s="205">
        <f t="shared" ref="F24:L24" si="5">F23/F15-1</f>
        <v>-6.6386380522261978E-3</v>
      </c>
      <c r="G24" s="205">
        <f t="shared" si="5"/>
        <v>0.29498184600026089</v>
      </c>
      <c r="H24" s="205">
        <f t="shared" si="5"/>
        <v>0.19883485937006329</v>
      </c>
      <c r="I24" s="205">
        <f t="shared" si="5"/>
        <v>0.42386624431096687</v>
      </c>
      <c r="J24" s="205">
        <f t="shared" si="5"/>
        <v>-0.13733283169280941</v>
      </c>
      <c r="K24" s="205">
        <f t="shared" si="5"/>
        <v>1.2338788475747298</v>
      </c>
      <c r="L24" s="205">
        <f t="shared" si="5"/>
        <v>-0.3157963165705423</v>
      </c>
    </row>
    <row r="25" spans="1:14" x14ac:dyDescent="0.25">
      <c r="A25" s="1">
        <f>IF(B25="","",MAX(A$1:A24)+1)</f>
        <v>14</v>
      </c>
      <c r="B25" s="202" t="s">
        <v>243</v>
      </c>
      <c r="C25" s="206">
        <f>C23/C$23</f>
        <v>1</v>
      </c>
      <c r="D25" s="194"/>
      <c r="F25" s="206">
        <f t="shared" ref="F25:L25" si="6">F23/F$23</f>
        <v>1</v>
      </c>
      <c r="G25" s="206">
        <f t="shared" si="6"/>
        <v>1</v>
      </c>
      <c r="H25" s="206">
        <f t="shared" si="6"/>
        <v>1</v>
      </c>
      <c r="I25" s="206">
        <f t="shared" si="6"/>
        <v>1</v>
      </c>
      <c r="J25" s="206">
        <f t="shared" si="6"/>
        <v>1</v>
      </c>
      <c r="K25" s="206">
        <f t="shared" si="6"/>
        <v>1</v>
      </c>
      <c r="L25" s="206">
        <f t="shared" si="6"/>
        <v>1</v>
      </c>
    </row>
    <row r="26" spans="1:14" x14ac:dyDescent="0.25">
      <c r="A26" s="1" t="str">
        <f>IF(B26="","",MAX(A$1:A25)+1)</f>
        <v/>
      </c>
      <c r="B26" s="202"/>
      <c r="C26" s="201"/>
      <c r="D26" s="194" t="str">
        <f t="shared" si="0"/>
        <v/>
      </c>
      <c r="F26" s="201"/>
      <c r="G26" s="201"/>
      <c r="H26" s="201"/>
      <c r="I26" s="201"/>
      <c r="J26" s="201"/>
      <c r="K26" s="201"/>
      <c r="L26" s="201"/>
    </row>
    <row r="27" spans="1:14" x14ac:dyDescent="0.25">
      <c r="A27" s="1">
        <f>IF(B27="","",MAX(A$1:A26)+1)</f>
        <v>15</v>
      </c>
      <c r="B27" s="207" t="s">
        <v>244</v>
      </c>
      <c r="C27" s="196">
        <f>SUM(F27:L27)</f>
        <v>524994312.25758237</v>
      </c>
      <c r="D27" s="194">
        <f t="shared" si="0"/>
        <v>0</v>
      </c>
      <c r="F27" s="196">
        <f t="shared" ref="F27:K27" si="7">F15</f>
        <v>376733376.74448907</v>
      </c>
      <c r="G27" s="196">
        <f t="shared" si="7"/>
        <v>112018315.78325295</v>
      </c>
      <c r="H27" s="196">
        <f t="shared" si="7"/>
        <v>20339583.830006182</v>
      </c>
      <c r="I27" s="196">
        <f t="shared" si="7"/>
        <v>8709307.923476696</v>
      </c>
      <c r="J27" s="196">
        <f t="shared" si="7"/>
        <v>1497660.3516946868</v>
      </c>
      <c r="K27" s="196">
        <f t="shared" si="7"/>
        <v>5696067.6246627541</v>
      </c>
      <c r="L27" s="196"/>
    </row>
    <row r="28" spans="1:14" x14ac:dyDescent="0.25">
      <c r="A28" s="1" t="str">
        <f>IF(B28="","",MAX(A$1:A27)+1)</f>
        <v/>
      </c>
      <c r="B28" s="202"/>
      <c r="D28" s="194" t="str">
        <f t="shared" si="0"/>
        <v/>
      </c>
    </row>
    <row r="29" spans="1:14" x14ac:dyDescent="0.25">
      <c r="A29" s="1">
        <f>IF(B29="","",MAX(A$1:A28)+1)</f>
        <v>16</v>
      </c>
      <c r="B29" s="5" t="s">
        <v>245</v>
      </c>
      <c r="D29" s="194" t="str">
        <f t="shared" si="0"/>
        <v/>
      </c>
    </row>
    <row r="30" spans="1:14" x14ac:dyDescent="0.25">
      <c r="A30" s="1">
        <f>IF(B30="","",MAX(A$1:A29)+1)</f>
        <v>17</v>
      </c>
      <c r="B30" s="202" t="s">
        <v>238</v>
      </c>
      <c r="C30" s="203">
        <f>$C$34*C27</f>
        <v>44570424.507699192</v>
      </c>
      <c r="D30" s="194">
        <f t="shared" si="0"/>
        <v>0</v>
      </c>
      <c r="F30" s="196">
        <f>$C$34*F27-($L$30*F27/$C$27)</f>
        <v>31969355.512996815</v>
      </c>
      <c r="G30" s="196">
        <f t="shared" ref="G30:J30" si="8">$C$34*G27-($L$30*G27/$C$27)</f>
        <v>9505803.2611503731</v>
      </c>
      <c r="H30" s="196">
        <f t="shared" si="8"/>
        <v>1726004.1891347521</v>
      </c>
      <c r="I30" s="196">
        <f t="shared" si="8"/>
        <v>739066.34894902376</v>
      </c>
      <c r="J30" s="196">
        <f t="shared" si="8"/>
        <v>127090.50797354836</v>
      </c>
      <c r="K30" s="196">
        <f>$C$34*K27-($L$30*K27/$C$27)</f>
        <v>483364.68749467836</v>
      </c>
      <c r="L30" s="196">
        <f>L41</f>
        <v>19740.000000000015</v>
      </c>
    </row>
    <row r="31" spans="1:14" x14ac:dyDescent="0.25">
      <c r="A31" s="1">
        <f>IF(B31="","",MAX(A$1:A30)+1)</f>
        <v>18</v>
      </c>
      <c r="B31" s="202" t="s">
        <v>246</v>
      </c>
      <c r="C31" s="196">
        <f>C30+C12+C13</f>
        <v>567193801.86914253</v>
      </c>
      <c r="D31" s="194">
        <f t="shared" si="0"/>
        <v>0</v>
      </c>
      <c r="F31" s="196">
        <f>F30+F12+F13</f>
        <v>405266776.51225489</v>
      </c>
      <c r="G31" s="196">
        <f t="shared" ref="G31:L31" si="9">G30+G12+G13</f>
        <v>120953308.71712947</v>
      </c>
      <c r="H31" s="196">
        <f t="shared" si="9"/>
        <v>22045438.443992615</v>
      </c>
      <c r="I31" s="196">
        <f t="shared" si="9"/>
        <v>9426886.4965725113</v>
      </c>
      <c r="J31" s="196">
        <f t="shared" si="9"/>
        <v>1623573.7686518088</v>
      </c>
      <c r="K31" s="196">
        <f t="shared" si="9"/>
        <v>6178753.4781848174</v>
      </c>
      <c r="L31" s="196">
        <f t="shared" si="9"/>
        <v>1699064.4523564125</v>
      </c>
    </row>
    <row r="32" spans="1:14" x14ac:dyDescent="0.25">
      <c r="A32" s="1">
        <f>IF(B32="","",MAX(A$1:A31)+1)</f>
        <v>19</v>
      </c>
      <c r="B32" s="202" t="s">
        <v>240</v>
      </c>
      <c r="C32" s="196">
        <f>C22</f>
        <v>4050270.1499999203</v>
      </c>
      <c r="D32" s="194">
        <f t="shared" si="0"/>
        <v>0</v>
      </c>
      <c r="F32" s="196">
        <f>F22</f>
        <v>3435955.7452309728</v>
      </c>
      <c r="G32" s="196">
        <f t="shared" ref="G32:L32" si="10">G22</f>
        <v>570810.32727385894</v>
      </c>
      <c r="H32" s="196">
        <f t="shared" si="10"/>
        <v>20149.575148323551</v>
      </c>
      <c r="I32" s="196">
        <f t="shared" si="10"/>
        <v>21487.775853206404</v>
      </c>
      <c r="J32" s="196">
        <f t="shared" si="10"/>
        <v>1177.091016426275</v>
      </c>
      <c r="K32" s="196">
        <f t="shared" si="10"/>
        <v>678.83397261518985</v>
      </c>
      <c r="L32" s="196">
        <f t="shared" si="10"/>
        <v>10.801504568895325</v>
      </c>
    </row>
    <row r="33" spans="1:12" x14ac:dyDescent="0.25">
      <c r="A33" s="1">
        <f>IF(B33="","",MAX(A$1:A32)+1)</f>
        <v>20</v>
      </c>
      <c r="B33" s="204" t="s">
        <v>247</v>
      </c>
      <c r="C33" s="200">
        <f>SUM(C31:C32)</f>
        <v>571244072.01914251</v>
      </c>
      <c r="D33" s="194">
        <f t="shared" si="0"/>
        <v>0</v>
      </c>
      <c r="F33" s="200">
        <f t="shared" ref="F33:L33" si="11">SUM(F31:F32)</f>
        <v>408702732.25748587</v>
      </c>
      <c r="G33" s="200">
        <f t="shared" si="11"/>
        <v>121524119.04440333</v>
      </c>
      <c r="H33" s="200">
        <f t="shared" si="11"/>
        <v>22065588.019140936</v>
      </c>
      <c r="I33" s="200">
        <f t="shared" si="11"/>
        <v>9448374.2724257186</v>
      </c>
      <c r="J33" s="200">
        <f t="shared" si="11"/>
        <v>1624750.8596682351</v>
      </c>
      <c r="K33" s="200">
        <f t="shared" si="11"/>
        <v>6179432.3121574325</v>
      </c>
      <c r="L33" s="200">
        <f t="shared" si="11"/>
        <v>1699075.2538609814</v>
      </c>
    </row>
    <row r="34" spans="1:12" x14ac:dyDescent="0.25">
      <c r="A34" s="1">
        <f>IF(B34="","",MAX(A$1:A33)+1)</f>
        <v>21</v>
      </c>
      <c r="B34" s="202" t="s">
        <v>248</v>
      </c>
      <c r="C34" s="205">
        <f>C20/C27</f>
        <v>8.4896966437669197E-2</v>
      </c>
      <c r="D34" s="194">
        <f t="shared" si="0"/>
        <v>0</v>
      </c>
      <c r="F34" s="205">
        <f>F33/F15-1</f>
        <v>8.4859366030314076E-2</v>
      </c>
      <c r="G34" s="205">
        <f t="shared" ref="G34:L34" si="12">G33/G15-1</f>
        <v>8.4859366030314076E-2</v>
      </c>
      <c r="H34" s="205">
        <f t="shared" si="12"/>
        <v>8.4859366030314076E-2</v>
      </c>
      <c r="I34" s="205">
        <f t="shared" si="12"/>
        <v>8.4859366030313854E-2</v>
      </c>
      <c r="J34" s="205">
        <f t="shared" si="12"/>
        <v>8.4859366030314076E-2</v>
      </c>
      <c r="K34" s="205">
        <f t="shared" si="12"/>
        <v>8.4859366030314076E-2</v>
      </c>
      <c r="L34" s="205">
        <f t="shared" si="12"/>
        <v>1.1754651106510972E-2</v>
      </c>
    </row>
    <row r="35" spans="1:12" x14ac:dyDescent="0.25">
      <c r="A35" s="1">
        <f>IF(B35="","",MAX(A$1:A34)+1)</f>
        <v>22</v>
      </c>
      <c r="B35" s="202" t="s">
        <v>236</v>
      </c>
      <c r="C35" s="206">
        <f>C31/C$21</f>
        <v>1</v>
      </c>
      <c r="D35" s="194"/>
      <c r="F35" s="206">
        <f>F31/F$21</f>
        <v>1.0929630108833248</v>
      </c>
      <c r="G35" s="206">
        <f t="shared" ref="G35:L35" si="13">G31/G$21</f>
        <v>0.83709998081683634</v>
      </c>
      <c r="H35" s="206">
        <f t="shared" si="13"/>
        <v>0.9048494844097883</v>
      </c>
      <c r="I35" s="206">
        <f t="shared" si="13"/>
        <v>0.76149774102513657</v>
      </c>
      <c r="J35" s="206">
        <f t="shared" si="13"/>
        <v>1.2577990955605465</v>
      </c>
      <c r="K35" s="206">
        <f t="shared" si="13"/>
        <v>0.48561186052670596</v>
      </c>
      <c r="L35" s="206">
        <f t="shared" si="13"/>
        <v>1.4787376257336333</v>
      </c>
    </row>
    <row r="36" spans="1:12" x14ac:dyDescent="0.25">
      <c r="A36" s="1" t="str">
        <f>IF(B36="","",MAX(A$1:A35)+1)</f>
        <v/>
      </c>
      <c r="B36" s="5"/>
      <c r="D36" s="194" t="str">
        <f t="shared" si="0"/>
        <v/>
      </c>
    </row>
    <row r="37" spans="1:12" x14ac:dyDescent="0.25">
      <c r="A37" s="1">
        <f>IF(B37="","",MAX(A$1:A36)+1)</f>
        <v>23</v>
      </c>
      <c r="B37" s="5" t="s">
        <v>249</v>
      </c>
      <c r="D37" s="194" t="str">
        <f t="shared" si="0"/>
        <v/>
      </c>
    </row>
    <row r="38" spans="1:12" outlineLevel="1" x14ac:dyDescent="0.25">
      <c r="A38" s="1"/>
      <c r="B38" s="208" t="s">
        <v>248</v>
      </c>
      <c r="C38" s="209">
        <f>C34</f>
        <v>8.4896966437669197E-2</v>
      </c>
      <c r="D38" s="210"/>
      <c r="E38" s="208"/>
      <c r="F38" s="211"/>
      <c r="G38" s="211"/>
      <c r="H38" s="211"/>
      <c r="I38" s="211"/>
      <c r="J38" s="211"/>
      <c r="K38" s="211"/>
      <c r="L38" s="211"/>
    </row>
    <row r="39" spans="1:12" outlineLevel="1" x14ac:dyDescent="0.25">
      <c r="A39" s="1"/>
      <c r="B39" s="208" t="s">
        <v>250</v>
      </c>
      <c r="C39" s="212"/>
      <c r="D39" s="210"/>
      <c r="E39" s="208"/>
      <c r="F39" s="211">
        <v>0.8</v>
      </c>
      <c r="G39" s="211">
        <v>1.25</v>
      </c>
      <c r="H39" s="211">
        <v>1.25</v>
      </c>
      <c r="I39" s="211">
        <v>1.5</v>
      </c>
      <c r="J39" s="211">
        <v>0</v>
      </c>
      <c r="K39" s="211">
        <v>1.5</v>
      </c>
      <c r="L39" s="211">
        <v>0</v>
      </c>
    </row>
    <row r="40" spans="1:12" outlineLevel="1" x14ac:dyDescent="0.25">
      <c r="A40" s="1"/>
      <c r="B40" s="208" t="s">
        <v>251</v>
      </c>
      <c r="C40" s="211"/>
      <c r="D40" s="210"/>
      <c r="E40" s="208"/>
      <c r="F40" s="209">
        <f>$C$38*F39</f>
        <v>6.7917573150135357E-2</v>
      </c>
      <c r="G40" s="209">
        <f t="shared" ref="G40:L40" si="14">$C$38*G39</f>
        <v>0.1061212080470865</v>
      </c>
      <c r="H40" s="209">
        <f t="shared" si="14"/>
        <v>0.1061212080470865</v>
      </c>
      <c r="I40" s="209">
        <f t="shared" si="14"/>
        <v>0.1273454496565038</v>
      </c>
      <c r="J40" s="209">
        <f t="shared" si="14"/>
        <v>0</v>
      </c>
      <c r="K40" s="209">
        <f t="shared" si="14"/>
        <v>0.1273454496565038</v>
      </c>
      <c r="L40" s="209">
        <f t="shared" si="14"/>
        <v>0</v>
      </c>
    </row>
    <row r="41" spans="1:12" outlineLevel="1" x14ac:dyDescent="0.25">
      <c r="A41" s="1"/>
      <c r="B41" s="208" t="s">
        <v>252</v>
      </c>
      <c r="C41" s="213">
        <f>SUM(F41:L41)</f>
        <v>41486995.901324026</v>
      </c>
      <c r="D41" s="210"/>
      <c r="E41" s="208"/>
      <c r="F41" s="213">
        <f t="shared" ref="F41:K41" si="15">F40*F27</f>
        <v>25586816.673141338</v>
      </c>
      <c r="G41" s="213">
        <f t="shared" si="15"/>
        <v>11887518.994318821</v>
      </c>
      <c r="H41" s="213">
        <f t="shared" si="15"/>
        <v>2158461.2072152426</v>
      </c>
      <c r="I41" s="213">
        <f t="shared" si="15"/>
        <v>1109090.7337120911</v>
      </c>
      <c r="J41" s="213">
        <f t="shared" si="15"/>
        <v>0</v>
      </c>
      <c r="K41" s="213">
        <f t="shared" si="15"/>
        <v>725368.29293653194</v>
      </c>
      <c r="L41" s="213">
        <v>19740.000000000015</v>
      </c>
    </row>
    <row r="42" spans="1:12" outlineLevel="1" x14ac:dyDescent="0.25">
      <c r="A42" s="1"/>
      <c r="B42" s="214" t="s">
        <v>253</v>
      </c>
      <c r="C42" s="213">
        <f>C30-C41</f>
        <v>3083428.6063751653</v>
      </c>
      <c r="D42" s="210"/>
      <c r="E42" s="208"/>
      <c r="F42" s="211"/>
      <c r="G42" s="211"/>
      <c r="H42" s="211"/>
      <c r="I42" s="211"/>
      <c r="J42" s="211"/>
      <c r="K42" s="211"/>
      <c r="L42" s="211"/>
    </row>
    <row r="43" spans="1:12" outlineLevel="1" x14ac:dyDescent="0.25">
      <c r="A43" s="1"/>
      <c r="B43" s="208" t="s">
        <v>254</v>
      </c>
      <c r="C43" s="213"/>
      <c r="D43" s="210"/>
      <c r="E43" s="208"/>
      <c r="F43" s="213">
        <f>C42</f>
        <v>3083428.6063751653</v>
      </c>
      <c r="G43" s="213"/>
      <c r="H43" s="213"/>
      <c r="I43" s="213"/>
      <c r="J43" s="213"/>
      <c r="K43" s="213"/>
      <c r="L43" s="213"/>
    </row>
    <row r="44" spans="1:12" x14ac:dyDescent="0.25">
      <c r="A44" s="1">
        <f>IF(B44="","",MAX(A$1:A43)+1)</f>
        <v>24</v>
      </c>
      <c r="B44" s="202" t="s">
        <v>255</v>
      </c>
      <c r="C44" s="196"/>
      <c r="D44" s="194"/>
      <c r="F44" s="215">
        <f>F50/$C$38</f>
        <v>0.89640679091156739</v>
      </c>
      <c r="G44" s="215">
        <f t="shared" ref="G44:L44" si="16">G50/$C$38</f>
        <v>1.2499999999999984</v>
      </c>
      <c r="H44" s="215">
        <f t="shared" si="16"/>
        <v>1.2500000000000036</v>
      </c>
      <c r="I44" s="215">
        <f t="shared" si="16"/>
        <v>1.4999999999999953</v>
      </c>
      <c r="J44" s="215">
        <f t="shared" si="16"/>
        <v>0</v>
      </c>
      <c r="K44" s="215">
        <f>K50/$C$38</f>
        <v>1.5000000000000007</v>
      </c>
      <c r="L44" s="215">
        <f t="shared" si="16"/>
        <v>0.13845784601904662</v>
      </c>
    </row>
    <row r="45" spans="1:12" x14ac:dyDescent="0.25">
      <c r="A45" s="1">
        <f>IF(B45="","",MAX(A$1:A44)+1)</f>
        <v>25</v>
      </c>
      <c r="B45" s="202" t="s">
        <v>242</v>
      </c>
      <c r="C45" s="196"/>
      <c r="D45" s="194"/>
      <c r="F45" s="205">
        <f>$C$38*F44</f>
        <v>7.6102217242518089E-2</v>
      </c>
      <c r="G45" s="205">
        <f t="shared" ref="G45:L45" si="17">$C$38*G44</f>
        <v>0.10612120804708636</v>
      </c>
      <c r="H45" s="205">
        <f>$C$38*H44</f>
        <v>0.1061212080470868</v>
      </c>
      <c r="I45" s="205">
        <f t="shared" si="17"/>
        <v>0.12734544965650341</v>
      </c>
      <c r="J45" s="205">
        <f t="shared" si="17"/>
        <v>0</v>
      </c>
      <c r="K45" s="205">
        <f t="shared" si="17"/>
        <v>0.12734544965650385</v>
      </c>
      <c r="L45" s="205">
        <f t="shared" si="17"/>
        <v>1.175465110651097E-2</v>
      </c>
    </row>
    <row r="46" spans="1:12" x14ac:dyDescent="0.25">
      <c r="A46" s="1">
        <f>IF(B46="","",MAX(A$1:A45)+1)</f>
        <v>26</v>
      </c>
      <c r="B46" s="202" t="s">
        <v>238</v>
      </c>
      <c r="C46" s="203">
        <f>SUM(F46:L46)</f>
        <v>44570424.507699192</v>
      </c>
      <c r="D46" s="194">
        <f t="shared" si="0"/>
        <v>0</v>
      </c>
      <c r="F46" s="196">
        <f>F41+F43</f>
        <v>28670245.279516503</v>
      </c>
      <c r="G46" s="196">
        <f>G41+G43</f>
        <v>11887518.994318821</v>
      </c>
      <c r="H46" s="196">
        <f t="shared" ref="H46:L46" si="18">H41+H43</f>
        <v>2158461.2072152426</v>
      </c>
      <c r="I46" s="196">
        <f t="shared" si="18"/>
        <v>1109090.7337120911</v>
      </c>
      <c r="J46" s="196">
        <f t="shared" si="18"/>
        <v>0</v>
      </c>
      <c r="K46" s="196">
        <f t="shared" si="18"/>
        <v>725368.29293653194</v>
      </c>
      <c r="L46" s="196">
        <f t="shared" si="18"/>
        <v>19740.000000000015</v>
      </c>
    </row>
    <row r="47" spans="1:12" x14ac:dyDescent="0.25">
      <c r="A47" s="1">
        <f>IF(B47="","",MAX(A$1:A46)+1)</f>
        <v>27</v>
      </c>
      <c r="B47" s="202" t="s">
        <v>246</v>
      </c>
      <c r="C47" s="196">
        <f>SUM(F47:L47)</f>
        <v>567193801.86914265</v>
      </c>
      <c r="D47" s="194">
        <f t="shared" si="0"/>
        <v>0</v>
      </c>
      <c r="F47" s="196">
        <f>F46+F12+F13</f>
        <v>401967666.27877462</v>
      </c>
      <c r="G47" s="196">
        <f t="shared" ref="G47:L47" si="19">G46+G12+G13</f>
        <v>123335024.45029791</v>
      </c>
      <c r="H47" s="196">
        <f t="shared" si="19"/>
        <v>22477895.462073106</v>
      </c>
      <c r="I47" s="196">
        <f t="shared" si="19"/>
        <v>9796910.8813355789</v>
      </c>
      <c r="J47" s="196">
        <f t="shared" si="19"/>
        <v>1496483.2606782606</v>
      </c>
      <c r="K47" s="196">
        <f t="shared" si="19"/>
        <v>6420757.0836266708</v>
      </c>
      <c r="L47" s="196">
        <f t="shared" si="19"/>
        <v>1699064.4523564125</v>
      </c>
    </row>
    <row r="48" spans="1:12" x14ac:dyDescent="0.25">
      <c r="A48" s="1">
        <f>IF(B48="","",MAX(A$1:A47)+1)</f>
        <v>28</v>
      </c>
      <c r="B48" s="202" t="s">
        <v>240</v>
      </c>
      <c r="C48" s="196">
        <f>C32</f>
        <v>4050270.1499999203</v>
      </c>
      <c r="D48" s="194">
        <f t="shared" si="0"/>
        <v>0</v>
      </c>
      <c r="F48" s="196">
        <f>F32</f>
        <v>3435955.7452309728</v>
      </c>
      <c r="G48" s="196">
        <f t="shared" ref="G48:L48" si="20">G32</f>
        <v>570810.32727385894</v>
      </c>
      <c r="H48" s="196">
        <f t="shared" si="20"/>
        <v>20149.575148323551</v>
      </c>
      <c r="I48" s="196">
        <f t="shared" si="20"/>
        <v>21487.775853206404</v>
      </c>
      <c r="J48" s="196">
        <f t="shared" si="20"/>
        <v>1177.091016426275</v>
      </c>
      <c r="K48" s="196">
        <f t="shared" si="20"/>
        <v>678.83397261518985</v>
      </c>
      <c r="L48" s="196">
        <f t="shared" si="20"/>
        <v>10.801504568895325</v>
      </c>
    </row>
    <row r="49" spans="1:12" x14ac:dyDescent="0.25">
      <c r="A49" s="1">
        <f>IF(B49="","",MAX(A$1:A48)+1)</f>
        <v>29</v>
      </c>
      <c r="B49" s="204" t="s">
        <v>247</v>
      </c>
      <c r="C49" s="200">
        <f>SUM(C47:C48)</f>
        <v>571244072.01914263</v>
      </c>
      <c r="D49" s="194">
        <f t="shared" si="0"/>
        <v>0</v>
      </c>
      <c r="F49" s="200">
        <f>SUM(F47:F48)</f>
        <v>405403622.02400559</v>
      </c>
      <c r="G49" s="200">
        <f t="shared" ref="G49:L49" si="21">SUM(G47:G48)</f>
        <v>123905834.77757177</v>
      </c>
      <c r="H49" s="200">
        <f t="shared" si="21"/>
        <v>22498045.037221432</v>
      </c>
      <c r="I49" s="200">
        <f t="shared" si="21"/>
        <v>9818398.6571887843</v>
      </c>
      <c r="J49" s="200">
        <f t="shared" si="21"/>
        <v>1497660.3516946868</v>
      </c>
      <c r="K49" s="200">
        <f t="shared" si="21"/>
        <v>6421435.917599286</v>
      </c>
      <c r="L49" s="200">
        <f t="shared" si="21"/>
        <v>1699075.2538609814</v>
      </c>
    </row>
    <row r="50" spans="1:12" x14ac:dyDescent="0.25">
      <c r="A50" s="1">
        <f>IF(B50="","",MAX(A$1:A49)+1)</f>
        <v>30</v>
      </c>
      <c r="B50" s="202" t="s">
        <v>242</v>
      </c>
      <c r="C50" s="205">
        <f>C49/C15-1</f>
        <v>8.4626266604180156E-2</v>
      </c>
      <c r="D50" s="194">
        <f t="shared" si="0"/>
        <v>0</v>
      </c>
      <c r="F50" s="205">
        <f>F49/F15-1</f>
        <v>7.6102217242518089E-2</v>
      </c>
      <c r="G50" s="205">
        <f t="shared" ref="G50:L50" si="22">G49/G15-1</f>
        <v>0.10612120804708636</v>
      </c>
      <c r="H50" s="205">
        <f>H49/H15-1</f>
        <v>0.1061212080470868</v>
      </c>
      <c r="I50" s="205">
        <f t="shared" si="22"/>
        <v>0.12734544965650341</v>
      </c>
      <c r="J50" s="205">
        <f t="shared" si="22"/>
        <v>0</v>
      </c>
      <c r="K50" s="205">
        <f t="shared" si="22"/>
        <v>0.12734544965650385</v>
      </c>
      <c r="L50" s="205">
        <f t="shared" si="22"/>
        <v>1.1754651106510972E-2</v>
      </c>
    </row>
    <row r="51" spans="1:12" x14ac:dyDescent="0.25">
      <c r="A51" s="1">
        <f>IF(B51="","",MAX(A$1:A50)+1)</f>
        <v>31</v>
      </c>
      <c r="B51" s="202" t="s">
        <v>256</v>
      </c>
      <c r="C51" s="206">
        <f>C47/C$21</f>
        <v>1.0000000000000002</v>
      </c>
      <c r="D51" s="194"/>
      <c r="F51" s="206">
        <f>F47/F$21</f>
        <v>1.0840656482989741</v>
      </c>
      <c r="G51" s="206">
        <f t="shared" ref="G51:L51" si="23">G47/G$21</f>
        <v>0.85358348354770541</v>
      </c>
      <c r="H51" s="206">
        <f t="shared" si="23"/>
        <v>0.9225995741090095</v>
      </c>
      <c r="I51" s="206">
        <f t="shared" si="23"/>
        <v>0.79138806941974926</v>
      </c>
      <c r="J51" s="206">
        <f t="shared" si="23"/>
        <v>1.1593407876782997</v>
      </c>
      <c r="K51" s="206">
        <f t="shared" si="23"/>
        <v>0.50463184918747939</v>
      </c>
      <c r="L51" s="206">
        <f t="shared" si="23"/>
        <v>1.4787376257336333</v>
      </c>
    </row>
    <row r="52" spans="1:12" x14ac:dyDescent="0.25">
      <c r="A52" s="1">
        <f>IF(B52="","",MAX(A$1:A51)+1)</f>
        <v>32</v>
      </c>
      <c r="B52" s="202" t="s">
        <v>257</v>
      </c>
      <c r="C52" s="206">
        <f>C17</f>
        <v>1</v>
      </c>
      <c r="D52" s="194"/>
      <c r="F52" s="206">
        <f t="shared" ref="F52:L52" si="24">F17</f>
        <v>1.0926022639182875</v>
      </c>
      <c r="G52" s="206">
        <f t="shared" si="24"/>
        <v>0.83709081200648883</v>
      </c>
      <c r="H52" s="206">
        <f t="shared" si="24"/>
        <v>0.90513187408774831</v>
      </c>
      <c r="I52" s="206">
        <f t="shared" si="24"/>
        <v>0.76164712522661082</v>
      </c>
      <c r="J52" s="206">
        <f t="shared" si="24"/>
        <v>1.2582118165955078</v>
      </c>
      <c r="K52" s="206">
        <f t="shared" si="24"/>
        <v>0.48579656288827627</v>
      </c>
      <c r="L52" s="206">
        <f t="shared" si="24"/>
        <v>1.5862021186039463</v>
      </c>
    </row>
    <row r="53" spans="1:12" x14ac:dyDescent="0.25">
      <c r="A53" s="1"/>
      <c r="B53" s="202"/>
      <c r="C53" s="202"/>
      <c r="D53" s="194"/>
      <c r="F53" s="202"/>
      <c r="G53" s="202"/>
      <c r="H53" s="202"/>
      <c r="I53" s="202"/>
      <c r="J53" s="202"/>
      <c r="K53" s="202"/>
      <c r="L53" s="202"/>
    </row>
    <row r="54" spans="1:12" x14ac:dyDescent="0.25">
      <c r="A54" s="1">
        <f>IF(B54="","",MAX(A$1:A53)+1)</f>
        <v>33</v>
      </c>
      <c r="B54" s="25" t="s">
        <v>258</v>
      </c>
      <c r="C54" s="202"/>
      <c r="D54" s="194"/>
      <c r="F54" s="202"/>
      <c r="G54" s="202"/>
      <c r="H54" s="202"/>
      <c r="I54" s="202"/>
      <c r="J54" s="202"/>
      <c r="K54" s="202"/>
      <c r="L54" s="202"/>
    </row>
    <row r="55" spans="1:12" x14ac:dyDescent="0.25">
      <c r="A55" s="1">
        <f>IF(B55="","",MAX(A$1:A54)+1)</f>
        <v>34</v>
      </c>
      <c r="B55" s="202" t="s">
        <v>259</v>
      </c>
      <c r="C55" s="196">
        <f>SUM(F55:L55)</f>
        <v>44570424.507699199</v>
      </c>
      <c r="D55" s="194"/>
      <c r="F55" s="196">
        <f>AVERAGE(F30,F46)</f>
        <v>30319800.396256659</v>
      </c>
      <c r="G55" s="196">
        <f t="shared" ref="G55:K55" si="25">AVERAGE(G30,G46)</f>
        <v>10696661.127734598</v>
      </c>
      <c r="H55" s="196">
        <f t="shared" si="25"/>
        <v>1942232.6981749972</v>
      </c>
      <c r="I55" s="196">
        <f t="shared" si="25"/>
        <v>924078.54133055743</v>
      </c>
      <c r="J55" s="196">
        <f t="shared" si="25"/>
        <v>63545.25398677418</v>
      </c>
      <c r="K55" s="196">
        <f t="shared" si="25"/>
        <v>604366.49021560512</v>
      </c>
      <c r="L55" s="196">
        <f>L41</f>
        <v>19740.000000000015</v>
      </c>
    </row>
    <row r="56" spans="1:12" x14ac:dyDescent="0.25">
      <c r="A56" s="1">
        <f>IF(B56="","",MAX(A$1:A55)+1)</f>
        <v>35</v>
      </c>
      <c r="B56" s="202" t="s">
        <v>246</v>
      </c>
      <c r="C56" s="196">
        <f t="shared" ref="C56:C58" si="26">SUM(F56:L56)</f>
        <v>567193801.86914253</v>
      </c>
      <c r="D56" s="194"/>
      <c r="F56" s="196">
        <f>F12+F13+F55</f>
        <v>403617221.39551479</v>
      </c>
      <c r="G56" s="196">
        <f t="shared" ref="G56:L56" si="27">G12+G13+G55</f>
        <v>122144166.5837137</v>
      </c>
      <c r="H56" s="196">
        <f t="shared" si="27"/>
        <v>22261666.953032859</v>
      </c>
      <c r="I56" s="196">
        <f t="shared" si="27"/>
        <v>9611898.688954046</v>
      </c>
      <c r="J56" s="196">
        <f t="shared" si="27"/>
        <v>1560028.5146650348</v>
      </c>
      <c r="K56" s="196">
        <f t="shared" si="27"/>
        <v>6299755.2809057441</v>
      </c>
      <c r="L56" s="196">
        <f t="shared" si="27"/>
        <v>1699064.4523564125</v>
      </c>
    </row>
    <row r="57" spans="1:12" x14ac:dyDescent="0.25">
      <c r="A57" s="1">
        <f>IF(B57="","",MAX(A$1:A56)+1)</f>
        <v>36</v>
      </c>
      <c r="B57" s="202" t="s">
        <v>240</v>
      </c>
      <c r="C57" s="196">
        <f t="shared" si="26"/>
        <v>4050270.1499999715</v>
      </c>
      <c r="D57" s="194"/>
      <c r="F57" s="196">
        <f>F14</f>
        <v>3435955.7452309728</v>
      </c>
      <c r="G57" s="196">
        <f t="shared" ref="G57:L57" si="28">G14</f>
        <v>570810.32727385894</v>
      </c>
      <c r="H57" s="196">
        <f t="shared" si="28"/>
        <v>20149.575148323551</v>
      </c>
      <c r="I57" s="196">
        <f t="shared" si="28"/>
        <v>21487.775853206404</v>
      </c>
      <c r="J57" s="196">
        <f t="shared" si="28"/>
        <v>1177.091016426275</v>
      </c>
      <c r="K57" s="196">
        <f t="shared" si="28"/>
        <v>678.83397261518985</v>
      </c>
      <c r="L57" s="196">
        <f t="shared" si="28"/>
        <v>10.801504568895325</v>
      </c>
    </row>
    <row r="58" spans="1:12" x14ac:dyDescent="0.25">
      <c r="A58" s="1">
        <f>IF(B58="","",MAX(A$1:A57)+1)</f>
        <v>37</v>
      </c>
      <c r="B58" s="202" t="s">
        <v>260</v>
      </c>
      <c r="C58" s="196">
        <f t="shared" si="26"/>
        <v>571244072.01914251</v>
      </c>
      <c r="D58" s="194"/>
      <c r="F58" s="196">
        <f>SUM(F56:F57)</f>
        <v>407053177.14074576</v>
      </c>
      <c r="G58" s="196">
        <f t="shared" ref="G58:L58" si="29">SUM(G56:G57)</f>
        <v>122714976.91098756</v>
      </c>
      <c r="H58" s="196">
        <f t="shared" si="29"/>
        <v>22281816.52818118</v>
      </c>
      <c r="I58" s="196">
        <f t="shared" si="29"/>
        <v>9633386.4648072533</v>
      </c>
      <c r="J58" s="196">
        <f t="shared" si="29"/>
        <v>1561205.605681461</v>
      </c>
      <c r="K58" s="196">
        <f t="shared" si="29"/>
        <v>6300434.1148783593</v>
      </c>
      <c r="L58" s="196">
        <f t="shared" si="29"/>
        <v>1699075.2538609814</v>
      </c>
    </row>
    <row r="59" spans="1:12" x14ac:dyDescent="0.25">
      <c r="A59" s="1">
        <f>IF(B59="","",MAX(A$1:A58)+1)</f>
        <v>38</v>
      </c>
      <c r="B59" s="202" t="s">
        <v>261</v>
      </c>
      <c r="C59" s="205">
        <f>C58/C15-1</f>
        <v>8.4626266604179934E-2</v>
      </c>
      <c r="D59" s="194"/>
      <c r="F59" s="205">
        <f>F58/F15-1</f>
        <v>8.0480791636416082E-2</v>
      </c>
      <c r="G59" s="205">
        <f t="shared" ref="G59:L59" si="30">G58/G15-1</f>
        <v>9.5490287038700439E-2</v>
      </c>
      <c r="H59" s="205">
        <f t="shared" si="30"/>
        <v>9.5490287038700439E-2</v>
      </c>
      <c r="I59" s="205">
        <f t="shared" si="30"/>
        <v>0.10610240784340896</v>
      </c>
      <c r="J59" s="205">
        <f t="shared" si="30"/>
        <v>4.2429683015157149E-2</v>
      </c>
      <c r="K59" s="205">
        <f t="shared" si="30"/>
        <v>0.10610240784340896</v>
      </c>
      <c r="L59" s="205">
        <f t="shared" si="30"/>
        <v>1.1754651106510972E-2</v>
      </c>
    </row>
    <row r="60" spans="1:12" x14ac:dyDescent="0.25">
      <c r="A60" s="1">
        <f>IF(B60="","",MAX(A$1:A59)+1)</f>
        <v>39</v>
      </c>
      <c r="B60" s="202" t="s">
        <v>262</v>
      </c>
      <c r="C60" s="216">
        <f>C56/C21</f>
        <v>1</v>
      </c>
      <c r="D60" s="194"/>
      <c r="F60" s="216">
        <f>F56/F21</f>
        <v>1.0885143295911495</v>
      </c>
      <c r="G60" s="216">
        <f t="shared" ref="G60:L60" si="31">G56/G21</f>
        <v>0.84534173218227093</v>
      </c>
      <c r="H60" s="216">
        <f t="shared" si="31"/>
        <v>0.91372452925939884</v>
      </c>
      <c r="I60" s="216">
        <f t="shared" si="31"/>
        <v>0.77644290522244297</v>
      </c>
      <c r="J60" s="216">
        <f t="shared" si="31"/>
        <v>1.2085699416194233</v>
      </c>
      <c r="K60" s="216">
        <f t="shared" si="31"/>
        <v>0.49512185485709265</v>
      </c>
      <c r="L60" s="216">
        <f t="shared" si="31"/>
        <v>1.4787376257336333</v>
      </c>
    </row>
    <row r="61" spans="1:12" x14ac:dyDescent="0.25">
      <c r="A61" s="1"/>
      <c r="B61" s="202"/>
      <c r="C61" s="202"/>
      <c r="D61" s="194"/>
      <c r="F61" s="202"/>
      <c r="G61" s="202"/>
      <c r="H61" s="202"/>
      <c r="I61" s="202"/>
      <c r="J61" s="202"/>
      <c r="K61" s="202"/>
      <c r="L61" s="202"/>
    </row>
    <row r="62" spans="1:12" x14ac:dyDescent="0.25">
      <c r="A62" s="1">
        <f>IF(B62="","",MAX(A$1:A61)+1)</f>
        <v>40</v>
      </c>
      <c r="B62" s="195" t="s">
        <v>263</v>
      </c>
      <c r="D62" s="194" t="str">
        <f t="shared" si="0"/>
        <v/>
      </c>
    </row>
    <row r="63" spans="1:12" x14ac:dyDescent="0.25">
      <c r="A63" s="1" t="str">
        <f>IF(B63="","",MAX(A$1:A62)+1)</f>
        <v/>
      </c>
      <c r="B63" s="217"/>
      <c r="D63" s="194" t="str">
        <f t="shared" si="0"/>
        <v/>
      </c>
    </row>
    <row r="64" spans="1:12" x14ac:dyDescent="0.25">
      <c r="A64" s="1">
        <f>IF(B64="","",MAX(A$1:A63)+1)</f>
        <v>41</v>
      </c>
      <c r="B64" s="38" t="s">
        <v>264</v>
      </c>
      <c r="C64" s="203">
        <f>SUM(F64:L64)</f>
        <v>44550684.507699199</v>
      </c>
      <c r="D64" s="194">
        <f t="shared" si="0"/>
        <v>0</v>
      </c>
      <c r="F64" s="196">
        <f>F55</f>
        <v>30319800.396256659</v>
      </c>
      <c r="G64" s="196">
        <f t="shared" ref="G64:K64" si="32">G55</f>
        <v>10696661.127734598</v>
      </c>
      <c r="H64" s="196">
        <f t="shared" si="32"/>
        <v>1942232.6981749972</v>
      </c>
      <c r="I64" s="196">
        <f t="shared" si="32"/>
        <v>924078.54133055743</v>
      </c>
      <c r="J64" s="196">
        <f t="shared" si="32"/>
        <v>63545.25398677418</v>
      </c>
      <c r="K64" s="196">
        <f t="shared" si="32"/>
        <v>604366.49021560512</v>
      </c>
      <c r="L64" s="196"/>
    </row>
    <row r="65" spans="1:12" x14ac:dyDescent="0.25">
      <c r="A65" s="1">
        <f>IF(B65="","",MAX(A$1:A64)+1)</f>
        <v>42</v>
      </c>
      <c r="B65" t="s">
        <v>265</v>
      </c>
      <c r="C65" s="205">
        <f>SUM(F65:K65)</f>
        <v>0.99999999999999978</v>
      </c>
      <c r="D65" s="194">
        <f t="shared" si="0"/>
        <v>0</v>
      </c>
      <c r="F65" s="205">
        <f>F64/$C$64</f>
        <v>0.68056867658266451</v>
      </c>
      <c r="G65" s="205">
        <f t="shared" ref="G65:K65" si="33">G64/$C$64</f>
        <v>0.24010093775070981</v>
      </c>
      <c r="H65" s="205">
        <f t="shared" si="33"/>
        <v>4.359602371180947E-2</v>
      </c>
      <c r="I65" s="205">
        <f t="shared" si="33"/>
        <v>2.074218503131774E-2</v>
      </c>
      <c r="J65" s="205">
        <f t="shared" si="33"/>
        <v>1.4263586449674496E-3</v>
      </c>
      <c r="K65" s="205">
        <f t="shared" si="33"/>
        <v>1.3565818278530808E-2</v>
      </c>
      <c r="L65" s="205"/>
    </row>
    <row r="66" spans="1:12" x14ac:dyDescent="0.25">
      <c r="A66" s="1" t="str">
        <f>IF(B66="","",MAX(A$1:A65)+1)</f>
        <v/>
      </c>
      <c r="B66" s="38"/>
      <c r="C66" s="218"/>
      <c r="D66" s="194" t="str">
        <f t="shared" si="0"/>
        <v/>
      </c>
    </row>
    <row r="67" spans="1:12" x14ac:dyDescent="0.25">
      <c r="A67" s="1">
        <f>IF(B67="","",MAX(A$1:A66)+1)</f>
        <v>43</v>
      </c>
      <c r="B67" s="38" t="s">
        <v>266</v>
      </c>
      <c r="C67" s="218"/>
      <c r="D67" s="194" t="str">
        <f t="shared" si="0"/>
        <v/>
      </c>
    </row>
    <row r="68" spans="1:12" x14ac:dyDescent="0.25">
      <c r="A68" s="1">
        <f>IF(B68="","",MAX(A$1:A67)+1)</f>
        <v>44</v>
      </c>
      <c r="B68" s="39" t="s">
        <v>267</v>
      </c>
      <c r="C68" s="203">
        <v>-9917.7636761665344</v>
      </c>
      <c r="D68" s="194"/>
      <c r="F68" s="196"/>
      <c r="G68" s="196"/>
      <c r="H68" s="196"/>
      <c r="I68" s="196"/>
      <c r="J68" s="196"/>
      <c r="K68" s="196"/>
    </row>
    <row r="69" spans="1:12" x14ac:dyDescent="0.25">
      <c r="A69" s="1">
        <f>IF(B69="","",MAX(A$1:A68)+1)</f>
        <v>45</v>
      </c>
      <c r="B69" s="39" t="s">
        <v>268</v>
      </c>
      <c r="C69" s="196">
        <v>1575791.6865457892</v>
      </c>
      <c r="D69" s="194"/>
      <c r="F69" s="196"/>
      <c r="G69" s="196"/>
      <c r="H69" s="196"/>
      <c r="I69" s="196"/>
      <c r="J69" s="196"/>
      <c r="K69" s="196"/>
    </row>
    <row r="70" spans="1:12" x14ac:dyDescent="0.25">
      <c r="A70" s="1">
        <f>IF(B70="","",MAX(A$1:A69)+1)</f>
        <v>46</v>
      </c>
      <c r="B70" s="219" t="s">
        <v>269</v>
      </c>
      <c r="C70" s="198">
        <f>C68-C69</f>
        <v>-1585709.4502219558</v>
      </c>
      <c r="D70" s="194">
        <f t="shared" si="0"/>
        <v>0</v>
      </c>
      <c r="E70" s="38"/>
      <c r="F70" s="198">
        <f>$C$70*F65</f>
        <v>-1079184.181982181</v>
      </c>
      <c r="G70" s="198">
        <f t="shared" ref="G70:J70" si="34">$C$70*G65</f>
        <v>-380730.32599845406</v>
      </c>
      <c r="H70" s="198">
        <f t="shared" si="34"/>
        <v>-69130.626791916744</v>
      </c>
      <c r="I70" s="198">
        <f t="shared" si="34"/>
        <v>-32891.078822412936</v>
      </c>
      <c r="J70" s="198">
        <f t="shared" si="34"/>
        <v>-2261.7903827306682</v>
      </c>
      <c r="K70" s="198">
        <f>$C$70*K65</f>
        <v>-21511.446244260045</v>
      </c>
      <c r="L70" s="196"/>
    </row>
    <row r="71" spans="1:12" x14ac:dyDescent="0.25">
      <c r="A71" s="1" t="str">
        <f>IF(B71="","",MAX(A$1:A70)+1)</f>
        <v/>
      </c>
      <c r="B71" s="39"/>
      <c r="C71" s="196"/>
      <c r="D71" s="194" t="str">
        <f t="shared" si="0"/>
        <v/>
      </c>
      <c r="F71" s="196"/>
      <c r="G71" s="196"/>
      <c r="H71" s="196"/>
      <c r="I71" s="196"/>
      <c r="J71" s="196"/>
      <c r="K71" s="196"/>
      <c r="L71" s="196"/>
    </row>
    <row r="72" spans="1:12" x14ac:dyDescent="0.25">
      <c r="A72" s="1">
        <f>IF(B72="","",MAX(A$1:A71)+1)</f>
        <v>47</v>
      </c>
      <c r="B72" s="39" t="s">
        <v>270</v>
      </c>
      <c r="C72" s="203">
        <v>-27116115.007884175</v>
      </c>
      <c r="D72" s="194"/>
      <c r="F72" s="196"/>
      <c r="G72" s="196"/>
      <c r="H72" s="196"/>
      <c r="I72" s="196"/>
      <c r="J72" s="196"/>
      <c r="K72" s="196"/>
      <c r="L72" s="196"/>
    </row>
    <row r="73" spans="1:12" x14ac:dyDescent="0.25">
      <c r="A73" s="1">
        <f>IF(B73="","",MAX(A$1:A72)+1)</f>
        <v>48</v>
      </c>
      <c r="B73" s="39" t="s">
        <v>268</v>
      </c>
      <c r="C73" s="196">
        <v>1922469.5871946216</v>
      </c>
      <c r="D73" s="194"/>
      <c r="F73" s="196"/>
      <c r="G73" s="196"/>
      <c r="H73" s="196"/>
      <c r="I73" s="196"/>
      <c r="J73" s="196"/>
      <c r="K73" s="196"/>
      <c r="L73" s="196"/>
    </row>
    <row r="74" spans="1:12" x14ac:dyDescent="0.25">
      <c r="A74" s="1">
        <f>IF(B74="","",MAX(A$1:A73)+1)</f>
        <v>49</v>
      </c>
      <c r="B74" s="219" t="s">
        <v>271</v>
      </c>
      <c r="C74" s="198">
        <f>C72-C73</f>
        <v>-29038584.595078796</v>
      </c>
      <c r="D74" s="194">
        <f t="shared" si="0"/>
        <v>0</v>
      </c>
      <c r="E74" s="38"/>
      <c r="F74" s="198">
        <f>$C$74*F65</f>
        <v>-19762751.087706525</v>
      </c>
      <c r="G74" s="198">
        <f t="shared" ref="G74:K74" si="35">$C$74*G65</f>
        <v>-6972191.3922317354</v>
      </c>
      <c r="H74" s="198">
        <f t="shared" si="35"/>
        <v>-1265966.8225644403</v>
      </c>
      <c r="I74" s="198">
        <f t="shared" si="35"/>
        <v>-602323.69471869734</v>
      </c>
      <c r="J74" s="198">
        <f t="shared" si="35"/>
        <v>-41419.436174809249</v>
      </c>
      <c r="K74" s="198">
        <f t="shared" si="35"/>
        <v>-393932.1616825831</v>
      </c>
      <c r="L74" s="196"/>
    </row>
    <row r="75" spans="1:12" x14ac:dyDescent="0.25">
      <c r="A75" s="1" t="str">
        <f>IF(B75="","",MAX(A$1:A74)+1)</f>
        <v/>
      </c>
      <c r="B75" s="39"/>
      <c r="C75" s="196"/>
      <c r="D75" s="194" t="str">
        <f t="shared" si="0"/>
        <v/>
      </c>
      <c r="F75" s="196"/>
      <c r="G75" s="196"/>
      <c r="H75" s="196"/>
      <c r="I75" s="196"/>
      <c r="J75" s="196"/>
      <c r="K75" s="196"/>
      <c r="L75" s="196"/>
    </row>
    <row r="76" spans="1:12" x14ac:dyDescent="0.25">
      <c r="A76" s="1">
        <f>IF(B76="","",MAX(A$1:A75)+1)</f>
        <v>50</v>
      </c>
      <c r="B76" s="39" t="s">
        <v>272</v>
      </c>
      <c r="C76" s="196"/>
      <c r="D76" s="194"/>
      <c r="F76" s="196"/>
      <c r="G76" s="196"/>
      <c r="H76" s="196"/>
      <c r="I76" s="196"/>
      <c r="J76" s="196"/>
      <c r="K76" s="196"/>
      <c r="L76" s="196"/>
    </row>
    <row r="77" spans="1:12" x14ac:dyDescent="0.25">
      <c r="A77" s="1">
        <f>IF(B77="","",MAX(A$1:A76)+1)</f>
        <v>51</v>
      </c>
      <c r="B77" s="39" t="s">
        <v>268</v>
      </c>
      <c r="C77" s="196"/>
      <c r="D77" s="194"/>
      <c r="F77" s="196"/>
      <c r="G77" s="196"/>
      <c r="H77" s="196"/>
      <c r="I77" s="196"/>
      <c r="J77" s="196"/>
      <c r="K77" s="196"/>
      <c r="L77" s="196"/>
    </row>
    <row r="78" spans="1:12" x14ac:dyDescent="0.25">
      <c r="A78" s="1">
        <f>IF(B78="","",MAX(A$1:A77)+1)</f>
        <v>52</v>
      </c>
      <c r="B78" s="219" t="s">
        <v>273</v>
      </c>
      <c r="C78" s="198"/>
      <c r="D78" s="194"/>
      <c r="E78" s="38"/>
      <c r="F78" s="198"/>
      <c r="G78" s="198"/>
      <c r="H78" s="198"/>
      <c r="I78" s="198"/>
      <c r="J78" s="198"/>
      <c r="K78" s="198"/>
      <c r="L78" s="196"/>
    </row>
    <row r="79" spans="1:12" x14ac:dyDescent="0.25">
      <c r="A79" s="1" t="str">
        <f>IF(B79="","",MAX(A$1:A78)+1)</f>
        <v/>
      </c>
      <c r="B79" s="38"/>
      <c r="D79" s="194" t="str">
        <f t="shared" ref="D79:D83" si="36">IFERROR(IF(C79="","",IF(C79=0,0,IF(ABS(C79-SUM($F79:$L79))&lt;1,0,1))),1)</f>
        <v/>
      </c>
    </row>
    <row r="80" spans="1:12" x14ac:dyDescent="0.25">
      <c r="A80" s="1">
        <f>IF(B80="","",MAX(A$1:A79)+1)</f>
        <v>53</v>
      </c>
      <c r="B80" s="38" t="s">
        <v>274</v>
      </c>
      <c r="C80" s="220"/>
      <c r="D80" s="194" t="str">
        <f t="shared" si="36"/>
        <v/>
      </c>
    </row>
    <row r="81" spans="1:12" x14ac:dyDescent="0.25">
      <c r="A81" s="1">
        <f>IF(B81="","",MAX(A$1:A80)+1)</f>
        <v>54</v>
      </c>
      <c r="B81" s="38" t="s">
        <v>275</v>
      </c>
      <c r="C81" s="196">
        <v>45493538.650030538</v>
      </c>
      <c r="D81" s="194">
        <f t="shared" si="36"/>
        <v>0</v>
      </c>
      <c r="E81" s="38"/>
      <c r="F81" s="198">
        <f>$C81*F$65</f>
        <v>30961477.392113581</v>
      </c>
      <c r="G81" s="198">
        <f t="shared" ref="G81:K82" si="37">$C81*G$65</f>
        <v>10923041.291470494</v>
      </c>
      <c r="H81" s="198">
        <f t="shared" si="37"/>
        <v>1983337.389720852</v>
      </c>
      <c r="I81" s="198">
        <f t="shared" si="37"/>
        <v>943635.39640833845</v>
      </c>
      <c r="J81" s="198">
        <f t="shared" si="37"/>
        <v>64890.102143631855</v>
      </c>
      <c r="K81" s="198">
        <f t="shared" si="37"/>
        <v>617157.07817363204</v>
      </c>
      <c r="L81" s="196"/>
    </row>
    <row r="82" spans="1:12" x14ac:dyDescent="0.25">
      <c r="A82" s="1">
        <f>IF(B82="","",MAX(A$1:A81)+1)</f>
        <v>55</v>
      </c>
      <c r="B82" s="38" t="s">
        <v>276</v>
      </c>
      <c r="C82" s="196">
        <v>92817360.872042105</v>
      </c>
      <c r="D82" s="194">
        <f t="shared" si="36"/>
        <v>0</v>
      </c>
      <c r="E82" s="38"/>
      <c r="F82" s="198">
        <f t="shared" ref="F82" si="38">$C82*F$65</f>
        <v>63168588.452581286</v>
      </c>
      <c r="G82" s="198">
        <f t="shared" si="37"/>
        <v>22285535.38492335</v>
      </c>
      <c r="H82" s="198">
        <f t="shared" si="37"/>
        <v>4046467.865445124</v>
      </c>
      <c r="I82" s="198">
        <f t="shared" si="37"/>
        <v>1925234.8733264885</v>
      </c>
      <c r="J82" s="198">
        <f t="shared" si="37"/>
        <v>132390.84508290075</v>
      </c>
      <c r="K82" s="198">
        <f t="shared" si="37"/>
        <v>1259143.450682939</v>
      </c>
      <c r="L82" s="196"/>
    </row>
    <row r="83" spans="1:12" x14ac:dyDescent="0.25">
      <c r="A83" s="1">
        <f>IF(B83="","",MAX(A$1:A82)+1)</f>
        <v>56</v>
      </c>
      <c r="B83" s="38" t="s">
        <v>277</v>
      </c>
      <c r="C83" s="198"/>
      <c r="D83" s="194" t="str">
        <f t="shared" si="36"/>
        <v/>
      </c>
      <c r="E83" s="38"/>
      <c r="F83" s="198"/>
      <c r="G83" s="198"/>
      <c r="H83" s="198"/>
      <c r="I83" s="198"/>
      <c r="J83" s="198"/>
      <c r="K83" s="198"/>
      <c r="L83" s="196"/>
    </row>
    <row r="84" spans="1:12" x14ac:dyDescent="0.25">
      <c r="A84" s="1" t="str">
        <f>IF(B84="","",MAX(A$1:A83)+1)</f>
        <v/>
      </c>
      <c r="D84" s="194" t="str">
        <f>IFERROR(IF(C84="","",IF(C84=0,0,IF(ABS(C84-SUM($F84:$L84))&lt;1,0,1))),1)</f>
        <v/>
      </c>
    </row>
    <row r="85" spans="1:12" x14ac:dyDescent="0.25">
      <c r="A85" s="1">
        <f>IF(B85="","",MAX(A$1:A84)+1)</f>
        <v>57</v>
      </c>
      <c r="B85" s="221" t="s">
        <v>278</v>
      </c>
      <c r="D85" s="194"/>
    </row>
    <row r="86" spans="1:12" x14ac:dyDescent="0.25">
      <c r="A86" s="1">
        <f>IF(B86="","",MAX(A$1:A85)+1)</f>
        <v>58</v>
      </c>
      <c r="B86" s="221">
        <v>2023</v>
      </c>
      <c r="C86" s="203">
        <f>SUM(F86:L86)</f>
        <v>2999455.8323839335</v>
      </c>
      <c r="D86" s="194"/>
      <c r="F86" s="203">
        <v>2074672.7347817947</v>
      </c>
      <c r="G86" s="203">
        <v>730982.95631700102</v>
      </c>
      <c r="H86" s="203">
        <v>151679.99799864666</v>
      </c>
      <c r="I86" s="203">
        <v>20472.643272653775</v>
      </c>
      <c r="J86" s="203">
        <v>2774.6506744699045</v>
      </c>
      <c r="K86" s="203">
        <v>17392.144629522732</v>
      </c>
      <c r="L86" s="203">
        <v>1480.7047098451972</v>
      </c>
    </row>
    <row r="87" spans="1:12" x14ac:dyDescent="0.25">
      <c r="A87" s="1">
        <f>IF(B87="","",MAX(A$1:A86)+1)</f>
        <v>59</v>
      </c>
      <c r="B87" s="221">
        <v>2024</v>
      </c>
      <c r="C87" s="203">
        <v>2914764.6989022968</v>
      </c>
      <c r="D87" s="194"/>
      <c r="F87" s="203">
        <f>$C$87*(F86/$C$86)</f>
        <v>2016093.3139364917</v>
      </c>
      <c r="G87" s="203">
        <f t="shared" ref="G87:L87" si="39">$C$87*(G86/$C$86)</f>
        <v>710343.28746178711</v>
      </c>
      <c r="H87" s="203">
        <f t="shared" si="39"/>
        <v>147397.23749979044</v>
      </c>
      <c r="I87" s="203">
        <f t="shared" si="39"/>
        <v>19894.587964952108</v>
      </c>
      <c r="J87" s="203">
        <f t="shared" si="39"/>
        <v>2696.3070268991123</v>
      </c>
      <c r="K87" s="203">
        <f t="shared" si="39"/>
        <v>16901.068739540333</v>
      </c>
      <c r="L87" s="203">
        <f t="shared" si="39"/>
        <v>1438.8962728365686</v>
      </c>
    </row>
    <row r="88" spans="1:12" x14ac:dyDescent="0.25">
      <c r="D88" s="194"/>
      <c r="F88" s="66"/>
      <c r="G88" s="66"/>
      <c r="H88" s="66"/>
      <c r="I88" s="66"/>
      <c r="J88" s="66"/>
      <c r="K88" s="66"/>
      <c r="L88" s="66"/>
    </row>
    <row r="89" spans="1:12" x14ac:dyDescent="0.25">
      <c r="B89" s="222" t="s">
        <v>279</v>
      </c>
      <c r="D89" s="194"/>
    </row>
    <row r="90" spans="1:12" x14ac:dyDescent="0.25">
      <c r="D90" s="194"/>
    </row>
    <row r="91" spans="1:12" x14ac:dyDescent="0.25">
      <c r="D91" s="194"/>
    </row>
    <row r="92" spans="1:12" x14ac:dyDescent="0.25">
      <c r="D92" s="194" t="str">
        <f>IFERROR(IF(C92="","",IF(C92=0,0,IF(ABS(C92-SUM($F92:$L92))&lt;1,0,1))),1)</f>
        <v/>
      </c>
    </row>
    <row r="93" spans="1:12" x14ac:dyDescent="0.25">
      <c r="B93" s="222"/>
      <c r="C93" s="196"/>
      <c r="D93" s="194"/>
    </row>
    <row r="95" spans="1:12" x14ac:dyDescent="0.25">
      <c r="C95" s="196"/>
    </row>
    <row r="98" spans="3:3" x14ac:dyDescent="0.25">
      <c r="C98" s="196"/>
    </row>
  </sheetData>
  <pageMargins left="0.7" right="0.7" top="0.75" bottom="0.75" header="0.3" footer="0.3"/>
  <pageSetup scale="60" fitToHeight="2" orientation="landscape" horizontalDpi="300" verticalDpi="300" r:id="rId1"/>
  <headerFooter>
    <oddFooter>&amp;R&amp;A
 Page &amp;P of &amp;N</oddFooter>
  </headerFooter>
  <rowBreaks count="1" manualBreakCount="1">
    <brk id="6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P177"/>
  <sheetViews>
    <sheetView zoomScale="90" zoomScaleNormal="90" zoomScaleSheetLayoutView="90" workbookViewId="0">
      <pane ySplit="8" topLeftCell="A93" activePane="bottomLeft" state="frozen"/>
      <selection pane="bottomLeft"/>
    </sheetView>
  </sheetViews>
  <sheetFormatPr defaultColWidth="9.140625" defaultRowHeight="12.75" x14ac:dyDescent="0.2"/>
  <cols>
    <col min="1" max="1" width="2.42578125" style="2" customWidth="1"/>
    <col min="2" max="2" width="31.7109375" style="2" customWidth="1"/>
    <col min="3" max="3" width="9.7109375" style="2" customWidth="1"/>
    <col min="4" max="4" width="15.140625" style="16" bestFit="1" customWidth="1"/>
    <col min="5" max="5" width="10.42578125" style="130" customWidth="1"/>
    <col min="6" max="6" width="13.5703125" style="131" customWidth="1"/>
    <col min="7" max="7" width="3" style="16" customWidth="1"/>
    <col min="8" max="8" width="10.42578125" style="131" customWidth="1"/>
    <col min="9" max="9" width="14" style="131" bestFit="1" customWidth="1"/>
    <col min="10" max="10" width="2.85546875" style="131" customWidth="1"/>
    <col min="11" max="11" width="13.140625" style="131" customWidth="1"/>
    <col min="12" max="12" width="10.42578125" style="132" customWidth="1"/>
    <col min="13" max="13" width="2.85546875" style="133" customWidth="1"/>
    <col min="14" max="14" width="2.140625" style="132" customWidth="1"/>
    <col min="15" max="15" width="14.5703125" style="2" bestFit="1" customWidth="1"/>
    <col min="16" max="16" width="2.85546875" style="2" customWidth="1"/>
    <col min="17" max="16384" width="9.140625" style="2"/>
  </cols>
  <sheetData>
    <row r="1" spans="2:16" x14ac:dyDescent="0.2">
      <c r="B1" s="5" t="s">
        <v>0</v>
      </c>
      <c r="C1" s="123"/>
      <c r="D1" s="124"/>
      <c r="E1" s="125"/>
      <c r="F1" s="126"/>
      <c r="G1" s="124"/>
      <c r="H1" s="126"/>
      <c r="I1" s="126"/>
      <c r="J1" s="126"/>
      <c r="K1" s="126"/>
      <c r="L1" s="127"/>
      <c r="M1" s="127"/>
      <c r="N1" s="127"/>
      <c r="O1" s="123"/>
      <c r="P1" s="123"/>
    </row>
    <row r="2" spans="2:16" x14ac:dyDescent="0.2">
      <c r="B2" s="4" t="s">
        <v>147</v>
      </c>
      <c r="C2" s="128"/>
      <c r="D2" s="126"/>
      <c r="E2" s="126"/>
      <c r="F2" s="126"/>
      <c r="G2" s="126"/>
      <c r="H2" s="126"/>
      <c r="I2" s="126"/>
      <c r="J2" s="126"/>
      <c r="K2" s="126"/>
      <c r="L2" s="126"/>
      <c r="M2" s="127"/>
      <c r="N2" s="127"/>
      <c r="O2" s="123"/>
      <c r="P2" s="123"/>
    </row>
    <row r="3" spans="2:16" x14ac:dyDescent="0.2">
      <c r="B3" s="4" t="s">
        <v>280</v>
      </c>
      <c r="C3" s="128"/>
      <c r="D3" s="126"/>
      <c r="E3" s="126"/>
      <c r="F3" s="126"/>
      <c r="G3" s="126"/>
      <c r="H3" s="126"/>
      <c r="I3" s="126"/>
      <c r="J3" s="126"/>
      <c r="K3" s="126"/>
      <c r="L3" s="126"/>
      <c r="M3" s="127"/>
      <c r="N3" s="127"/>
      <c r="O3" s="123"/>
      <c r="P3" s="123"/>
    </row>
    <row r="4" spans="2:16" x14ac:dyDescent="0.2">
      <c r="B4" s="4" t="s">
        <v>281</v>
      </c>
      <c r="C4" s="128"/>
      <c r="D4" s="126"/>
      <c r="E4" s="126"/>
      <c r="F4" s="126"/>
      <c r="G4" s="126"/>
      <c r="H4" s="126"/>
      <c r="I4" s="126"/>
      <c r="J4" s="126"/>
      <c r="K4" s="126"/>
      <c r="L4" s="126"/>
      <c r="M4" s="127"/>
      <c r="N4" s="127"/>
      <c r="O4" s="123"/>
      <c r="P4" s="123"/>
    </row>
    <row r="5" spans="2:16" x14ac:dyDescent="0.2">
      <c r="B5" s="4" t="s">
        <v>221</v>
      </c>
      <c r="C5" s="128"/>
      <c r="D5" s="124"/>
      <c r="E5" s="125"/>
      <c r="F5" s="126"/>
      <c r="G5" s="124"/>
      <c r="H5" s="126"/>
      <c r="I5" s="126"/>
      <c r="J5" s="126"/>
      <c r="K5" s="126"/>
      <c r="L5" s="127"/>
      <c r="M5" s="127"/>
      <c r="N5" s="127"/>
      <c r="O5" s="123"/>
      <c r="P5" s="123"/>
    </row>
    <row r="6" spans="2:16" x14ac:dyDescent="0.2">
      <c r="B6" s="129"/>
      <c r="C6" s="123"/>
      <c r="N6" s="133"/>
    </row>
    <row r="7" spans="2:16" x14ac:dyDescent="0.2">
      <c r="B7" s="134"/>
      <c r="C7" s="24"/>
      <c r="D7" s="135" t="s">
        <v>201</v>
      </c>
      <c r="E7" s="136" t="s">
        <v>202</v>
      </c>
      <c r="F7" s="137"/>
      <c r="G7" s="15"/>
      <c r="H7" s="136" t="s">
        <v>203</v>
      </c>
      <c r="I7" s="137"/>
      <c r="J7" s="138"/>
      <c r="K7" s="334" t="s">
        <v>204</v>
      </c>
      <c r="L7" s="335"/>
      <c r="N7" s="127"/>
      <c r="O7" s="139" t="s">
        <v>205</v>
      </c>
    </row>
    <row r="8" spans="2:16" x14ac:dyDescent="0.2">
      <c r="B8" s="224" t="s">
        <v>206</v>
      </c>
      <c r="C8" s="225" t="s">
        <v>207</v>
      </c>
      <c r="D8" s="225" t="s">
        <v>208</v>
      </c>
      <c r="E8" s="226" t="s">
        <v>123</v>
      </c>
      <c r="F8" s="227" t="s">
        <v>209</v>
      </c>
      <c r="G8" s="225"/>
      <c r="H8" s="227" t="s">
        <v>123</v>
      </c>
      <c r="I8" s="227" t="s">
        <v>209</v>
      </c>
      <c r="J8" s="227"/>
      <c r="K8" s="227" t="s">
        <v>210</v>
      </c>
      <c r="L8" s="228" t="s">
        <v>211</v>
      </c>
      <c r="N8" s="145"/>
      <c r="O8" s="146" t="s">
        <v>212</v>
      </c>
    </row>
    <row r="9" spans="2:16" x14ac:dyDescent="0.2">
      <c r="B9" s="147"/>
      <c r="C9" s="148"/>
      <c r="G9" s="149"/>
      <c r="I9" s="150"/>
      <c r="J9" s="150"/>
      <c r="L9" s="151"/>
    </row>
    <row r="10" spans="2:16" x14ac:dyDescent="0.2">
      <c r="B10" s="156" t="s">
        <v>34</v>
      </c>
      <c r="C10" s="157"/>
      <c r="D10" s="158"/>
      <c r="E10" s="159"/>
      <c r="F10" s="160"/>
      <c r="G10" s="229"/>
      <c r="H10" s="161"/>
      <c r="I10" s="163"/>
      <c r="J10" s="163"/>
      <c r="K10" s="160"/>
      <c r="L10" s="164"/>
      <c r="N10" s="133"/>
    </row>
    <row r="11" spans="2:16" x14ac:dyDescent="0.2">
      <c r="B11" s="152"/>
      <c r="F11" s="153"/>
      <c r="G11" s="149"/>
      <c r="I11" s="154"/>
      <c r="J11" s="150"/>
      <c r="K11" s="153"/>
      <c r="L11" s="155"/>
      <c r="N11" s="133"/>
      <c r="O11" s="230" t="s">
        <v>282</v>
      </c>
    </row>
    <row r="12" spans="2:16" x14ac:dyDescent="0.2">
      <c r="B12" s="147" t="s">
        <v>214</v>
      </c>
      <c r="C12" s="148" t="s">
        <v>137</v>
      </c>
      <c r="D12" s="16">
        <v>368.56669691470051</v>
      </c>
      <c r="E12" s="131">
        <v>595.08000000000004</v>
      </c>
      <c r="F12" s="153">
        <f>ROUND(D12*E12,2)</f>
        <v>219326.67</v>
      </c>
      <c r="H12" s="165">
        <v>701.68</v>
      </c>
      <c r="I12" s="154">
        <f>ROUND(D12*H12,2)</f>
        <v>258615.88</v>
      </c>
      <c r="J12" s="150"/>
      <c r="K12" s="153">
        <f>I12-F12</f>
        <v>39289.209999999992</v>
      </c>
      <c r="L12" s="155">
        <f>IFERROR(K12/F12, )</f>
        <v>0.17913557890611292</v>
      </c>
      <c r="N12" s="133"/>
      <c r="O12" s="166">
        <f>'Exh JDT-5 (JDT-Rate Spread)'!I56</f>
        <v>9611898.688954046</v>
      </c>
    </row>
    <row r="13" spans="2:16" x14ac:dyDescent="0.2">
      <c r="B13" s="152" t="s">
        <v>215</v>
      </c>
      <c r="C13" s="2" t="s">
        <v>27</v>
      </c>
      <c r="D13" s="16">
        <v>96766.635999999999</v>
      </c>
      <c r="E13" s="131">
        <v>1.3</v>
      </c>
      <c r="F13" s="153">
        <f>ROUND(D13*E13,2)</f>
        <v>125796.63</v>
      </c>
      <c r="H13" s="165">
        <f>ROUND(E13*(1+$O$16),2)</f>
        <v>1.44</v>
      </c>
      <c r="I13" s="154">
        <f>ROUND(D13*H13,2)</f>
        <v>139343.96</v>
      </c>
      <c r="J13" s="150"/>
      <c r="K13" s="153">
        <f>I13-F13</f>
        <v>13547.329999999987</v>
      </c>
      <c r="L13" s="155">
        <f t="shared" ref="L13:L15" si="0">IFERROR(K13/F13, )</f>
        <v>0.10769231258420824</v>
      </c>
      <c r="N13" s="133"/>
      <c r="O13" s="167" t="s">
        <v>216</v>
      </c>
    </row>
    <row r="14" spans="2:16" x14ac:dyDescent="0.2">
      <c r="B14" s="152" t="s">
        <v>283</v>
      </c>
      <c r="C14" s="2" t="s">
        <v>50</v>
      </c>
      <c r="D14" s="16">
        <f>D21</f>
        <v>19992939.502740219</v>
      </c>
      <c r="E14" s="130">
        <v>7.0499999999999998E-3</v>
      </c>
      <c r="F14" s="153">
        <f>E14*D14</f>
        <v>140950.22349431855</v>
      </c>
      <c r="H14" s="170">
        <f>ROUND(E14*(1+$O$16),5)</f>
        <v>7.7999999999999996E-3</v>
      </c>
      <c r="I14" s="154">
        <f>ROUND(D14*H14,2)</f>
        <v>155944.93</v>
      </c>
      <c r="K14" s="153">
        <f>I14-F14</f>
        <v>14994.706505681446</v>
      </c>
      <c r="L14" s="155">
        <f t="shared" si="0"/>
        <v>0.10638299205170013</v>
      </c>
      <c r="N14" s="133"/>
      <c r="O14" s="169">
        <f>I54-O12</f>
        <v>91.681045953184366</v>
      </c>
    </row>
    <row r="15" spans="2:16" x14ac:dyDescent="0.2">
      <c r="B15" s="152" t="s">
        <v>217</v>
      </c>
      <c r="F15" s="154">
        <v>9677.49</v>
      </c>
      <c r="H15" s="130"/>
      <c r="I15" s="153">
        <f>F15</f>
        <v>9677.49</v>
      </c>
      <c r="K15" s="153">
        <f>I15-F15</f>
        <v>0</v>
      </c>
      <c r="L15" s="155">
        <f t="shared" si="0"/>
        <v>0</v>
      </c>
      <c r="N15" s="133"/>
      <c r="O15" s="231"/>
    </row>
    <row r="16" spans="2:16" x14ac:dyDescent="0.2">
      <c r="B16" s="152"/>
      <c r="F16" s="153"/>
      <c r="H16" s="130"/>
      <c r="I16" s="154"/>
      <c r="J16" s="150"/>
      <c r="K16" s="153"/>
      <c r="L16" s="155"/>
      <c r="N16" s="133"/>
      <c r="O16" s="232">
        <f>'Exh JDT-5 (JDT-Rate Spread)'!I59</f>
        <v>0.10610240784340896</v>
      </c>
    </row>
    <row r="17" spans="2:16" x14ac:dyDescent="0.2">
      <c r="B17" s="152" t="s">
        <v>218</v>
      </c>
      <c r="F17" s="153"/>
      <c r="H17" s="130"/>
      <c r="I17" s="154"/>
      <c r="J17" s="150"/>
      <c r="K17" s="153"/>
      <c r="L17" s="155"/>
      <c r="N17" s="133"/>
      <c r="O17" s="233"/>
    </row>
    <row r="18" spans="2:16" x14ac:dyDescent="0.2">
      <c r="B18" s="152" t="s">
        <v>35</v>
      </c>
      <c r="C18" s="2" t="s">
        <v>50</v>
      </c>
      <c r="D18" s="16">
        <v>8259556.7221568692</v>
      </c>
      <c r="E18" s="130">
        <v>0.1084</v>
      </c>
      <c r="F18" s="153">
        <f>ROUND(D18*E18,2)</f>
        <v>895335.95</v>
      </c>
      <c r="H18" s="170">
        <f>ROUND((O12-SUM(I12:I15,I19:I20, I28:I30,I34:I35))/SUM(D18,D33),5)</f>
        <v>0.12488</v>
      </c>
      <c r="I18" s="154">
        <f>ROUND(D18*H18,2)</f>
        <v>1031453.44</v>
      </c>
      <c r="J18" s="150"/>
      <c r="K18" s="153">
        <f>I18-F18</f>
        <v>136117.49</v>
      </c>
      <c r="L18" s="155">
        <f t="shared" ref="L18:L20" si="1">IFERROR(K18/F18, )</f>
        <v>0.15202951473131399</v>
      </c>
      <c r="N18" s="133"/>
      <c r="O18" s="234"/>
      <c r="P18" s="235"/>
    </row>
    <row r="19" spans="2:16" x14ac:dyDescent="0.2">
      <c r="B19" s="152" t="s">
        <v>36</v>
      </c>
      <c r="C19" s="2" t="s">
        <v>50</v>
      </c>
      <c r="D19" s="16">
        <v>4347559.727</v>
      </c>
      <c r="E19" s="130">
        <v>5.3650000000000003E-2</v>
      </c>
      <c r="F19" s="153">
        <f>ROUND(D19*E19,2)</f>
        <v>233246.58</v>
      </c>
      <c r="H19" s="170">
        <f>ROUND(E19*(1+$O$16),5)</f>
        <v>5.9339999999999997E-2</v>
      </c>
      <c r="I19" s="154">
        <f>ROUND(D19*H19,2)</f>
        <v>257984.19</v>
      </c>
      <c r="J19" s="150"/>
      <c r="K19" s="153">
        <f>I19-F19</f>
        <v>24737.610000000015</v>
      </c>
      <c r="L19" s="155">
        <f t="shared" si="1"/>
        <v>0.10605776084691153</v>
      </c>
      <c r="N19" s="133"/>
      <c r="O19" s="236"/>
      <c r="P19" s="236"/>
    </row>
    <row r="20" spans="2:16" x14ac:dyDescent="0.2">
      <c r="B20" s="152" t="s">
        <v>284</v>
      </c>
      <c r="C20" s="2" t="s">
        <v>50</v>
      </c>
      <c r="D20" s="16">
        <v>7385823.0535833519</v>
      </c>
      <c r="E20" s="130">
        <v>5.1319999999999998E-2</v>
      </c>
      <c r="F20" s="153">
        <f>ROUND(D20*E20,2)</f>
        <v>379040.44</v>
      </c>
      <c r="H20" s="170">
        <f>ROUND(E20*(1+$O$16),5)</f>
        <v>5.6770000000000001E-2</v>
      </c>
      <c r="I20" s="154">
        <f>ROUND(D20*H20,2)</f>
        <v>419293.17</v>
      </c>
      <c r="J20" s="150"/>
      <c r="K20" s="153">
        <f>I20-F20</f>
        <v>40252.729999999981</v>
      </c>
      <c r="L20" s="155">
        <f t="shared" si="1"/>
        <v>0.10619639951874259</v>
      </c>
      <c r="N20" s="133"/>
      <c r="O20" s="236"/>
      <c r="P20" s="236"/>
    </row>
    <row r="21" spans="2:16" x14ac:dyDescent="0.2">
      <c r="B21" s="147" t="s">
        <v>219</v>
      </c>
      <c r="C21" s="148"/>
      <c r="D21" s="175">
        <f>SUM(D18:D20)</f>
        <v>19992939.502740219</v>
      </c>
      <c r="E21" s="131"/>
      <c r="F21" s="176">
        <f>SUM(F12:F20)</f>
        <v>2003373.9834943186</v>
      </c>
      <c r="I21" s="176">
        <f>SUM(I12:I20)</f>
        <v>2272313.06</v>
      </c>
      <c r="J21" s="150"/>
      <c r="K21" s="176">
        <f>SUM(K12:K20)</f>
        <v>268939.07650568138</v>
      </c>
      <c r="L21" s="177">
        <f>IFERROR(K21/F21, )</f>
        <v>0.13424307129944521</v>
      </c>
      <c r="N21" s="133"/>
      <c r="O21" s="237"/>
      <c r="P21" s="15"/>
    </row>
    <row r="22" spans="2:16" ht="12.75" customHeight="1" x14ac:dyDescent="0.2">
      <c r="B22" s="147"/>
      <c r="C22" s="148"/>
      <c r="E22" s="131"/>
      <c r="F22" s="154"/>
      <c r="I22" s="154"/>
      <c r="J22" s="150"/>
      <c r="K22" s="153"/>
      <c r="L22" s="155"/>
      <c r="N22" s="133"/>
      <c r="O22" s="238"/>
      <c r="P22" s="15"/>
    </row>
    <row r="23" spans="2:16" x14ac:dyDescent="0.2">
      <c r="B23" s="152" t="s">
        <v>220</v>
      </c>
      <c r="F23" s="176">
        <f>F21</f>
        <v>2003373.9834943186</v>
      </c>
      <c r="I23" s="176">
        <f>I21</f>
        <v>2272313.06</v>
      </c>
      <c r="J23" s="150"/>
      <c r="K23" s="176">
        <f>K21</f>
        <v>268939.07650568138</v>
      </c>
      <c r="L23" s="177">
        <f>IFERROR(K23/F23, )</f>
        <v>0.13424307129944521</v>
      </c>
      <c r="N23" s="133"/>
    </row>
    <row r="24" spans="2:16" x14ac:dyDescent="0.2">
      <c r="B24" s="239"/>
      <c r="C24" s="240"/>
      <c r="D24" s="241"/>
      <c r="E24" s="242"/>
      <c r="F24" s="243"/>
      <c r="G24" s="241"/>
      <c r="H24" s="244"/>
      <c r="I24" s="243"/>
      <c r="J24" s="245"/>
      <c r="K24" s="243"/>
      <c r="L24" s="246"/>
      <c r="N24" s="133"/>
    </row>
    <row r="25" spans="2:16" x14ac:dyDescent="0.2">
      <c r="F25" s="153"/>
      <c r="I25" s="154"/>
      <c r="J25" s="150"/>
      <c r="K25" s="153"/>
      <c r="L25" s="20"/>
      <c r="N25" s="133"/>
    </row>
    <row r="26" spans="2:16" x14ac:dyDescent="0.2">
      <c r="B26" s="156" t="s">
        <v>285</v>
      </c>
      <c r="C26" s="157"/>
      <c r="D26" s="158"/>
      <c r="E26" s="159"/>
      <c r="F26" s="160"/>
      <c r="G26" s="229"/>
      <c r="H26" s="161"/>
      <c r="I26" s="163"/>
      <c r="J26" s="163"/>
      <c r="K26" s="160"/>
      <c r="L26" s="164"/>
      <c r="N26" s="133"/>
      <c r="O26" s="247"/>
      <c r="P26" s="148"/>
    </row>
    <row r="27" spans="2:16" x14ac:dyDescent="0.2">
      <c r="B27" s="152"/>
      <c r="F27" s="153"/>
      <c r="G27" s="149"/>
      <c r="I27" s="154"/>
      <c r="J27" s="150"/>
      <c r="K27" s="153"/>
      <c r="L27" s="155"/>
      <c r="N27" s="133"/>
    </row>
    <row r="28" spans="2:16" x14ac:dyDescent="0.2">
      <c r="B28" s="147" t="s">
        <v>214</v>
      </c>
      <c r="C28" s="148" t="s">
        <v>137</v>
      </c>
      <c r="D28" s="16">
        <v>884.03333362675562</v>
      </c>
      <c r="E28" s="131">
        <v>903.09</v>
      </c>
      <c r="F28" s="153">
        <f>ROUND(D28*E28,2)</f>
        <v>798361.66</v>
      </c>
      <c r="H28" s="165">
        <f>E28</f>
        <v>903.09</v>
      </c>
      <c r="I28" s="154">
        <f>ROUND(D28*H28,2)</f>
        <v>798361.66</v>
      </c>
      <c r="J28" s="150"/>
      <c r="K28" s="153">
        <f>I28-F28</f>
        <v>0</v>
      </c>
      <c r="L28" s="155">
        <f t="shared" ref="L28:L30" si="2">IFERROR(K28/F28, )</f>
        <v>0</v>
      </c>
      <c r="N28" s="133"/>
      <c r="O28" s="148"/>
      <c r="P28" s="148"/>
    </row>
    <row r="29" spans="2:16" x14ac:dyDescent="0.2">
      <c r="B29" s="152" t="s">
        <v>215</v>
      </c>
      <c r="C29" s="2" t="s">
        <v>27</v>
      </c>
      <c r="D29" s="16">
        <v>651309.33499999996</v>
      </c>
      <c r="E29" s="131">
        <v>1.3</v>
      </c>
      <c r="F29" s="153">
        <f>ROUND(D29*E29,2)</f>
        <v>846702.14</v>
      </c>
      <c r="H29" s="165">
        <f>$H$13</f>
        <v>1.44</v>
      </c>
      <c r="I29" s="154">
        <f>ROUND(D29*H29,2)</f>
        <v>937885.44</v>
      </c>
      <c r="J29" s="150"/>
      <c r="K29" s="153">
        <f>I29-F29</f>
        <v>91183.29999999993</v>
      </c>
      <c r="L29" s="155">
        <f t="shared" si="2"/>
        <v>0.10769229897068634</v>
      </c>
      <c r="N29" s="133"/>
    </row>
    <row r="30" spans="2:16" x14ac:dyDescent="0.2">
      <c r="B30" s="152" t="s">
        <v>217</v>
      </c>
      <c r="E30" s="131"/>
      <c r="F30" s="154">
        <v>-10601.630000000003</v>
      </c>
      <c r="H30" s="165"/>
      <c r="I30" s="154">
        <f>F30</f>
        <v>-10601.630000000003</v>
      </c>
      <c r="J30" s="150"/>
      <c r="K30" s="153">
        <f>I30-F30</f>
        <v>0</v>
      </c>
      <c r="L30" s="155">
        <f t="shared" si="2"/>
        <v>0</v>
      </c>
      <c r="N30" s="133"/>
    </row>
    <row r="31" spans="2:16" x14ac:dyDescent="0.2">
      <c r="B31" s="152"/>
      <c r="F31" s="2"/>
      <c r="H31" s="170"/>
      <c r="I31" s="2"/>
      <c r="K31" s="153"/>
      <c r="L31" s="155"/>
      <c r="N31" s="133"/>
    </row>
    <row r="32" spans="2:16" x14ac:dyDescent="0.2">
      <c r="B32" s="152" t="s">
        <v>218</v>
      </c>
      <c r="F32" s="153"/>
      <c r="H32" s="170"/>
      <c r="I32" s="154"/>
      <c r="J32" s="150"/>
      <c r="K32" s="153"/>
      <c r="L32" s="155"/>
      <c r="N32" s="133"/>
    </row>
    <row r="33" spans="2:15" x14ac:dyDescent="0.2">
      <c r="B33" s="152" t="s">
        <v>35</v>
      </c>
      <c r="C33" s="2" t="s">
        <v>50</v>
      </c>
      <c r="D33" s="16">
        <v>24354615.889999997</v>
      </c>
      <c r="E33" s="130">
        <v>0.1084</v>
      </c>
      <c r="F33" s="153">
        <f>ROUND(D33*E33,2)</f>
        <v>2640040.36</v>
      </c>
      <c r="H33" s="170">
        <f>H18</f>
        <v>0.12488</v>
      </c>
      <c r="I33" s="154">
        <f>ROUND(D33*H33,2)</f>
        <v>3041404.43</v>
      </c>
      <c r="J33" s="150"/>
      <c r="K33" s="153">
        <f>I33-F33</f>
        <v>401364.0700000003</v>
      </c>
      <c r="L33" s="155">
        <f t="shared" ref="L33:L35" si="3">IFERROR(K33/F33, )</f>
        <v>0.1520295204880884</v>
      </c>
      <c r="N33" s="133"/>
    </row>
    <row r="34" spans="2:15" x14ac:dyDescent="0.2">
      <c r="B34" s="152" t="s">
        <v>36</v>
      </c>
      <c r="C34" s="2" t="s">
        <v>50</v>
      </c>
      <c r="D34" s="16">
        <v>17329118.52</v>
      </c>
      <c r="E34" s="130">
        <v>5.3650000000000003E-2</v>
      </c>
      <c r="F34" s="153">
        <f>ROUND(D34*E34,2)</f>
        <v>929707.21</v>
      </c>
      <c r="H34" s="170">
        <f>H19</f>
        <v>5.9339999999999997E-2</v>
      </c>
      <c r="I34" s="154">
        <f>ROUND(D34*H34,2)</f>
        <v>1028309.89</v>
      </c>
      <c r="J34" s="150"/>
      <c r="K34" s="153">
        <f>I34-F34</f>
        <v>98602.680000000051</v>
      </c>
      <c r="L34" s="155">
        <f t="shared" si="3"/>
        <v>0.10605777705004574</v>
      </c>
      <c r="N34" s="133"/>
    </row>
    <row r="35" spans="2:15" x14ac:dyDescent="0.2">
      <c r="B35" s="152" t="s">
        <v>37</v>
      </c>
      <c r="C35" s="2" t="s">
        <v>50</v>
      </c>
      <c r="D35" s="16">
        <v>27203056.60995879</v>
      </c>
      <c r="E35" s="130">
        <v>5.1319999999999998E-2</v>
      </c>
      <c r="F35" s="243">
        <f>ROUND(D35*E35,2)</f>
        <v>1396060.87</v>
      </c>
      <c r="H35" s="170">
        <f>H20</f>
        <v>5.6770000000000001E-2</v>
      </c>
      <c r="I35" s="154">
        <f>ROUND(D35*H35,2)</f>
        <v>1544317.52</v>
      </c>
      <c r="J35" s="150"/>
      <c r="K35" s="153">
        <f>I35-F35</f>
        <v>148256.64999999991</v>
      </c>
      <c r="L35" s="155">
        <f t="shared" si="3"/>
        <v>0.10619640818383506</v>
      </c>
      <c r="N35" s="133"/>
    </row>
    <row r="36" spans="2:15" x14ac:dyDescent="0.2">
      <c r="B36" s="147" t="s">
        <v>219</v>
      </c>
      <c r="C36" s="148"/>
      <c r="D36" s="175">
        <f>SUM(D33:D35)</f>
        <v>68886791.019958794</v>
      </c>
      <c r="E36" s="131"/>
      <c r="F36" s="176">
        <f>SUM(F28:F35)</f>
        <v>6600270.6100000003</v>
      </c>
      <c r="I36" s="176">
        <f>SUM(I28:I35)</f>
        <v>7339677.3100000005</v>
      </c>
      <c r="J36" s="150"/>
      <c r="K36" s="176">
        <f>SUM(K28:K35)</f>
        <v>739406.70000000019</v>
      </c>
      <c r="L36" s="177">
        <f>IFERROR(K36/F36, )</f>
        <v>0.11202672491635918</v>
      </c>
      <c r="N36" s="133"/>
    </row>
    <row r="37" spans="2:15" x14ac:dyDescent="0.2">
      <c r="B37" s="147"/>
      <c r="C37" s="148"/>
      <c r="E37" s="131"/>
      <c r="F37" s="154"/>
      <c r="I37" s="154"/>
      <c r="J37" s="150"/>
      <c r="K37" s="153"/>
      <c r="L37" s="155"/>
      <c r="N37" s="133"/>
      <c r="O37" s="148"/>
    </row>
    <row r="38" spans="2:15" x14ac:dyDescent="0.2">
      <c r="B38" s="147" t="s">
        <v>220</v>
      </c>
      <c r="E38" s="131"/>
      <c r="F38" s="176">
        <f>F36</f>
        <v>6600270.6100000003</v>
      </c>
      <c r="G38" s="2"/>
      <c r="I38" s="176">
        <f>I36</f>
        <v>7339677.3100000005</v>
      </c>
      <c r="K38" s="176">
        <f>K36</f>
        <v>739406.70000000019</v>
      </c>
      <c r="L38" s="177">
        <f>IFERROR(K38/F38, )</f>
        <v>0.11202672491635918</v>
      </c>
      <c r="N38" s="133"/>
      <c r="O38" s="248"/>
    </row>
    <row r="39" spans="2:15" x14ac:dyDescent="0.2">
      <c r="B39" s="239"/>
      <c r="C39" s="240"/>
      <c r="D39" s="241"/>
      <c r="E39" s="242"/>
      <c r="F39" s="243"/>
      <c r="G39" s="241"/>
      <c r="H39" s="244"/>
      <c r="I39" s="249"/>
      <c r="J39" s="245"/>
      <c r="K39" s="243"/>
      <c r="L39" s="246"/>
      <c r="N39" s="133"/>
    </row>
    <row r="40" spans="2:15" x14ac:dyDescent="0.2">
      <c r="F40" s="153"/>
      <c r="I40" s="154"/>
      <c r="J40" s="150"/>
      <c r="K40" s="153"/>
      <c r="L40" s="20"/>
      <c r="N40" s="133"/>
    </row>
    <row r="41" spans="2:15" x14ac:dyDescent="0.2">
      <c r="B41" s="156" t="s">
        <v>286</v>
      </c>
      <c r="C41" s="157"/>
      <c r="D41" s="158"/>
      <c r="E41" s="159"/>
      <c r="F41" s="160"/>
      <c r="G41" s="229"/>
      <c r="H41" s="161"/>
      <c r="I41" s="163"/>
      <c r="J41" s="163"/>
      <c r="K41" s="160"/>
      <c r="L41" s="164"/>
      <c r="N41" s="133"/>
    </row>
    <row r="42" spans="2:15" x14ac:dyDescent="0.2">
      <c r="B42" s="152"/>
      <c r="F42" s="153"/>
      <c r="G42" s="149"/>
      <c r="I42" s="154"/>
      <c r="J42" s="150"/>
      <c r="K42" s="153"/>
      <c r="L42" s="155"/>
      <c r="N42" s="133"/>
    </row>
    <row r="43" spans="2:15" x14ac:dyDescent="0.2">
      <c r="B43" s="147" t="s">
        <v>214</v>
      </c>
      <c r="C43" s="148" t="s">
        <v>137</v>
      </c>
      <c r="D43" s="16">
        <f>D28+D12</f>
        <v>1252.6000305414561</v>
      </c>
      <c r="E43" s="131"/>
      <c r="F43" s="153">
        <f>F12+F28</f>
        <v>1017688.3300000001</v>
      </c>
      <c r="I43" s="153">
        <f>I12+I28</f>
        <v>1056977.54</v>
      </c>
      <c r="J43" s="150"/>
      <c r="K43" s="153">
        <f>I43-F43</f>
        <v>39289.209999999963</v>
      </c>
      <c r="L43" s="155">
        <f t="shared" ref="L43:L46" si="4">IFERROR(K43/F43, )</f>
        <v>3.860632852103154E-2</v>
      </c>
      <c r="N43" s="133"/>
    </row>
    <row r="44" spans="2:15" x14ac:dyDescent="0.2">
      <c r="B44" s="152" t="s">
        <v>215</v>
      </c>
      <c r="C44" s="2" t="s">
        <v>27</v>
      </c>
      <c r="D44" s="16">
        <f>D29+D13</f>
        <v>748075.9709999999</v>
      </c>
      <c r="E44" s="131"/>
      <c r="F44" s="153">
        <f>F13+F29</f>
        <v>972498.77</v>
      </c>
      <c r="I44" s="153">
        <f>I13+I29</f>
        <v>1077229.3999999999</v>
      </c>
      <c r="J44" s="150"/>
      <c r="K44" s="153">
        <f>I44-F44</f>
        <v>104730.62999999989</v>
      </c>
      <c r="L44" s="155">
        <f t="shared" si="4"/>
        <v>0.10769230073165016</v>
      </c>
      <c r="N44" s="133"/>
    </row>
    <row r="45" spans="2:15" x14ac:dyDescent="0.2">
      <c r="B45" s="152" t="s">
        <v>283</v>
      </c>
      <c r="C45" s="2" t="s">
        <v>50</v>
      </c>
      <c r="D45" s="16">
        <f>D30+D14</f>
        <v>19992939.502740219</v>
      </c>
      <c r="E45" s="131"/>
      <c r="F45" s="153">
        <f>F14</f>
        <v>140950.22349431855</v>
      </c>
      <c r="I45" s="153">
        <f>I14</f>
        <v>155944.93</v>
      </c>
      <c r="J45" s="150"/>
      <c r="K45" s="153">
        <f>I45-F45</f>
        <v>14994.706505681446</v>
      </c>
      <c r="L45" s="155">
        <f t="shared" si="4"/>
        <v>0.10638299205170013</v>
      </c>
      <c r="N45" s="133"/>
    </row>
    <row r="46" spans="2:15" x14ac:dyDescent="0.2">
      <c r="B46" s="152" t="s">
        <v>217</v>
      </c>
      <c r="E46" s="131"/>
      <c r="F46" s="154">
        <f>F15+F30</f>
        <v>-924.14000000000306</v>
      </c>
      <c r="I46" s="154">
        <f>I15+I30</f>
        <v>-924.14000000000306</v>
      </c>
      <c r="J46" s="150"/>
      <c r="K46" s="153">
        <f>I46-F46</f>
        <v>0</v>
      </c>
      <c r="L46" s="155">
        <f t="shared" si="4"/>
        <v>0</v>
      </c>
      <c r="N46" s="133"/>
    </row>
    <row r="47" spans="2:15" x14ac:dyDescent="0.2">
      <c r="B47" s="152"/>
      <c r="F47" s="2"/>
      <c r="H47" s="130"/>
      <c r="I47" s="2"/>
      <c r="K47" s="153"/>
      <c r="L47" s="155"/>
      <c r="N47" s="133"/>
    </row>
    <row r="48" spans="2:15" x14ac:dyDescent="0.2">
      <c r="B48" s="152" t="s">
        <v>218</v>
      </c>
      <c r="F48" s="153"/>
      <c r="H48" s="130"/>
      <c r="I48" s="153"/>
      <c r="J48" s="150"/>
      <c r="K48" s="153"/>
      <c r="L48" s="155"/>
      <c r="N48" s="133"/>
    </row>
    <row r="49" spans="2:16" x14ac:dyDescent="0.2">
      <c r="B49" s="152" t="s">
        <v>35</v>
      </c>
      <c r="C49" s="2" t="s">
        <v>50</v>
      </c>
      <c r="D49" s="16">
        <f>D33+D18</f>
        <v>32614172.612156868</v>
      </c>
      <c r="F49" s="153">
        <f>F18+F33</f>
        <v>3535376.3099999996</v>
      </c>
      <c r="H49" s="236"/>
      <c r="I49" s="153">
        <f>I18+I33</f>
        <v>4072857.87</v>
      </c>
      <c r="J49" s="150"/>
      <c r="K49" s="153">
        <f>I49-F49</f>
        <v>537481.56000000052</v>
      </c>
      <c r="L49" s="155">
        <f t="shared" ref="L49:L51" si="5">IFERROR(K49/F49, )</f>
        <v>0.15202951903018228</v>
      </c>
      <c r="N49" s="133"/>
    </row>
    <row r="50" spans="2:16" x14ac:dyDescent="0.2">
      <c r="B50" s="152" t="s">
        <v>36</v>
      </c>
      <c r="C50" s="2" t="s">
        <v>50</v>
      </c>
      <c r="D50" s="16">
        <f>D34+D19</f>
        <v>21676678.247000001</v>
      </c>
      <c r="F50" s="153">
        <f>F19+F34</f>
        <v>1162953.79</v>
      </c>
      <c r="H50" s="236"/>
      <c r="I50" s="153">
        <f>I19+I34</f>
        <v>1286294.08</v>
      </c>
      <c r="J50" s="150"/>
      <c r="K50" s="153">
        <f>I50-F50</f>
        <v>123340.29000000004</v>
      </c>
      <c r="L50" s="155">
        <f t="shared" si="5"/>
        <v>0.10605777380028146</v>
      </c>
      <c r="N50" s="133"/>
    </row>
    <row r="51" spans="2:16" x14ac:dyDescent="0.2">
      <c r="B51" s="152" t="s">
        <v>284</v>
      </c>
      <c r="C51" s="2" t="s">
        <v>50</v>
      </c>
      <c r="D51" s="16">
        <f>D35+D20</f>
        <v>34588879.663542144</v>
      </c>
      <c r="F51" s="243">
        <f>F20+F35</f>
        <v>1775101.31</v>
      </c>
      <c r="H51" s="130"/>
      <c r="I51" s="243">
        <f>I20+I35</f>
        <v>1963610.69</v>
      </c>
      <c r="J51" s="150"/>
      <c r="K51" s="153">
        <f>I51-F51</f>
        <v>188509.37999999989</v>
      </c>
      <c r="L51" s="155">
        <f t="shared" si="5"/>
        <v>0.10619640633356295</v>
      </c>
      <c r="N51" s="133"/>
    </row>
    <row r="52" spans="2:16" x14ac:dyDescent="0.2">
      <c r="B52" s="147" t="s">
        <v>219</v>
      </c>
      <c r="C52" s="148"/>
      <c r="D52" s="175">
        <f>SUM(D49:D51)</f>
        <v>88879730.522699013</v>
      </c>
      <c r="E52" s="131"/>
      <c r="F52" s="176">
        <f>SUM(F43:F51)</f>
        <v>8603644.5934943184</v>
      </c>
      <c r="I52" s="176">
        <f>SUM(I43:I51)</f>
        <v>9611990.3699999992</v>
      </c>
      <c r="J52" s="150"/>
      <c r="K52" s="176">
        <f>SUM(K43:K51)</f>
        <v>1008345.7765056817</v>
      </c>
      <c r="L52" s="177">
        <f>IFERROR(K52/F52, )</f>
        <v>0.11719984078237571</v>
      </c>
      <c r="N52" s="133"/>
    </row>
    <row r="53" spans="2:16" x14ac:dyDescent="0.2">
      <c r="B53" s="147"/>
      <c r="C53" s="148"/>
      <c r="E53" s="131"/>
      <c r="F53" s="154"/>
      <c r="I53" s="154"/>
      <c r="J53" s="150"/>
      <c r="K53" s="153"/>
      <c r="L53" s="155"/>
      <c r="N53" s="133"/>
    </row>
    <row r="54" spans="2:16" x14ac:dyDescent="0.2">
      <c r="B54" s="152" t="s">
        <v>220</v>
      </c>
      <c r="E54" s="131"/>
      <c r="F54" s="176">
        <f>F52</f>
        <v>8603644.5934943184</v>
      </c>
      <c r="I54" s="176">
        <f>I52</f>
        <v>9611990.3699999992</v>
      </c>
      <c r="J54" s="150"/>
      <c r="K54" s="176">
        <f>K52</f>
        <v>1008345.7765056817</v>
      </c>
      <c r="L54" s="177">
        <f>IFERROR(K54/F54, )</f>
        <v>0.11719984078237571</v>
      </c>
      <c r="N54" s="133"/>
    </row>
    <row r="55" spans="2:16" x14ac:dyDescent="0.2">
      <c r="B55" s="239"/>
      <c r="C55" s="240"/>
      <c r="D55" s="241"/>
      <c r="E55" s="242"/>
      <c r="F55" s="243"/>
      <c r="G55" s="241"/>
      <c r="H55" s="244"/>
      <c r="I55" s="249"/>
      <c r="J55" s="245"/>
      <c r="K55" s="243"/>
      <c r="L55" s="246"/>
      <c r="N55" s="133"/>
    </row>
    <row r="56" spans="2:16" x14ac:dyDescent="0.2">
      <c r="F56" s="153"/>
      <c r="I56" s="154"/>
      <c r="J56" s="150"/>
      <c r="K56" s="153"/>
      <c r="L56" s="20"/>
      <c r="N56" s="133"/>
    </row>
    <row r="57" spans="2:16" x14ac:dyDescent="0.2">
      <c r="B57" s="156" t="s">
        <v>38</v>
      </c>
      <c r="C57" s="157"/>
      <c r="D57" s="158"/>
      <c r="E57" s="159"/>
      <c r="F57" s="160"/>
      <c r="G57" s="158"/>
      <c r="H57" s="161"/>
      <c r="I57" s="162"/>
      <c r="J57" s="163"/>
      <c r="K57" s="160"/>
      <c r="L57" s="250"/>
      <c r="N57" s="133"/>
    </row>
    <row r="58" spans="2:16" x14ac:dyDescent="0.2">
      <c r="B58" s="152"/>
      <c r="F58" s="153"/>
      <c r="G58" s="149"/>
      <c r="I58" s="154"/>
      <c r="J58" s="150"/>
      <c r="K58" s="153"/>
      <c r="L58" s="155"/>
      <c r="N58" s="133"/>
      <c r="O58" s="230" t="s">
        <v>287</v>
      </c>
    </row>
    <row r="59" spans="2:16" x14ac:dyDescent="0.2">
      <c r="B59" s="147" t="s">
        <v>214</v>
      </c>
      <c r="C59" s="148" t="s">
        <v>137</v>
      </c>
      <c r="D59" s="16">
        <v>1364.2999596828383</v>
      </c>
      <c r="E59" s="131">
        <v>148.82</v>
      </c>
      <c r="F59" s="153">
        <f>ROUND(D59*E59,2)</f>
        <v>203035.12</v>
      </c>
      <c r="H59" s="165">
        <f>E59</f>
        <v>148.82</v>
      </c>
      <c r="I59" s="154">
        <f>ROUND(D59*H59,2)</f>
        <v>203035.12</v>
      </c>
      <c r="J59" s="150"/>
      <c r="K59" s="153">
        <f>I59-F59</f>
        <v>0</v>
      </c>
      <c r="L59" s="155">
        <f t="shared" ref="L59:L62" si="6">IFERROR(K59/F59, )</f>
        <v>0</v>
      </c>
      <c r="N59" s="133"/>
      <c r="O59" s="166">
        <f>'Exh JDT-5 (JDT-Rate Spread)'!J56</f>
        <v>1560028.5146650348</v>
      </c>
    </row>
    <row r="60" spans="2:16" x14ac:dyDescent="0.2">
      <c r="B60" s="152" t="s">
        <v>215</v>
      </c>
      <c r="C60" s="2" t="s">
        <v>27</v>
      </c>
      <c r="D60" s="16">
        <v>39087.972999999998</v>
      </c>
      <c r="E60" s="131">
        <v>1.35</v>
      </c>
      <c r="F60" s="153">
        <f>ROUND(D60*E60,2)</f>
        <v>52768.76</v>
      </c>
      <c r="H60" s="165">
        <f>E60</f>
        <v>1.35</v>
      </c>
      <c r="I60" s="154">
        <f>ROUND(D60*H60,2)</f>
        <v>52768.76</v>
      </c>
      <c r="J60" s="150"/>
      <c r="K60" s="153">
        <f>I60-F60</f>
        <v>0</v>
      </c>
      <c r="L60" s="155">
        <f t="shared" si="6"/>
        <v>0</v>
      </c>
      <c r="N60" s="133"/>
      <c r="O60" s="167" t="s">
        <v>216</v>
      </c>
    </row>
    <row r="61" spans="2:16" x14ac:dyDescent="0.2">
      <c r="B61" s="152" t="s">
        <v>283</v>
      </c>
      <c r="C61" s="2" t="s">
        <v>50</v>
      </c>
      <c r="D61" s="16">
        <f>D67</f>
        <v>5773170.4876905456</v>
      </c>
      <c r="E61" s="130">
        <v>1.222E-2</v>
      </c>
      <c r="F61" s="153">
        <f>ROUND(D61*E61,2)</f>
        <v>70548.14</v>
      </c>
      <c r="H61" s="170">
        <f>E61</f>
        <v>1.222E-2</v>
      </c>
      <c r="I61" s="154">
        <f>ROUND(D67*H61,2)</f>
        <v>70548.14</v>
      </c>
      <c r="J61" s="150"/>
      <c r="K61" s="153">
        <f>I61-F61</f>
        <v>0</v>
      </c>
      <c r="L61" s="155">
        <f t="shared" si="6"/>
        <v>0</v>
      </c>
      <c r="N61" s="133"/>
      <c r="O61" s="169">
        <f>I98-O59</f>
        <v>2.5053349651861936</v>
      </c>
    </row>
    <row r="62" spans="2:16" x14ac:dyDescent="0.2">
      <c r="B62" s="152" t="s">
        <v>217</v>
      </c>
      <c r="F62" s="154">
        <v>7612.77</v>
      </c>
      <c r="H62" s="170"/>
      <c r="I62" s="154">
        <f>F62</f>
        <v>7612.77</v>
      </c>
      <c r="J62" s="251"/>
      <c r="K62" s="153">
        <f>I62-F62</f>
        <v>0</v>
      </c>
      <c r="L62" s="155">
        <f t="shared" si="6"/>
        <v>0</v>
      </c>
      <c r="N62" s="133"/>
      <c r="O62" s="233"/>
    </row>
    <row r="63" spans="2:16" x14ac:dyDescent="0.2">
      <c r="B63" s="152"/>
      <c r="F63" s="153"/>
      <c r="H63" s="170"/>
      <c r="I63" s="154"/>
      <c r="J63" s="150"/>
      <c r="K63" s="153"/>
      <c r="L63" s="155"/>
      <c r="N63" s="133"/>
      <c r="O63" s="232">
        <f>'Exh JDT-5 (JDT-Rate Spread)'!J59</f>
        <v>4.2429683015157149E-2</v>
      </c>
      <c r="P63" s="15"/>
    </row>
    <row r="64" spans="2:16" x14ac:dyDescent="0.2">
      <c r="B64" s="152" t="s">
        <v>218</v>
      </c>
      <c r="F64" s="153"/>
      <c r="H64" s="170"/>
      <c r="I64" s="154"/>
      <c r="J64" s="150"/>
      <c r="K64" s="153"/>
      <c r="L64" s="155"/>
      <c r="N64" s="133"/>
      <c r="O64" s="237"/>
      <c r="P64" s="15"/>
    </row>
    <row r="65" spans="2:16" x14ac:dyDescent="0.2">
      <c r="B65" s="152" t="s">
        <v>288</v>
      </c>
      <c r="C65" s="2" t="s">
        <v>50</v>
      </c>
      <c r="D65" s="16">
        <v>1063981.5778999999</v>
      </c>
      <c r="E65" s="130">
        <v>0.18382000000000001</v>
      </c>
      <c r="F65" s="153">
        <f>ROUND(D65*E65,2)</f>
        <v>195581.09</v>
      </c>
      <c r="H65" s="170">
        <f>ROUND(E65*(1+$O$65),5)</f>
        <v>0.1951</v>
      </c>
      <c r="I65" s="154">
        <f>ROUND(D65*H65,2)</f>
        <v>207582.81</v>
      </c>
      <c r="J65" s="150"/>
      <c r="K65" s="153">
        <f>I65-F65</f>
        <v>12001.720000000001</v>
      </c>
      <c r="L65" s="155">
        <f t="shared" ref="L65:L66" si="7">IFERROR(K65/F65, )</f>
        <v>6.1364419228873313E-2</v>
      </c>
      <c r="N65" s="133"/>
      <c r="O65" s="252">
        <f>(O59-SUM(I88:I91))/SUM(F94:F95)-1</f>
        <v>6.1383682309006371E-2</v>
      </c>
      <c r="P65" s="15"/>
    </row>
    <row r="66" spans="2:16" ht="12.75" customHeight="1" x14ac:dyDescent="0.2">
      <c r="B66" s="152" t="s">
        <v>289</v>
      </c>
      <c r="C66" s="2" t="s">
        <v>50</v>
      </c>
      <c r="D66" s="16">
        <v>4709188.9097905457</v>
      </c>
      <c r="E66" s="130">
        <v>0.13031000000000001</v>
      </c>
      <c r="F66" s="153">
        <f>ROUND(D66*E66,2)</f>
        <v>613654.41</v>
      </c>
      <c r="H66" s="170">
        <f>ROUND(E66*(1+$O$65),5)</f>
        <v>0.13830999999999999</v>
      </c>
      <c r="I66" s="154">
        <f>ROUND(D66*H66,2)</f>
        <v>651327.92000000004</v>
      </c>
      <c r="J66" s="150"/>
      <c r="K66" s="153">
        <f>I66-F66</f>
        <v>37673.510000000009</v>
      </c>
      <c r="L66" s="155">
        <f t="shared" si="7"/>
        <v>6.1392062675798269E-2</v>
      </c>
      <c r="N66" s="133"/>
      <c r="O66" s="237"/>
      <c r="P66" s="15"/>
    </row>
    <row r="67" spans="2:16" ht="12.75" customHeight="1" x14ac:dyDescent="0.2">
      <c r="B67" s="147" t="s">
        <v>219</v>
      </c>
      <c r="C67" s="2" t="s">
        <v>50</v>
      </c>
      <c r="D67" s="175">
        <f>SUM(D65:D66)</f>
        <v>5773170.4876905456</v>
      </c>
      <c r="F67" s="176">
        <f>SUM(F59:F66)</f>
        <v>1143200.29</v>
      </c>
      <c r="I67" s="176">
        <f>SUM(I59:I66)</f>
        <v>1192875.52</v>
      </c>
      <c r="J67" s="150"/>
      <c r="K67" s="176">
        <f>SUM(K59:K66)</f>
        <v>49675.23000000001</v>
      </c>
      <c r="L67" s="177">
        <f>IFERROR(K67/F67, )</f>
        <v>4.3452779390040226E-2</v>
      </c>
      <c r="N67" s="133"/>
      <c r="O67" s="237"/>
      <c r="P67" s="15"/>
    </row>
    <row r="68" spans="2:16" x14ac:dyDescent="0.2">
      <c r="B68" s="147"/>
      <c r="C68" s="148"/>
      <c r="F68" s="154"/>
      <c r="I68" s="154"/>
      <c r="J68" s="150"/>
      <c r="K68" s="153"/>
      <c r="L68" s="178"/>
      <c r="N68" s="253"/>
      <c r="O68" s="238"/>
      <c r="P68" s="15"/>
    </row>
    <row r="69" spans="2:16" x14ac:dyDescent="0.2">
      <c r="B69" s="152" t="s">
        <v>220</v>
      </c>
      <c r="E69" s="131"/>
      <c r="F69" s="176">
        <f>F67</f>
        <v>1143200.29</v>
      </c>
      <c r="I69" s="176">
        <f>I67</f>
        <v>1192875.52</v>
      </c>
      <c r="J69" s="150"/>
      <c r="K69" s="176">
        <f>K67</f>
        <v>49675.23000000001</v>
      </c>
      <c r="L69" s="177">
        <f>IFERROR(K69/F69, )</f>
        <v>4.3452779390040226E-2</v>
      </c>
      <c r="N69" s="133"/>
    </row>
    <row r="70" spans="2:16" x14ac:dyDescent="0.2">
      <c r="B70" s="239"/>
      <c r="C70" s="240"/>
      <c r="D70" s="241"/>
      <c r="E70" s="254"/>
      <c r="F70" s="243"/>
      <c r="G70" s="241"/>
      <c r="H70" s="244"/>
      <c r="I70" s="249"/>
      <c r="J70" s="245"/>
      <c r="K70" s="243"/>
      <c r="L70" s="255"/>
      <c r="N70" s="133"/>
    </row>
    <row r="71" spans="2:16" x14ac:dyDescent="0.2">
      <c r="E71" s="256"/>
      <c r="F71" s="153"/>
      <c r="I71" s="154"/>
      <c r="J71" s="150"/>
      <c r="K71" s="153"/>
      <c r="L71" s="188"/>
      <c r="N71" s="133"/>
    </row>
    <row r="72" spans="2:16" x14ac:dyDescent="0.2">
      <c r="B72" s="156" t="s">
        <v>290</v>
      </c>
      <c r="C72" s="157"/>
      <c r="D72" s="158"/>
      <c r="E72" s="159"/>
      <c r="F72" s="160"/>
      <c r="G72" s="158"/>
      <c r="H72" s="161"/>
      <c r="I72" s="162"/>
      <c r="J72" s="163"/>
      <c r="K72" s="160"/>
      <c r="L72" s="250"/>
      <c r="N72" s="133"/>
    </row>
    <row r="73" spans="2:16" x14ac:dyDescent="0.2">
      <c r="B73" s="152"/>
      <c r="F73" s="153"/>
      <c r="G73" s="149"/>
      <c r="I73" s="154"/>
      <c r="J73" s="150"/>
      <c r="K73" s="153"/>
      <c r="L73" s="155"/>
      <c r="N73" s="133"/>
    </row>
    <row r="74" spans="2:16" x14ac:dyDescent="0.2">
      <c r="B74" s="147" t="s">
        <v>214</v>
      </c>
      <c r="C74" s="148" t="s">
        <v>137</v>
      </c>
      <c r="D74" s="16">
        <v>135.03332221112262</v>
      </c>
      <c r="E74" s="131">
        <v>457.76</v>
      </c>
      <c r="F74" s="153">
        <f>ROUND(D74*E74,2)</f>
        <v>61812.85</v>
      </c>
      <c r="H74" s="165">
        <f>E74</f>
        <v>457.76</v>
      </c>
      <c r="I74" s="154">
        <f>ROUND(D74*H74,2)</f>
        <v>61812.85</v>
      </c>
      <c r="J74" s="150"/>
      <c r="K74" s="153">
        <f>I74-F74</f>
        <v>0</v>
      </c>
      <c r="L74" s="155">
        <f t="shared" ref="L74:L76" si="8">IFERROR(K74/F74, )</f>
        <v>0</v>
      </c>
      <c r="N74" s="133"/>
    </row>
    <row r="75" spans="2:16" x14ac:dyDescent="0.2">
      <c r="B75" s="152" t="s">
        <v>215</v>
      </c>
      <c r="C75" s="2" t="s">
        <v>27</v>
      </c>
      <c r="D75" s="16">
        <v>43385</v>
      </c>
      <c r="E75" s="131">
        <v>1.35</v>
      </c>
      <c r="F75" s="153">
        <f>ROUND(D75*E75,2)</f>
        <v>58569.75</v>
      </c>
      <c r="H75" s="165">
        <f>H60</f>
        <v>1.35</v>
      </c>
      <c r="I75" s="154">
        <f>ROUND(D75*H75,2)</f>
        <v>58569.75</v>
      </c>
      <c r="J75" s="150"/>
      <c r="K75" s="153">
        <f>I75-F75</f>
        <v>0</v>
      </c>
      <c r="L75" s="155">
        <f t="shared" si="8"/>
        <v>0</v>
      </c>
      <c r="N75" s="133"/>
    </row>
    <row r="76" spans="2:16" x14ac:dyDescent="0.2">
      <c r="B76" s="152" t="s">
        <v>217</v>
      </c>
      <c r="F76" s="154">
        <v>0</v>
      </c>
      <c r="H76" s="170"/>
      <c r="I76" s="154">
        <f>F76</f>
        <v>0</v>
      </c>
      <c r="J76" s="251"/>
      <c r="K76" s="153">
        <f>I76-F76</f>
        <v>0</v>
      </c>
      <c r="L76" s="155">
        <f t="shared" si="8"/>
        <v>0</v>
      </c>
      <c r="N76" s="133"/>
    </row>
    <row r="77" spans="2:16" x14ac:dyDescent="0.2">
      <c r="B77" s="152"/>
      <c r="F77" s="153"/>
      <c r="H77" s="170"/>
      <c r="I77" s="154"/>
      <c r="J77" s="150"/>
      <c r="K77" s="153"/>
      <c r="L77" s="155"/>
      <c r="N77" s="133"/>
    </row>
    <row r="78" spans="2:16" x14ac:dyDescent="0.2">
      <c r="B78" s="152" t="s">
        <v>218</v>
      </c>
      <c r="F78" s="153"/>
      <c r="H78" s="170"/>
      <c r="I78" s="154"/>
      <c r="J78" s="150"/>
      <c r="K78" s="153"/>
      <c r="L78" s="155"/>
      <c r="N78" s="133"/>
    </row>
    <row r="79" spans="2:16" x14ac:dyDescent="0.2">
      <c r="B79" s="152" t="s">
        <v>288</v>
      </c>
      <c r="C79" s="2" t="s">
        <v>50</v>
      </c>
      <c r="D79" s="16">
        <v>160051.62</v>
      </c>
      <c r="E79" s="130">
        <v>0.18382000000000001</v>
      </c>
      <c r="F79" s="153">
        <f>ROUND(D79*E79,2)</f>
        <v>29420.69</v>
      </c>
      <c r="H79" s="170">
        <f>H65</f>
        <v>0.1951</v>
      </c>
      <c r="I79" s="154">
        <f>ROUND(D79*H79,2)</f>
        <v>31226.07</v>
      </c>
      <c r="J79" s="150"/>
      <c r="K79" s="153">
        <f>I79-F79</f>
        <v>1805.380000000001</v>
      </c>
      <c r="L79" s="155">
        <f t="shared" ref="L79:L80" si="9">IFERROR(K79/F79, )</f>
        <v>6.1364298390010605E-2</v>
      </c>
      <c r="N79" s="133"/>
    </row>
    <row r="80" spans="2:16" x14ac:dyDescent="0.2">
      <c r="B80" s="152" t="s">
        <v>289</v>
      </c>
      <c r="C80" s="2" t="s">
        <v>50</v>
      </c>
      <c r="D80" s="16">
        <v>1558432.7200000002</v>
      </c>
      <c r="E80" s="130">
        <v>0.13031000000000001</v>
      </c>
      <c r="F80" s="153">
        <f>ROUND(D80*E80,2)</f>
        <v>203079.37</v>
      </c>
      <c r="H80" s="170">
        <f>H66</f>
        <v>0.13830999999999999</v>
      </c>
      <c r="I80" s="154">
        <f>ROUND(D80*H80,2)</f>
        <v>215546.83</v>
      </c>
      <c r="J80" s="150"/>
      <c r="K80" s="153">
        <f>I80-F80</f>
        <v>12467.459999999992</v>
      </c>
      <c r="L80" s="155">
        <f t="shared" si="9"/>
        <v>6.1392055726783044E-2</v>
      </c>
      <c r="N80" s="133"/>
    </row>
    <row r="81" spans="2:14" x14ac:dyDescent="0.2">
      <c r="B81" s="147" t="s">
        <v>219</v>
      </c>
      <c r="C81" s="2" t="s">
        <v>50</v>
      </c>
      <c r="D81" s="175">
        <f>SUM(D79:D80)</f>
        <v>1718484.3400000003</v>
      </c>
      <c r="F81" s="176">
        <f>SUM(F74:F80)</f>
        <v>352882.66000000003</v>
      </c>
      <c r="I81" s="176">
        <f>SUM(I74:I80)</f>
        <v>367155.5</v>
      </c>
      <c r="J81" s="150"/>
      <c r="K81" s="176">
        <f>SUM(K74:K80)</f>
        <v>14272.839999999993</v>
      </c>
      <c r="L81" s="177">
        <f>IFERROR(K81/F81, )</f>
        <v>4.044641921481773E-2</v>
      </c>
      <c r="N81" s="133"/>
    </row>
    <row r="82" spans="2:14" x14ac:dyDescent="0.2">
      <c r="B82" s="147"/>
      <c r="C82" s="148"/>
      <c r="F82" s="154"/>
      <c r="I82" s="154"/>
      <c r="J82" s="150"/>
      <c r="K82" s="153"/>
      <c r="L82" s="178"/>
      <c r="N82" s="133"/>
    </row>
    <row r="83" spans="2:14" x14ac:dyDescent="0.2">
      <c r="B83" s="147" t="s">
        <v>220</v>
      </c>
      <c r="E83" s="131"/>
      <c r="F83" s="176">
        <f>+F81</f>
        <v>352882.66000000003</v>
      </c>
      <c r="G83" s="176"/>
      <c r="I83" s="176">
        <f>+I81</f>
        <v>367155.5</v>
      </c>
      <c r="K83" s="176">
        <f>+K81</f>
        <v>14272.839999999993</v>
      </c>
      <c r="L83" s="177">
        <f>IFERROR(K83/F83, )</f>
        <v>4.044641921481773E-2</v>
      </c>
      <c r="N83" s="133"/>
    </row>
    <row r="84" spans="2:14" x14ac:dyDescent="0.2">
      <c r="B84" s="239"/>
      <c r="C84" s="240"/>
      <c r="D84" s="241"/>
      <c r="E84" s="242"/>
      <c r="F84" s="243"/>
      <c r="G84" s="241"/>
      <c r="H84" s="244"/>
      <c r="I84" s="249"/>
      <c r="J84" s="245"/>
      <c r="K84" s="243"/>
      <c r="L84" s="246"/>
      <c r="N84" s="133"/>
    </row>
    <row r="85" spans="2:14" x14ac:dyDescent="0.2">
      <c r="E85" s="256"/>
      <c r="F85" s="153"/>
      <c r="I85" s="154"/>
      <c r="J85" s="150"/>
      <c r="K85" s="153"/>
      <c r="L85" s="188"/>
      <c r="N85" s="133"/>
    </row>
    <row r="86" spans="2:14" x14ac:dyDescent="0.2">
      <c r="B86" s="156" t="s">
        <v>291</v>
      </c>
      <c r="C86" s="157"/>
      <c r="D86" s="158"/>
      <c r="E86" s="159"/>
      <c r="F86" s="160"/>
      <c r="G86" s="158"/>
      <c r="H86" s="161"/>
      <c r="I86" s="162"/>
      <c r="J86" s="163"/>
      <c r="K86" s="160"/>
      <c r="L86" s="250"/>
      <c r="N86" s="133"/>
    </row>
    <row r="87" spans="2:14" x14ac:dyDescent="0.2">
      <c r="B87" s="152"/>
      <c r="F87" s="153"/>
      <c r="G87" s="149"/>
      <c r="I87" s="154"/>
      <c r="J87" s="150"/>
      <c r="K87" s="153"/>
      <c r="L87" s="155"/>
      <c r="N87" s="133"/>
    </row>
    <row r="88" spans="2:14" x14ac:dyDescent="0.2">
      <c r="B88" s="147" t="s">
        <v>214</v>
      </c>
      <c r="C88" s="148" t="s">
        <v>137</v>
      </c>
      <c r="D88" s="16">
        <f>D59+D74</f>
        <v>1499.3332818939609</v>
      </c>
      <c r="E88" s="131"/>
      <c r="F88" s="153">
        <f>F59+F74</f>
        <v>264847.96999999997</v>
      </c>
      <c r="H88" s="257"/>
      <c r="I88" s="153">
        <f>I59+I74</f>
        <v>264847.96999999997</v>
      </c>
      <c r="J88" s="150"/>
      <c r="K88" s="153">
        <f>I88-F88</f>
        <v>0</v>
      </c>
      <c r="L88" s="155">
        <f t="shared" ref="L88:L91" si="10">IFERROR(K88/F88, )</f>
        <v>0</v>
      </c>
      <c r="N88" s="133"/>
    </row>
    <row r="89" spans="2:14" x14ac:dyDescent="0.2">
      <c r="B89" s="152" t="s">
        <v>215</v>
      </c>
      <c r="C89" s="2" t="s">
        <v>27</v>
      </c>
      <c r="D89" s="16">
        <f>D60+D75</f>
        <v>82472.972999999998</v>
      </c>
      <c r="E89" s="131"/>
      <c r="F89" s="153">
        <f>F60+F75</f>
        <v>111338.51000000001</v>
      </c>
      <c r="H89" s="257"/>
      <c r="I89" s="153">
        <f>I60+I75</f>
        <v>111338.51000000001</v>
      </c>
      <c r="J89" s="150"/>
      <c r="K89" s="153">
        <f>I89-F89</f>
        <v>0</v>
      </c>
      <c r="L89" s="155">
        <f t="shared" si="10"/>
        <v>0</v>
      </c>
      <c r="N89" s="133"/>
    </row>
    <row r="90" spans="2:14" x14ac:dyDescent="0.2">
      <c r="B90" s="152" t="s">
        <v>283</v>
      </c>
      <c r="C90" s="2" t="s">
        <v>50</v>
      </c>
      <c r="D90" s="16">
        <f>D61</f>
        <v>5773170.4876905456</v>
      </c>
      <c r="F90" s="153">
        <f>F61</f>
        <v>70548.14</v>
      </c>
      <c r="H90" s="236"/>
      <c r="I90" s="153">
        <f>I61</f>
        <v>70548.14</v>
      </c>
      <c r="J90" s="150"/>
      <c r="K90" s="153">
        <f>I90-F90</f>
        <v>0</v>
      </c>
      <c r="L90" s="155">
        <f t="shared" si="10"/>
        <v>0</v>
      </c>
      <c r="N90" s="133"/>
    </row>
    <row r="91" spans="2:14" x14ac:dyDescent="0.2">
      <c r="B91" s="152" t="s">
        <v>217</v>
      </c>
      <c r="F91" s="154">
        <f>F62+F76</f>
        <v>7612.77</v>
      </c>
      <c r="H91" s="130"/>
      <c r="I91" s="154">
        <f>I62+I76</f>
        <v>7612.77</v>
      </c>
      <c r="J91" s="251"/>
      <c r="K91" s="153">
        <f>I91-F91</f>
        <v>0</v>
      </c>
      <c r="L91" s="155">
        <f t="shared" si="10"/>
        <v>0</v>
      </c>
      <c r="N91" s="133"/>
    </row>
    <row r="92" spans="2:14" x14ac:dyDescent="0.2">
      <c r="B92" s="152"/>
      <c r="F92" s="153"/>
      <c r="H92" s="130"/>
      <c r="I92" s="153"/>
      <c r="J92" s="150"/>
      <c r="K92" s="153"/>
      <c r="L92" s="155"/>
      <c r="N92" s="133"/>
    </row>
    <row r="93" spans="2:14" x14ac:dyDescent="0.2">
      <c r="B93" s="152" t="s">
        <v>218</v>
      </c>
      <c r="F93" s="153"/>
      <c r="H93" s="130"/>
      <c r="I93" s="153"/>
      <c r="J93" s="150"/>
      <c r="K93" s="153"/>
      <c r="L93" s="155"/>
      <c r="N93" s="133"/>
    </row>
    <row r="94" spans="2:14" x14ac:dyDescent="0.2">
      <c r="B94" s="152" t="s">
        <v>288</v>
      </c>
      <c r="C94" s="2" t="s">
        <v>50</v>
      </c>
      <c r="D94" s="16">
        <f>D65+D79</f>
        <v>1224033.1979</v>
      </c>
      <c r="F94" s="153">
        <f>F65+F79</f>
        <v>225001.78</v>
      </c>
      <c r="H94" s="130"/>
      <c r="I94" s="153">
        <f>I65+I79</f>
        <v>238808.88</v>
      </c>
      <c r="J94" s="150"/>
      <c r="K94" s="153">
        <f>I94-F94</f>
        <v>13807.100000000006</v>
      </c>
      <c r="L94" s="155">
        <f t="shared" ref="L94:L95" si="11">IFERROR(K94/F94, )</f>
        <v>6.1364403428275129E-2</v>
      </c>
      <c r="N94" s="133"/>
    </row>
    <row r="95" spans="2:14" x14ac:dyDescent="0.2">
      <c r="B95" s="152" t="s">
        <v>289</v>
      </c>
      <c r="C95" s="2" t="s">
        <v>50</v>
      </c>
      <c r="D95" s="16">
        <f>D66+D80</f>
        <v>6267621.6297905464</v>
      </c>
      <c r="F95" s="153">
        <f>F66+F80</f>
        <v>816733.78</v>
      </c>
      <c r="H95" s="130"/>
      <c r="I95" s="153">
        <f>I66+I80</f>
        <v>866874.75</v>
      </c>
      <c r="J95" s="150"/>
      <c r="K95" s="153">
        <f>I95-F95</f>
        <v>50140.969999999972</v>
      </c>
      <c r="L95" s="155">
        <f t="shared" si="11"/>
        <v>6.1392060947938226E-2</v>
      </c>
      <c r="N95" s="133"/>
    </row>
    <row r="96" spans="2:14" x14ac:dyDescent="0.2">
      <c r="B96" s="147" t="s">
        <v>219</v>
      </c>
      <c r="C96" s="2" t="s">
        <v>50</v>
      </c>
      <c r="D96" s="175">
        <f>SUM(D94:D95)</f>
        <v>7491654.8276905464</v>
      </c>
      <c r="F96" s="176">
        <f>SUM(F88:F95)</f>
        <v>1496082.9500000002</v>
      </c>
      <c r="I96" s="176">
        <f>SUM(I88:I95)</f>
        <v>1560031.02</v>
      </c>
      <c r="J96" s="150"/>
      <c r="K96" s="176">
        <f>SUM(K88:K95)</f>
        <v>63948.069999999978</v>
      </c>
      <c r="L96" s="177">
        <f>IFERROR(K96/F96, )</f>
        <v>4.2743666051404415E-2</v>
      </c>
      <c r="N96" s="133"/>
    </row>
    <row r="97" spans="2:16" x14ac:dyDescent="0.2">
      <c r="B97" s="147"/>
      <c r="C97" s="148"/>
      <c r="F97" s="154"/>
      <c r="I97" s="154"/>
      <c r="J97" s="150"/>
      <c r="K97" s="153"/>
      <c r="L97" s="178"/>
      <c r="N97" s="133"/>
    </row>
    <row r="98" spans="2:16" x14ac:dyDescent="0.2">
      <c r="B98" s="147" t="s">
        <v>220</v>
      </c>
      <c r="C98" s="148"/>
      <c r="D98" s="2"/>
      <c r="E98" s="131"/>
      <c r="F98" s="176">
        <f>F96</f>
        <v>1496082.9500000002</v>
      </c>
      <c r="G98" s="2"/>
      <c r="I98" s="176">
        <f>I96</f>
        <v>1560031.02</v>
      </c>
      <c r="J98" s="150"/>
      <c r="K98" s="176">
        <f>K96</f>
        <v>63948.069999999978</v>
      </c>
      <c r="L98" s="177">
        <f>IFERROR(K98/F98, )</f>
        <v>4.2743666051404415E-2</v>
      </c>
      <c r="N98" s="133"/>
    </row>
    <row r="99" spans="2:16" x14ac:dyDescent="0.2">
      <c r="B99" s="239"/>
      <c r="C99" s="240"/>
      <c r="D99" s="241"/>
      <c r="E99" s="242"/>
      <c r="F99" s="243"/>
      <c r="G99" s="241"/>
      <c r="H99" s="244"/>
      <c r="I99" s="249"/>
      <c r="J99" s="245"/>
      <c r="K99" s="243"/>
      <c r="L99" s="255"/>
      <c r="N99" s="133"/>
    </row>
    <row r="100" spans="2:16" x14ac:dyDescent="0.2">
      <c r="E100" s="256"/>
      <c r="F100" s="153"/>
      <c r="I100" s="154"/>
      <c r="J100" s="150"/>
      <c r="K100" s="153"/>
      <c r="L100" s="188"/>
      <c r="N100" s="133"/>
    </row>
    <row r="101" spans="2:16" x14ac:dyDescent="0.2">
      <c r="F101" s="153"/>
      <c r="I101" s="154"/>
      <c r="J101" s="150"/>
      <c r="K101" s="153"/>
      <c r="L101" s="188"/>
      <c r="N101" s="133"/>
    </row>
    <row r="102" spans="2:16" x14ac:dyDescent="0.2">
      <c r="B102" s="156" t="s">
        <v>39</v>
      </c>
      <c r="C102" s="157"/>
      <c r="D102" s="158"/>
      <c r="E102" s="159"/>
      <c r="F102" s="160"/>
      <c r="G102" s="158"/>
      <c r="H102" s="161"/>
      <c r="I102" s="162"/>
      <c r="J102" s="163"/>
      <c r="K102" s="160"/>
      <c r="L102" s="164"/>
      <c r="N102" s="133"/>
    </row>
    <row r="103" spans="2:16" x14ac:dyDescent="0.2">
      <c r="B103" s="152"/>
      <c r="F103" s="153"/>
      <c r="I103" s="154"/>
      <c r="J103" s="150"/>
      <c r="K103" s="153"/>
      <c r="L103" s="155"/>
      <c r="N103" s="133"/>
      <c r="O103" s="139" t="s">
        <v>292</v>
      </c>
    </row>
    <row r="104" spans="2:16" x14ac:dyDescent="0.2">
      <c r="B104" s="147" t="s">
        <v>214</v>
      </c>
      <c r="C104" s="148" t="s">
        <v>137</v>
      </c>
      <c r="D104" s="16">
        <v>61</v>
      </c>
      <c r="E104" s="131">
        <v>606.5</v>
      </c>
      <c r="F104" s="153">
        <f>ROUND(D104*E104,2)</f>
        <v>36996.5</v>
      </c>
      <c r="H104" s="165">
        <v>715.15</v>
      </c>
      <c r="I104" s="154">
        <f>ROUND(D104*H104,2)</f>
        <v>43624.15</v>
      </c>
      <c r="J104" s="150"/>
      <c r="K104" s="153">
        <f>I104-F104</f>
        <v>6627.6500000000015</v>
      </c>
      <c r="L104" s="155">
        <f t="shared" ref="L104:L107" si="12">IFERROR(K104/F104, )</f>
        <v>0.17914262159934052</v>
      </c>
      <c r="N104" s="133"/>
      <c r="O104" s="166">
        <f>'Exh JDT-5 (JDT-Rate Spread)'!K56</f>
        <v>6299755.2809057441</v>
      </c>
    </row>
    <row r="105" spans="2:16" x14ac:dyDescent="0.2">
      <c r="B105" s="152" t="s">
        <v>215</v>
      </c>
      <c r="C105" s="2" t="s">
        <v>27</v>
      </c>
      <c r="D105" s="16">
        <v>0</v>
      </c>
      <c r="E105" s="131">
        <v>1.45</v>
      </c>
      <c r="F105" s="153">
        <f>ROUND(D105*E105,2)</f>
        <v>0</v>
      </c>
      <c r="H105" s="165">
        <f>E105</f>
        <v>1.45</v>
      </c>
      <c r="I105" s="154">
        <f>ROUND(D105*H105,2)</f>
        <v>0</v>
      </c>
      <c r="J105" s="150"/>
      <c r="K105" s="153">
        <f>I105-F105</f>
        <v>0</v>
      </c>
      <c r="L105" s="155">
        <f>IFERROR(K105/F105, )</f>
        <v>0</v>
      </c>
      <c r="N105" s="133"/>
      <c r="O105" s="167" t="s">
        <v>216</v>
      </c>
    </row>
    <row r="106" spans="2:16" x14ac:dyDescent="0.2">
      <c r="B106" s="152" t="s">
        <v>283</v>
      </c>
      <c r="D106" s="16">
        <f>D116</f>
        <v>21819455.762355208</v>
      </c>
      <c r="E106" s="130">
        <v>8.43E-3</v>
      </c>
      <c r="F106" s="153">
        <f>ROUND(D106*E106,2)</f>
        <v>183938.01</v>
      </c>
      <c r="H106" s="170">
        <f>ROUND(E106*(1+$O$108),5)</f>
        <v>9.3200000000000002E-3</v>
      </c>
      <c r="I106" s="153">
        <f>ROUND(D106*H106,2)</f>
        <v>203357.33</v>
      </c>
      <c r="J106" s="150"/>
      <c r="K106" s="153">
        <f>I106-F106</f>
        <v>19419.319999999978</v>
      </c>
      <c r="L106" s="155">
        <f t="shared" si="12"/>
        <v>0.10557535117401769</v>
      </c>
      <c r="N106" s="133"/>
      <c r="O106" s="169">
        <f>I155-O104</f>
        <v>151.2490942561999</v>
      </c>
    </row>
    <row r="107" spans="2:16" x14ac:dyDescent="0.2">
      <c r="B107" s="152" t="s">
        <v>217</v>
      </c>
      <c r="E107" s="131"/>
      <c r="F107" s="154">
        <v>51086.770000000004</v>
      </c>
      <c r="H107" s="130" t="s">
        <v>293</v>
      </c>
      <c r="I107" s="154">
        <f>F107</f>
        <v>51086.770000000004</v>
      </c>
      <c r="J107" s="150"/>
      <c r="K107" s="153">
        <f>I107-F107</f>
        <v>0</v>
      </c>
      <c r="L107" s="155">
        <f t="shared" si="12"/>
        <v>0</v>
      </c>
      <c r="N107" s="133"/>
      <c r="O107" s="172"/>
    </row>
    <row r="108" spans="2:16" x14ac:dyDescent="0.2">
      <c r="B108" s="152"/>
      <c r="E108" s="131"/>
      <c r="F108" s="153"/>
      <c r="H108" s="130"/>
      <c r="I108" s="154"/>
      <c r="J108" s="150"/>
      <c r="K108" s="168"/>
      <c r="L108" s="171"/>
      <c r="N108" s="133"/>
      <c r="O108" s="232">
        <f>'Exh JDT-5 (JDT-Rate Spread)'!K59</f>
        <v>0.10610240784340896</v>
      </c>
    </row>
    <row r="109" spans="2:16" x14ac:dyDescent="0.2">
      <c r="B109" s="152" t="s">
        <v>218</v>
      </c>
      <c r="E109" s="131"/>
      <c r="F109" s="153"/>
      <c r="H109" s="130"/>
      <c r="I109" s="154"/>
      <c r="J109" s="150"/>
      <c r="K109" s="168"/>
      <c r="L109" s="171"/>
      <c r="N109" s="133"/>
      <c r="O109" s="258">
        <f>(O104-SUM(I141:I144,I152))/SUM(F147:F151)-1</f>
        <v>0.18370474105037182</v>
      </c>
      <c r="P109" s="15"/>
    </row>
    <row r="110" spans="2:16" x14ac:dyDescent="0.2">
      <c r="B110" s="152" t="s">
        <v>35</v>
      </c>
      <c r="C110" s="2" t="s">
        <v>50</v>
      </c>
      <c r="D110" s="16">
        <v>1512193</v>
      </c>
      <c r="E110" s="130">
        <v>0.17533000000000001</v>
      </c>
      <c r="F110" s="153">
        <f t="shared" ref="F110:F115" si="13">ROUND(D110*E110,2)</f>
        <v>265132.79999999999</v>
      </c>
      <c r="H110" s="170">
        <f>ROUND(E110*(1+$O$109),5)</f>
        <v>0.20754</v>
      </c>
      <c r="I110" s="154">
        <f t="shared" ref="I110:I115" si="14">ROUND(D110*H110,2)</f>
        <v>313840.53999999998</v>
      </c>
      <c r="J110" s="150"/>
      <c r="K110" s="153">
        <f t="shared" ref="K110:K116" si="15">I110-F110</f>
        <v>48707.739999999991</v>
      </c>
      <c r="L110" s="155">
        <f t="shared" ref="L110:L115" si="16">IFERROR(K110/F110, )</f>
        <v>0.18371072911386291</v>
      </c>
      <c r="N110" s="133"/>
      <c r="O110" s="258">
        <f>O108*0.33</f>
        <v>3.5013794588324959E-2</v>
      </c>
      <c r="P110" s="15"/>
    </row>
    <row r="111" spans="2:16" x14ac:dyDescent="0.2">
      <c r="B111" s="152" t="s">
        <v>36</v>
      </c>
      <c r="C111" s="2" t="s">
        <v>50</v>
      </c>
      <c r="D111" s="16">
        <v>1398016.115</v>
      </c>
      <c r="E111" s="130">
        <v>0.10595</v>
      </c>
      <c r="F111" s="153">
        <f t="shared" si="13"/>
        <v>148119.81</v>
      </c>
      <c r="H111" s="170">
        <f t="shared" ref="H111:H114" si="17">ROUND(E111*(1+$O$109),5)</f>
        <v>0.12540999999999999</v>
      </c>
      <c r="I111" s="154">
        <f t="shared" si="14"/>
        <v>175325.2</v>
      </c>
      <c r="J111" s="150"/>
      <c r="K111" s="153">
        <f t="shared" si="15"/>
        <v>27205.390000000014</v>
      </c>
      <c r="L111" s="155">
        <f t="shared" si="16"/>
        <v>0.18367151564669179</v>
      </c>
      <c r="N111" s="133"/>
      <c r="O111" s="168"/>
    </row>
    <row r="112" spans="2:16" x14ac:dyDescent="0.2">
      <c r="B112" s="152" t="s">
        <v>37</v>
      </c>
      <c r="C112" s="2" t="s">
        <v>50</v>
      </c>
      <c r="D112" s="16">
        <v>2316890.0959999999</v>
      </c>
      <c r="E112" s="130">
        <v>6.7419999999999994E-2</v>
      </c>
      <c r="F112" s="153">
        <f t="shared" si="13"/>
        <v>156204.73000000001</v>
      </c>
      <c r="H112" s="170">
        <f t="shared" si="17"/>
        <v>7.9810000000000006E-2</v>
      </c>
      <c r="I112" s="154">
        <f t="shared" si="14"/>
        <v>184911</v>
      </c>
      <c r="J112" s="150"/>
      <c r="K112" s="153">
        <f t="shared" si="15"/>
        <v>28706.26999999999</v>
      </c>
      <c r="L112" s="155">
        <f t="shared" si="16"/>
        <v>0.18377337229160723</v>
      </c>
      <c r="N112" s="133"/>
      <c r="O112" s="148"/>
      <c r="P112" s="148"/>
    </row>
    <row r="113" spans="2:16" x14ac:dyDescent="0.2">
      <c r="B113" s="152" t="s">
        <v>40</v>
      </c>
      <c r="C113" s="2" t="s">
        <v>50</v>
      </c>
      <c r="D113" s="16">
        <v>3045256.8779999996</v>
      </c>
      <c r="E113" s="130">
        <v>4.3229999999999998E-2</v>
      </c>
      <c r="F113" s="153">
        <f t="shared" si="13"/>
        <v>131646.45000000001</v>
      </c>
      <c r="H113" s="170">
        <f t="shared" si="17"/>
        <v>5.117E-2</v>
      </c>
      <c r="I113" s="154">
        <f t="shared" si="14"/>
        <v>155825.79</v>
      </c>
      <c r="J113" s="150"/>
      <c r="K113" s="153">
        <f t="shared" si="15"/>
        <v>24179.339999999997</v>
      </c>
      <c r="L113" s="155">
        <f t="shared" si="16"/>
        <v>0.18366875825364068</v>
      </c>
      <c r="N113" s="133"/>
    </row>
    <row r="114" spans="2:16" x14ac:dyDescent="0.2">
      <c r="B114" s="152" t="s">
        <v>41</v>
      </c>
      <c r="C114" s="2" t="s">
        <v>50</v>
      </c>
      <c r="D114" s="16">
        <v>3792042.2029999997</v>
      </c>
      <c r="E114" s="130">
        <v>3.1109999999999999E-2</v>
      </c>
      <c r="F114" s="153">
        <f t="shared" si="13"/>
        <v>117970.43</v>
      </c>
      <c r="H114" s="170">
        <f t="shared" si="17"/>
        <v>3.6830000000000002E-2</v>
      </c>
      <c r="I114" s="154">
        <f t="shared" si="14"/>
        <v>139660.91</v>
      </c>
      <c r="J114" s="150"/>
      <c r="K114" s="153">
        <f t="shared" si="15"/>
        <v>21690.48000000001</v>
      </c>
      <c r="L114" s="155">
        <f t="shared" si="16"/>
        <v>0.18386370211586084</v>
      </c>
      <c r="N114" s="133"/>
    </row>
    <row r="115" spans="2:16" x14ac:dyDescent="0.2">
      <c r="B115" s="152" t="s">
        <v>42</v>
      </c>
      <c r="C115" s="2" t="s">
        <v>50</v>
      </c>
      <c r="D115" s="16">
        <v>9755057.4703552071</v>
      </c>
      <c r="E115" s="130">
        <v>2.3990000000000001E-2</v>
      </c>
      <c r="F115" s="153">
        <f t="shared" si="13"/>
        <v>234023.83</v>
      </c>
      <c r="H115" s="170">
        <f>ROUND(E115*(1+$O$110),5)</f>
        <v>2.4830000000000001E-2</v>
      </c>
      <c r="I115" s="154">
        <f t="shared" si="14"/>
        <v>242218.08</v>
      </c>
      <c r="J115" s="150"/>
      <c r="K115" s="153">
        <f t="shared" si="15"/>
        <v>8194.25</v>
      </c>
      <c r="L115" s="155">
        <f t="shared" si="16"/>
        <v>3.501459659044124E-2</v>
      </c>
      <c r="N115" s="133"/>
      <c r="P115" s="148"/>
    </row>
    <row r="116" spans="2:16" x14ac:dyDescent="0.2">
      <c r="B116" s="147" t="s">
        <v>219</v>
      </c>
      <c r="C116" s="2" t="s">
        <v>50</v>
      </c>
      <c r="D116" s="175">
        <f>SUM(D110:D115)</f>
        <v>21819455.762355208</v>
      </c>
      <c r="F116" s="176">
        <f>SUM(F104:F115)</f>
        <v>1325119.33</v>
      </c>
      <c r="I116" s="176">
        <f>SUM(I104:I115)</f>
        <v>1509849.77</v>
      </c>
      <c r="J116" s="150"/>
      <c r="K116" s="176">
        <f t="shared" si="15"/>
        <v>184730.43999999994</v>
      </c>
      <c r="L116" s="177">
        <f>IFERROR(K116/F116, )</f>
        <v>0.13940664498494632</v>
      </c>
      <c r="N116" s="133"/>
      <c r="P116" s="20"/>
    </row>
    <row r="117" spans="2:16" x14ac:dyDescent="0.2">
      <c r="B117" s="147"/>
      <c r="C117" s="148"/>
      <c r="F117" s="153"/>
      <c r="I117" s="154"/>
      <c r="J117" s="150"/>
      <c r="K117" s="153"/>
      <c r="L117" s="178"/>
      <c r="N117" s="253"/>
      <c r="O117" s="259"/>
    </row>
    <row r="118" spans="2:16" x14ac:dyDescent="0.2">
      <c r="B118" s="152" t="s">
        <v>220</v>
      </c>
      <c r="E118" s="131"/>
      <c r="F118" s="176">
        <f>F116</f>
        <v>1325119.33</v>
      </c>
      <c r="I118" s="176">
        <f>I116</f>
        <v>1509849.77</v>
      </c>
      <c r="J118" s="150"/>
      <c r="K118" s="176">
        <f>K116</f>
        <v>184730.43999999994</v>
      </c>
      <c r="L118" s="177">
        <f>IFERROR(K118/F118, )</f>
        <v>0.13940664498494632</v>
      </c>
      <c r="N118" s="133"/>
    </row>
    <row r="119" spans="2:16" x14ac:dyDescent="0.2">
      <c r="B119" s="239"/>
      <c r="C119" s="240"/>
      <c r="D119" s="241"/>
      <c r="E119" s="242"/>
      <c r="F119" s="243"/>
      <c r="G119" s="241"/>
      <c r="H119" s="244"/>
      <c r="I119" s="249"/>
      <c r="J119" s="245"/>
      <c r="K119" s="243"/>
      <c r="L119" s="255"/>
      <c r="N119" s="133"/>
      <c r="O119" s="148"/>
    </row>
    <row r="120" spans="2:16" x14ac:dyDescent="0.2">
      <c r="F120" s="153"/>
      <c r="I120" s="154"/>
      <c r="J120" s="150"/>
      <c r="K120" s="153"/>
      <c r="L120" s="188"/>
      <c r="N120" s="133"/>
    </row>
    <row r="121" spans="2:16" x14ac:dyDescent="0.2">
      <c r="B121" s="156" t="s">
        <v>294</v>
      </c>
      <c r="C121" s="157"/>
      <c r="D121" s="158"/>
      <c r="E121" s="159"/>
      <c r="F121" s="160"/>
      <c r="G121" s="158"/>
      <c r="H121" s="161"/>
      <c r="I121" s="162"/>
      <c r="J121" s="163"/>
      <c r="K121" s="160"/>
      <c r="L121" s="164"/>
      <c r="N121" s="133"/>
    </row>
    <row r="122" spans="2:16" x14ac:dyDescent="0.2">
      <c r="B122" s="152"/>
      <c r="F122" s="153"/>
      <c r="I122" s="154"/>
      <c r="J122" s="150"/>
      <c r="K122" s="153"/>
      <c r="L122" s="155"/>
      <c r="N122" s="133"/>
    </row>
    <row r="123" spans="2:16" x14ac:dyDescent="0.2">
      <c r="B123" s="147" t="s">
        <v>214</v>
      </c>
      <c r="C123" s="148" t="s">
        <v>137</v>
      </c>
      <c r="D123" s="16">
        <v>120.00000000000001</v>
      </c>
      <c r="E123" s="131">
        <v>918.31</v>
      </c>
      <c r="F123" s="153">
        <f>ROUND(D123*E123,2)</f>
        <v>110197.2</v>
      </c>
      <c r="H123" s="165">
        <v>1082.81</v>
      </c>
      <c r="I123" s="154">
        <f>ROUND(D123*H123,2)</f>
        <v>129937.2</v>
      </c>
      <c r="J123" s="150"/>
      <c r="K123" s="153">
        <f>I123-F123</f>
        <v>19740</v>
      </c>
      <c r="L123" s="155">
        <f t="shared" ref="L123:L124" si="18">IFERROR(K123/F123, )</f>
        <v>0.179133408108373</v>
      </c>
      <c r="N123" s="133"/>
    </row>
    <row r="124" spans="2:16" x14ac:dyDescent="0.2">
      <c r="B124" s="152" t="s">
        <v>215</v>
      </c>
      <c r="C124" s="2" t="s">
        <v>27</v>
      </c>
      <c r="D124" s="16">
        <v>296082</v>
      </c>
      <c r="E124" s="131">
        <v>1.45</v>
      </c>
      <c r="F124" s="153">
        <f>ROUND(D124*E124,2)</f>
        <v>429318.9</v>
      </c>
      <c r="H124" s="165">
        <f>H105</f>
        <v>1.45</v>
      </c>
      <c r="I124" s="154">
        <f>ROUND(D124*H124,2)</f>
        <v>429318.9</v>
      </c>
      <c r="J124" s="150"/>
      <c r="K124" s="153">
        <f>I124-F124</f>
        <v>0</v>
      </c>
      <c r="L124" s="155">
        <f t="shared" si="18"/>
        <v>0</v>
      </c>
      <c r="N124" s="133"/>
    </row>
    <row r="125" spans="2:16" x14ac:dyDescent="0.2">
      <c r="B125" s="152" t="s">
        <v>217</v>
      </c>
      <c r="E125" s="131"/>
      <c r="F125" s="154">
        <v>19447.379999999997</v>
      </c>
      <c r="H125" s="165"/>
      <c r="I125" s="154">
        <f>F125</f>
        <v>19447.379999999997</v>
      </c>
      <c r="J125" s="150"/>
      <c r="K125" s="168"/>
      <c r="L125" s="155">
        <f>IFERROR(K125/F125, )</f>
        <v>0</v>
      </c>
      <c r="N125" s="133"/>
    </row>
    <row r="126" spans="2:16" x14ac:dyDescent="0.2">
      <c r="B126" s="152"/>
      <c r="F126" s="153"/>
      <c r="H126" s="170"/>
      <c r="I126" s="154"/>
      <c r="J126" s="150"/>
      <c r="K126" s="168"/>
      <c r="L126" s="171"/>
      <c r="N126" s="133"/>
    </row>
    <row r="127" spans="2:16" x14ac:dyDescent="0.2">
      <c r="B127" s="152" t="s">
        <v>218</v>
      </c>
      <c r="E127" s="131"/>
      <c r="F127" s="153"/>
      <c r="H127" s="170"/>
      <c r="I127" s="154"/>
      <c r="J127" s="150"/>
      <c r="K127" s="168"/>
      <c r="L127" s="171"/>
      <c r="N127" s="133"/>
    </row>
    <row r="128" spans="2:16" x14ac:dyDescent="0.2">
      <c r="B128" s="152" t="s">
        <v>35</v>
      </c>
      <c r="C128" s="2" t="s">
        <v>50</v>
      </c>
      <c r="D128" s="16">
        <v>2998789.67</v>
      </c>
      <c r="E128" s="130">
        <v>0.17533000000000001</v>
      </c>
      <c r="F128" s="153">
        <f t="shared" ref="F128:F133" si="19">ROUND(D128*E128,2)</f>
        <v>525777.79</v>
      </c>
      <c r="H128" s="170">
        <f t="shared" ref="H128:H133" si="20">H110</f>
        <v>0.20754</v>
      </c>
      <c r="I128" s="154">
        <f t="shared" ref="I128:I133" si="21">ROUND(D128*H128,2)</f>
        <v>622368.81000000006</v>
      </c>
      <c r="J128" s="150"/>
      <c r="K128" s="153">
        <f t="shared" ref="K128:K133" si="22">I128-F128</f>
        <v>96591.020000000019</v>
      </c>
      <c r="L128" s="155">
        <f t="shared" ref="L128:L133" si="23">IFERROR(K128/F128, )</f>
        <v>0.18371072692134829</v>
      </c>
      <c r="N128" s="133"/>
    </row>
    <row r="129" spans="2:15" x14ac:dyDescent="0.2">
      <c r="B129" s="152" t="s">
        <v>36</v>
      </c>
      <c r="C129" s="2" t="s">
        <v>50</v>
      </c>
      <c r="D129" s="16">
        <v>3000000</v>
      </c>
      <c r="E129" s="130">
        <v>0.10595</v>
      </c>
      <c r="F129" s="153">
        <f t="shared" si="19"/>
        <v>317850</v>
      </c>
      <c r="H129" s="170">
        <f t="shared" si="20"/>
        <v>0.12540999999999999</v>
      </c>
      <c r="I129" s="154">
        <f t="shared" si="21"/>
        <v>376230</v>
      </c>
      <c r="J129" s="150"/>
      <c r="K129" s="153">
        <f t="shared" si="22"/>
        <v>58380</v>
      </c>
      <c r="L129" s="155">
        <f t="shared" si="23"/>
        <v>0.18367154318074563</v>
      </c>
      <c r="N129" s="133"/>
    </row>
    <row r="130" spans="2:15" x14ac:dyDescent="0.2">
      <c r="B130" s="152" t="s">
        <v>37</v>
      </c>
      <c r="C130" s="2" t="s">
        <v>50</v>
      </c>
      <c r="D130" s="16">
        <v>6000000</v>
      </c>
      <c r="E130" s="130">
        <v>6.7419999999999994E-2</v>
      </c>
      <c r="F130" s="153">
        <f t="shared" si="19"/>
        <v>404520</v>
      </c>
      <c r="H130" s="170">
        <f t="shared" si="20"/>
        <v>7.9810000000000006E-2</v>
      </c>
      <c r="I130" s="154">
        <f t="shared" si="21"/>
        <v>478860</v>
      </c>
      <c r="J130" s="150"/>
      <c r="K130" s="153">
        <f t="shared" si="22"/>
        <v>74340</v>
      </c>
      <c r="L130" s="155">
        <f t="shared" si="23"/>
        <v>0.18377336102046871</v>
      </c>
      <c r="N130" s="133"/>
    </row>
    <row r="131" spans="2:15" x14ac:dyDescent="0.2">
      <c r="B131" s="152" t="s">
        <v>40</v>
      </c>
      <c r="C131" s="2" t="s">
        <v>50</v>
      </c>
      <c r="D131" s="16">
        <v>11463691.02</v>
      </c>
      <c r="E131" s="130">
        <v>4.3229999999999998E-2</v>
      </c>
      <c r="F131" s="153">
        <f t="shared" si="19"/>
        <v>495575.36</v>
      </c>
      <c r="H131" s="170">
        <f t="shared" si="20"/>
        <v>5.117E-2</v>
      </c>
      <c r="I131" s="154">
        <f t="shared" si="21"/>
        <v>586597.06999999995</v>
      </c>
      <c r="J131" s="150"/>
      <c r="K131" s="153">
        <f t="shared" si="22"/>
        <v>91021.709999999963</v>
      </c>
      <c r="L131" s="155">
        <f t="shared" si="23"/>
        <v>0.18366875625131962</v>
      </c>
      <c r="N131" s="133"/>
    </row>
    <row r="132" spans="2:15" x14ac:dyDescent="0.2">
      <c r="B132" s="152" t="s">
        <v>41</v>
      </c>
      <c r="C132" s="2" t="s">
        <v>50</v>
      </c>
      <c r="D132" s="16">
        <v>25744602.149999999</v>
      </c>
      <c r="E132" s="130">
        <v>3.1109999999999999E-2</v>
      </c>
      <c r="F132" s="153">
        <f t="shared" si="19"/>
        <v>800914.57</v>
      </c>
      <c r="H132" s="170">
        <f t="shared" si="20"/>
        <v>3.6830000000000002E-2</v>
      </c>
      <c r="I132" s="154">
        <f t="shared" si="21"/>
        <v>948173.7</v>
      </c>
      <c r="J132" s="150"/>
      <c r="K132" s="153">
        <f t="shared" si="22"/>
        <v>147259.13</v>
      </c>
      <c r="L132" s="155">
        <f t="shared" si="23"/>
        <v>0.18386371720020028</v>
      </c>
      <c r="N132" s="133"/>
    </row>
    <row r="133" spans="2:15" x14ac:dyDescent="0.2">
      <c r="B133" s="152" t="s">
        <v>42</v>
      </c>
      <c r="C133" s="2" t="s">
        <v>50</v>
      </c>
      <c r="D133" s="16">
        <v>48293342.805479579</v>
      </c>
      <c r="E133" s="130">
        <v>2.3990000000000001E-2</v>
      </c>
      <c r="F133" s="153">
        <f t="shared" si="19"/>
        <v>1158557.29</v>
      </c>
      <c r="H133" s="170">
        <f t="shared" si="20"/>
        <v>2.4830000000000001E-2</v>
      </c>
      <c r="I133" s="154">
        <f t="shared" si="21"/>
        <v>1199123.7</v>
      </c>
      <c r="J133" s="150"/>
      <c r="K133" s="153">
        <f t="shared" si="22"/>
        <v>40566.409999999916</v>
      </c>
      <c r="L133" s="155">
        <f t="shared" si="23"/>
        <v>3.501459129397038E-2</v>
      </c>
      <c r="N133" s="133"/>
    </row>
    <row r="134" spans="2:15" x14ac:dyDescent="0.2">
      <c r="B134" s="147" t="s">
        <v>219</v>
      </c>
      <c r="D134" s="175">
        <f>SUM(D128:D133)</f>
        <v>97500425.645479575</v>
      </c>
      <c r="F134" s="176">
        <f>SUM(F123:F133)</f>
        <v>4262158.49</v>
      </c>
      <c r="H134" s="130"/>
      <c r="I134" s="176">
        <f>SUM(I123:I133)</f>
        <v>4790056.76</v>
      </c>
      <c r="J134" s="150"/>
      <c r="K134" s="176">
        <f>SUM(K123:K133)</f>
        <v>527898.2699999999</v>
      </c>
      <c r="L134" s="177">
        <f>IFERROR(K134/F134, )</f>
        <v>0.12385702484752037</v>
      </c>
      <c r="N134" s="133"/>
    </row>
    <row r="135" spans="2:15" x14ac:dyDescent="0.2">
      <c r="B135" s="152"/>
      <c r="C135" s="148"/>
      <c r="F135" s="153"/>
      <c r="I135" s="154"/>
      <c r="J135" s="150"/>
      <c r="K135" s="153"/>
      <c r="L135" s="178"/>
      <c r="N135" s="133"/>
    </row>
    <row r="136" spans="2:15" x14ac:dyDescent="0.2">
      <c r="B136" s="152" t="s">
        <v>220</v>
      </c>
      <c r="E136" s="131"/>
      <c r="F136" s="176">
        <f>F134</f>
        <v>4262158.49</v>
      </c>
      <c r="I136" s="176">
        <f>I134</f>
        <v>4790056.76</v>
      </c>
      <c r="J136" s="150"/>
      <c r="K136" s="176">
        <f>K134</f>
        <v>527898.2699999999</v>
      </c>
      <c r="L136" s="177">
        <f>IFERROR(K136/F136, )</f>
        <v>0.12385702484752037</v>
      </c>
      <c r="N136" s="133"/>
      <c r="O136" s="153"/>
    </row>
    <row r="137" spans="2:15" x14ac:dyDescent="0.2">
      <c r="B137" s="239"/>
      <c r="C137" s="240"/>
      <c r="D137" s="241"/>
      <c r="E137" s="242"/>
      <c r="F137" s="243"/>
      <c r="G137" s="241"/>
      <c r="H137" s="244"/>
      <c r="I137" s="249"/>
      <c r="J137" s="245"/>
      <c r="K137" s="243"/>
      <c r="L137" s="255"/>
      <c r="N137" s="133"/>
    </row>
    <row r="138" spans="2:15" x14ac:dyDescent="0.2">
      <c r="F138" s="153"/>
      <c r="I138" s="154"/>
      <c r="J138" s="150"/>
      <c r="K138" s="153"/>
      <c r="L138" s="188"/>
      <c r="N138" s="133"/>
    </row>
    <row r="139" spans="2:15" x14ac:dyDescent="0.2">
      <c r="B139" s="156" t="s">
        <v>295</v>
      </c>
      <c r="C139" s="157"/>
      <c r="D139" s="158"/>
      <c r="E139" s="260"/>
      <c r="F139" s="160"/>
      <c r="G139" s="158"/>
      <c r="H139" s="161"/>
      <c r="I139" s="162"/>
      <c r="J139" s="163"/>
      <c r="K139" s="160"/>
      <c r="L139" s="164"/>
      <c r="N139" s="133"/>
    </row>
    <row r="140" spans="2:15" x14ac:dyDescent="0.2">
      <c r="B140" s="152"/>
      <c r="F140" s="153"/>
      <c r="I140" s="154"/>
      <c r="J140" s="150"/>
      <c r="K140" s="153"/>
      <c r="L140" s="155"/>
      <c r="N140" s="133"/>
    </row>
    <row r="141" spans="2:15" x14ac:dyDescent="0.2">
      <c r="B141" s="147" t="s">
        <v>214</v>
      </c>
      <c r="C141" s="148" t="s">
        <v>137</v>
      </c>
      <c r="D141" s="16">
        <f>D123+D104</f>
        <v>181</v>
      </c>
      <c r="E141" s="131"/>
      <c r="F141" s="153">
        <f>F123+F104</f>
        <v>147193.70000000001</v>
      </c>
      <c r="H141" s="257"/>
      <c r="I141" s="153">
        <f>I123+I104</f>
        <v>173561.35</v>
      </c>
      <c r="J141" s="150"/>
      <c r="K141" s="154">
        <f>I141-F141</f>
        <v>26367.649999999994</v>
      </c>
      <c r="L141" s="155">
        <f t="shared" ref="L141:L144" si="24">IFERROR(K141/F141, )</f>
        <v>0.17913572387948665</v>
      </c>
      <c r="N141" s="133"/>
    </row>
    <row r="142" spans="2:15" x14ac:dyDescent="0.2">
      <c r="B142" s="152" t="s">
        <v>215</v>
      </c>
      <c r="C142" s="2" t="s">
        <v>27</v>
      </c>
      <c r="D142" s="16">
        <f>D124+D105</f>
        <v>296082</v>
      </c>
      <c r="E142" s="131"/>
      <c r="F142" s="153">
        <f>F124+F105</f>
        <v>429318.9</v>
      </c>
      <c r="H142" s="257"/>
      <c r="I142" s="153">
        <f>I124+I105</f>
        <v>429318.9</v>
      </c>
      <c r="J142" s="150"/>
      <c r="K142" s="154">
        <f>I142-F142</f>
        <v>0</v>
      </c>
      <c r="L142" s="155">
        <f t="shared" si="24"/>
        <v>0</v>
      </c>
      <c r="N142" s="133"/>
    </row>
    <row r="143" spans="2:15" x14ac:dyDescent="0.2">
      <c r="B143" s="152" t="s">
        <v>283</v>
      </c>
      <c r="E143" s="131"/>
      <c r="F143" s="153">
        <f>F106</f>
        <v>183938.01</v>
      </c>
      <c r="H143" s="257"/>
      <c r="I143" s="153">
        <f>I106</f>
        <v>203357.33</v>
      </c>
      <c r="J143" s="150"/>
      <c r="K143" s="154">
        <f>I143-F143</f>
        <v>19419.319999999978</v>
      </c>
      <c r="L143" s="155">
        <f t="shared" si="24"/>
        <v>0.10557535117401769</v>
      </c>
      <c r="N143" s="133"/>
    </row>
    <row r="144" spans="2:15" x14ac:dyDescent="0.2">
      <c r="B144" s="152" t="s">
        <v>217</v>
      </c>
      <c r="E144" s="131"/>
      <c r="F144" s="154">
        <f>F125+F107</f>
        <v>70534.149999999994</v>
      </c>
      <c r="I144" s="154">
        <f>I125+I107</f>
        <v>70534.149999999994</v>
      </c>
      <c r="J144" s="150"/>
      <c r="K144" s="154">
        <f>I144-F144</f>
        <v>0</v>
      </c>
      <c r="L144" s="155">
        <f t="shared" si="24"/>
        <v>0</v>
      </c>
      <c r="N144" s="133"/>
    </row>
    <row r="145" spans="2:16" x14ac:dyDescent="0.2">
      <c r="B145" s="152"/>
      <c r="E145" s="131"/>
      <c r="F145" s="154"/>
      <c r="H145" s="130"/>
      <c r="I145" s="261"/>
      <c r="J145" s="150"/>
      <c r="K145" s="154"/>
      <c r="L145" s="171"/>
      <c r="N145" s="133"/>
    </row>
    <row r="146" spans="2:16" ht="12" customHeight="1" x14ac:dyDescent="0.2">
      <c r="B146" s="152" t="s">
        <v>218</v>
      </c>
      <c r="E146" s="131"/>
      <c r="F146" s="153"/>
      <c r="H146" s="130"/>
      <c r="I146" s="153"/>
      <c r="J146" s="150"/>
      <c r="K146" s="154"/>
      <c r="L146" s="171"/>
      <c r="N146" s="133"/>
    </row>
    <row r="147" spans="2:16" x14ac:dyDescent="0.2">
      <c r="B147" s="152" t="s">
        <v>35</v>
      </c>
      <c r="C147" s="2" t="s">
        <v>50</v>
      </c>
      <c r="D147" s="16">
        <f t="shared" ref="D147:D152" si="25">D128+D110</f>
        <v>4510982.67</v>
      </c>
      <c r="F147" s="153">
        <f t="shared" ref="F147:F152" si="26">F128+F110</f>
        <v>790910.59000000008</v>
      </c>
      <c r="H147" s="236"/>
      <c r="I147" s="153">
        <f t="shared" ref="I147:I152" si="27">I128+I110</f>
        <v>936209.35000000009</v>
      </c>
      <c r="J147" s="150"/>
      <c r="K147" s="154">
        <f t="shared" ref="K147:K152" si="28">I147-F147</f>
        <v>145298.76</v>
      </c>
      <c r="L147" s="155">
        <f t="shared" ref="L147:L152" si="29">IFERROR(K147/F147, )</f>
        <v>0.18371072765633342</v>
      </c>
      <c r="N147" s="133"/>
    </row>
    <row r="148" spans="2:16" x14ac:dyDescent="0.2">
      <c r="B148" s="152" t="s">
        <v>36</v>
      </c>
      <c r="C148" s="2" t="s">
        <v>50</v>
      </c>
      <c r="D148" s="16">
        <f t="shared" si="25"/>
        <v>4398016.1150000002</v>
      </c>
      <c r="F148" s="153">
        <f t="shared" si="26"/>
        <v>465969.81</v>
      </c>
      <c r="H148" s="236"/>
      <c r="I148" s="153">
        <f t="shared" si="27"/>
        <v>551555.19999999995</v>
      </c>
      <c r="J148" s="150"/>
      <c r="K148" s="154">
        <f t="shared" si="28"/>
        <v>85585.389999999956</v>
      </c>
      <c r="L148" s="155">
        <f t="shared" si="29"/>
        <v>0.18367153442837844</v>
      </c>
      <c r="N148" s="133"/>
    </row>
    <row r="149" spans="2:16" x14ac:dyDescent="0.2">
      <c r="B149" s="152" t="s">
        <v>37</v>
      </c>
      <c r="C149" s="2" t="s">
        <v>50</v>
      </c>
      <c r="D149" s="16">
        <f t="shared" si="25"/>
        <v>8316890.0959999999</v>
      </c>
      <c r="F149" s="153">
        <f t="shared" si="26"/>
        <v>560724.73</v>
      </c>
      <c r="H149" s="236"/>
      <c r="I149" s="153">
        <f t="shared" si="27"/>
        <v>663771</v>
      </c>
      <c r="J149" s="150"/>
      <c r="K149" s="154">
        <f t="shared" si="28"/>
        <v>103046.27000000002</v>
      </c>
      <c r="L149" s="155">
        <f t="shared" si="29"/>
        <v>0.18377336416034304</v>
      </c>
      <c r="N149" s="133"/>
    </row>
    <row r="150" spans="2:16" x14ac:dyDescent="0.2">
      <c r="B150" s="152" t="s">
        <v>40</v>
      </c>
      <c r="C150" s="2" t="s">
        <v>50</v>
      </c>
      <c r="D150" s="16">
        <f t="shared" si="25"/>
        <v>14508947.897999998</v>
      </c>
      <c r="F150" s="153">
        <f t="shared" si="26"/>
        <v>627221.81000000006</v>
      </c>
      <c r="H150" s="236"/>
      <c r="I150" s="153">
        <f t="shared" si="27"/>
        <v>742422.86</v>
      </c>
      <c r="J150" s="150"/>
      <c r="K150" s="154">
        <f t="shared" si="28"/>
        <v>115201.04999999993</v>
      </c>
      <c r="L150" s="155">
        <f t="shared" si="29"/>
        <v>0.18366875667158308</v>
      </c>
      <c r="N150" s="133"/>
    </row>
    <row r="151" spans="2:16" x14ac:dyDescent="0.2">
      <c r="B151" s="152" t="s">
        <v>41</v>
      </c>
      <c r="C151" s="2" t="s">
        <v>50</v>
      </c>
      <c r="D151" s="16">
        <f t="shared" si="25"/>
        <v>29536644.353</v>
      </c>
      <c r="F151" s="153">
        <f t="shared" si="26"/>
        <v>918885</v>
      </c>
      <c r="H151" s="236"/>
      <c r="I151" s="153">
        <f t="shared" si="27"/>
        <v>1087834.6099999999</v>
      </c>
      <c r="J151" s="150"/>
      <c r="K151" s="154">
        <f t="shared" si="28"/>
        <v>168949.60999999987</v>
      </c>
      <c r="L151" s="155">
        <f t="shared" si="29"/>
        <v>0.18386371526360737</v>
      </c>
      <c r="N151" s="133"/>
    </row>
    <row r="152" spans="2:16" x14ac:dyDescent="0.2">
      <c r="B152" s="152" t="s">
        <v>42</v>
      </c>
      <c r="C152" s="2" t="s">
        <v>50</v>
      </c>
      <c r="D152" s="16">
        <f t="shared" si="25"/>
        <v>58048400.275834784</v>
      </c>
      <c r="F152" s="153">
        <f t="shared" si="26"/>
        <v>1392581.12</v>
      </c>
      <c r="H152" s="236"/>
      <c r="I152" s="153">
        <f t="shared" si="27"/>
        <v>1441341.78</v>
      </c>
      <c r="J152" s="150"/>
      <c r="K152" s="154">
        <f t="shared" si="28"/>
        <v>48760.659999999916</v>
      </c>
      <c r="L152" s="155">
        <f t="shared" si="29"/>
        <v>3.5014592184044485E-2</v>
      </c>
      <c r="N152" s="133"/>
    </row>
    <row r="153" spans="2:16" x14ac:dyDescent="0.2">
      <c r="B153" s="147" t="s">
        <v>219</v>
      </c>
      <c r="C153" s="2" t="s">
        <v>50</v>
      </c>
      <c r="D153" s="175">
        <f>SUM(D147:D152)</f>
        <v>119319881.40783478</v>
      </c>
      <c r="F153" s="262">
        <f>SUM(F141:F152)</f>
        <v>5587277.8200000003</v>
      </c>
      <c r="I153" s="262">
        <f>SUM(I141:I152)</f>
        <v>6299906.5300000003</v>
      </c>
      <c r="J153" s="150"/>
      <c r="K153" s="262">
        <f>SUM(K141:K152)</f>
        <v>712628.70999999973</v>
      </c>
      <c r="L153" s="177">
        <f>IFERROR(K153/F153, )</f>
        <v>0.12754488553425819</v>
      </c>
      <c r="N153" s="133"/>
      <c r="P153" s="20"/>
    </row>
    <row r="154" spans="2:16" x14ac:dyDescent="0.2">
      <c r="B154" s="147"/>
      <c r="C154" s="148"/>
      <c r="F154" s="153"/>
      <c r="I154" s="154"/>
      <c r="J154" s="150"/>
      <c r="K154" s="153"/>
      <c r="L154" s="178"/>
      <c r="N154" s="133"/>
    </row>
    <row r="155" spans="2:16" x14ac:dyDescent="0.2">
      <c r="B155" s="147" t="s">
        <v>220</v>
      </c>
      <c r="C155" s="148"/>
      <c r="D155" s="153"/>
      <c r="E155" s="131"/>
      <c r="F155" s="262">
        <f>F153</f>
        <v>5587277.8200000003</v>
      </c>
      <c r="G155" s="2"/>
      <c r="I155" s="262">
        <f>I153</f>
        <v>6299906.5300000003</v>
      </c>
      <c r="K155" s="262">
        <f>K153</f>
        <v>712628.70999999973</v>
      </c>
      <c r="L155" s="177">
        <f>IFERROR(K155/F155, )</f>
        <v>0.12754488553425819</v>
      </c>
      <c r="N155" s="133"/>
    </row>
    <row r="156" spans="2:16" x14ac:dyDescent="0.2">
      <c r="B156" s="239"/>
      <c r="C156" s="240"/>
      <c r="D156" s="241"/>
      <c r="E156" s="244"/>
      <c r="F156" s="249"/>
      <c r="G156" s="241"/>
      <c r="H156" s="244"/>
      <c r="I156" s="249"/>
      <c r="J156" s="245"/>
      <c r="K156" s="243"/>
      <c r="L156" s="246"/>
      <c r="N156" s="133"/>
    </row>
    <row r="157" spans="2:16" x14ac:dyDescent="0.2">
      <c r="F157" s="153"/>
      <c r="I157" s="154"/>
      <c r="J157" s="150"/>
      <c r="K157" s="153"/>
      <c r="L157" s="188"/>
      <c r="N157" s="133"/>
    </row>
    <row r="158" spans="2:16" x14ac:dyDescent="0.2">
      <c r="B158" s="5" t="s">
        <v>296</v>
      </c>
      <c r="H158" s="130"/>
      <c r="L158" s="20"/>
      <c r="N158" s="133"/>
      <c r="O158" s="231"/>
    </row>
    <row r="159" spans="2:16" x14ac:dyDescent="0.2">
      <c r="D159" s="225" t="s">
        <v>50</v>
      </c>
      <c r="F159" s="263" t="s">
        <v>297</v>
      </c>
      <c r="H159" s="2"/>
      <c r="I159" s="263" t="s">
        <v>1</v>
      </c>
      <c r="J159" s="153"/>
      <c r="K159" s="263" t="s">
        <v>51</v>
      </c>
      <c r="L159" s="20"/>
      <c r="N159" s="133"/>
      <c r="O159" s="231"/>
    </row>
    <row r="160" spans="2:16" x14ac:dyDescent="0.2">
      <c r="B160" s="5" t="s">
        <v>220</v>
      </c>
      <c r="F160" s="264"/>
      <c r="G160" s="264"/>
      <c r="H160" s="264"/>
      <c r="I160" s="264"/>
      <c r="J160" s="264"/>
      <c r="K160" s="264"/>
      <c r="L160" s="20"/>
      <c r="N160" s="133"/>
      <c r="O160" s="231"/>
    </row>
    <row r="161" spans="2:15" x14ac:dyDescent="0.2">
      <c r="B161" s="2" t="s">
        <v>298</v>
      </c>
      <c r="D161" s="16">
        <f>D52</f>
        <v>88879730.522699013</v>
      </c>
      <c r="F161" s="264">
        <f>F21+F36</f>
        <v>8603644.5934943184</v>
      </c>
      <c r="G161" s="264"/>
      <c r="H161" s="264"/>
      <c r="I161" s="264">
        <f>I21+I36</f>
        <v>9611990.370000001</v>
      </c>
      <c r="J161" s="264"/>
      <c r="K161" s="264">
        <f>I161-F161</f>
        <v>1008345.7765056826</v>
      </c>
      <c r="L161" s="188">
        <f t="shared" ref="L161:L163" si="30">IFERROR(K161/F161, )</f>
        <v>0.11719984078237582</v>
      </c>
      <c r="N161" s="133"/>
      <c r="O161" s="231"/>
    </row>
    <row r="162" spans="2:15" x14ac:dyDescent="0.2">
      <c r="B162" s="2" t="s">
        <v>299</v>
      </c>
      <c r="D162" s="16">
        <f>D96</f>
        <v>7491654.8276905464</v>
      </c>
      <c r="F162" s="264">
        <f>F67+F81</f>
        <v>1496082.9500000002</v>
      </c>
      <c r="G162" s="264"/>
      <c r="H162" s="264"/>
      <c r="I162" s="264">
        <f>I67+I81</f>
        <v>1560031.02</v>
      </c>
      <c r="J162" s="264"/>
      <c r="K162" s="264">
        <f>I162-F162</f>
        <v>63948.069999999832</v>
      </c>
      <c r="L162" s="188">
        <f t="shared" si="30"/>
        <v>4.2743666051404318E-2</v>
      </c>
      <c r="N162" s="133"/>
      <c r="O162" s="231"/>
    </row>
    <row r="163" spans="2:15" x14ac:dyDescent="0.2">
      <c r="B163" s="2" t="s">
        <v>300</v>
      </c>
      <c r="D163" s="16">
        <f>D153</f>
        <v>119319881.40783478</v>
      </c>
      <c r="F163" s="264">
        <f>F116+F134</f>
        <v>5587277.8200000003</v>
      </c>
      <c r="G163" s="264"/>
      <c r="H163" s="264"/>
      <c r="I163" s="264">
        <f>I116+I134</f>
        <v>6299906.5299999993</v>
      </c>
      <c r="J163" s="264"/>
      <c r="K163" s="264">
        <f>I163-F163</f>
        <v>712628.70999999903</v>
      </c>
      <c r="L163" s="188">
        <f t="shared" si="30"/>
        <v>0.12754488553425808</v>
      </c>
      <c r="N163" s="133"/>
      <c r="O163" s="231"/>
    </row>
    <row r="164" spans="2:15" x14ac:dyDescent="0.2">
      <c r="B164" s="2" t="s">
        <v>16</v>
      </c>
      <c r="D164" s="175">
        <f>SUM(D161:D163)</f>
        <v>215691266.75822434</v>
      </c>
      <c r="F164" s="265">
        <f>SUM(F161:F163)</f>
        <v>15687005.363494318</v>
      </c>
      <c r="G164" s="264"/>
      <c r="H164" s="264"/>
      <c r="I164" s="265">
        <f>SUM(I161:I163)</f>
        <v>17471927.920000002</v>
      </c>
      <c r="J164" s="264"/>
      <c r="K164" s="265">
        <f>SUM(K161:K163)</f>
        <v>1784922.5565056815</v>
      </c>
      <c r="L164" s="188">
        <f>IFERROR(K164/F164, )</f>
        <v>0.11378351158465376</v>
      </c>
      <c r="N164" s="133"/>
      <c r="O164" s="231"/>
    </row>
    <row r="165" spans="2:15" x14ac:dyDescent="0.2">
      <c r="F165" s="264"/>
      <c r="G165" s="264"/>
      <c r="H165" s="264"/>
      <c r="I165" s="264"/>
      <c r="J165" s="264"/>
      <c r="K165" s="264"/>
      <c r="L165" s="20"/>
      <c r="N165" s="133"/>
      <c r="O165" s="231"/>
    </row>
    <row r="166" spans="2:15" x14ac:dyDescent="0.2">
      <c r="B166" s="5" t="s">
        <v>301</v>
      </c>
      <c r="E166" s="16"/>
      <c r="F166" s="264"/>
      <c r="G166" s="266"/>
      <c r="H166" s="264"/>
      <c r="I166" s="264"/>
      <c r="J166" s="264"/>
      <c r="K166" s="264"/>
      <c r="L166" s="188"/>
      <c r="O166" s="153"/>
    </row>
    <row r="167" spans="2:15" x14ac:dyDescent="0.2">
      <c r="B167" s="131" t="s">
        <v>16</v>
      </c>
      <c r="D167" s="16">
        <v>1140752508.5224547</v>
      </c>
      <c r="E167" s="16"/>
      <c r="F167" s="264">
        <v>518938321.8820585</v>
      </c>
      <c r="G167" s="264"/>
      <c r="H167" s="264"/>
      <c r="I167" s="267">
        <v>565497397.25807917</v>
      </c>
      <c r="J167" s="264"/>
      <c r="K167" s="264">
        <f>I167-F167</f>
        <v>46559075.37602067</v>
      </c>
      <c r="L167" s="188">
        <f t="shared" ref="L167:L168" si="31">IFERROR(K167/F167, )</f>
        <v>8.971986344574176E-2</v>
      </c>
      <c r="O167" s="153"/>
    </row>
    <row r="168" spans="2:15" x14ac:dyDescent="0.2">
      <c r="B168" s="131" t="s">
        <v>302</v>
      </c>
      <c r="D168" s="16">
        <v>32154478.538398605</v>
      </c>
      <c r="E168" s="16"/>
      <c r="F168" s="264">
        <v>1679324.4523564125</v>
      </c>
      <c r="G168" s="264"/>
      <c r="H168" s="264"/>
      <c r="I168" s="268">
        <f>'Exh JDT-5 (JDT-Rate Spread)'!L56</f>
        <v>1699064.4523564125</v>
      </c>
      <c r="J168" s="264"/>
      <c r="K168" s="269">
        <f>I168-F168</f>
        <v>19740</v>
      </c>
      <c r="L168" s="188">
        <f t="shared" si="31"/>
        <v>1.1754726713054773E-2</v>
      </c>
      <c r="O168" s="153"/>
    </row>
    <row r="169" spans="2:15" x14ac:dyDescent="0.2">
      <c r="B169" s="131" t="s">
        <v>303</v>
      </c>
      <c r="D169" s="175">
        <f>SUM(D167:D168)</f>
        <v>1172906987.0608532</v>
      </c>
      <c r="E169" s="16"/>
      <c r="F169" s="265">
        <f>SUM(F167:F168)</f>
        <v>520617646.3344149</v>
      </c>
      <c r="G169" s="264"/>
      <c r="H169" s="264"/>
      <c r="I169" s="265">
        <f>SUM(I167:I168)</f>
        <v>567196461.71043563</v>
      </c>
      <c r="J169" s="264"/>
      <c r="K169" s="265">
        <f>SUM(K167:K168)</f>
        <v>46578815.37602067</v>
      </c>
      <c r="L169" s="188">
        <f>IFERROR(K169/F169, )</f>
        <v>8.9468376079786416E-2</v>
      </c>
      <c r="O169" s="153"/>
    </row>
    <row r="170" spans="2:15" x14ac:dyDescent="0.2">
      <c r="B170" s="131"/>
      <c r="E170" s="16"/>
      <c r="F170" s="270"/>
      <c r="G170" s="264"/>
      <c r="H170" s="264"/>
      <c r="I170" s="271"/>
      <c r="J170" s="264"/>
      <c r="K170" s="271"/>
      <c r="L170" s="188"/>
    </row>
    <row r="171" spans="2:15" x14ac:dyDescent="0.2">
      <c r="B171" s="2" t="s">
        <v>304</v>
      </c>
      <c r="E171" s="16"/>
      <c r="F171" s="264"/>
      <c r="G171" s="264"/>
      <c r="H171" s="264"/>
      <c r="I171" s="264"/>
      <c r="J171" s="264"/>
      <c r="K171" s="264"/>
      <c r="L171" s="188"/>
    </row>
    <row r="172" spans="2:15" ht="13.5" thickBot="1" x14ac:dyDescent="0.25">
      <c r="F172" s="264"/>
      <c r="G172" s="264"/>
      <c r="H172" s="264"/>
      <c r="I172" s="264"/>
      <c r="J172" s="264"/>
      <c r="K172" s="264"/>
      <c r="L172" s="188"/>
    </row>
    <row r="173" spans="2:15" x14ac:dyDescent="0.2">
      <c r="B173" s="272" t="s">
        <v>25</v>
      </c>
      <c r="C173" s="273" t="s">
        <v>305</v>
      </c>
      <c r="D173" s="274">
        <v>15675792.294814982</v>
      </c>
      <c r="E173" s="273" t="s">
        <v>253</v>
      </c>
      <c r="F173" s="275">
        <f>D173-F164</f>
        <v>-11213.068679336458</v>
      </c>
      <c r="G173" s="264"/>
      <c r="H173" s="264" t="s">
        <v>25</v>
      </c>
      <c r="I173" s="264">
        <v>567193801.86914253</v>
      </c>
      <c r="J173" s="264"/>
      <c r="K173" s="264">
        <v>44570424.507699192</v>
      </c>
      <c r="L173" s="188"/>
    </row>
    <row r="174" spans="2:15" ht="13.5" thickBot="1" x14ac:dyDescent="0.25">
      <c r="B174" s="276" t="s">
        <v>25</v>
      </c>
      <c r="C174" s="277" t="s">
        <v>305</v>
      </c>
      <c r="D174" s="278">
        <v>522623377.36144328</v>
      </c>
      <c r="E174" s="277" t="s">
        <v>253</v>
      </c>
      <c r="F174" s="279">
        <f>D174-F169</f>
        <v>2005731.0270283818</v>
      </c>
      <c r="H174" s="131" t="s">
        <v>253</v>
      </c>
      <c r="I174" s="153">
        <f>I173-I169</f>
        <v>-2659.8412930965424</v>
      </c>
      <c r="K174" s="153">
        <f>K173-K169</f>
        <v>-2008390.8683214784</v>
      </c>
      <c r="L174" s="188"/>
    </row>
    <row r="175" spans="2:15" x14ac:dyDescent="0.2">
      <c r="L175" s="188"/>
    </row>
    <row r="176" spans="2:15" x14ac:dyDescent="0.2">
      <c r="B176" s="222"/>
      <c r="D176" s="130"/>
      <c r="L176" s="188"/>
    </row>
    <row r="177" spans="12:12" x14ac:dyDescent="0.2">
      <c r="L177" s="188"/>
    </row>
  </sheetData>
  <mergeCells count="1">
    <mergeCell ref="K7:L7"/>
  </mergeCells>
  <printOptions horizontalCentered="1"/>
  <pageMargins left="0.5" right="0.5" top="1" bottom="1" header="0.75" footer="0.5"/>
  <pageSetup scale="60" fitToHeight="2" orientation="landscape" blackAndWhite="1" r:id="rId1"/>
  <headerFooter alignWithMargins="0">
    <oddFooter>&amp;R&amp;A
 Page &amp;P of &amp;N</oddFooter>
  </headerFooter>
  <rowBreaks count="3" manualBreakCount="3">
    <brk id="56" max="16383" man="1"/>
    <brk id="101" max="16383" man="1"/>
    <brk id="153" max="1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53"/>
  <sheetViews>
    <sheetView zoomScale="90" zoomScaleNormal="90" workbookViewId="0">
      <pane ySplit="7" topLeftCell="A8" activePane="bottomLeft" state="frozen"/>
      <selection activeCell="N36" sqref="N36:N43"/>
      <selection pane="bottomLeft" sqref="A1:N1"/>
    </sheetView>
  </sheetViews>
  <sheetFormatPr defaultColWidth="9.140625" defaultRowHeight="12.75" x14ac:dyDescent="0.2"/>
  <cols>
    <col min="1" max="1" width="35.28515625" style="30" customWidth="1"/>
    <col min="2" max="13" width="13" style="30" customWidth="1"/>
    <col min="14" max="14" width="15" style="30" bestFit="1" customWidth="1"/>
    <col min="15" max="15" width="9.28515625" style="30" bestFit="1" customWidth="1"/>
    <col min="16" max="16384" width="9.140625" style="30"/>
  </cols>
  <sheetData>
    <row r="1" spans="1:19" x14ac:dyDescent="0.2">
      <c r="A1" s="336" t="s">
        <v>0</v>
      </c>
      <c r="B1" s="336"/>
      <c r="C1" s="336"/>
      <c r="D1" s="336"/>
      <c r="E1" s="336"/>
      <c r="F1" s="336"/>
      <c r="G1" s="336"/>
      <c r="H1" s="336"/>
      <c r="I1" s="336"/>
      <c r="J1" s="336"/>
      <c r="K1" s="336"/>
      <c r="L1" s="336"/>
      <c r="M1" s="336"/>
      <c r="N1" s="336"/>
    </row>
    <row r="2" spans="1:19" x14ac:dyDescent="0.2">
      <c r="A2" s="336" t="s">
        <v>147</v>
      </c>
      <c r="B2" s="336"/>
      <c r="C2" s="336"/>
      <c r="D2" s="336"/>
      <c r="E2" s="336"/>
      <c r="F2" s="336"/>
      <c r="G2" s="336"/>
      <c r="H2" s="336"/>
      <c r="I2" s="336"/>
      <c r="J2" s="336"/>
      <c r="K2" s="336"/>
      <c r="L2" s="336"/>
      <c r="M2" s="336"/>
      <c r="N2" s="336"/>
    </row>
    <row r="3" spans="1:19" x14ac:dyDescent="0.2">
      <c r="A3" s="336" t="s">
        <v>148</v>
      </c>
      <c r="B3" s="336"/>
      <c r="C3" s="336"/>
      <c r="D3" s="336"/>
      <c r="E3" s="336"/>
      <c r="F3" s="336"/>
      <c r="G3" s="336"/>
      <c r="H3" s="336"/>
      <c r="I3" s="336"/>
      <c r="J3" s="336"/>
      <c r="K3" s="336"/>
      <c r="L3" s="336"/>
      <c r="M3" s="336"/>
      <c r="N3" s="336"/>
    </row>
    <row r="4" spans="1:19" x14ac:dyDescent="0.2">
      <c r="A4" s="337" t="s">
        <v>186</v>
      </c>
      <c r="B4" s="337"/>
      <c r="C4" s="337"/>
      <c r="D4" s="337"/>
      <c r="E4" s="337"/>
      <c r="F4" s="337"/>
      <c r="G4" s="337"/>
      <c r="H4" s="337"/>
      <c r="I4" s="337"/>
      <c r="J4" s="337"/>
      <c r="K4" s="337"/>
      <c r="L4" s="337"/>
      <c r="M4" s="337"/>
      <c r="N4" s="337"/>
    </row>
    <row r="6" spans="1:19" x14ac:dyDescent="0.2">
      <c r="A6" s="31"/>
      <c r="N6" s="31"/>
    </row>
    <row r="7" spans="1:19" x14ac:dyDescent="0.2">
      <c r="A7" s="79" t="s">
        <v>4</v>
      </c>
      <c r="B7" s="91">
        <v>45292</v>
      </c>
      <c r="C7" s="91">
        <f>EDATE(B7,1)</f>
        <v>45323</v>
      </c>
      <c r="D7" s="91">
        <f>EDATE(C7,1)</f>
        <v>45352</v>
      </c>
      <c r="E7" s="91">
        <f t="shared" ref="E7:M7" si="0">EDATE(D7,1)</f>
        <v>45383</v>
      </c>
      <c r="F7" s="91">
        <f t="shared" si="0"/>
        <v>45413</v>
      </c>
      <c r="G7" s="91">
        <f t="shared" si="0"/>
        <v>45444</v>
      </c>
      <c r="H7" s="91">
        <f t="shared" si="0"/>
        <v>45474</v>
      </c>
      <c r="I7" s="91">
        <f t="shared" si="0"/>
        <v>45505</v>
      </c>
      <c r="J7" s="91">
        <f t="shared" si="0"/>
        <v>45536</v>
      </c>
      <c r="K7" s="91">
        <f t="shared" si="0"/>
        <v>45566</v>
      </c>
      <c r="L7" s="91">
        <f t="shared" si="0"/>
        <v>45597</v>
      </c>
      <c r="M7" s="91">
        <f t="shared" si="0"/>
        <v>45627</v>
      </c>
      <c r="N7" s="79" t="s">
        <v>16</v>
      </c>
    </row>
    <row r="8" spans="1:19" x14ac:dyDescent="0.2">
      <c r="A8" s="82" t="s">
        <v>149</v>
      </c>
      <c r="B8" s="103">
        <v>736</v>
      </c>
      <c r="C8" s="103">
        <v>736</v>
      </c>
      <c r="D8" s="103">
        <v>736</v>
      </c>
      <c r="E8" s="103">
        <v>736</v>
      </c>
      <c r="F8" s="103">
        <v>736</v>
      </c>
      <c r="G8" s="103">
        <v>736</v>
      </c>
      <c r="H8" s="103">
        <v>736</v>
      </c>
      <c r="I8" s="103">
        <v>736</v>
      </c>
      <c r="J8" s="103">
        <v>736</v>
      </c>
      <c r="K8" s="103">
        <v>736</v>
      </c>
      <c r="L8" s="103">
        <v>736</v>
      </c>
      <c r="M8" s="103">
        <v>736</v>
      </c>
      <c r="N8" s="104">
        <f>SUM(B8:M8)</f>
        <v>8832</v>
      </c>
      <c r="P8" s="82"/>
      <c r="Q8" s="105"/>
      <c r="R8" s="105"/>
      <c r="S8" s="105"/>
    </row>
    <row r="9" spans="1:19" x14ac:dyDescent="0.2">
      <c r="A9" s="82" t="s">
        <v>150</v>
      </c>
      <c r="B9" s="103">
        <v>97939022</v>
      </c>
      <c r="C9" s="103">
        <v>84388896</v>
      </c>
      <c r="D9" s="103">
        <v>77323969</v>
      </c>
      <c r="E9" s="103">
        <v>53507958</v>
      </c>
      <c r="F9" s="103">
        <v>30480725</v>
      </c>
      <c r="G9" s="103">
        <v>20098155</v>
      </c>
      <c r="H9" s="103">
        <v>14466554</v>
      </c>
      <c r="I9" s="103">
        <v>13798925</v>
      </c>
      <c r="J9" s="103">
        <v>20484242</v>
      </c>
      <c r="K9" s="103">
        <v>47350638</v>
      </c>
      <c r="L9" s="103">
        <v>77723497</v>
      </c>
      <c r="M9" s="103">
        <v>101901968</v>
      </c>
      <c r="N9" s="104">
        <f t="shared" ref="N9:N31" si="1">SUM(B9:M9)</f>
        <v>639464549</v>
      </c>
      <c r="P9" s="82"/>
      <c r="Q9" s="105"/>
      <c r="R9" s="105"/>
      <c r="S9" s="105"/>
    </row>
    <row r="10" spans="1:19" x14ac:dyDescent="0.2">
      <c r="A10" s="82" t="s">
        <v>151</v>
      </c>
      <c r="B10" s="103">
        <v>31045820</v>
      </c>
      <c r="C10" s="103">
        <v>28959080</v>
      </c>
      <c r="D10" s="103">
        <v>26493362</v>
      </c>
      <c r="E10" s="103">
        <v>18957677</v>
      </c>
      <c r="F10" s="103">
        <v>13587938</v>
      </c>
      <c r="G10" s="103">
        <v>10554469</v>
      </c>
      <c r="H10" s="103">
        <v>8821480</v>
      </c>
      <c r="I10" s="103">
        <v>9117196</v>
      </c>
      <c r="J10" s="103">
        <v>10157835</v>
      </c>
      <c r="K10" s="103">
        <v>17038421</v>
      </c>
      <c r="L10" s="103">
        <v>25385561</v>
      </c>
      <c r="M10" s="103">
        <v>33487301</v>
      </c>
      <c r="N10" s="104">
        <f t="shared" si="1"/>
        <v>233606140</v>
      </c>
      <c r="P10" s="82"/>
      <c r="Q10" s="105"/>
      <c r="R10" s="105"/>
      <c r="S10" s="105"/>
    </row>
    <row r="11" spans="1:19" x14ac:dyDescent="0.2">
      <c r="A11" s="82" t="s">
        <v>152</v>
      </c>
      <c r="B11" s="103">
        <v>1882277</v>
      </c>
      <c r="C11" s="103">
        <v>1665902</v>
      </c>
      <c r="D11" s="103">
        <v>1474996</v>
      </c>
      <c r="E11" s="103">
        <v>1080825</v>
      </c>
      <c r="F11" s="103">
        <v>648970</v>
      </c>
      <c r="G11" s="103">
        <v>424406</v>
      </c>
      <c r="H11" s="103">
        <v>316062</v>
      </c>
      <c r="I11" s="103">
        <v>315308</v>
      </c>
      <c r="J11" s="103">
        <v>438274</v>
      </c>
      <c r="K11" s="103">
        <v>627355</v>
      </c>
      <c r="L11" s="103">
        <v>1387974</v>
      </c>
      <c r="M11" s="103">
        <v>2067754</v>
      </c>
      <c r="N11" s="104">
        <f t="shared" si="1"/>
        <v>12330103</v>
      </c>
      <c r="P11" s="82"/>
      <c r="Q11" s="105"/>
      <c r="R11" s="105"/>
      <c r="S11" s="105"/>
    </row>
    <row r="12" spans="1:19" x14ac:dyDescent="0.2">
      <c r="A12" s="82" t="s">
        <v>153</v>
      </c>
      <c r="B12" s="103">
        <v>3584</v>
      </c>
      <c r="C12" s="103">
        <v>3704</v>
      </c>
      <c r="D12" s="103">
        <v>3231</v>
      </c>
      <c r="E12" s="103">
        <v>2806</v>
      </c>
      <c r="F12" s="103">
        <v>2070</v>
      </c>
      <c r="G12" s="103">
        <v>1945</v>
      </c>
      <c r="H12" s="103">
        <v>1693</v>
      </c>
      <c r="I12" s="103">
        <v>1910</v>
      </c>
      <c r="J12" s="103">
        <v>2000</v>
      </c>
      <c r="K12" s="103">
        <v>2796</v>
      </c>
      <c r="L12" s="103">
        <v>3910</v>
      </c>
      <c r="M12" s="103">
        <v>4218</v>
      </c>
      <c r="N12" s="104">
        <f t="shared" si="1"/>
        <v>33867</v>
      </c>
      <c r="P12" s="82"/>
      <c r="Q12" s="105"/>
      <c r="R12" s="105"/>
      <c r="S12" s="105"/>
    </row>
    <row r="13" spans="1:19" x14ac:dyDescent="0.2">
      <c r="A13" s="82" t="s">
        <v>154</v>
      </c>
      <c r="B13" s="103">
        <v>0</v>
      </c>
      <c r="C13" s="103">
        <v>0</v>
      </c>
      <c r="D13" s="103">
        <v>0</v>
      </c>
      <c r="E13" s="103">
        <v>0</v>
      </c>
      <c r="F13" s="103">
        <v>0</v>
      </c>
      <c r="G13" s="103">
        <v>0</v>
      </c>
      <c r="H13" s="103">
        <v>0</v>
      </c>
      <c r="I13" s="103">
        <v>0</v>
      </c>
      <c r="J13" s="103">
        <v>0</v>
      </c>
      <c r="K13" s="103">
        <v>0</v>
      </c>
      <c r="L13" s="103">
        <v>0</v>
      </c>
      <c r="M13" s="103">
        <v>0</v>
      </c>
      <c r="N13" s="104">
        <f t="shared" si="1"/>
        <v>0</v>
      </c>
      <c r="P13" s="82"/>
      <c r="Q13" s="105"/>
      <c r="R13" s="105"/>
      <c r="S13" s="105"/>
    </row>
    <row r="14" spans="1:19" x14ac:dyDescent="0.2">
      <c r="A14" s="82" t="s">
        <v>155</v>
      </c>
      <c r="B14" s="103">
        <v>6990153</v>
      </c>
      <c r="C14" s="103">
        <v>6905911</v>
      </c>
      <c r="D14" s="103">
        <v>6478988</v>
      </c>
      <c r="E14" s="103">
        <v>4793163</v>
      </c>
      <c r="F14" s="103">
        <v>3696104</v>
      </c>
      <c r="G14" s="103">
        <v>2940436</v>
      </c>
      <c r="H14" s="103">
        <v>2308117</v>
      </c>
      <c r="I14" s="103">
        <v>2369716</v>
      </c>
      <c r="J14" s="103">
        <v>2656703</v>
      </c>
      <c r="K14" s="103">
        <v>4575785</v>
      </c>
      <c r="L14" s="103">
        <v>6224489</v>
      </c>
      <c r="M14" s="103">
        <v>7397855</v>
      </c>
      <c r="N14" s="104">
        <f t="shared" si="1"/>
        <v>57337420</v>
      </c>
      <c r="P14" s="82"/>
      <c r="Q14" s="105"/>
      <c r="R14" s="105"/>
      <c r="S14" s="105"/>
    </row>
    <row r="15" spans="1:19" x14ac:dyDescent="0.2">
      <c r="A15" s="82" t="s">
        <v>156</v>
      </c>
      <c r="B15" s="103">
        <v>898036</v>
      </c>
      <c r="C15" s="103">
        <v>863678</v>
      </c>
      <c r="D15" s="103">
        <v>844097</v>
      </c>
      <c r="E15" s="103">
        <v>826704</v>
      </c>
      <c r="F15" s="103">
        <v>707572</v>
      </c>
      <c r="G15" s="103">
        <v>661917</v>
      </c>
      <c r="H15" s="103">
        <v>552524</v>
      </c>
      <c r="I15" s="103">
        <v>601133</v>
      </c>
      <c r="J15" s="103">
        <v>748460</v>
      </c>
      <c r="K15" s="103">
        <v>730081</v>
      </c>
      <c r="L15" s="103">
        <v>1045199</v>
      </c>
      <c r="M15" s="103">
        <v>1073720</v>
      </c>
      <c r="N15" s="104">
        <f t="shared" si="1"/>
        <v>9553121</v>
      </c>
      <c r="P15" s="82"/>
      <c r="Q15" s="105"/>
      <c r="R15" s="105"/>
      <c r="S15" s="105"/>
    </row>
    <row r="16" spans="1:19" x14ac:dyDescent="0.2">
      <c r="A16" s="82" t="s">
        <v>157</v>
      </c>
      <c r="B16" s="103">
        <v>1775683</v>
      </c>
      <c r="C16" s="103">
        <v>1836591</v>
      </c>
      <c r="D16" s="103">
        <v>1648479</v>
      </c>
      <c r="E16" s="103">
        <v>1823807</v>
      </c>
      <c r="F16" s="103">
        <v>1696203</v>
      </c>
      <c r="G16" s="103">
        <v>1757704</v>
      </c>
      <c r="H16" s="103">
        <v>1577825</v>
      </c>
      <c r="I16" s="103">
        <v>1654592</v>
      </c>
      <c r="J16" s="103">
        <v>1634637</v>
      </c>
      <c r="K16" s="103">
        <v>1637231</v>
      </c>
      <c r="L16" s="103">
        <v>1897850</v>
      </c>
      <c r="M16" s="103">
        <v>1881503</v>
      </c>
      <c r="N16" s="104">
        <f t="shared" si="1"/>
        <v>20822105</v>
      </c>
      <c r="P16" s="82"/>
      <c r="Q16" s="105"/>
      <c r="R16" s="105"/>
      <c r="S16" s="105"/>
    </row>
    <row r="17" spans="1:19" x14ac:dyDescent="0.2">
      <c r="A17" s="82" t="s">
        <v>158</v>
      </c>
      <c r="B17" s="103">
        <v>490163</v>
      </c>
      <c r="C17" s="103">
        <v>586219</v>
      </c>
      <c r="D17" s="103">
        <v>414071</v>
      </c>
      <c r="E17" s="103">
        <v>486463</v>
      </c>
      <c r="F17" s="103">
        <v>454010</v>
      </c>
      <c r="G17" s="103">
        <v>506687</v>
      </c>
      <c r="H17" s="103">
        <v>478169</v>
      </c>
      <c r="I17" s="103">
        <v>454248</v>
      </c>
      <c r="J17" s="103">
        <v>416189</v>
      </c>
      <c r="K17" s="103">
        <v>454914</v>
      </c>
      <c r="L17" s="103">
        <v>496708</v>
      </c>
      <c r="M17" s="103">
        <v>450288</v>
      </c>
      <c r="N17" s="104">
        <f t="shared" si="1"/>
        <v>5688129</v>
      </c>
      <c r="P17" s="82"/>
      <c r="Q17" s="105"/>
      <c r="R17" s="105"/>
      <c r="S17" s="105"/>
    </row>
    <row r="18" spans="1:19" x14ac:dyDescent="0.2">
      <c r="A18" s="82" t="s">
        <v>159</v>
      </c>
      <c r="B18" s="103">
        <v>0</v>
      </c>
      <c r="C18" s="103">
        <v>0</v>
      </c>
      <c r="D18" s="103">
        <v>0</v>
      </c>
      <c r="E18" s="103">
        <v>0</v>
      </c>
      <c r="F18" s="103">
        <v>0</v>
      </c>
      <c r="G18" s="103">
        <v>0</v>
      </c>
      <c r="H18" s="103">
        <v>0</v>
      </c>
      <c r="I18" s="103">
        <v>0</v>
      </c>
      <c r="J18" s="103">
        <v>0</v>
      </c>
      <c r="K18" s="103">
        <v>0</v>
      </c>
      <c r="L18" s="103">
        <v>0</v>
      </c>
      <c r="M18" s="103">
        <v>0</v>
      </c>
      <c r="N18" s="104">
        <f t="shared" si="1"/>
        <v>0</v>
      </c>
      <c r="P18" s="82"/>
      <c r="Q18" s="105"/>
      <c r="R18" s="105"/>
      <c r="S18" s="105"/>
    </row>
    <row r="19" spans="1:19" x14ac:dyDescent="0.2">
      <c r="A19" s="82" t="s">
        <v>160</v>
      </c>
      <c r="B19" s="103">
        <v>1057607</v>
      </c>
      <c r="C19" s="103">
        <v>1040657</v>
      </c>
      <c r="D19" s="103">
        <v>948024</v>
      </c>
      <c r="E19" s="103">
        <v>760315</v>
      </c>
      <c r="F19" s="103">
        <v>715098</v>
      </c>
      <c r="G19" s="103">
        <v>546965</v>
      </c>
      <c r="H19" s="103">
        <v>515440</v>
      </c>
      <c r="I19" s="103">
        <v>568866</v>
      </c>
      <c r="J19" s="103">
        <v>548041</v>
      </c>
      <c r="K19" s="103">
        <v>805565</v>
      </c>
      <c r="L19" s="103">
        <v>941691</v>
      </c>
      <c r="M19" s="103">
        <v>1208597</v>
      </c>
      <c r="N19" s="104">
        <f t="shared" si="1"/>
        <v>9656866</v>
      </c>
      <c r="P19" s="82"/>
      <c r="Q19" s="105"/>
      <c r="R19" s="105"/>
      <c r="S19" s="105"/>
    </row>
    <row r="20" spans="1:19" x14ac:dyDescent="0.2">
      <c r="A20" s="82" t="s">
        <v>161</v>
      </c>
      <c r="B20" s="103">
        <v>103529</v>
      </c>
      <c r="C20" s="103">
        <v>120534</v>
      </c>
      <c r="D20" s="103">
        <v>110221</v>
      </c>
      <c r="E20" s="103">
        <v>80034</v>
      </c>
      <c r="F20" s="103">
        <v>65787</v>
      </c>
      <c r="G20" s="103">
        <v>68137</v>
      </c>
      <c r="H20" s="103">
        <v>65688</v>
      </c>
      <c r="I20" s="103">
        <v>67187</v>
      </c>
      <c r="J20" s="103">
        <v>94698</v>
      </c>
      <c r="K20" s="103">
        <v>103998</v>
      </c>
      <c r="L20" s="103">
        <v>95565</v>
      </c>
      <c r="M20" s="103">
        <v>113134</v>
      </c>
      <c r="N20" s="104">
        <f t="shared" si="1"/>
        <v>1088512</v>
      </c>
      <c r="P20" s="82"/>
      <c r="Q20" s="105"/>
      <c r="R20" s="105"/>
      <c r="S20" s="105"/>
    </row>
    <row r="21" spans="1:19" x14ac:dyDescent="0.2">
      <c r="A21" s="82" t="s">
        <v>162</v>
      </c>
      <c r="B21" s="103">
        <v>1782343</v>
      </c>
      <c r="C21" s="103">
        <v>1782088</v>
      </c>
      <c r="D21" s="103">
        <v>1738224</v>
      </c>
      <c r="E21" s="103">
        <v>1730188</v>
      </c>
      <c r="F21" s="103">
        <v>1503928</v>
      </c>
      <c r="G21" s="103">
        <v>1462157</v>
      </c>
      <c r="H21" s="103">
        <v>1269817</v>
      </c>
      <c r="I21" s="103">
        <v>1306465</v>
      </c>
      <c r="J21" s="103">
        <v>1296082</v>
      </c>
      <c r="K21" s="103">
        <v>1463908</v>
      </c>
      <c r="L21" s="103">
        <v>1795544</v>
      </c>
      <c r="M21" s="103">
        <v>1791666</v>
      </c>
      <c r="N21" s="104">
        <f t="shared" si="1"/>
        <v>18922410</v>
      </c>
      <c r="P21" s="82"/>
      <c r="Q21" s="105"/>
      <c r="R21" s="105"/>
      <c r="S21" s="105"/>
    </row>
    <row r="22" spans="1:19" x14ac:dyDescent="0.2">
      <c r="A22" s="82" t="s">
        <v>163</v>
      </c>
      <c r="B22" s="103">
        <v>3352335</v>
      </c>
      <c r="C22" s="103">
        <v>4360838</v>
      </c>
      <c r="D22" s="103">
        <v>3126716</v>
      </c>
      <c r="E22" s="103">
        <v>3708888</v>
      </c>
      <c r="F22" s="103">
        <v>3343679</v>
      </c>
      <c r="G22" s="103">
        <v>3715175</v>
      </c>
      <c r="H22" s="103">
        <v>3489803</v>
      </c>
      <c r="I22" s="103">
        <v>3445005</v>
      </c>
      <c r="J22" s="103">
        <v>3495455</v>
      </c>
      <c r="K22" s="103">
        <v>3804626</v>
      </c>
      <c r="L22" s="103">
        <v>3906181</v>
      </c>
      <c r="M22" s="103">
        <v>3617815</v>
      </c>
      <c r="N22" s="104">
        <f t="shared" si="1"/>
        <v>43366516</v>
      </c>
      <c r="P22" s="82"/>
      <c r="Q22" s="105"/>
      <c r="R22" s="105"/>
      <c r="S22" s="105"/>
    </row>
    <row r="23" spans="1:19" x14ac:dyDescent="0.2">
      <c r="A23" s="82" t="s">
        <v>164</v>
      </c>
      <c r="B23" s="103">
        <v>722035</v>
      </c>
      <c r="C23" s="103">
        <v>714438</v>
      </c>
      <c r="D23" s="103">
        <v>664061</v>
      </c>
      <c r="E23" s="103">
        <v>459352</v>
      </c>
      <c r="F23" s="103">
        <v>392842</v>
      </c>
      <c r="G23" s="103">
        <v>242222</v>
      </c>
      <c r="H23" s="103">
        <v>175870</v>
      </c>
      <c r="I23" s="103">
        <v>142809</v>
      </c>
      <c r="J23" s="103">
        <v>158443</v>
      </c>
      <c r="K23" s="103">
        <v>355023</v>
      </c>
      <c r="L23" s="103">
        <v>543537</v>
      </c>
      <c r="M23" s="103">
        <v>803545</v>
      </c>
      <c r="N23" s="104">
        <f t="shared" si="1"/>
        <v>5374177</v>
      </c>
      <c r="P23" s="82"/>
      <c r="Q23" s="105"/>
      <c r="R23" s="105"/>
      <c r="S23" s="105"/>
    </row>
    <row r="24" spans="1:19" x14ac:dyDescent="0.2">
      <c r="A24" s="82" t="s">
        <v>165</v>
      </c>
      <c r="B24" s="103">
        <v>12435</v>
      </c>
      <c r="C24" s="103">
        <v>15921</v>
      </c>
      <c r="D24" s="103">
        <v>16435</v>
      </c>
      <c r="E24" s="103">
        <v>10185</v>
      </c>
      <c r="F24" s="103">
        <v>9559</v>
      </c>
      <c r="G24" s="103">
        <v>6646</v>
      </c>
      <c r="H24" s="103">
        <v>4521</v>
      </c>
      <c r="I24" s="103">
        <v>4140</v>
      </c>
      <c r="J24" s="103">
        <v>5127</v>
      </c>
      <c r="K24" s="103">
        <v>9453</v>
      </c>
      <c r="L24" s="103">
        <v>11029</v>
      </c>
      <c r="M24" s="103">
        <v>9780</v>
      </c>
      <c r="N24" s="104">
        <f t="shared" si="1"/>
        <v>115231</v>
      </c>
      <c r="P24" s="82"/>
      <c r="Q24" s="105"/>
      <c r="R24" s="105"/>
      <c r="S24" s="105"/>
    </row>
    <row r="25" spans="1:19" x14ac:dyDescent="0.2">
      <c r="A25" s="82" t="s">
        <v>166</v>
      </c>
      <c r="B25" s="103">
        <v>0</v>
      </c>
      <c r="C25" s="103">
        <v>0</v>
      </c>
      <c r="D25" s="103">
        <v>0</v>
      </c>
      <c r="E25" s="103">
        <v>0</v>
      </c>
      <c r="F25" s="103">
        <v>0</v>
      </c>
      <c r="G25" s="103">
        <v>0</v>
      </c>
      <c r="H25" s="103">
        <v>0</v>
      </c>
      <c r="I25" s="103">
        <v>0</v>
      </c>
      <c r="J25" s="103">
        <v>0</v>
      </c>
      <c r="K25" s="103">
        <v>0</v>
      </c>
      <c r="L25" s="103">
        <v>0</v>
      </c>
      <c r="M25" s="103">
        <v>0</v>
      </c>
      <c r="N25" s="104">
        <f t="shared" si="1"/>
        <v>0</v>
      </c>
      <c r="P25" s="82"/>
      <c r="Q25" s="105"/>
      <c r="R25" s="105"/>
      <c r="S25" s="105"/>
    </row>
    <row r="26" spans="1:19" x14ac:dyDescent="0.2">
      <c r="A26" s="82" t="s">
        <v>167</v>
      </c>
      <c r="B26" s="103">
        <v>47088</v>
      </c>
      <c r="C26" s="103">
        <v>64390</v>
      </c>
      <c r="D26" s="103">
        <v>37100</v>
      </c>
      <c r="E26" s="103">
        <v>47661</v>
      </c>
      <c r="F26" s="103">
        <v>43279</v>
      </c>
      <c r="G26" s="103">
        <v>48694</v>
      </c>
      <c r="H26" s="103">
        <v>48436</v>
      </c>
      <c r="I26" s="103">
        <v>45424</v>
      </c>
      <c r="J26" s="103">
        <v>46262</v>
      </c>
      <c r="K26" s="103">
        <v>44895</v>
      </c>
      <c r="L26" s="103">
        <v>52241</v>
      </c>
      <c r="M26" s="103">
        <v>53232</v>
      </c>
      <c r="N26" s="104">
        <f t="shared" si="1"/>
        <v>578702</v>
      </c>
      <c r="P26" s="82"/>
      <c r="Q26" s="105"/>
      <c r="R26" s="105"/>
      <c r="S26" s="105"/>
    </row>
    <row r="27" spans="1:19" x14ac:dyDescent="0.2">
      <c r="A27" s="82" t="s">
        <v>168</v>
      </c>
      <c r="B27" s="103">
        <v>2998650.8943750001</v>
      </c>
      <c r="C27" s="103">
        <v>4620973.8603750002</v>
      </c>
      <c r="D27" s="103">
        <v>-230183.26163159739</v>
      </c>
      <c r="E27" s="103">
        <v>2722328.7807902782</v>
      </c>
      <c r="F27" s="103">
        <v>1246699.5224090284</v>
      </c>
      <c r="G27" s="103">
        <v>1711965.7117916665</v>
      </c>
      <c r="H27" s="103">
        <v>204785.59449999995</v>
      </c>
      <c r="I27" s="103">
        <v>2315404.6089999997</v>
      </c>
      <c r="J27" s="103">
        <v>955360.63349999976</v>
      </c>
      <c r="K27" s="103">
        <v>1332643.2697923623</v>
      </c>
      <c r="L27" s="103">
        <v>4079298.5974499993</v>
      </c>
      <c r="M27" s="103">
        <v>-138472.44999652982</v>
      </c>
      <c r="N27" s="104">
        <f t="shared" si="1"/>
        <v>21819455.762355205</v>
      </c>
      <c r="P27" s="82"/>
      <c r="Q27" s="105"/>
      <c r="R27" s="105"/>
      <c r="S27" s="105"/>
    </row>
    <row r="28" spans="1:19" x14ac:dyDescent="0.2">
      <c r="A28" s="82" t="s">
        <v>169</v>
      </c>
      <c r="B28" s="103">
        <v>0</v>
      </c>
      <c r="C28" s="103">
        <v>0</v>
      </c>
      <c r="D28" s="103">
        <v>0</v>
      </c>
      <c r="E28" s="103">
        <v>0</v>
      </c>
      <c r="F28" s="103">
        <v>0</v>
      </c>
      <c r="G28" s="103">
        <v>0</v>
      </c>
      <c r="H28" s="103">
        <v>0</v>
      </c>
      <c r="I28" s="103">
        <v>0</v>
      </c>
      <c r="J28" s="103">
        <v>0</v>
      </c>
      <c r="K28" s="103">
        <v>0</v>
      </c>
      <c r="L28" s="103">
        <v>0</v>
      </c>
      <c r="M28" s="103">
        <v>0</v>
      </c>
      <c r="N28" s="104">
        <f t="shared" si="1"/>
        <v>0</v>
      </c>
      <c r="P28" s="82"/>
      <c r="Q28" s="105"/>
      <c r="R28" s="105"/>
      <c r="S28" s="105"/>
    </row>
    <row r="29" spans="1:19" x14ac:dyDescent="0.2">
      <c r="A29" s="82" t="s">
        <v>170</v>
      </c>
      <c r="B29" s="103">
        <v>1665367.0782708321</v>
      </c>
      <c r="C29" s="103">
        <v>1763149.7227500007</v>
      </c>
      <c r="D29" s="103">
        <v>1890996.2701258333</v>
      </c>
      <c r="E29" s="103">
        <v>1474771.4626187503</v>
      </c>
      <c r="F29" s="103">
        <v>1274825.9547841665</v>
      </c>
      <c r="G29" s="103">
        <v>937480.57004500041</v>
      </c>
      <c r="H29" s="103">
        <v>1019637.2000000002</v>
      </c>
      <c r="I29" s="103">
        <v>982726.42999999993</v>
      </c>
      <c r="J29" s="103">
        <v>997833.03000000026</v>
      </c>
      <c r="K29" s="103">
        <v>1335391.5905979173</v>
      </c>
      <c r="L29" s="103">
        <v>263122.60083499935</v>
      </c>
      <c r="M29" s="103">
        <v>3221065.0854520816</v>
      </c>
      <c r="N29" s="104">
        <f t="shared" si="1"/>
        <v>16826366.995479584</v>
      </c>
    </row>
    <row r="30" spans="1:19" x14ac:dyDescent="0.2">
      <c r="A30" s="82" t="s">
        <v>171</v>
      </c>
      <c r="B30" s="103">
        <v>9426422.1999999993</v>
      </c>
      <c r="C30" s="103">
        <v>8877935.9100000001</v>
      </c>
      <c r="D30" s="103">
        <v>10788797.190000001</v>
      </c>
      <c r="E30" s="103">
        <v>10939613.629999999</v>
      </c>
      <c r="F30" s="103">
        <v>10913282.559999999</v>
      </c>
      <c r="G30" s="103">
        <v>10316694.349999998</v>
      </c>
      <c r="H30" s="103">
        <v>9390439.0099999998</v>
      </c>
      <c r="I30" s="103">
        <v>11333786.170000002</v>
      </c>
      <c r="J30" s="103">
        <v>10365364.079999998</v>
      </c>
      <c r="K30" s="103">
        <v>11393166.450000001</v>
      </c>
      <c r="L30" s="103">
        <v>10047949.390000001</v>
      </c>
      <c r="M30" s="103">
        <v>11389148.710000001</v>
      </c>
      <c r="N30" s="104">
        <f t="shared" si="1"/>
        <v>125182599.65000001</v>
      </c>
    </row>
    <row r="31" spans="1:19" x14ac:dyDescent="0.2">
      <c r="A31" s="82" t="s">
        <v>172</v>
      </c>
      <c r="B31" s="103">
        <v>3376573</v>
      </c>
      <c r="C31" s="103">
        <v>4414906</v>
      </c>
      <c r="D31" s="103">
        <v>2630513</v>
      </c>
      <c r="E31" s="103">
        <v>2564284</v>
      </c>
      <c r="F31" s="103">
        <v>1925391</v>
      </c>
      <c r="G31" s="103">
        <v>1922345</v>
      </c>
      <c r="H31" s="103">
        <v>1684994</v>
      </c>
      <c r="I31" s="103">
        <v>1546823</v>
      </c>
      <c r="J31" s="103">
        <v>1699014</v>
      </c>
      <c r="K31" s="103">
        <v>2410628</v>
      </c>
      <c r="L31" s="103">
        <v>3256750</v>
      </c>
      <c r="M31" s="103">
        <v>3535679</v>
      </c>
      <c r="N31" s="104">
        <f t="shared" si="1"/>
        <v>30967900</v>
      </c>
    </row>
    <row r="32" spans="1:19" x14ac:dyDescent="0.2">
      <c r="A32" s="82" t="s">
        <v>16</v>
      </c>
      <c r="B32" s="106">
        <f t="shared" ref="B32:N32" si="2">SUM(B8:B31)</f>
        <v>165569859.17264581</v>
      </c>
      <c r="C32" s="106">
        <f t="shared" si="2"/>
        <v>152986548.49312499</v>
      </c>
      <c r="D32" s="106">
        <f t="shared" si="2"/>
        <v>136402833.19849426</v>
      </c>
      <c r="E32" s="106">
        <f t="shared" si="2"/>
        <v>105977759.87340903</v>
      </c>
      <c r="F32" s="106">
        <f t="shared" si="2"/>
        <v>72708699.037193194</v>
      </c>
      <c r="G32" s="106">
        <f t="shared" si="2"/>
        <v>57924936.631836668</v>
      </c>
      <c r="H32" s="106">
        <f t="shared" si="2"/>
        <v>46392590.804499999</v>
      </c>
      <c r="I32" s="106">
        <f t="shared" si="2"/>
        <v>50072400.208999999</v>
      </c>
      <c r="J32" s="106">
        <f t="shared" si="2"/>
        <v>56200755.743500002</v>
      </c>
      <c r="K32" s="106">
        <f t="shared" si="2"/>
        <v>95477254.310390279</v>
      </c>
      <c r="L32" s="106">
        <f t="shared" si="2"/>
        <v>139158832.588285</v>
      </c>
      <c r="M32" s="106">
        <f t="shared" si="2"/>
        <v>173870532.34545556</v>
      </c>
      <c r="N32" s="106">
        <f t="shared" si="2"/>
        <v>1252743002.4078348</v>
      </c>
    </row>
    <row r="33" spans="1:15" x14ac:dyDescent="0.2">
      <c r="A33" s="82" t="s">
        <v>25</v>
      </c>
      <c r="B33" s="107">
        <v>-2.4214386940002441E-8</v>
      </c>
      <c r="C33" s="107">
        <v>0</v>
      </c>
      <c r="D33" s="107">
        <v>1.862645149230957E-8</v>
      </c>
      <c r="E33" s="107">
        <v>0</v>
      </c>
      <c r="F33" s="107">
        <v>0</v>
      </c>
      <c r="G33" s="107">
        <v>0</v>
      </c>
      <c r="H33" s="107">
        <v>0</v>
      </c>
      <c r="I33" s="107">
        <v>0</v>
      </c>
      <c r="J33" s="107">
        <v>0</v>
      </c>
      <c r="K33" s="107">
        <v>0</v>
      </c>
      <c r="L33" s="107">
        <v>0</v>
      </c>
      <c r="M33" s="107">
        <v>0</v>
      </c>
      <c r="N33" s="107"/>
    </row>
    <row r="34" spans="1:15" x14ac:dyDescent="0.2">
      <c r="A34" s="82"/>
      <c r="B34" s="107"/>
      <c r="C34" s="107"/>
      <c r="D34" s="107"/>
      <c r="E34" s="107"/>
      <c r="F34" s="107"/>
      <c r="G34" s="107"/>
      <c r="H34" s="107"/>
      <c r="I34" s="107"/>
      <c r="J34" s="107"/>
      <c r="K34" s="107"/>
      <c r="L34" s="107"/>
      <c r="M34" s="107"/>
      <c r="N34" s="107"/>
    </row>
    <row r="35" spans="1:15" x14ac:dyDescent="0.2">
      <c r="A35" s="82"/>
      <c r="B35" s="107"/>
      <c r="C35" s="107"/>
      <c r="D35" s="107"/>
      <c r="E35" s="107"/>
      <c r="F35" s="107"/>
      <c r="G35" s="107"/>
      <c r="H35" s="107"/>
      <c r="I35" s="107"/>
      <c r="J35" s="107"/>
      <c r="K35" s="107"/>
      <c r="L35" s="107"/>
      <c r="M35" s="107"/>
      <c r="N35" s="107"/>
    </row>
    <row r="36" spans="1:15" x14ac:dyDescent="0.2">
      <c r="A36" s="82" t="s">
        <v>173</v>
      </c>
      <c r="B36" s="104">
        <f t="shared" ref="B36:M37" si="3">B8</f>
        <v>736</v>
      </c>
      <c r="C36" s="104">
        <f t="shared" si="3"/>
        <v>736</v>
      </c>
      <c r="D36" s="104">
        <f t="shared" si="3"/>
        <v>736</v>
      </c>
      <c r="E36" s="104">
        <f t="shared" si="3"/>
        <v>736</v>
      </c>
      <c r="F36" s="104">
        <f t="shared" si="3"/>
        <v>736</v>
      </c>
      <c r="G36" s="104">
        <f t="shared" si="3"/>
        <v>736</v>
      </c>
      <c r="H36" s="104">
        <f t="shared" si="3"/>
        <v>736</v>
      </c>
      <c r="I36" s="104">
        <f t="shared" si="3"/>
        <v>736</v>
      </c>
      <c r="J36" s="104">
        <f t="shared" si="3"/>
        <v>736</v>
      </c>
      <c r="K36" s="104">
        <f t="shared" si="3"/>
        <v>736</v>
      </c>
      <c r="L36" s="104">
        <f t="shared" si="3"/>
        <v>736</v>
      </c>
      <c r="M36" s="104">
        <f t="shared" si="3"/>
        <v>736</v>
      </c>
      <c r="N36" s="104">
        <f>SUM(B36:M36)</f>
        <v>8832</v>
      </c>
    </row>
    <row r="37" spans="1:15" x14ac:dyDescent="0.2">
      <c r="A37" s="82" t="s">
        <v>174</v>
      </c>
      <c r="B37" s="104">
        <f t="shared" si="3"/>
        <v>97939022</v>
      </c>
      <c r="C37" s="104">
        <f t="shared" si="3"/>
        <v>84388896</v>
      </c>
      <c r="D37" s="104">
        <f t="shared" si="3"/>
        <v>77323969</v>
      </c>
      <c r="E37" s="104">
        <f t="shared" si="3"/>
        <v>53507958</v>
      </c>
      <c r="F37" s="104">
        <f t="shared" si="3"/>
        <v>30480725</v>
      </c>
      <c r="G37" s="104">
        <f t="shared" si="3"/>
        <v>20098155</v>
      </c>
      <c r="H37" s="104">
        <f t="shared" si="3"/>
        <v>14466554</v>
      </c>
      <c r="I37" s="104">
        <f t="shared" si="3"/>
        <v>13798925</v>
      </c>
      <c r="J37" s="104">
        <f t="shared" si="3"/>
        <v>20484242</v>
      </c>
      <c r="K37" s="104">
        <f t="shared" si="3"/>
        <v>47350638</v>
      </c>
      <c r="L37" s="104">
        <f t="shared" si="3"/>
        <v>77723497</v>
      </c>
      <c r="M37" s="104">
        <f t="shared" si="3"/>
        <v>101901968</v>
      </c>
      <c r="N37" s="104">
        <f t="shared" ref="N37:N49" si="4">SUM(B37:M37)</f>
        <v>639464549</v>
      </c>
    </row>
    <row r="38" spans="1:15" x14ac:dyDescent="0.2">
      <c r="A38" s="82" t="s">
        <v>175</v>
      </c>
      <c r="B38" s="104">
        <f t="shared" ref="B38:M38" si="5">B18</f>
        <v>0</v>
      </c>
      <c r="C38" s="104">
        <f t="shared" si="5"/>
        <v>0</v>
      </c>
      <c r="D38" s="104">
        <f t="shared" si="5"/>
        <v>0</v>
      </c>
      <c r="E38" s="104">
        <f t="shared" si="5"/>
        <v>0</v>
      </c>
      <c r="F38" s="104">
        <f t="shared" si="5"/>
        <v>0</v>
      </c>
      <c r="G38" s="104">
        <f t="shared" si="5"/>
        <v>0</v>
      </c>
      <c r="H38" s="104">
        <f t="shared" si="5"/>
        <v>0</v>
      </c>
      <c r="I38" s="104">
        <f t="shared" si="5"/>
        <v>0</v>
      </c>
      <c r="J38" s="104">
        <f t="shared" si="5"/>
        <v>0</v>
      </c>
      <c r="K38" s="104">
        <f t="shared" si="5"/>
        <v>0</v>
      </c>
      <c r="L38" s="104">
        <f t="shared" si="5"/>
        <v>0</v>
      </c>
      <c r="M38" s="104">
        <f t="shared" si="5"/>
        <v>0</v>
      </c>
      <c r="N38" s="104">
        <f t="shared" si="4"/>
        <v>0</v>
      </c>
    </row>
    <row r="39" spans="1:15" x14ac:dyDescent="0.2">
      <c r="A39" s="82" t="s">
        <v>176</v>
      </c>
      <c r="B39" s="104">
        <f t="shared" ref="B39:M39" si="6">SUM(B10:B11)</f>
        <v>32928097</v>
      </c>
      <c r="C39" s="104">
        <f t="shared" si="6"/>
        <v>30624982</v>
      </c>
      <c r="D39" s="104">
        <f t="shared" si="6"/>
        <v>27968358</v>
      </c>
      <c r="E39" s="104">
        <f t="shared" si="6"/>
        <v>20038502</v>
      </c>
      <c r="F39" s="104">
        <f t="shared" si="6"/>
        <v>14236908</v>
      </c>
      <c r="G39" s="104">
        <f t="shared" si="6"/>
        <v>10978875</v>
      </c>
      <c r="H39" s="104">
        <f t="shared" si="6"/>
        <v>9137542</v>
      </c>
      <c r="I39" s="104">
        <f t="shared" si="6"/>
        <v>9432504</v>
      </c>
      <c r="J39" s="104">
        <f t="shared" si="6"/>
        <v>10596109</v>
      </c>
      <c r="K39" s="104">
        <f t="shared" si="6"/>
        <v>17665776</v>
      </c>
      <c r="L39" s="104">
        <f t="shared" si="6"/>
        <v>26773535</v>
      </c>
      <c r="M39" s="104">
        <f t="shared" si="6"/>
        <v>35555055</v>
      </c>
      <c r="N39" s="104">
        <f t="shared" si="4"/>
        <v>245936243</v>
      </c>
    </row>
    <row r="40" spans="1:15" x14ac:dyDescent="0.2">
      <c r="A40" s="82" t="s">
        <v>177</v>
      </c>
      <c r="B40" s="104">
        <f t="shared" ref="B40:M40" si="7">SUM(B14:B15)</f>
        <v>7888189</v>
      </c>
      <c r="C40" s="104">
        <f t="shared" si="7"/>
        <v>7769589</v>
      </c>
      <c r="D40" s="104">
        <f t="shared" si="7"/>
        <v>7323085</v>
      </c>
      <c r="E40" s="104">
        <f t="shared" si="7"/>
        <v>5619867</v>
      </c>
      <c r="F40" s="104">
        <f t="shared" si="7"/>
        <v>4403676</v>
      </c>
      <c r="G40" s="104">
        <f t="shared" si="7"/>
        <v>3602353</v>
      </c>
      <c r="H40" s="104">
        <f t="shared" si="7"/>
        <v>2860641</v>
      </c>
      <c r="I40" s="104">
        <f t="shared" si="7"/>
        <v>2970849</v>
      </c>
      <c r="J40" s="104">
        <f t="shared" si="7"/>
        <v>3405163</v>
      </c>
      <c r="K40" s="104">
        <f t="shared" si="7"/>
        <v>5305866</v>
      </c>
      <c r="L40" s="104">
        <f t="shared" si="7"/>
        <v>7269688</v>
      </c>
      <c r="M40" s="104">
        <f t="shared" si="7"/>
        <v>8471575</v>
      </c>
      <c r="N40" s="104">
        <f t="shared" si="4"/>
        <v>66890541</v>
      </c>
    </row>
    <row r="41" spans="1:15" x14ac:dyDescent="0.2">
      <c r="A41" s="82" t="s">
        <v>178</v>
      </c>
      <c r="B41" s="104">
        <f t="shared" ref="B41:M41" si="8">SUM(B19:B20)</f>
        <v>1161136</v>
      </c>
      <c r="C41" s="104">
        <f t="shared" si="8"/>
        <v>1161191</v>
      </c>
      <c r="D41" s="104">
        <f t="shared" si="8"/>
        <v>1058245</v>
      </c>
      <c r="E41" s="104">
        <f t="shared" si="8"/>
        <v>840349</v>
      </c>
      <c r="F41" s="104">
        <f t="shared" si="8"/>
        <v>780885</v>
      </c>
      <c r="G41" s="104">
        <f t="shared" si="8"/>
        <v>615102</v>
      </c>
      <c r="H41" s="104">
        <f t="shared" si="8"/>
        <v>581128</v>
      </c>
      <c r="I41" s="104">
        <f t="shared" si="8"/>
        <v>636053</v>
      </c>
      <c r="J41" s="104">
        <f t="shared" si="8"/>
        <v>642739</v>
      </c>
      <c r="K41" s="104">
        <f t="shared" si="8"/>
        <v>909563</v>
      </c>
      <c r="L41" s="104">
        <f t="shared" si="8"/>
        <v>1037256</v>
      </c>
      <c r="M41" s="104">
        <f t="shared" si="8"/>
        <v>1321731</v>
      </c>
      <c r="N41" s="104">
        <f t="shared" si="4"/>
        <v>10745378</v>
      </c>
      <c r="O41" s="104"/>
    </row>
    <row r="42" spans="1:15" x14ac:dyDescent="0.2">
      <c r="A42" s="82" t="s">
        <v>179</v>
      </c>
      <c r="B42" s="104">
        <f t="shared" ref="B42:M42" si="9">SUM(B23:B24)</f>
        <v>734470</v>
      </c>
      <c r="C42" s="104">
        <f t="shared" si="9"/>
        <v>730359</v>
      </c>
      <c r="D42" s="104">
        <f t="shared" si="9"/>
        <v>680496</v>
      </c>
      <c r="E42" s="104">
        <f t="shared" si="9"/>
        <v>469537</v>
      </c>
      <c r="F42" s="104">
        <f t="shared" si="9"/>
        <v>402401</v>
      </c>
      <c r="G42" s="104">
        <f t="shared" si="9"/>
        <v>248868</v>
      </c>
      <c r="H42" s="104">
        <f t="shared" si="9"/>
        <v>180391</v>
      </c>
      <c r="I42" s="104">
        <f t="shared" si="9"/>
        <v>146949</v>
      </c>
      <c r="J42" s="104">
        <f t="shared" si="9"/>
        <v>163570</v>
      </c>
      <c r="K42" s="104">
        <f t="shared" si="9"/>
        <v>364476</v>
      </c>
      <c r="L42" s="104">
        <f t="shared" si="9"/>
        <v>554566</v>
      </c>
      <c r="M42" s="104">
        <f t="shared" si="9"/>
        <v>813325</v>
      </c>
      <c r="N42" s="104">
        <f t="shared" si="4"/>
        <v>5489408</v>
      </c>
    </row>
    <row r="43" spans="1:15" x14ac:dyDescent="0.2">
      <c r="A43" s="82" t="s">
        <v>180</v>
      </c>
      <c r="B43" s="104">
        <f>SUM(B27:B28)</f>
        <v>2998650.8943750001</v>
      </c>
      <c r="C43" s="104">
        <f t="shared" ref="C43:M43" si="10">SUM(C27:C28)</f>
        <v>4620973.8603750002</v>
      </c>
      <c r="D43" s="104">
        <f t="shared" si="10"/>
        <v>-230183.26163159739</v>
      </c>
      <c r="E43" s="104">
        <f t="shared" si="10"/>
        <v>2722328.7807902782</v>
      </c>
      <c r="F43" s="104">
        <f t="shared" si="10"/>
        <v>1246699.5224090284</v>
      </c>
      <c r="G43" s="104">
        <f t="shared" si="10"/>
        <v>1711965.7117916665</v>
      </c>
      <c r="H43" s="104">
        <f t="shared" si="10"/>
        <v>204785.59449999995</v>
      </c>
      <c r="I43" s="104">
        <f t="shared" si="10"/>
        <v>2315404.6089999997</v>
      </c>
      <c r="J43" s="104">
        <f t="shared" si="10"/>
        <v>955360.63349999976</v>
      </c>
      <c r="K43" s="104">
        <f t="shared" si="10"/>
        <v>1332643.2697923623</v>
      </c>
      <c r="L43" s="104">
        <f t="shared" si="10"/>
        <v>4079298.5974499993</v>
      </c>
      <c r="M43" s="104">
        <f t="shared" si="10"/>
        <v>-138472.44999652982</v>
      </c>
      <c r="N43" s="104">
        <f>SUM(B43:M43)</f>
        <v>21819455.762355205</v>
      </c>
    </row>
    <row r="44" spans="1:15" x14ac:dyDescent="0.2">
      <c r="A44" s="30" t="s">
        <v>181</v>
      </c>
      <c r="B44" s="104">
        <f t="shared" ref="B44:M44" si="11">SUM(B12:B13)</f>
        <v>3584</v>
      </c>
      <c r="C44" s="104">
        <f t="shared" si="11"/>
        <v>3704</v>
      </c>
      <c r="D44" s="104">
        <f t="shared" si="11"/>
        <v>3231</v>
      </c>
      <c r="E44" s="104">
        <f t="shared" si="11"/>
        <v>2806</v>
      </c>
      <c r="F44" s="104">
        <f t="shared" si="11"/>
        <v>2070</v>
      </c>
      <c r="G44" s="104">
        <f t="shared" si="11"/>
        <v>1945</v>
      </c>
      <c r="H44" s="104">
        <f t="shared" si="11"/>
        <v>1693</v>
      </c>
      <c r="I44" s="104">
        <f t="shared" si="11"/>
        <v>1910</v>
      </c>
      <c r="J44" s="104">
        <f t="shared" si="11"/>
        <v>2000</v>
      </c>
      <c r="K44" s="104">
        <f t="shared" si="11"/>
        <v>2796</v>
      </c>
      <c r="L44" s="104">
        <f t="shared" si="11"/>
        <v>3910</v>
      </c>
      <c r="M44" s="104">
        <f t="shared" si="11"/>
        <v>4218</v>
      </c>
      <c r="N44" s="104">
        <f t="shared" si="4"/>
        <v>33867</v>
      </c>
    </row>
    <row r="45" spans="1:15" x14ac:dyDescent="0.2">
      <c r="A45" s="30" t="s">
        <v>182</v>
      </c>
      <c r="B45" s="104">
        <f t="shared" ref="B45:M45" si="12">SUM(B16:B17)</f>
        <v>2265846</v>
      </c>
      <c r="C45" s="104">
        <f t="shared" si="12"/>
        <v>2422810</v>
      </c>
      <c r="D45" s="104">
        <f t="shared" si="12"/>
        <v>2062550</v>
      </c>
      <c r="E45" s="104">
        <f t="shared" si="12"/>
        <v>2310270</v>
      </c>
      <c r="F45" s="104">
        <f t="shared" si="12"/>
        <v>2150213</v>
      </c>
      <c r="G45" s="104">
        <f t="shared" si="12"/>
        <v>2264391</v>
      </c>
      <c r="H45" s="104">
        <f t="shared" si="12"/>
        <v>2055994</v>
      </c>
      <c r="I45" s="104">
        <f t="shared" si="12"/>
        <v>2108840</v>
      </c>
      <c r="J45" s="104">
        <f t="shared" si="12"/>
        <v>2050826</v>
      </c>
      <c r="K45" s="104">
        <f t="shared" si="12"/>
        <v>2092145</v>
      </c>
      <c r="L45" s="104">
        <f t="shared" si="12"/>
        <v>2394558</v>
      </c>
      <c r="M45" s="104">
        <f t="shared" si="12"/>
        <v>2331791</v>
      </c>
      <c r="N45" s="104">
        <f t="shared" si="4"/>
        <v>26510234</v>
      </c>
    </row>
    <row r="46" spans="1:15" x14ac:dyDescent="0.2">
      <c r="A46" s="30" t="s">
        <v>183</v>
      </c>
      <c r="B46" s="104">
        <f t="shared" ref="B46:M46" si="13">SUM(B21:B22)</f>
        <v>5134678</v>
      </c>
      <c r="C46" s="104">
        <f t="shared" si="13"/>
        <v>6142926</v>
      </c>
      <c r="D46" s="104">
        <f t="shared" si="13"/>
        <v>4864940</v>
      </c>
      <c r="E46" s="104">
        <f t="shared" si="13"/>
        <v>5439076</v>
      </c>
      <c r="F46" s="104">
        <f t="shared" si="13"/>
        <v>4847607</v>
      </c>
      <c r="G46" s="104">
        <f t="shared" si="13"/>
        <v>5177332</v>
      </c>
      <c r="H46" s="104">
        <f t="shared" si="13"/>
        <v>4759620</v>
      </c>
      <c r="I46" s="104">
        <f t="shared" si="13"/>
        <v>4751470</v>
      </c>
      <c r="J46" s="104">
        <f t="shared" si="13"/>
        <v>4791537</v>
      </c>
      <c r="K46" s="104">
        <f t="shared" si="13"/>
        <v>5268534</v>
      </c>
      <c r="L46" s="104">
        <f t="shared" si="13"/>
        <v>5701725</v>
      </c>
      <c r="M46" s="104">
        <f t="shared" si="13"/>
        <v>5409481</v>
      </c>
      <c r="N46" s="104">
        <f t="shared" si="4"/>
        <v>62288926</v>
      </c>
    </row>
    <row r="47" spans="1:15" x14ac:dyDescent="0.2">
      <c r="A47" s="30" t="s">
        <v>184</v>
      </c>
      <c r="B47" s="104">
        <f t="shared" ref="B47:M47" si="14">SUM(B25:B26)</f>
        <v>47088</v>
      </c>
      <c r="C47" s="104">
        <f t="shared" si="14"/>
        <v>64390</v>
      </c>
      <c r="D47" s="104">
        <f t="shared" si="14"/>
        <v>37100</v>
      </c>
      <c r="E47" s="104">
        <f t="shared" si="14"/>
        <v>47661</v>
      </c>
      <c r="F47" s="104">
        <f t="shared" si="14"/>
        <v>43279</v>
      </c>
      <c r="G47" s="104">
        <f t="shared" si="14"/>
        <v>48694</v>
      </c>
      <c r="H47" s="104">
        <f t="shared" si="14"/>
        <v>48436</v>
      </c>
      <c r="I47" s="104">
        <f t="shared" si="14"/>
        <v>45424</v>
      </c>
      <c r="J47" s="104">
        <f t="shared" si="14"/>
        <v>46262</v>
      </c>
      <c r="K47" s="104">
        <f t="shared" si="14"/>
        <v>44895</v>
      </c>
      <c r="L47" s="104">
        <f t="shared" si="14"/>
        <v>52241</v>
      </c>
      <c r="M47" s="104">
        <f t="shared" si="14"/>
        <v>53232</v>
      </c>
      <c r="N47" s="104">
        <f t="shared" si="4"/>
        <v>578702</v>
      </c>
    </row>
    <row r="48" spans="1:15" x14ac:dyDescent="0.2">
      <c r="A48" s="30" t="s">
        <v>185</v>
      </c>
      <c r="B48" s="104">
        <f>SUM(B29:B30)</f>
        <v>11091789.278270831</v>
      </c>
      <c r="C48" s="104">
        <f t="shared" ref="C48:M48" si="15">SUM(C29:C30)</f>
        <v>10641085.632750001</v>
      </c>
      <c r="D48" s="104">
        <f t="shared" si="15"/>
        <v>12679793.460125834</v>
      </c>
      <c r="E48" s="104">
        <f t="shared" si="15"/>
        <v>12414385.092618749</v>
      </c>
      <c r="F48" s="104">
        <f t="shared" si="15"/>
        <v>12188108.514784165</v>
      </c>
      <c r="G48" s="104">
        <f t="shared" si="15"/>
        <v>11254174.920044998</v>
      </c>
      <c r="H48" s="104">
        <f t="shared" si="15"/>
        <v>10410076.210000001</v>
      </c>
      <c r="I48" s="104">
        <f t="shared" si="15"/>
        <v>12316512.600000001</v>
      </c>
      <c r="J48" s="104">
        <f t="shared" si="15"/>
        <v>11363197.109999999</v>
      </c>
      <c r="K48" s="104">
        <f t="shared" si="15"/>
        <v>12728558.040597919</v>
      </c>
      <c r="L48" s="104">
        <f t="shared" si="15"/>
        <v>10311071.990835</v>
      </c>
      <c r="M48" s="104">
        <f t="shared" si="15"/>
        <v>14610213.795452083</v>
      </c>
      <c r="N48" s="104">
        <f t="shared" si="4"/>
        <v>142008966.64547956</v>
      </c>
    </row>
    <row r="49" spans="1:14" x14ac:dyDescent="0.2">
      <c r="A49" s="82" t="s">
        <v>15</v>
      </c>
      <c r="B49" s="104">
        <f>B31</f>
        <v>3376573</v>
      </c>
      <c r="C49" s="104">
        <f t="shared" ref="C49:M49" si="16">C31</f>
        <v>4414906</v>
      </c>
      <c r="D49" s="104">
        <f t="shared" si="16"/>
        <v>2630513</v>
      </c>
      <c r="E49" s="104">
        <f t="shared" si="16"/>
        <v>2564284</v>
      </c>
      <c r="F49" s="104">
        <f t="shared" si="16"/>
        <v>1925391</v>
      </c>
      <c r="G49" s="104">
        <f t="shared" si="16"/>
        <v>1922345</v>
      </c>
      <c r="H49" s="104">
        <f t="shared" si="16"/>
        <v>1684994</v>
      </c>
      <c r="I49" s="104">
        <f t="shared" si="16"/>
        <v>1546823</v>
      </c>
      <c r="J49" s="104">
        <f t="shared" si="16"/>
        <v>1699014</v>
      </c>
      <c r="K49" s="104">
        <f t="shared" si="16"/>
        <v>2410628</v>
      </c>
      <c r="L49" s="104">
        <f t="shared" si="16"/>
        <v>3256750</v>
      </c>
      <c r="M49" s="104">
        <f t="shared" si="16"/>
        <v>3535679</v>
      </c>
      <c r="N49" s="104">
        <f t="shared" si="4"/>
        <v>30967900</v>
      </c>
    </row>
    <row r="50" spans="1:14" x14ac:dyDescent="0.2">
      <c r="A50" s="30" t="s">
        <v>16</v>
      </c>
      <c r="B50" s="108">
        <f>SUM(B36:B49)</f>
        <v>165569859.17264584</v>
      </c>
      <c r="C50" s="108">
        <f t="shared" ref="C50:N50" si="17">SUM(C36:C49)</f>
        <v>152986548.49312499</v>
      </c>
      <c r="D50" s="108">
        <f t="shared" si="17"/>
        <v>136402833.19849426</v>
      </c>
      <c r="E50" s="108">
        <f t="shared" si="17"/>
        <v>105977759.87340903</v>
      </c>
      <c r="F50" s="108">
        <f t="shared" si="17"/>
        <v>72708699.037193194</v>
      </c>
      <c r="G50" s="108">
        <f t="shared" si="17"/>
        <v>57924936.63183666</v>
      </c>
      <c r="H50" s="108">
        <f t="shared" si="17"/>
        <v>46392590.804500006</v>
      </c>
      <c r="I50" s="108">
        <f t="shared" si="17"/>
        <v>50072400.208999999</v>
      </c>
      <c r="J50" s="108">
        <f t="shared" si="17"/>
        <v>56200755.743500002</v>
      </c>
      <c r="K50" s="108">
        <f t="shared" si="17"/>
        <v>95477254.310390279</v>
      </c>
      <c r="L50" s="108">
        <f t="shared" si="17"/>
        <v>139158832.588285</v>
      </c>
      <c r="M50" s="108">
        <f t="shared" si="17"/>
        <v>173870532.34545556</v>
      </c>
      <c r="N50" s="108">
        <f t="shared" si="17"/>
        <v>1252743002.407835</v>
      </c>
    </row>
    <row r="51" spans="1:14" x14ac:dyDescent="0.2">
      <c r="B51" s="107"/>
      <c r="C51" s="107"/>
      <c r="D51" s="107"/>
      <c r="E51" s="107"/>
      <c r="F51" s="107"/>
      <c r="G51" s="107"/>
      <c r="H51" s="107"/>
      <c r="I51" s="107"/>
      <c r="J51" s="107"/>
      <c r="K51" s="107"/>
      <c r="L51" s="107"/>
      <c r="M51" s="107"/>
      <c r="N51" s="107"/>
    </row>
    <row r="52" spans="1:14" x14ac:dyDescent="0.2">
      <c r="A52" s="109"/>
      <c r="B52" s="104"/>
      <c r="C52" s="104"/>
      <c r="D52" s="104"/>
      <c r="E52" s="104"/>
      <c r="F52" s="104"/>
      <c r="G52" s="104"/>
      <c r="H52" s="104"/>
      <c r="I52" s="104"/>
      <c r="J52" s="104"/>
      <c r="K52" s="104"/>
      <c r="L52" s="104"/>
      <c r="M52" s="104"/>
      <c r="N52" s="104"/>
    </row>
    <row r="53" spans="1:14" x14ac:dyDescent="0.2">
      <c r="A53" s="110"/>
      <c r="B53" s="104"/>
      <c r="C53" s="104"/>
      <c r="D53" s="104"/>
      <c r="E53" s="104"/>
      <c r="F53" s="104"/>
      <c r="G53" s="104"/>
      <c r="H53" s="104"/>
      <c r="I53" s="104"/>
      <c r="J53" s="104"/>
      <c r="K53" s="104"/>
      <c r="L53" s="104"/>
      <c r="M53" s="104"/>
      <c r="N53" s="104"/>
    </row>
  </sheetData>
  <mergeCells count="4">
    <mergeCell ref="A1:N1"/>
    <mergeCell ref="A2:N2"/>
    <mergeCell ref="A3:N3"/>
    <mergeCell ref="A4:N4"/>
  </mergeCells>
  <printOptions horizontalCentered="1"/>
  <pageMargins left="0.75" right="0.75" top="0.78" bottom="1" header="0.5" footer="0.5"/>
  <pageSetup scale="60" orientation="landscape" blackAndWhite="1" horizontalDpi="300" verticalDpi="300" r:id="rId1"/>
  <headerFooter alignWithMargins="0">
    <oddFooter>&amp;L&amp;F
&amp;A&amp;C&amp;P&amp;R&amp;D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L70"/>
  <sheetViews>
    <sheetView zoomScale="90" zoomScaleNormal="90" workbookViewId="0">
      <pane xSplit="4" ySplit="6" topLeftCell="AC10" activePane="bottomRight" state="frozen"/>
      <selection activeCell="N36" sqref="N36:N43"/>
      <selection pane="topRight" activeCell="N36" sqref="N36:N43"/>
      <selection pane="bottomLeft" activeCell="N36" sqref="N36:N43"/>
      <selection pane="bottomRight"/>
    </sheetView>
  </sheetViews>
  <sheetFormatPr defaultRowHeight="12.75" x14ac:dyDescent="0.2"/>
  <cols>
    <col min="1" max="1" width="3.42578125" style="30" customWidth="1"/>
    <col min="2" max="2" width="23.140625" style="30" bestFit="1" customWidth="1"/>
    <col min="3" max="3" width="5.5703125" style="30" customWidth="1"/>
    <col min="4" max="4" width="13.28515625" style="30" bestFit="1" customWidth="1"/>
    <col min="5" max="7" width="12.28515625" style="30" bestFit="1" customWidth="1"/>
    <col min="8" max="64" width="13.85546875" style="30" bestFit="1" customWidth="1"/>
    <col min="65" max="236" width="9.140625" style="30"/>
    <col min="237" max="237" width="12.140625" style="30" customWidth="1"/>
    <col min="238" max="238" width="14.7109375" style="30" bestFit="1" customWidth="1"/>
    <col min="239" max="239" width="12.7109375" style="30" bestFit="1" customWidth="1"/>
    <col min="240" max="240" width="13.7109375" style="30" bestFit="1" customWidth="1"/>
    <col min="241" max="241" width="12.7109375" style="30" bestFit="1" customWidth="1"/>
    <col min="242" max="242" width="12.28515625" style="30" bestFit="1" customWidth="1"/>
    <col min="243" max="243" width="12.7109375" style="30" bestFit="1" customWidth="1"/>
    <col min="244" max="244" width="12.42578125" style="30" bestFit="1" customWidth="1"/>
    <col min="245" max="245" width="12.5703125" style="30" bestFit="1" customWidth="1"/>
    <col min="246" max="246" width="13.7109375" style="30" bestFit="1" customWidth="1"/>
    <col min="247" max="251" width="13.7109375" style="30" customWidth="1"/>
    <col min="252" max="252" width="16" style="30" customWidth="1"/>
    <col min="253" max="254" width="14" style="30" bestFit="1" customWidth="1"/>
    <col min="255" max="255" width="4.7109375" style="30" bestFit="1" customWidth="1"/>
    <col min="256" max="492" width="9.140625" style="30"/>
    <col min="493" max="493" width="12.140625" style="30" customWidth="1"/>
    <col min="494" max="494" width="14.7109375" style="30" bestFit="1" customWidth="1"/>
    <col min="495" max="495" width="12.7109375" style="30" bestFit="1" customWidth="1"/>
    <col min="496" max="496" width="13.7109375" style="30" bestFit="1" customWidth="1"/>
    <col min="497" max="497" width="12.7109375" style="30" bestFit="1" customWidth="1"/>
    <col min="498" max="498" width="12.28515625" style="30" bestFit="1" customWidth="1"/>
    <col min="499" max="499" width="12.7109375" style="30" bestFit="1" customWidth="1"/>
    <col min="500" max="500" width="12.42578125" style="30" bestFit="1" customWidth="1"/>
    <col min="501" max="501" width="12.5703125" style="30" bestFit="1" customWidth="1"/>
    <col min="502" max="502" width="13.7109375" style="30" bestFit="1" customWidth="1"/>
    <col min="503" max="507" width="13.7109375" style="30" customWidth="1"/>
    <col min="508" max="508" width="16" style="30" customWidth="1"/>
    <col min="509" max="510" width="14" style="30" bestFit="1" customWidth="1"/>
    <col min="511" max="511" width="4.7109375" style="30" bestFit="1" customWidth="1"/>
    <col min="512" max="748" width="9.140625" style="30"/>
    <col min="749" max="749" width="12.140625" style="30" customWidth="1"/>
    <col min="750" max="750" width="14.7109375" style="30" bestFit="1" customWidth="1"/>
    <col min="751" max="751" width="12.7109375" style="30" bestFit="1" customWidth="1"/>
    <col min="752" max="752" width="13.7109375" style="30" bestFit="1" customWidth="1"/>
    <col min="753" max="753" width="12.7109375" style="30" bestFit="1" customWidth="1"/>
    <col min="754" max="754" width="12.28515625" style="30" bestFit="1" customWidth="1"/>
    <col min="755" max="755" width="12.7109375" style="30" bestFit="1" customWidth="1"/>
    <col min="756" max="756" width="12.42578125" style="30" bestFit="1" customWidth="1"/>
    <col min="757" max="757" width="12.5703125" style="30" bestFit="1" customWidth="1"/>
    <col min="758" max="758" width="13.7109375" style="30" bestFit="1" customWidth="1"/>
    <col min="759" max="763" width="13.7109375" style="30" customWidth="1"/>
    <col min="764" max="764" width="16" style="30" customWidth="1"/>
    <col min="765" max="766" width="14" style="30" bestFit="1" customWidth="1"/>
    <col min="767" max="767" width="4.7109375" style="30" bestFit="1" customWidth="1"/>
    <col min="768" max="1004" width="9.140625" style="30"/>
    <col min="1005" max="1005" width="12.140625" style="30" customWidth="1"/>
    <col min="1006" max="1006" width="14.7109375" style="30" bestFit="1" customWidth="1"/>
    <col min="1007" max="1007" width="12.7109375" style="30" bestFit="1" customWidth="1"/>
    <col min="1008" max="1008" width="13.7109375" style="30" bestFit="1" customWidth="1"/>
    <col min="1009" max="1009" width="12.7109375" style="30" bestFit="1" customWidth="1"/>
    <col min="1010" max="1010" width="12.28515625" style="30" bestFit="1" customWidth="1"/>
    <col min="1011" max="1011" width="12.7109375" style="30" bestFit="1" customWidth="1"/>
    <col min="1012" max="1012" width="12.42578125" style="30" bestFit="1" customWidth="1"/>
    <col min="1013" max="1013" width="12.5703125" style="30" bestFit="1" customWidth="1"/>
    <col min="1014" max="1014" width="13.7109375" style="30" bestFit="1" customWidth="1"/>
    <col min="1015" max="1019" width="13.7109375" style="30" customWidth="1"/>
    <col min="1020" max="1020" width="16" style="30" customWidth="1"/>
    <col min="1021" max="1022" width="14" style="30" bestFit="1" customWidth="1"/>
    <col min="1023" max="1023" width="4.7109375" style="30" bestFit="1" customWidth="1"/>
    <col min="1024" max="1260" width="9.140625" style="30"/>
    <col min="1261" max="1261" width="12.140625" style="30" customWidth="1"/>
    <col min="1262" max="1262" width="14.7109375" style="30" bestFit="1" customWidth="1"/>
    <col min="1263" max="1263" width="12.7109375" style="30" bestFit="1" customWidth="1"/>
    <col min="1264" max="1264" width="13.7109375" style="30" bestFit="1" customWidth="1"/>
    <col min="1265" max="1265" width="12.7109375" style="30" bestFit="1" customWidth="1"/>
    <col min="1266" max="1266" width="12.28515625" style="30" bestFit="1" customWidth="1"/>
    <col min="1267" max="1267" width="12.7109375" style="30" bestFit="1" customWidth="1"/>
    <col min="1268" max="1268" width="12.42578125" style="30" bestFit="1" customWidth="1"/>
    <col min="1269" max="1269" width="12.5703125" style="30" bestFit="1" customWidth="1"/>
    <col min="1270" max="1270" width="13.7109375" style="30" bestFit="1" customWidth="1"/>
    <col min="1271" max="1275" width="13.7109375" style="30" customWidth="1"/>
    <col min="1276" max="1276" width="16" style="30" customWidth="1"/>
    <col min="1277" max="1278" width="14" style="30" bestFit="1" customWidth="1"/>
    <col min="1279" max="1279" width="4.7109375" style="30" bestFit="1" customWidth="1"/>
    <col min="1280" max="1516" width="9.140625" style="30"/>
    <col min="1517" max="1517" width="12.140625" style="30" customWidth="1"/>
    <col min="1518" max="1518" width="14.7109375" style="30" bestFit="1" customWidth="1"/>
    <col min="1519" max="1519" width="12.7109375" style="30" bestFit="1" customWidth="1"/>
    <col min="1520" max="1520" width="13.7109375" style="30" bestFit="1" customWidth="1"/>
    <col min="1521" max="1521" width="12.7109375" style="30" bestFit="1" customWidth="1"/>
    <col min="1522" max="1522" width="12.28515625" style="30" bestFit="1" customWidth="1"/>
    <col min="1523" max="1523" width="12.7109375" style="30" bestFit="1" customWidth="1"/>
    <col min="1524" max="1524" width="12.42578125" style="30" bestFit="1" customWidth="1"/>
    <col min="1525" max="1525" width="12.5703125" style="30" bestFit="1" customWidth="1"/>
    <col min="1526" max="1526" width="13.7109375" style="30" bestFit="1" customWidth="1"/>
    <col min="1527" max="1531" width="13.7109375" style="30" customWidth="1"/>
    <col min="1532" max="1532" width="16" style="30" customWidth="1"/>
    <col min="1533" max="1534" width="14" style="30" bestFit="1" customWidth="1"/>
    <col min="1535" max="1535" width="4.7109375" style="30" bestFit="1" customWidth="1"/>
    <col min="1536" max="1772" width="9.140625" style="30"/>
    <col min="1773" max="1773" width="12.140625" style="30" customWidth="1"/>
    <col min="1774" max="1774" width="14.7109375" style="30" bestFit="1" customWidth="1"/>
    <col min="1775" max="1775" width="12.7109375" style="30" bestFit="1" customWidth="1"/>
    <col min="1776" max="1776" width="13.7109375" style="30" bestFit="1" customWidth="1"/>
    <col min="1777" max="1777" width="12.7109375" style="30" bestFit="1" customWidth="1"/>
    <col min="1778" max="1778" width="12.28515625" style="30" bestFit="1" customWidth="1"/>
    <col min="1779" max="1779" width="12.7109375" style="30" bestFit="1" customWidth="1"/>
    <col min="1780" max="1780" width="12.42578125" style="30" bestFit="1" customWidth="1"/>
    <col min="1781" max="1781" width="12.5703125" style="30" bestFit="1" customWidth="1"/>
    <col min="1782" max="1782" width="13.7109375" style="30" bestFit="1" customWidth="1"/>
    <col min="1783" max="1787" width="13.7109375" style="30" customWidth="1"/>
    <col min="1788" max="1788" width="16" style="30" customWidth="1"/>
    <col min="1789" max="1790" width="14" style="30" bestFit="1" customWidth="1"/>
    <col min="1791" max="1791" width="4.7109375" style="30" bestFit="1" customWidth="1"/>
    <col min="1792" max="2028" width="9.140625" style="30"/>
    <col min="2029" max="2029" width="12.140625" style="30" customWidth="1"/>
    <col min="2030" max="2030" width="14.7109375" style="30" bestFit="1" customWidth="1"/>
    <col min="2031" max="2031" width="12.7109375" style="30" bestFit="1" customWidth="1"/>
    <col min="2032" max="2032" width="13.7109375" style="30" bestFit="1" customWidth="1"/>
    <col min="2033" max="2033" width="12.7109375" style="30" bestFit="1" customWidth="1"/>
    <col min="2034" max="2034" width="12.28515625" style="30" bestFit="1" customWidth="1"/>
    <col min="2035" max="2035" width="12.7109375" style="30" bestFit="1" customWidth="1"/>
    <col min="2036" max="2036" width="12.42578125" style="30" bestFit="1" customWidth="1"/>
    <col min="2037" max="2037" width="12.5703125" style="30" bestFit="1" customWidth="1"/>
    <col min="2038" max="2038" width="13.7109375" style="30" bestFit="1" customWidth="1"/>
    <col min="2039" max="2043" width="13.7109375" style="30" customWidth="1"/>
    <col min="2044" max="2044" width="16" style="30" customWidth="1"/>
    <col min="2045" max="2046" width="14" style="30" bestFit="1" customWidth="1"/>
    <col min="2047" max="2047" width="4.7109375" style="30" bestFit="1" customWidth="1"/>
    <col min="2048" max="2284" width="9.140625" style="30"/>
    <col min="2285" max="2285" width="12.140625" style="30" customWidth="1"/>
    <col min="2286" max="2286" width="14.7109375" style="30" bestFit="1" customWidth="1"/>
    <col min="2287" max="2287" width="12.7109375" style="30" bestFit="1" customWidth="1"/>
    <col min="2288" max="2288" width="13.7109375" style="30" bestFit="1" customWidth="1"/>
    <col min="2289" max="2289" width="12.7109375" style="30" bestFit="1" customWidth="1"/>
    <col min="2290" max="2290" width="12.28515625" style="30" bestFit="1" customWidth="1"/>
    <col min="2291" max="2291" width="12.7109375" style="30" bestFit="1" customWidth="1"/>
    <col min="2292" max="2292" width="12.42578125" style="30" bestFit="1" customWidth="1"/>
    <col min="2293" max="2293" width="12.5703125" style="30" bestFit="1" customWidth="1"/>
    <col min="2294" max="2294" width="13.7109375" style="30" bestFit="1" customWidth="1"/>
    <col min="2295" max="2299" width="13.7109375" style="30" customWidth="1"/>
    <col min="2300" max="2300" width="16" style="30" customWidth="1"/>
    <col min="2301" max="2302" width="14" style="30" bestFit="1" customWidth="1"/>
    <col min="2303" max="2303" width="4.7109375" style="30" bestFit="1" customWidth="1"/>
    <col min="2304" max="2540" width="9.140625" style="30"/>
    <col min="2541" max="2541" width="12.140625" style="30" customWidth="1"/>
    <col min="2542" max="2542" width="14.7109375" style="30" bestFit="1" customWidth="1"/>
    <col min="2543" max="2543" width="12.7109375" style="30" bestFit="1" customWidth="1"/>
    <col min="2544" max="2544" width="13.7109375" style="30" bestFit="1" customWidth="1"/>
    <col min="2545" max="2545" width="12.7109375" style="30" bestFit="1" customWidth="1"/>
    <col min="2546" max="2546" width="12.28515625" style="30" bestFit="1" customWidth="1"/>
    <col min="2547" max="2547" width="12.7109375" style="30" bestFit="1" customWidth="1"/>
    <col min="2548" max="2548" width="12.42578125" style="30" bestFit="1" customWidth="1"/>
    <col min="2549" max="2549" width="12.5703125" style="30" bestFit="1" customWidth="1"/>
    <col min="2550" max="2550" width="13.7109375" style="30" bestFit="1" customWidth="1"/>
    <col min="2551" max="2555" width="13.7109375" style="30" customWidth="1"/>
    <col min="2556" max="2556" width="16" style="30" customWidth="1"/>
    <col min="2557" max="2558" width="14" style="30" bestFit="1" customWidth="1"/>
    <col min="2559" max="2559" width="4.7109375" style="30" bestFit="1" customWidth="1"/>
    <col min="2560" max="2796" width="9.140625" style="30"/>
    <col min="2797" max="2797" width="12.140625" style="30" customWidth="1"/>
    <col min="2798" max="2798" width="14.7109375" style="30" bestFit="1" customWidth="1"/>
    <col min="2799" max="2799" width="12.7109375" style="30" bestFit="1" customWidth="1"/>
    <col min="2800" max="2800" width="13.7109375" style="30" bestFit="1" customWidth="1"/>
    <col min="2801" max="2801" width="12.7109375" style="30" bestFit="1" customWidth="1"/>
    <col min="2802" max="2802" width="12.28515625" style="30" bestFit="1" customWidth="1"/>
    <col min="2803" max="2803" width="12.7109375" style="30" bestFit="1" customWidth="1"/>
    <col min="2804" max="2804" width="12.42578125" style="30" bestFit="1" customWidth="1"/>
    <col min="2805" max="2805" width="12.5703125" style="30" bestFit="1" customWidth="1"/>
    <col min="2806" max="2806" width="13.7109375" style="30" bestFit="1" customWidth="1"/>
    <col min="2807" max="2811" width="13.7109375" style="30" customWidth="1"/>
    <col min="2812" max="2812" width="16" style="30" customWidth="1"/>
    <col min="2813" max="2814" width="14" style="30" bestFit="1" customWidth="1"/>
    <col min="2815" max="2815" width="4.7109375" style="30" bestFit="1" customWidth="1"/>
    <col min="2816" max="3052" width="9.140625" style="30"/>
    <col min="3053" max="3053" width="12.140625" style="30" customWidth="1"/>
    <col min="3054" max="3054" width="14.7109375" style="30" bestFit="1" customWidth="1"/>
    <col min="3055" max="3055" width="12.7109375" style="30" bestFit="1" customWidth="1"/>
    <col min="3056" max="3056" width="13.7109375" style="30" bestFit="1" customWidth="1"/>
    <col min="3057" max="3057" width="12.7109375" style="30" bestFit="1" customWidth="1"/>
    <col min="3058" max="3058" width="12.28515625" style="30" bestFit="1" customWidth="1"/>
    <col min="3059" max="3059" width="12.7109375" style="30" bestFit="1" customWidth="1"/>
    <col min="3060" max="3060" width="12.42578125" style="30" bestFit="1" customWidth="1"/>
    <col min="3061" max="3061" width="12.5703125" style="30" bestFit="1" customWidth="1"/>
    <col min="3062" max="3062" width="13.7109375" style="30" bestFit="1" customWidth="1"/>
    <col min="3063" max="3067" width="13.7109375" style="30" customWidth="1"/>
    <col min="3068" max="3068" width="16" style="30" customWidth="1"/>
    <col min="3069" max="3070" width="14" style="30" bestFit="1" customWidth="1"/>
    <col min="3071" max="3071" width="4.7109375" style="30" bestFit="1" customWidth="1"/>
    <col min="3072" max="3308" width="9.140625" style="30"/>
    <col min="3309" max="3309" width="12.140625" style="30" customWidth="1"/>
    <col min="3310" max="3310" width="14.7109375" style="30" bestFit="1" customWidth="1"/>
    <col min="3311" max="3311" width="12.7109375" style="30" bestFit="1" customWidth="1"/>
    <col min="3312" max="3312" width="13.7109375" style="30" bestFit="1" customWidth="1"/>
    <col min="3313" max="3313" width="12.7109375" style="30" bestFit="1" customWidth="1"/>
    <col min="3314" max="3314" width="12.28515625" style="30" bestFit="1" customWidth="1"/>
    <col min="3315" max="3315" width="12.7109375" style="30" bestFit="1" customWidth="1"/>
    <col min="3316" max="3316" width="12.42578125" style="30" bestFit="1" customWidth="1"/>
    <col min="3317" max="3317" width="12.5703125" style="30" bestFit="1" customWidth="1"/>
    <col min="3318" max="3318" width="13.7109375" style="30" bestFit="1" customWidth="1"/>
    <col min="3319" max="3323" width="13.7109375" style="30" customWidth="1"/>
    <col min="3324" max="3324" width="16" style="30" customWidth="1"/>
    <col min="3325" max="3326" width="14" style="30" bestFit="1" customWidth="1"/>
    <col min="3327" max="3327" width="4.7109375" style="30" bestFit="1" customWidth="1"/>
    <col min="3328" max="3564" width="9.140625" style="30"/>
    <col min="3565" max="3565" width="12.140625" style="30" customWidth="1"/>
    <col min="3566" max="3566" width="14.7109375" style="30" bestFit="1" customWidth="1"/>
    <col min="3567" max="3567" width="12.7109375" style="30" bestFit="1" customWidth="1"/>
    <col min="3568" max="3568" width="13.7109375" style="30" bestFit="1" customWidth="1"/>
    <col min="3569" max="3569" width="12.7109375" style="30" bestFit="1" customWidth="1"/>
    <col min="3570" max="3570" width="12.28515625" style="30" bestFit="1" customWidth="1"/>
    <col min="3571" max="3571" width="12.7109375" style="30" bestFit="1" customWidth="1"/>
    <col min="3572" max="3572" width="12.42578125" style="30" bestFit="1" customWidth="1"/>
    <col min="3573" max="3573" width="12.5703125" style="30" bestFit="1" customWidth="1"/>
    <col min="3574" max="3574" width="13.7109375" style="30" bestFit="1" customWidth="1"/>
    <col min="3575" max="3579" width="13.7109375" style="30" customWidth="1"/>
    <col min="3580" max="3580" width="16" style="30" customWidth="1"/>
    <col min="3581" max="3582" width="14" style="30" bestFit="1" customWidth="1"/>
    <col min="3583" max="3583" width="4.7109375" style="30" bestFit="1" customWidth="1"/>
    <col min="3584" max="3820" width="9.140625" style="30"/>
    <col min="3821" max="3821" width="12.140625" style="30" customWidth="1"/>
    <col min="3822" max="3822" width="14.7109375" style="30" bestFit="1" customWidth="1"/>
    <col min="3823" max="3823" width="12.7109375" style="30" bestFit="1" customWidth="1"/>
    <col min="3824" max="3824" width="13.7109375" style="30" bestFit="1" customWidth="1"/>
    <col min="3825" max="3825" width="12.7109375" style="30" bestFit="1" customWidth="1"/>
    <col min="3826" max="3826" width="12.28515625" style="30" bestFit="1" customWidth="1"/>
    <col min="3827" max="3827" width="12.7109375" style="30" bestFit="1" customWidth="1"/>
    <col min="3828" max="3828" width="12.42578125" style="30" bestFit="1" customWidth="1"/>
    <col min="3829" max="3829" width="12.5703125" style="30" bestFit="1" customWidth="1"/>
    <col min="3830" max="3830" width="13.7109375" style="30" bestFit="1" customWidth="1"/>
    <col min="3831" max="3835" width="13.7109375" style="30" customWidth="1"/>
    <col min="3836" max="3836" width="16" style="30" customWidth="1"/>
    <col min="3837" max="3838" width="14" style="30" bestFit="1" customWidth="1"/>
    <col min="3839" max="3839" width="4.7109375" style="30" bestFit="1" customWidth="1"/>
    <col min="3840" max="4076" width="9.140625" style="30"/>
    <col min="4077" max="4077" width="12.140625" style="30" customWidth="1"/>
    <col min="4078" max="4078" width="14.7109375" style="30" bestFit="1" customWidth="1"/>
    <col min="4079" max="4079" width="12.7109375" style="30" bestFit="1" customWidth="1"/>
    <col min="4080" max="4080" width="13.7109375" style="30" bestFit="1" customWidth="1"/>
    <col min="4081" max="4081" width="12.7109375" style="30" bestFit="1" customWidth="1"/>
    <col min="4082" max="4082" width="12.28515625" style="30" bestFit="1" customWidth="1"/>
    <col min="4083" max="4083" width="12.7109375" style="30" bestFit="1" customWidth="1"/>
    <col min="4084" max="4084" width="12.42578125" style="30" bestFit="1" customWidth="1"/>
    <col min="4085" max="4085" width="12.5703125" style="30" bestFit="1" customWidth="1"/>
    <col min="4086" max="4086" width="13.7109375" style="30" bestFit="1" customWidth="1"/>
    <col min="4087" max="4091" width="13.7109375" style="30" customWidth="1"/>
    <col min="4092" max="4092" width="16" style="30" customWidth="1"/>
    <col min="4093" max="4094" width="14" style="30" bestFit="1" customWidth="1"/>
    <col min="4095" max="4095" width="4.7109375" style="30" bestFit="1" customWidth="1"/>
    <col min="4096" max="4332" width="9.140625" style="30"/>
    <col min="4333" max="4333" width="12.140625" style="30" customWidth="1"/>
    <col min="4334" max="4334" width="14.7109375" style="30" bestFit="1" customWidth="1"/>
    <col min="4335" max="4335" width="12.7109375" style="30" bestFit="1" customWidth="1"/>
    <col min="4336" max="4336" width="13.7109375" style="30" bestFit="1" customWidth="1"/>
    <col min="4337" max="4337" width="12.7109375" style="30" bestFit="1" customWidth="1"/>
    <col min="4338" max="4338" width="12.28515625" style="30" bestFit="1" customWidth="1"/>
    <col min="4339" max="4339" width="12.7109375" style="30" bestFit="1" customWidth="1"/>
    <col min="4340" max="4340" width="12.42578125" style="30" bestFit="1" customWidth="1"/>
    <col min="4341" max="4341" width="12.5703125" style="30" bestFit="1" customWidth="1"/>
    <col min="4342" max="4342" width="13.7109375" style="30" bestFit="1" customWidth="1"/>
    <col min="4343" max="4347" width="13.7109375" style="30" customWidth="1"/>
    <col min="4348" max="4348" width="16" style="30" customWidth="1"/>
    <col min="4349" max="4350" width="14" style="30" bestFit="1" customWidth="1"/>
    <col min="4351" max="4351" width="4.7109375" style="30" bestFit="1" customWidth="1"/>
    <col min="4352" max="4588" width="9.140625" style="30"/>
    <col min="4589" max="4589" width="12.140625" style="30" customWidth="1"/>
    <col min="4590" max="4590" width="14.7109375" style="30" bestFit="1" customWidth="1"/>
    <col min="4591" max="4591" width="12.7109375" style="30" bestFit="1" customWidth="1"/>
    <col min="4592" max="4592" width="13.7109375" style="30" bestFit="1" customWidth="1"/>
    <col min="4593" max="4593" width="12.7109375" style="30" bestFit="1" customWidth="1"/>
    <col min="4594" max="4594" width="12.28515625" style="30" bestFit="1" customWidth="1"/>
    <col min="4595" max="4595" width="12.7109375" style="30" bestFit="1" customWidth="1"/>
    <col min="4596" max="4596" width="12.42578125" style="30" bestFit="1" customWidth="1"/>
    <col min="4597" max="4597" width="12.5703125" style="30" bestFit="1" customWidth="1"/>
    <col min="4598" max="4598" width="13.7109375" style="30" bestFit="1" customWidth="1"/>
    <col min="4599" max="4603" width="13.7109375" style="30" customWidth="1"/>
    <col min="4604" max="4604" width="16" style="30" customWidth="1"/>
    <col min="4605" max="4606" width="14" style="30" bestFit="1" customWidth="1"/>
    <col min="4607" max="4607" width="4.7109375" style="30" bestFit="1" customWidth="1"/>
    <col min="4608" max="4844" width="9.140625" style="30"/>
    <col min="4845" max="4845" width="12.140625" style="30" customWidth="1"/>
    <col min="4846" max="4846" width="14.7109375" style="30" bestFit="1" customWidth="1"/>
    <col min="4847" max="4847" width="12.7109375" style="30" bestFit="1" customWidth="1"/>
    <col min="4848" max="4848" width="13.7109375" style="30" bestFit="1" customWidth="1"/>
    <col min="4849" max="4849" width="12.7109375" style="30" bestFit="1" customWidth="1"/>
    <col min="4850" max="4850" width="12.28515625" style="30" bestFit="1" customWidth="1"/>
    <col min="4851" max="4851" width="12.7109375" style="30" bestFit="1" customWidth="1"/>
    <col min="4852" max="4852" width="12.42578125" style="30" bestFit="1" customWidth="1"/>
    <col min="4853" max="4853" width="12.5703125" style="30" bestFit="1" customWidth="1"/>
    <col min="4854" max="4854" width="13.7109375" style="30" bestFit="1" customWidth="1"/>
    <col min="4855" max="4859" width="13.7109375" style="30" customWidth="1"/>
    <col min="4860" max="4860" width="16" style="30" customWidth="1"/>
    <col min="4861" max="4862" width="14" style="30" bestFit="1" customWidth="1"/>
    <col min="4863" max="4863" width="4.7109375" style="30" bestFit="1" customWidth="1"/>
    <col min="4864" max="5100" width="9.140625" style="30"/>
    <col min="5101" max="5101" width="12.140625" style="30" customWidth="1"/>
    <col min="5102" max="5102" width="14.7109375" style="30" bestFit="1" customWidth="1"/>
    <col min="5103" max="5103" width="12.7109375" style="30" bestFit="1" customWidth="1"/>
    <col min="5104" max="5104" width="13.7109375" style="30" bestFit="1" customWidth="1"/>
    <col min="5105" max="5105" width="12.7109375" style="30" bestFit="1" customWidth="1"/>
    <col min="5106" max="5106" width="12.28515625" style="30" bestFit="1" customWidth="1"/>
    <col min="5107" max="5107" width="12.7109375" style="30" bestFit="1" customWidth="1"/>
    <col min="5108" max="5108" width="12.42578125" style="30" bestFit="1" customWidth="1"/>
    <col min="5109" max="5109" width="12.5703125" style="30" bestFit="1" customWidth="1"/>
    <col min="5110" max="5110" width="13.7109375" style="30" bestFit="1" customWidth="1"/>
    <col min="5111" max="5115" width="13.7109375" style="30" customWidth="1"/>
    <col min="5116" max="5116" width="16" style="30" customWidth="1"/>
    <col min="5117" max="5118" width="14" style="30" bestFit="1" customWidth="1"/>
    <col min="5119" max="5119" width="4.7109375" style="30" bestFit="1" customWidth="1"/>
    <col min="5120" max="5356" width="9.140625" style="30"/>
    <col min="5357" max="5357" width="12.140625" style="30" customWidth="1"/>
    <col min="5358" max="5358" width="14.7109375" style="30" bestFit="1" customWidth="1"/>
    <col min="5359" max="5359" width="12.7109375" style="30" bestFit="1" customWidth="1"/>
    <col min="5360" max="5360" width="13.7109375" style="30" bestFit="1" customWidth="1"/>
    <col min="5361" max="5361" width="12.7109375" style="30" bestFit="1" customWidth="1"/>
    <col min="5362" max="5362" width="12.28515625" style="30" bestFit="1" customWidth="1"/>
    <col min="5363" max="5363" width="12.7109375" style="30" bestFit="1" customWidth="1"/>
    <col min="5364" max="5364" width="12.42578125" style="30" bestFit="1" customWidth="1"/>
    <col min="5365" max="5365" width="12.5703125" style="30" bestFit="1" customWidth="1"/>
    <col min="5366" max="5366" width="13.7109375" style="30" bestFit="1" customWidth="1"/>
    <col min="5367" max="5371" width="13.7109375" style="30" customWidth="1"/>
    <col min="5372" max="5372" width="16" style="30" customWidth="1"/>
    <col min="5373" max="5374" width="14" style="30" bestFit="1" customWidth="1"/>
    <col min="5375" max="5375" width="4.7109375" style="30" bestFit="1" customWidth="1"/>
    <col min="5376" max="5612" width="9.140625" style="30"/>
    <col min="5613" max="5613" width="12.140625" style="30" customWidth="1"/>
    <col min="5614" max="5614" width="14.7109375" style="30" bestFit="1" customWidth="1"/>
    <col min="5615" max="5615" width="12.7109375" style="30" bestFit="1" customWidth="1"/>
    <col min="5616" max="5616" width="13.7109375" style="30" bestFit="1" customWidth="1"/>
    <col min="5617" max="5617" width="12.7109375" style="30" bestFit="1" customWidth="1"/>
    <col min="5618" max="5618" width="12.28515625" style="30" bestFit="1" customWidth="1"/>
    <col min="5619" max="5619" width="12.7109375" style="30" bestFit="1" customWidth="1"/>
    <col min="5620" max="5620" width="12.42578125" style="30" bestFit="1" customWidth="1"/>
    <col min="5621" max="5621" width="12.5703125" style="30" bestFit="1" customWidth="1"/>
    <col min="5622" max="5622" width="13.7109375" style="30" bestFit="1" customWidth="1"/>
    <col min="5623" max="5627" width="13.7109375" style="30" customWidth="1"/>
    <col min="5628" max="5628" width="16" style="30" customWidth="1"/>
    <col min="5629" max="5630" width="14" style="30" bestFit="1" customWidth="1"/>
    <col min="5631" max="5631" width="4.7109375" style="30" bestFit="1" customWidth="1"/>
    <col min="5632" max="5868" width="9.140625" style="30"/>
    <col min="5869" max="5869" width="12.140625" style="30" customWidth="1"/>
    <col min="5870" max="5870" width="14.7109375" style="30" bestFit="1" customWidth="1"/>
    <col min="5871" max="5871" width="12.7109375" style="30" bestFit="1" customWidth="1"/>
    <col min="5872" max="5872" width="13.7109375" style="30" bestFit="1" customWidth="1"/>
    <col min="5873" max="5873" width="12.7109375" style="30" bestFit="1" customWidth="1"/>
    <col min="5874" max="5874" width="12.28515625" style="30" bestFit="1" customWidth="1"/>
    <col min="5875" max="5875" width="12.7109375" style="30" bestFit="1" customWidth="1"/>
    <col min="5876" max="5876" width="12.42578125" style="30" bestFit="1" customWidth="1"/>
    <col min="5877" max="5877" width="12.5703125" style="30" bestFit="1" customWidth="1"/>
    <col min="5878" max="5878" width="13.7109375" style="30" bestFit="1" customWidth="1"/>
    <col min="5879" max="5883" width="13.7109375" style="30" customWidth="1"/>
    <col min="5884" max="5884" width="16" style="30" customWidth="1"/>
    <col min="5885" max="5886" width="14" style="30" bestFit="1" customWidth="1"/>
    <col min="5887" max="5887" width="4.7109375" style="30" bestFit="1" customWidth="1"/>
    <col min="5888" max="6124" width="9.140625" style="30"/>
    <col min="6125" max="6125" width="12.140625" style="30" customWidth="1"/>
    <col min="6126" max="6126" width="14.7109375" style="30" bestFit="1" customWidth="1"/>
    <col min="6127" max="6127" width="12.7109375" style="30" bestFit="1" customWidth="1"/>
    <col min="6128" max="6128" width="13.7109375" style="30" bestFit="1" customWidth="1"/>
    <col min="6129" max="6129" width="12.7109375" style="30" bestFit="1" customWidth="1"/>
    <col min="6130" max="6130" width="12.28515625" style="30" bestFit="1" customWidth="1"/>
    <col min="6131" max="6131" width="12.7109375" style="30" bestFit="1" customWidth="1"/>
    <col min="6132" max="6132" width="12.42578125" style="30" bestFit="1" customWidth="1"/>
    <col min="6133" max="6133" width="12.5703125" style="30" bestFit="1" customWidth="1"/>
    <col min="6134" max="6134" width="13.7109375" style="30" bestFit="1" customWidth="1"/>
    <col min="6135" max="6139" width="13.7109375" style="30" customWidth="1"/>
    <col min="6140" max="6140" width="16" style="30" customWidth="1"/>
    <col min="6141" max="6142" width="14" style="30" bestFit="1" customWidth="1"/>
    <col min="6143" max="6143" width="4.7109375" style="30" bestFit="1" customWidth="1"/>
    <col min="6144" max="6380" width="9.140625" style="30"/>
    <col min="6381" max="6381" width="12.140625" style="30" customWidth="1"/>
    <col min="6382" max="6382" width="14.7109375" style="30" bestFit="1" customWidth="1"/>
    <col min="6383" max="6383" width="12.7109375" style="30" bestFit="1" customWidth="1"/>
    <col min="6384" max="6384" width="13.7109375" style="30" bestFit="1" customWidth="1"/>
    <col min="6385" max="6385" width="12.7109375" style="30" bestFit="1" customWidth="1"/>
    <col min="6386" max="6386" width="12.28515625" style="30" bestFit="1" customWidth="1"/>
    <col min="6387" max="6387" width="12.7109375" style="30" bestFit="1" customWidth="1"/>
    <col min="6388" max="6388" width="12.42578125" style="30" bestFit="1" customWidth="1"/>
    <col min="6389" max="6389" width="12.5703125" style="30" bestFit="1" customWidth="1"/>
    <col min="6390" max="6390" width="13.7109375" style="30" bestFit="1" customWidth="1"/>
    <col min="6391" max="6395" width="13.7109375" style="30" customWidth="1"/>
    <col min="6396" max="6396" width="16" style="30" customWidth="1"/>
    <col min="6397" max="6398" width="14" style="30" bestFit="1" customWidth="1"/>
    <col min="6399" max="6399" width="4.7109375" style="30" bestFit="1" customWidth="1"/>
    <col min="6400" max="6636" width="9.140625" style="30"/>
    <col min="6637" max="6637" width="12.140625" style="30" customWidth="1"/>
    <col min="6638" max="6638" width="14.7109375" style="30" bestFit="1" customWidth="1"/>
    <col min="6639" max="6639" width="12.7109375" style="30" bestFit="1" customWidth="1"/>
    <col min="6640" max="6640" width="13.7109375" style="30" bestFit="1" customWidth="1"/>
    <col min="6641" max="6641" width="12.7109375" style="30" bestFit="1" customWidth="1"/>
    <col min="6642" max="6642" width="12.28515625" style="30" bestFit="1" customWidth="1"/>
    <col min="6643" max="6643" width="12.7109375" style="30" bestFit="1" customWidth="1"/>
    <col min="6644" max="6644" width="12.42578125" style="30" bestFit="1" customWidth="1"/>
    <col min="6645" max="6645" width="12.5703125" style="30" bestFit="1" customWidth="1"/>
    <col min="6646" max="6646" width="13.7109375" style="30" bestFit="1" customWidth="1"/>
    <col min="6647" max="6651" width="13.7109375" style="30" customWidth="1"/>
    <col min="6652" max="6652" width="16" style="30" customWidth="1"/>
    <col min="6653" max="6654" width="14" style="30" bestFit="1" customWidth="1"/>
    <col min="6655" max="6655" width="4.7109375" style="30" bestFit="1" customWidth="1"/>
    <col min="6656" max="6892" width="9.140625" style="30"/>
    <col min="6893" max="6893" width="12.140625" style="30" customWidth="1"/>
    <col min="6894" max="6894" width="14.7109375" style="30" bestFit="1" customWidth="1"/>
    <col min="6895" max="6895" width="12.7109375" style="30" bestFit="1" customWidth="1"/>
    <col min="6896" max="6896" width="13.7109375" style="30" bestFit="1" customWidth="1"/>
    <col min="6897" max="6897" width="12.7109375" style="30" bestFit="1" customWidth="1"/>
    <col min="6898" max="6898" width="12.28515625" style="30" bestFit="1" customWidth="1"/>
    <col min="6899" max="6899" width="12.7109375" style="30" bestFit="1" customWidth="1"/>
    <col min="6900" max="6900" width="12.42578125" style="30" bestFit="1" customWidth="1"/>
    <col min="6901" max="6901" width="12.5703125" style="30" bestFit="1" customWidth="1"/>
    <col min="6902" max="6902" width="13.7109375" style="30" bestFit="1" customWidth="1"/>
    <col min="6903" max="6907" width="13.7109375" style="30" customWidth="1"/>
    <col min="6908" max="6908" width="16" style="30" customWidth="1"/>
    <col min="6909" max="6910" width="14" style="30" bestFit="1" customWidth="1"/>
    <col min="6911" max="6911" width="4.7109375" style="30" bestFit="1" customWidth="1"/>
    <col min="6912" max="7148" width="9.140625" style="30"/>
    <col min="7149" max="7149" width="12.140625" style="30" customWidth="1"/>
    <col min="7150" max="7150" width="14.7109375" style="30" bestFit="1" customWidth="1"/>
    <col min="7151" max="7151" width="12.7109375" style="30" bestFit="1" customWidth="1"/>
    <col min="7152" max="7152" width="13.7109375" style="30" bestFit="1" customWidth="1"/>
    <col min="7153" max="7153" width="12.7109375" style="30" bestFit="1" customWidth="1"/>
    <col min="7154" max="7154" width="12.28515625" style="30" bestFit="1" customWidth="1"/>
    <col min="7155" max="7155" width="12.7109375" style="30" bestFit="1" customWidth="1"/>
    <col min="7156" max="7156" width="12.42578125" style="30" bestFit="1" customWidth="1"/>
    <col min="7157" max="7157" width="12.5703125" style="30" bestFit="1" customWidth="1"/>
    <col min="7158" max="7158" width="13.7109375" style="30" bestFit="1" customWidth="1"/>
    <col min="7159" max="7163" width="13.7109375" style="30" customWidth="1"/>
    <col min="7164" max="7164" width="16" style="30" customWidth="1"/>
    <col min="7165" max="7166" width="14" style="30" bestFit="1" customWidth="1"/>
    <col min="7167" max="7167" width="4.7109375" style="30" bestFit="1" customWidth="1"/>
    <col min="7168" max="7404" width="9.140625" style="30"/>
    <col min="7405" max="7405" width="12.140625" style="30" customWidth="1"/>
    <col min="7406" max="7406" width="14.7109375" style="30" bestFit="1" customWidth="1"/>
    <col min="7407" max="7407" width="12.7109375" style="30" bestFit="1" customWidth="1"/>
    <col min="7408" max="7408" width="13.7109375" style="30" bestFit="1" customWidth="1"/>
    <col min="7409" max="7409" width="12.7109375" style="30" bestFit="1" customWidth="1"/>
    <col min="7410" max="7410" width="12.28515625" style="30" bestFit="1" customWidth="1"/>
    <col min="7411" max="7411" width="12.7109375" style="30" bestFit="1" customWidth="1"/>
    <col min="7412" max="7412" width="12.42578125" style="30" bestFit="1" customWidth="1"/>
    <col min="7413" max="7413" width="12.5703125" style="30" bestFit="1" customWidth="1"/>
    <col min="7414" max="7414" width="13.7109375" style="30" bestFit="1" customWidth="1"/>
    <col min="7415" max="7419" width="13.7109375" style="30" customWidth="1"/>
    <col min="7420" max="7420" width="16" style="30" customWidth="1"/>
    <col min="7421" max="7422" width="14" style="30" bestFit="1" customWidth="1"/>
    <col min="7423" max="7423" width="4.7109375" style="30" bestFit="1" customWidth="1"/>
    <col min="7424" max="7660" width="9.140625" style="30"/>
    <col min="7661" max="7661" width="12.140625" style="30" customWidth="1"/>
    <col min="7662" max="7662" width="14.7109375" style="30" bestFit="1" customWidth="1"/>
    <col min="7663" max="7663" width="12.7109375" style="30" bestFit="1" customWidth="1"/>
    <col min="7664" max="7664" width="13.7109375" style="30" bestFit="1" customWidth="1"/>
    <col min="7665" max="7665" width="12.7109375" style="30" bestFit="1" customWidth="1"/>
    <col min="7666" max="7666" width="12.28515625" style="30" bestFit="1" customWidth="1"/>
    <col min="7667" max="7667" width="12.7109375" style="30" bestFit="1" customWidth="1"/>
    <col min="7668" max="7668" width="12.42578125" style="30" bestFit="1" customWidth="1"/>
    <col min="7669" max="7669" width="12.5703125" style="30" bestFit="1" customWidth="1"/>
    <col min="7670" max="7670" width="13.7109375" style="30" bestFit="1" customWidth="1"/>
    <col min="7671" max="7675" width="13.7109375" style="30" customWidth="1"/>
    <col min="7676" max="7676" width="16" style="30" customWidth="1"/>
    <col min="7677" max="7678" width="14" style="30" bestFit="1" customWidth="1"/>
    <col min="7679" max="7679" width="4.7109375" style="30" bestFit="1" customWidth="1"/>
    <col min="7680" max="7916" width="9.140625" style="30"/>
    <col min="7917" max="7917" width="12.140625" style="30" customWidth="1"/>
    <col min="7918" max="7918" width="14.7109375" style="30" bestFit="1" customWidth="1"/>
    <col min="7919" max="7919" width="12.7109375" style="30" bestFit="1" customWidth="1"/>
    <col min="7920" max="7920" width="13.7109375" style="30" bestFit="1" customWidth="1"/>
    <col min="7921" max="7921" width="12.7109375" style="30" bestFit="1" customWidth="1"/>
    <col min="7922" max="7922" width="12.28515625" style="30" bestFit="1" customWidth="1"/>
    <col min="7923" max="7923" width="12.7109375" style="30" bestFit="1" customWidth="1"/>
    <col min="7924" max="7924" width="12.42578125" style="30" bestFit="1" customWidth="1"/>
    <col min="7925" max="7925" width="12.5703125" style="30" bestFit="1" customWidth="1"/>
    <col min="7926" max="7926" width="13.7109375" style="30" bestFit="1" customWidth="1"/>
    <col min="7927" max="7931" width="13.7109375" style="30" customWidth="1"/>
    <col min="7932" max="7932" width="16" style="30" customWidth="1"/>
    <col min="7933" max="7934" width="14" style="30" bestFit="1" customWidth="1"/>
    <col min="7935" max="7935" width="4.7109375" style="30" bestFit="1" customWidth="1"/>
    <col min="7936" max="8172" width="9.140625" style="30"/>
    <col min="8173" max="8173" width="12.140625" style="30" customWidth="1"/>
    <col min="8174" max="8174" width="14.7109375" style="30" bestFit="1" customWidth="1"/>
    <col min="8175" max="8175" width="12.7109375" style="30" bestFit="1" customWidth="1"/>
    <col min="8176" max="8176" width="13.7109375" style="30" bestFit="1" customWidth="1"/>
    <col min="8177" max="8177" width="12.7109375" style="30" bestFit="1" customWidth="1"/>
    <col min="8178" max="8178" width="12.28515625" style="30" bestFit="1" customWidth="1"/>
    <col min="8179" max="8179" width="12.7109375" style="30" bestFit="1" customWidth="1"/>
    <col min="8180" max="8180" width="12.42578125" style="30" bestFit="1" customWidth="1"/>
    <col min="8181" max="8181" width="12.5703125" style="30" bestFit="1" customWidth="1"/>
    <col min="8182" max="8182" width="13.7109375" style="30" bestFit="1" customWidth="1"/>
    <col min="8183" max="8187" width="13.7109375" style="30" customWidth="1"/>
    <col min="8188" max="8188" width="16" style="30" customWidth="1"/>
    <col min="8189" max="8190" width="14" style="30" bestFit="1" customWidth="1"/>
    <col min="8191" max="8191" width="4.7109375" style="30" bestFit="1" customWidth="1"/>
    <col min="8192" max="8428" width="9.140625" style="30"/>
    <col min="8429" max="8429" width="12.140625" style="30" customWidth="1"/>
    <col min="8430" max="8430" width="14.7109375" style="30" bestFit="1" customWidth="1"/>
    <col min="8431" max="8431" width="12.7109375" style="30" bestFit="1" customWidth="1"/>
    <col min="8432" max="8432" width="13.7109375" style="30" bestFit="1" customWidth="1"/>
    <col min="8433" max="8433" width="12.7109375" style="30" bestFit="1" customWidth="1"/>
    <col min="8434" max="8434" width="12.28515625" style="30" bestFit="1" customWidth="1"/>
    <col min="8435" max="8435" width="12.7109375" style="30" bestFit="1" customWidth="1"/>
    <col min="8436" max="8436" width="12.42578125" style="30" bestFit="1" customWidth="1"/>
    <col min="8437" max="8437" width="12.5703125" style="30" bestFit="1" customWidth="1"/>
    <col min="8438" max="8438" width="13.7109375" style="30" bestFit="1" customWidth="1"/>
    <col min="8439" max="8443" width="13.7109375" style="30" customWidth="1"/>
    <col min="8444" max="8444" width="16" style="30" customWidth="1"/>
    <col min="8445" max="8446" width="14" style="30" bestFit="1" customWidth="1"/>
    <col min="8447" max="8447" width="4.7109375" style="30" bestFit="1" customWidth="1"/>
    <col min="8448" max="8684" width="9.140625" style="30"/>
    <col min="8685" max="8685" width="12.140625" style="30" customWidth="1"/>
    <col min="8686" max="8686" width="14.7109375" style="30" bestFit="1" customWidth="1"/>
    <col min="8687" max="8687" width="12.7109375" style="30" bestFit="1" customWidth="1"/>
    <col min="8688" max="8688" width="13.7109375" style="30" bestFit="1" customWidth="1"/>
    <col min="8689" max="8689" width="12.7109375" style="30" bestFit="1" customWidth="1"/>
    <col min="8690" max="8690" width="12.28515625" style="30" bestFit="1" customWidth="1"/>
    <col min="8691" max="8691" width="12.7109375" style="30" bestFit="1" customWidth="1"/>
    <col min="8692" max="8692" width="12.42578125" style="30" bestFit="1" customWidth="1"/>
    <col min="8693" max="8693" width="12.5703125" style="30" bestFit="1" customWidth="1"/>
    <col min="8694" max="8694" width="13.7109375" style="30" bestFit="1" customWidth="1"/>
    <col min="8695" max="8699" width="13.7109375" style="30" customWidth="1"/>
    <col min="8700" max="8700" width="16" style="30" customWidth="1"/>
    <col min="8701" max="8702" width="14" style="30" bestFit="1" customWidth="1"/>
    <col min="8703" max="8703" width="4.7109375" style="30" bestFit="1" customWidth="1"/>
    <col min="8704" max="8940" width="9.140625" style="30"/>
    <col min="8941" max="8941" width="12.140625" style="30" customWidth="1"/>
    <col min="8942" max="8942" width="14.7109375" style="30" bestFit="1" customWidth="1"/>
    <col min="8943" max="8943" width="12.7109375" style="30" bestFit="1" customWidth="1"/>
    <col min="8944" max="8944" width="13.7109375" style="30" bestFit="1" customWidth="1"/>
    <col min="8945" max="8945" width="12.7109375" style="30" bestFit="1" customWidth="1"/>
    <col min="8946" max="8946" width="12.28515625" style="30" bestFit="1" customWidth="1"/>
    <col min="8947" max="8947" width="12.7109375" style="30" bestFit="1" customWidth="1"/>
    <col min="8948" max="8948" width="12.42578125" style="30" bestFit="1" customWidth="1"/>
    <col min="8949" max="8949" width="12.5703125" style="30" bestFit="1" customWidth="1"/>
    <col min="8950" max="8950" width="13.7109375" style="30" bestFit="1" customWidth="1"/>
    <col min="8951" max="8955" width="13.7109375" style="30" customWidth="1"/>
    <col min="8956" max="8956" width="16" style="30" customWidth="1"/>
    <col min="8957" max="8958" width="14" style="30" bestFit="1" customWidth="1"/>
    <col min="8959" max="8959" width="4.7109375" style="30" bestFit="1" customWidth="1"/>
    <col min="8960" max="9196" width="9.140625" style="30"/>
    <col min="9197" max="9197" width="12.140625" style="30" customWidth="1"/>
    <col min="9198" max="9198" width="14.7109375" style="30" bestFit="1" customWidth="1"/>
    <col min="9199" max="9199" width="12.7109375" style="30" bestFit="1" customWidth="1"/>
    <col min="9200" max="9200" width="13.7109375" style="30" bestFit="1" customWidth="1"/>
    <col min="9201" max="9201" width="12.7109375" style="30" bestFit="1" customWidth="1"/>
    <col min="9202" max="9202" width="12.28515625" style="30" bestFit="1" customWidth="1"/>
    <col min="9203" max="9203" width="12.7109375" style="30" bestFit="1" customWidth="1"/>
    <col min="9204" max="9204" width="12.42578125" style="30" bestFit="1" customWidth="1"/>
    <col min="9205" max="9205" width="12.5703125" style="30" bestFit="1" customWidth="1"/>
    <col min="9206" max="9206" width="13.7109375" style="30" bestFit="1" customWidth="1"/>
    <col min="9207" max="9211" width="13.7109375" style="30" customWidth="1"/>
    <col min="9212" max="9212" width="16" style="30" customWidth="1"/>
    <col min="9213" max="9214" width="14" style="30" bestFit="1" customWidth="1"/>
    <col min="9215" max="9215" width="4.7109375" style="30" bestFit="1" customWidth="1"/>
    <col min="9216" max="9452" width="9.140625" style="30"/>
    <col min="9453" max="9453" width="12.140625" style="30" customWidth="1"/>
    <col min="9454" max="9454" width="14.7109375" style="30" bestFit="1" customWidth="1"/>
    <col min="9455" max="9455" width="12.7109375" style="30" bestFit="1" customWidth="1"/>
    <col min="9456" max="9456" width="13.7109375" style="30" bestFit="1" customWidth="1"/>
    <col min="9457" max="9457" width="12.7109375" style="30" bestFit="1" customWidth="1"/>
    <col min="9458" max="9458" width="12.28515625" style="30" bestFit="1" customWidth="1"/>
    <col min="9459" max="9459" width="12.7109375" style="30" bestFit="1" customWidth="1"/>
    <col min="9460" max="9460" width="12.42578125" style="30" bestFit="1" customWidth="1"/>
    <col min="9461" max="9461" width="12.5703125" style="30" bestFit="1" customWidth="1"/>
    <col min="9462" max="9462" width="13.7109375" style="30" bestFit="1" customWidth="1"/>
    <col min="9463" max="9467" width="13.7109375" style="30" customWidth="1"/>
    <col min="9468" max="9468" width="16" style="30" customWidth="1"/>
    <col min="9469" max="9470" width="14" style="30" bestFit="1" customWidth="1"/>
    <col min="9471" max="9471" width="4.7109375" style="30" bestFit="1" customWidth="1"/>
    <col min="9472" max="9708" width="9.140625" style="30"/>
    <col min="9709" max="9709" width="12.140625" style="30" customWidth="1"/>
    <col min="9710" max="9710" width="14.7109375" style="30" bestFit="1" customWidth="1"/>
    <col min="9711" max="9711" width="12.7109375" style="30" bestFit="1" customWidth="1"/>
    <col min="9712" max="9712" width="13.7109375" style="30" bestFit="1" customWidth="1"/>
    <col min="9713" max="9713" width="12.7109375" style="30" bestFit="1" customWidth="1"/>
    <col min="9714" max="9714" width="12.28515625" style="30" bestFit="1" customWidth="1"/>
    <col min="9715" max="9715" width="12.7109375" style="30" bestFit="1" customWidth="1"/>
    <col min="9716" max="9716" width="12.42578125" style="30" bestFit="1" customWidth="1"/>
    <col min="9717" max="9717" width="12.5703125" style="30" bestFit="1" customWidth="1"/>
    <col min="9718" max="9718" width="13.7109375" style="30" bestFit="1" customWidth="1"/>
    <col min="9719" max="9723" width="13.7109375" style="30" customWidth="1"/>
    <col min="9724" max="9724" width="16" style="30" customWidth="1"/>
    <col min="9725" max="9726" width="14" style="30" bestFit="1" customWidth="1"/>
    <col min="9727" max="9727" width="4.7109375" style="30" bestFit="1" customWidth="1"/>
    <col min="9728" max="9964" width="9.140625" style="30"/>
    <col min="9965" max="9965" width="12.140625" style="30" customWidth="1"/>
    <col min="9966" max="9966" width="14.7109375" style="30" bestFit="1" customWidth="1"/>
    <col min="9967" max="9967" width="12.7109375" style="30" bestFit="1" customWidth="1"/>
    <col min="9968" max="9968" width="13.7109375" style="30" bestFit="1" customWidth="1"/>
    <col min="9969" max="9969" width="12.7109375" style="30" bestFit="1" customWidth="1"/>
    <col min="9970" max="9970" width="12.28515625" style="30" bestFit="1" customWidth="1"/>
    <col min="9971" max="9971" width="12.7109375" style="30" bestFit="1" customWidth="1"/>
    <col min="9972" max="9972" width="12.42578125" style="30" bestFit="1" customWidth="1"/>
    <col min="9973" max="9973" width="12.5703125" style="30" bestFit="1" customWidth="1"/>
    <col min="9974" max="9974" width="13.7109375" style="30" bestFit="1" customWidth="1"/>
    <col min="9975" max="9979" width="13.7109375" style="30" customWidth="1"/>
    <col min="9980" max="9980" width="16" style="30" customWidth="1"/>
    <col min="9981" max="9982" width="14" style="30" bestFit="1" customWidth="1"/>
    <col min="9983" max="9983" width="4.7109375" style="30" bestFit="1" customWidth="1"/>
    <col min="9984" max="10220" width="9.140625" style="30"/>
    <col min="10221" max="10221" width="12.140625" style="30" customWidth="1"/>
    <col min="10222" max="10222" width="14.7109375" style="30" bestFit="1" customWidth="1"/>
    <col min="10223" max="10223" width="12.7109375" style="30" bestFit="1" customWidth="1"/>
    <col min="10224" max="10224" width="13.7109375" style="30" bestFit="1" customWidth="1"/>
    <col min="10225" max="10225" width="12.7109375" style="30" bestFit="1" customWidth="1"/>
    <col min="10226" max="10226" width="12.28515625" style="30" bestFit="1" customWidth="1"/>
    <col min="10227" max="10227" width="12.7109375" style="30" bestFit="1" customWidth="1"/>
    <col min="10228" max="10228" width="12.42578125" style="30" bestFit="1" customWidth="1"/>
    <col min="10229" max="10229" width="12.5703125" style="30" bestFit="1" customWidth="1"/>
    <col min="10230" max="10230" width="13.7109375" style="30" bestFit="1" customWidth="1"/>
    <col min="10231" max="10235" width="13.7109375" style="30" customWidth="1"/>
    <col min="10236" max="10236" width="16" style="30" customWidth="1"/>
    <col min="10237" max="10238" width="14" style="30" bestFit="1" customWidth="1"/>
    <col min="10239" max="10239" width="4.7109375" style="30" bestFit="1" customWidth="1"/>
    <col min="10240" max="10476" width="9.140625" style="30"/>
    <col min="10477" max="10477" width="12.140625" style="30" customWidth="1"/>
    <col min="10478" max="10478" width="14.7109375" style="30" bestFit="1" customWidth="1"/>
    <col min="10479" max="10479" width="12.7109375" style="30" bestFit="1" customWidth="1"/>
    <col min="10480" max="10480" width="13.7109375" style="30" bestFit="1" customWidth="1"/>
    <col min="10481" max="10481" width="12.7109375" style="30" bestFit="1" customWidth="1"/>
    <col min="10482" max="10482" width="12.28515625" style="30" bestFit="1" customWidth="1"/>
    <col min="10483" max="10483" width="12.7109375" style="30" bestFit="1" customWidth="1"/>
    <col min="10484" max="10484" width="12.42578125" style="30" bestFit="1" customWidth="1"/>
    <col min="10485" max="10485" width="12.5703125" style="30" bestFit="1" customWidth="1"/>
    <col min="10486" max="10486" width="13.7109375" style="30" bestFit="1" customWidth="1"/>
    <col min="10487" max="10491" width="13.7109375" style="30" customWidth="1"/>
    <col min="10492" max="10492" width="16" style="30" customWidth="1"/>
    <col min="10493" max="10494" width="14" style="30" bestFit="1" customWidth="1"/>
    <col min="10495" max="10495" width="4.7109375" style="30" bestFit="1" customWidth="1"/>
    <col min="10496" max="10732" width="9.140625" style="30"/>
    <col min="10733" max="10733" width="12.140625" style="30" customWidth="1"/>
    <col min="10734" max="10734" width="14.7109375" style="30" bestFit="1" customWidth="1"/>
    <col min="10735" max="10735" width="12.7109375" style="30" bestFit="1" customWidth="1"/>
    <col min="10736" max="10736" width="13.7109375" style="30" bestFit="1" customWidth="1"/>
    <col min="10737" max="10737" width="12.7109375" style="30" bestFit="1" customWidth="1"/>
    <col min="10738" max="10738" width="12.28515625" style="30" bestFit="1" customWidth="1"/>
    <col min="10739" max="10739" width="12.7109375" style="30" bestFit="1" customWidth="1"/>
    <col min="10740" max="10740" width="12.42578125" style="30" bestFit="1" customWidth="1"/>
    <col min="10741" max="10741" width="12.5703125" style="30" bestFit="1" customWidth="1"/>
    <col min="10742" max="10742" width="13.7109375" style="30" bestFit="1" customWidth="1"/>
    <col min="10743" max="10747" width="13.7109375" style="30" customWidth="1"/>
    <col min="10748" max="10748" width="16" style="30" customWidth="1"/>
    <col min="10749" max="10750" width="14" style="30" bestFit="1" customWidth="1"/>
    <col min="10751" max="10751" width="4.7109375" style="30" bestFit="1" customWidth="1"/>
    <col min="10752" max="10988" width="9.140625" style="30"/>
    <col min="10989" max="10989" width="12.140625" style="30" customWidth="1"/>
    <col min="10990" max="10990" width="14.7109375" style="30" bestFit="1" customWidth="1"/>
    <col min="10991" max="10991" width="12.7109375" style="30" bestFit="1" customWidth="1"/>
    <col min="10992" max="10992" width="13.7109375" style="30" bestFit="1" customWidth="1"/>
    <col min="10993" max="10993" width="12.7109375" style="30" bestFit="1" customWidth="1"/>
    <col min="10994" max="10994" width="12.28515625" style="30" bestFit="1" customWidth="1"/>
    <col min="10995" max="10995" width="12.7109375" style="30" bestFit="1" customWidth="1"/>
    <col min="10996" max="10996" width="12.42578125" style="30" bestFit="1" customWidth="1"/>
    <col min="10997" max="10997" width="12.5703125" style="30" bestFit="1" customWidth="1"/>
    <col min="10998" max="10998" width="13.7109375" style="30" bestFit="1" customWidth="1"/>
    <col min="10999" max="11003" width="13.7109375" style="30" customWidth="1"/>
    <col min="11004" max="11004" width="16" style="30" customWidth="1"/>
    <col min="11005" max="11006" width="14" style="30" bestFit="1" customWidth="1"/>
    <col min="11007" max="11007" width="4.7109375" style="30" bestFit="1" customWidth="1"/>
    <col min="11008" max="11244" width="9.140625" style="30"/>
    <col min="11245" max="11245" width="12.140625" style="30" customWidth="1"/>
    <col min="11246" max="11246" width="14.7109375" style="30" bestFit="1" customWidth="1"/>
    <col min="11247" max="11247" width="12.7109375" style="30" bestFit="1" customWidth="1"/>
    <col min="11248" max="11248" width="13.7109375" style="30" bestFit="1" customWidth="1"/>
    <col min="11249" max="11249" width="12.7109375" style="30" bestFit="1" customWidth="1"/>
    <col min="11250" max="11250" width="12.28515625" style="30" bestFit="1" customWidth="1"/>
    <col min="11251" max="11251" width="12.7109375" style="30" bestFit="1" customWidth="1"/>
    <col min="11252" max="11252" width="12.42578125" style="30" bestFit="1" customWidth="1"/>
    <col min="11253" max="11253" width="12.5703125" style="30" bestFit="1" customWidth="1"/>
    <col min="11254" max="11254" width="13.7109375" style="30" bestFit="1" customWidth="1"/>
    <col min="11255" max="11259" width="13.7109375" style="30" customWidth="1"/>
    <col min="11260" max="11260" width="16" style="30" customWidth="1"/>
    <col min="11261" max="11262" width="14" style="30" bestFit="1" customWidth="1"/>
    <col min="11263" max="11263" width="4.7109375" style="30" bestFit="1" customWidth="1"/>
    <col min="11264" max="11500" width="9.140625" style="30"/>
    <col min="11501" max="11501" width="12.140625" style="30" customWidth="1"/>
    <col min="11502" max="11502" width="14.7109375" style="30" bestFit="1" customWidth="1"/>
    <col min="11503" max="11503" width="12.7109375" style="30" bestFit="1" customWidth="1"/>
    <col min="11504" max="11504" width="13.7109375" style="30" bestFit="1" customWidth="1"/>
    <col min="11505" max="11505" width="12.7109375" style="30" bestFit="1" customWidth="1"/>
    <col min="11506" max="11506" width="12.28515625" style="30" bestFit="1" customWidth="1"/>
    <col min="11507" max="11507" width="12.7109375" style="30" bestFit="1" customWidth="1"/>
    <col min="11508" max="11508" width="12.42578125" style="30" bestFit="1" customWidth="1"/>
    <col min="11509" max="11509" width="12.5703125" style="30" bestFit="1" customWidth="1"/>
    <col min="11510" max="11510" width="13.7109375" style="30" bestFit="1" customWidth="1"/>
    <col min="11511" max="11515" width="13.7109375" style="30" customWidth="1"/>
    <col min="11516" max="11516" width="16" style="30" customWidth="1"/>
    <col min="11517" max="11518" width="14" style="30" bestFit="1" customWidth="1"/>
    <col min="11519" max="11519" width="4.7109375" style="30" bestFit="1" customWidth="1"/>
    <col min="11520" max="11756" width="9.140625" style="30"/>
    <col min="11757" max="11757" width="12.140625" style="30" customWidth="1"/>
    <col min="11758" max="11758" width="14.7109375" style="30" bestFit="1" customWidth="1"/>
    <col min="11759" max="11759" width="12.7109375" style="30" bestFit="1" customWidth="1"/>
    <col min="11760" max="11760" width="13.7109375" style="30" bestFit="1" customWidth="1"/>
    <col min="11761" max="11761" width="12.7109375" style="30" bestFit="1" customWidth="1"/>
    <col min="11762" max="11762" width="12.28515625" style="30" bestFit="1" customWidth="1"/>
    <col min="11763" max="11763" width="12.7109375" style="30" bestFit="1" customWidth="1"/>
    <col min="11764" max="11764" width="12.42578125" style="30" bestFit="1" customWidth="1"/>
    <col min="11765" max="11765" width="12.5703125" style="30" bestFit="1" customWidth="1"/>
    <col min="11766" max="11766" width="13.7109375" style="30" bestFit="1" customWidth="1"/>
    <col min="11767" max="11771" width="13.7109375" style="30" customWidth="1"/>
    <col min="11772" max="11772" width="16" style="30" customWidth="1"/>
    <col min="11773" max="11774" width="14" style="30" bestFit="1" customWidth="1"/>
    <col min="11775" max="11775" width="4.7109375" style="30" bestFit="1" customWidth="1"/>
    <col min="11776" max="12012" width="9.140625" style="30"/>
    <col min="12013" max="12013" width="12.140625" style="30" customWidth="1"/>
    <col min="12014" max="12014" width="14.7109375" style="30" bestFit="1" customWidth="1"/>
    <col min="12015" max="12015" width="12.7109375" style="30" bestFit="1" customWidth="1"/>
    <col min="12016" max="12016" width="13.7109375" style="30" bestFit="1" customWidth="1"/>
    <col min="12017" max="12017" width="12.7109375" style="30" bestFit="1" customWidth="1"/>
    <col min="12018" max="12018" width="12.28515625" style="30" bestFit="1" customWidth="1"/>
    <col min="12019" max="12019" width="12.7109375" style="30" bestFit="1" customWidth="1"/>
    <col min="12020" max="12020" width="12.42578125" style="30" bestFit="1" customWidth="1"/>
    <col min="12021" max="12021" width="12.5703125" style="30" bestFit="1" customWidth="1"/>
    <col min="12022" max="12022" width="13.7109375" style="30" bestFit="1" customWidth="1"/>
    <col min="12023" max="12027" width="13.7109375" style="30" customWidth="1"/>
    <col min="12028" max="12028" width="16" style="30" customWidth="1"/>
    <col min="12029" max="12030" width="14" style="30" bestFit="1" customWidth="1"/>
    <col min="12031" max="12031" width="4.7109375" style="30" bestFit="1" customWidth="1"/>
    <col min="12032" max="12268" width="9.140625" style="30"/>
    <col min="12269" max="12269" width="12.140625" style="30" customWidth="1"/>
    <col min="12270" max="12270" width="14.7109375" style="30" bestFit="1" customWidth="1"/>
    <col min="12271" max="12271" width="12.7109375" style="30" bestFit="1" customWidth="1"/>
    <col min="12272" max="12272" width="13.7109375" style="30" bestFit="1" customWidth="1"/>
    <col min="12273" max="12273" width="12.7109375" style="30" bestFit="1" customWidth="1"/>
    <col min="12274" max="12274" width="12.28515625" style="30" bestFit="1" customWidth="1"/>
    <col min="12275" max="12275" width="12.7109375" style="30" bestFit="1" customWidth="1"/>
    <col min="12276" max="12276" width="12.42578125" style="30" bestFit="1" customWidth="1"/>
    <col min="12277" max="12277" width="12.5703125" style="30" bestFit="1" customWidth="1"/>
    <col min="12278" max="12278" width="13.7109375" style="30" bestFit="1" customWidth="1"/>
    <col min="12279" max="12283" width="13.7109375" style="30" customWidth="1"/>
    <col min="12284" max="12284" width="16" style="30" customWidth="1"/>
    <col min="12285" max="12286" width="14" style="30" bestFit="1" customWidth="1"/>
    <col min="12287" max="12287" width="4.7109375" style="30" bestFit="1" customWidth="1"/>
    <col min="12288" max="12524" width="9.140625" style="30"/>
    <col min="12525" max="12525" width="12.140625" style="30" customWidth="1"/>
    <col min="12526" max="12526" width="14.7109375" style="30" bestFit="1" customWidth="1"/>
    <col min="12527" max="12527" width="12.7109375" style="30" bestFit="1" customWidth="1"/>
    <col min="12528" max="12528" width="13.7109375" style="30" bestFit="1" customWidth="1"/>
    <col min="12529" max="12529" width="12.7109375" style="30" bestFit="1" customWidth="1"/>
    <col min="12530" max="12530" width="12.28515625" style="30" bestFit="1" customWidth="1"/>
    <col min="12531" max="12531" width="12.7109375" style="30" bestFit="1" customWidth="1"/>
    <col min="12532" max="12532" width="12.42578125" style="30" bestFit="1" customWidth="1"/>
    <col min="12533" max="12533" width="12.5703125" style="30" bestFit="1" customWidth="1"/>
    <col min="12534" max="12534" width="13.7109375" style="30" bestFit="1" customWidth="1"/>
    <col min="12535" max="12539" width="13.7109375" style="30" customWidth="1"/>
    <col min="12540" max="12540" width="16" style="30" customWidth="1"/>
    <col min="12541" max="12542" width="14" style="30" bestFit="1" customWidth="1"/>
    <col min="12543" max="12543" width="4.7109375" style="30" bestFit="1" customWidth="1"/>
    <col min="12544" max="12780" width="9.140625" style="30"/>
    <col min="12781" max="12781" width="12.140625" style="30" customWidth="1"/>
    <col min="12782" max="12782" width="14.7109375" style="30" bestFit="1" customWidth="1"/>
    <col min="12783" max="12783" width="12.7109375" style="30" bestFit="1" customWidth="1"/>
    <col min="12784" max="12784" width="13.7109375" style="30" bestFit="1" customWidth="1"/>
    <col min="12785" max="12785" width="12.7109375" style="30" bestFit="1" customWidth="1"/>
    <col min="12786" max="12786" width="12.28515625" style="30" bestFit="1" customWidth="1"/>
    <col min="12787" max="12787" width="12.7109375" style="30" bestFit="1" customWidth="1"/>
    <col min="12788" max="12788" width="12.42578125" style="30" bestFit="1" customWidth="1"/>
    <col min="12789" max="12789" width="12.5703125" style="30" bestFit="1" customWidth="1"/>
    <col min="12790" max="12790" width="13.7109375" style="30" bestFit="1" customWidth="1"/>
    <col min="12791" max="12795" width="13.7109375" style="30" customWidth="1"/>
    <col min="12796" max="12796" width="16" style="30" customWidth="1"/>
    <col min="12797" max="12798" width="14" style="30" bestFit="1" customWidth="1"/>
    <col min="12799" max="12799" width="4.7109375" style="30" bestFit="1" customWidth="1"/>
    <col min="12800" max="16384" width="9.140625" style="30"/>
  </cols>
  <sheetData>
    <row r="1" spans="1:64" ht="15.75" customHeight="1" x14ac:dyDescent="0.2">
      <c r="A1" s="31" t="s">
        <v>0</v>
      </c>
      <c r="B1" s="31"/>
    </row>
    <row r="2" spans="1:64" x14ac:dyDescent="0.2">
      <c r="A2" s="31" t="s">
        <v>115</v>
      </c>
      <c r="B2" s="77"/>
    </row>
    <row r="3" spans="1:64" x14ac:dyDescent="0.2">
      <c r="A3" s="31" t="s">
        <v>116</v>
      </c>
      <c r="B3" s="77"/>
    </row>
    <row r="4" spans="1:64" x14ac:dyDescent="0.2">
      <c r="A4" s="77"/>
      <c r="B4" s="77"/>
    </row>
    <row r="5" spans="1:64" x14ac:dyDescent="0.2">
      <c r="A5" s="31" t="s">
        <v>117</v>
      </c>
      <c r="B5" s="78"/>
    </row>
    <row r="6" spans="1:64" x14ac:dyDescent="0.2">
      <c r="B6" s="79" t="s">
        <v>45</v>
      </c>
      <c r="C6" s="79"/>
      <c r="D6" s="79"/>
      <c r="E6" s="80">
        <v>44562</v>
      </c>
      <c r="F6" s="81">
        <f t="shared" ref="F6:BL6" si="0">EDATE(E6,1)</f>
        <v>44593</v>
      </c>
      <c r="G6" s="81">
        <f t="shared" si="0"/>
        <v>44621</v>
      </c>
      <c r="H6" s="81">
        <f t="shared" si="0"/>
        <v>44652</v>
      </c>
      <c r="I6" s="81">
        <f t="shared" si="0"/>
        <v>44682</v>
      </c>
      <c r="J6" s="81">
        <f t="shared" si="0"/>
        <v>44713</v>
      </c>
      <c r="K6" s="81">
        <f t="shared" si="0"/>
        <v>44743</v>
      </c>
      <c r="L6" s="81">
        <f t="shared" si="0"/>
        <v>44774</v>
      </c>
      <c r="M6" s="81">
        <f t="shared" si="0"/>
        <v>44805</v>
      </c>
      <c r="N6" s="81">
        <f t="shared" si="0"/>
        <v>44835</v>
      </c>
      <c r="O6" s="81">
        <f t="shared" si="0"/>
        <v>44866</v>
      </c>
      <c r="P6" s="81">
        <f t="shared" si="0"/>
        <v>44896</v>
      </c>
      <c r="Q6" s="81">
        <f t="shared" si="0"/>
        <v>44927</v>
      </c>
      <c r="R6" s="81">
        <f t="shared" si="0"/>
        <v>44958</v>
      </c>
      <c r="S6" s="81">
        <f t="shared" si="0"/>
        <v>44986</v>
      </c>
      <c r="T6" s="81">
        <f t="shared" si="0"/>
        <v>45017</v>
      </c>
      <c r="U6" s="81">
        <f t="shared" si="0"/>
        <v>45047</v>
      </c>
      <c r="V6" s="81">
        <f t="shared" si="0"/>
        <v>45078</v>
      </c>
      <c r="W6" s="81">
        <f t="shared" si="0"/>
        <v>45108</v>
      </c>
      <c r="X6" s="81">
        <f t="shared" si="0"/>
        <v>45139</v>
      </c>
      <c r="Y6" s="81">
        <f t="shared" si="0"/>
        <v>45170</v>
      </c>
      <c r="Z6" s="81">
        <f t="shared" si="0"/>
        <v>45200</v>
      </c>
      <c r="AA6" s="81">
        <f t="shared" si="0"/>
        <v>45231</v>
      </c>
      <c r="AB6" s="81">
        <f t="shared" si="0"/>
        <v>45261</v>
      </c>
      <c r="AC6" s="81">
        <f t="shared" si="0"/>
        <v>45292</v>
      </c>
      <c r="AD6" s="81">
        <f t="shared" si="0"/>
        <v>45323</v>
      </c>
      <c r="AE6" s="81">
        <f t="shared" si="0"/>
        <v>45352</v>
      </c>
      <c r="AF6" s="81">
        <f t="shared" si="0"/>
        <v>45383</v>
      </c>
      <c r="AG6" s="81">
        <f t="shared" si="0"/>
        <v>45413</v>
      </c>
      <c r="AH6" s="81">
        <f t="shared" si="0"/>
        <v>45444</v>
      </c>
      <c r="AI6" s="81">
        <f t="shared" si="0"/>
        <v>45474</v>
      </c>
      <c r="AJ6" s="81">
        <f t="shared" si="0"/>
        <v>45505</v>
      </c>
      <c r="AK6" s="81">
        <f t="shared" si="0"/>
        <v>45536</v>
      </c>
      <c r="AL6" s="81">
        <f t="shared" si="0"/>
        <v>45566</v>
      </c>
      <c r="AM6" s="81">
        <f t="shared" si="0"/>
        <v>45597</v>
      </c>
      <c r="AN6" s="81">
        <f t="shared" si="0"/>
        <v>45627</v>
      </c>
      <c r="AO6" s="81">
        <f t="shared" si="0"/>
        <v>45658</v>
      </c>
      <c r="AP6" s="81">
        <f t="shared" si="0"/>
        <v>45689</v>
      </c>
      <c r="AQ6" s="81">
        <f t="shared" si="0"/>
        <v>45717</v>
      </c>
      <c r="AR6" s="81">
        <f t="shared" si="0"/>
        <v>45748</v>
      </c>
      <c r="AS6" s="81">
        <f t="shared" si="0"/>
        <v>45778</v>
      </c>
      <c r="AT6" s="81">
        <f t="shared" si="0"/>
        <v>45809</v>
      </c>
      <c r="AU6" s="81">
        <f t="shared" si="0"/>
        <v>45839</v>
      </c>
      <c r="AV6" s="81">
        <f t="shared" si="0"/>
        <v>45870</v>
      </c>
      <c r="AW6" s="81">
        <f t="shared" si="0"/>
        <v>45901</v>
      </c>
      <c r="AX6" s="81">
        <f t="shared" si="0"/>
        <v>45931</v>
      </c>
      <c r="AY6" s="81">
        <f t="shared" si="0"/>
        <v>45962</v>
      </c>
      <c r="AZ6" s="81">
        <f t="shared" si="0"/>
        <v>45992</v>
      </c>
      <c r="BA6" s="81">
        <f t="shared" si="0"/>
        <v>46023</v>
      </c>
      <c r="BB6" s="81">
        <f t="shared" si="0"/>
        <v>46054</v>
      </c>
      <c r="BC6" s="81">
        <f t="shared" si="0"/>
        <v>46082</v>
      </c>
      <c r="BD6" s="81">
        <f t="shared" si="0"/>
        <v>46113</v>
      </c>
      <c r="BE6" s="81">
        <f t="shared" si="0"/>
        <v>46143</v>
      </c>
      <c r="BF6" s="81">
        <f t="shared" si="0"/>
        <v>46174</v>
      </c>
      <c r="BG6" s="81">
        <f t="shared" si="0"/>
        <v>46204</v>
      </c>
      <c r="BH6" s="81">
        <f t="shared" si="0"/>
        <v>46235</v>
      </c>
      <c r="BI6" s="81">
        <f t="shared" si="0"/>
        <v>46266</v>
      </c>
      <c r="BJ6" s="81">
        <f t="shared" si="0"/>
        <v>46296</v>
      </c>
      <c r="BK6" s="81">
        <f t="shared" si="0"/>
        <v>46327</v>
      </c>
      <c r="BL6" s="81">
        <f t="shared" si="0"/>
        <v>46357</v>
      </c>
    </row>
    <row r="7" spans="1:64" x14ac:dyDescent="0.2">
      <c r="B7" s="82" t="s">
        <v>118</v>
      </c>
      <c r="C7" s="82"/>
      <c r="D7" s="82"/>
      <c r="E7" s="83">
        <v>0</v>
      </c>
      <c r="F7" s="83">
        <v>0</v>
      </c>
      <c r="G7" s="83">
        <v>0</v>
      </c>
      <c r="H7" s="83">
        <v>1452991</v>
      </c>
      <c r="I7" s="83">
        <v>1452991</v>
      </c>
      <c r="J7" s="83">
        <v>1452991</v>
      </c>
      <c r="K7" s="83">
        <v>1452991</v>
      </c>
      <c r="L7" s="83">
        <v>1452991</v>
      </c>
      <c r="M7" s="83">
        <v>1452991</v>
      </c>
      <c r="N7" s="83">
        <v>1452991</v>
      </c>
      <c r="O7" s="83">
        <v>1452991</v>
      </c>
      <c r="P7" s="83">
        <v>1452991</v>
      </c>
      <c r="Q7" s="83">
        <v>1452991</v>
      </c>
      <c r="R7" s="83">
        <v>1452991</v>
      </c>
      <c r="S7" s="83">
        <v>1452991</v>
      </c>
      <c r="T7" s="83">
        <v>3010446</v>
      </c>
      <c r="U7" s="83">
        <v>3010446</v>
      </c>
      <c r="V7" s="83">
        <v>3010446</v>
      </c>
      <c r="W7" s="83">
        <v>3010446</v>
      </c>
      <c r="X7" s="83">
        <v>3010446</v>
      </c>
      <c r="Y7" s="83">
        <v>3010446</v>
      </c>
      <c r="Z7" s="83">
        <v>3010446</v>
      </c>
      <c r="AA7" s="83">
        <v>3010446</v>
      </c>
      <c r="AB7" s="83">
        <v>3010446</v>
      </c>
      <c r="AC7" s="83">
        <v>3010446</v>
      </c>
      <c r="AD7" s="83">
        <v>3010446</v>
      </c>
      <c r="AE7" s="83">
        <v>3010446</v>
      </c>
      <c r="AF7" s="83">
        <v>3941911</v>
      </c>
      <c r="AG7" s="83">
        <v>3941911</v>
      </c>
      <c r="AH7" s="83">
        <v>3941911</v>
      </c>
      <c r="AI7" s="83">
        <v>3941911</v>
      </c>
      <c r="AJ7" s="83">
        <v>3941911</v>
      </c>
      <c r="AK7" s="83">
        <v>3941911</v>
      </c>
      <c r="AL7" s="83">
        <v>3941911</v>
      </c>
      <c r="AM7" s="83">
        <v>3941911</v>
      </c>
      <c r="AN7" s="83">
        <v>3941915</v>
      </c>
      <c r="AO7" s="83">
        <v>4430199</v>
      </c>
      <c r="AP7" s="83">
        <v>4430199</v>
      </c>
      <c r="AQ7" s="83">
        <v>4430199</v>
      </c>
      <c r="AR7" s="83">
        <v>4430199</v>
      </c>
      <c r="AS7" s="83">
        <v>4430199</v>
      </c>
      <c r="AT7" s="83">
        <v>4430199</v>
      </c>
      <c r="AU7" s="83">
        <v>4430199</v>
      </c>
      <c r="AV7" s="83">
        <v>4430199</v>
      </c>
      <c r="AW7" s="83">
        <v>4430199</v>
      </c>
      <c r="AX7" s="83">
        <v>4430199</v>
      </c>
      <c r="AY7" s="83">
        <v>4430199</v>
      </c>
      <c r="AZ7" s="83">
        <v>4430203</v>
      </c>
      <c r="BA7" s="83">
        <v>4430199</v>
      </c>
      <c r="BB7" s="83">
        <v>4430199</v>
      </c>
      <c r="BC7" s="83">
        <v>4430199</v>
      </c>
      <c r="BD7" s="83">
        <v>4430199</v>
      </c>
      <c r="BE7" s="83">
        <v>4430199</v>
      </c>
      <c r="BF7" s="83">
        <v>4430199</v>
      </c>
      <c r="BG7" s="83">
        <v>5872507</v>
      </c>
      <c r="BH7" s="83">
        <v>5872507</v>
      </c>
      <c r="BI7" s="83">
        <v>5872507</v>
      </c>
      <c r="BJ7" s="83">
        <v>5872507</v>
      </c>
      <c r="BK7" s="83">
        <v>5872507</v>
      </c>
      <c r="BL7" s="83">
        <v>5872510</v>
      </c>
    </row>
    <row r="8" spans="1:64" x14ac:dyDescent="0.2">
      <c r="B8" s="84"/>
      <c r="C8" s="84"/>
      <c r="D8" s="84"/>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row>
    <row r="9" spans="1:64" x14ac:dyDescent="0.2">
      <c r="A9" s="31" t="s">
        <v>119</v>
      </c>
      <c r="C9" s="31"/>
      <c r="D9" s="31"/>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row>
    <row r="10" spans="1:64" x14ac:dyDescent="0.2">
      <c r="B10" s="79" t="s">
        <v>45</v>
      </c>
      <c r="C10" s="78"/>
      <c r="D10" s="78"/>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row>
    <row r="11" spans="1:64" x14ac:dyDescent="0.2">
      <c r="B11" s="86" t="s">
        <v>118</v>
      </c>
      <c r="C11" s="86"/>
      <c r="D11" s="86"/>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row>
    <row r="12" spans="1:64" x14ac:dyDescent="0.2">
      <c r="B12" s="87" t="s">
        <v>52</v>
      </c>
      <c r="C12" s="87"/>
      <c r="D12" s="87"/>
      <c r="E12" s="88">
        <f>IF(E$7&lt;25000,E$7,25000)</f>
        <v>0</v>
      </c>
      <c r="F12" s="88">
        <f t="shared" ref="F12:BL12" si="1">IF(F$7&lt;25000,F$7,25000)</f>
        <v>0</v>
      </c>
      <c r="G12" s="88">
        <f t="shared" si="1"/>
        <v>0</v>
      </c>
      <c r="H12" s="88">
        <f t="shared" si="1"/>
        <v>25000</v>
      </c>
      <c r="I12" s="88">
        <f t="shared" si="1"/>
        <v>25000</v>
      </c>
      <c r="J12" s="88">
        <f t="shared" si="1"/>
        <v>25000</v>
      </c>
      <c r="K12" s="88">
        <f t="shared" si="1"/>
        <v>25000</v>
      </c>
      <c r="L12" s="88">
        <f t="shared" si="1"/>
        <v>25000</v>
      </c>
      <c r="M12" s="88">
        <f t="shared" si="1"/>
        <v>25000</v>
      </c>
      <c r="N12" s="88">
        <f t="shared" si="1"/>
        <v>25000</v>
      </c>
      <c r="O12" s="88">
        <f t="shared" si="1"/>
        <v>25000</v>
      </c>
      <c r="P12" s="88">
        <f t="shared" si="1"/>
        <v>25000</v>
      </c>
      <c r="Q12" s="88">
        <f t="shared" si="1"/>
        <v>25000</v>
      </c>
      <c r="R12" s="88">
        <f t="shared" si="1"/>
        <v>25000</v>
      </c>
      <c r="S12" s="88">
        <f t="shared" si="1"/>
        <v>25000</v>
      </c>
      <c r="T12" s="88">
        <f t="shared" si="1"/>
        <v>25000</v>
      </c>
      <c r="U12" s="88">
        <f t="shared" si="1"/>
        <v>25000</v>
      </c>
      <c r="V12" s="88">
        <f t="shared" si="1"/>
        <v>25000</v>
      </c>
      <c r="W12" s="88">
        <f t="shared" si="1"/>
        <v>25000</v>
      </c>
      <c r="X12" s="88">
        <f t="shared" si="1"/>
        <v>25000</v>
      </c>
      <c r="Y12" s="88">
        <f t="shared" si="1"/>
        <v>25000</v>
      </c>
      <c r="Z12" s="88">
        <f t="shared" si="1"/>
        <v>25000</v>
      </c>
      <c r="AA12" s="88">
        <f t="shared" si="1"/>
        <v>25000</v>
      </c>
      <c r="AB12" s="88">
        <f t="shared" si="1"/>
        <v>25000</v>
      </c>
      <c r="AC12" s="88">
        <f t="shared" si="1"/>
        <v>25000</v>
      </c>
      <c r="AD12" s="88">
        <f t="shared" si="1"/>
        <v>25000</v>
      </c>
      <c r="AE12" s="88">
        <f t="shared" si="1"/>
        <v>25000</v>
      </c>
      <c r="AF12" s="88">
        <f t="shared" si="1"/>
        <v>25000</v>
      </c>
      <c r="AG12" s="88">
        <f t="shared" si="1"/>
        <v>25000</v>
      </c>
      <c r="AH12" s="88">
        <f t="shared" si="1"/>
        <v>25000</v>
      </c>
      <c r="AI12" s="88">
        <f t="shared" si="1"/>
        <v>25000</v>
      </c>
      <c r="AJ12" s="88">
        <f t="shared" si="1"/>
        <v>25000</v>
      </c>
      <c r="AK12" s="88">
        <f t="shared" si="1"/>
        <v>25000</v>
      </c>
      <c r="AL12" s="88">
        <f t="shared" si="1"/>
        <v>25000</v>
      </c>
      <c r="AM12" s="88">
        <f t="shared" si="1"/>
        <v>25000</v>
      </c>
      <c r="AN12" s="88">
        <f t="shared" si="1"/>
        <v>25000</v>
      </c>
      <c r="AO12" s="88">
        <f t="shared" si="1"/>
        <v>25000</v>
      </c>
      <c r="AP12" s="88">
        <f t="shared" si="1"/>
        <v>25000</v>
      </c>
      <c r="AQ12" s="88">
        <f t="shared" si="1"/>
        <v>25000</v>
      </c>
      <c r="AR12" s="88">
        <f t="shared" si="1"/>
        <v>25000</v>
      </c>
      <c r="AS12" s="88">
        <f t="shared" si="1"/>
        <v>25000</v>
      </c>
      <c r="AT12" s="88">
        <f t="shared" si="1"/>
        <v>25000</v>
      </c>
      <c r="AU12" s="88">
        <f t="shared" si="1"/>
        <v>25000</v>
      </c>
      <c r="AV12" s="88">
        <f t="shared" si="1"/>
        <v>25000</v>
      </c>
      <c r="AW12" s="88">
        <f t="shared" si="1"/>
        <v>25000</v>
      </c>
      <c r="AX12" s="88">
        <f t="shared" si="1"/>
        <v>25000</v>
      </c>
      <c r="AY12" s="88">
        <f t="shared" si="1"/>
        <v>25000</v>
      </c>
      <c r="AZ12" s="88">
        <f t="shared" si="1"/>
        <v>25000</v>
      </c>
      <c r="BA12" s="88">
        <f t="shared" si="1"/>
        <v>25000</v>
      </c>
      <c r="BB12" s="88">
        <f t="shared" si="1"/>
        <v>25000</v>
      </c>
      <c r="BC12" s="88">
        <f t="shared" si="1"/>
        <v>25000</v>
      </c>
      <c r="BD12" s="88">
        <f t="shared" si="1"/>
        <v>25000</v>
      </c>
      <c r="BE12" s="88">
        <f t="shared" si="1"/>
        <v>25000</v>
      </c>
      <c r="BF12" s="88">
        <f t="shared" si="1"/>
        <v>25000</v>
      </c>
      <c r="BG12" s="88">
        <f t="shared" si="1"/>
        <v>25000</v>
      </c>
      <c r="BH12" s="88">
        <f t="shared" si="1"/>
        <v>25000</v>
      </c>
      <c r="BI12" s="88">
        <f t="shared" si="1"/>
        <v>25000</v>
      </c>
      <c r="BJ12" s="88">
        <f t="shared" si="1"/>
        <v>25000</v>
      </c>
      <c r="BK12" s="88">
        <f t="shared" si="1"/>
        <v>25000</v>
      </c>
      <c r="BL12" s="88">
        <f t="shared" si="1"/>
        <v>25000</v>
      </c>
    </row>
    <row r="13" spans="1:64" x14ac:dyDescent="0.2">
      <c r="B13" s="87" t="s">
        <v>53</v>
      </c>
      <c r="C13" s="87"/>
      <c r="D13" s="87"/>
      <c r="E13" s="88">
        <f>IF(E$7&lt;50000,MAX(E$7-25000,0),25000)</f>
        <v>0</v>
      </c>
      <c r="F13" s="88">
        <f t="shared" ref="F13:BL13" si="2">IF(F$7&lt;50000,MAX(F$7-25000,0),25000)</f>
        <v>0</v>
      </c>
      <c r="G13" s="88">
        <f t="shared" si="2"/>
        <v>0</v>
      </c>
      <c r="H13" s="88">
        <f t="shared" si="2"/>
        <v>25000</v>
      </c>
      <c r="I13" s="88">
        <f t="shared" si="2"/>
        <v>25000</v>
      </c>
      <c r="J13" s="88">
        <f t="shared" si="2"/>
        <v>25000</v>
      </c>
      <c r="K13" s="88">
        <f t="shared" si="2"/>
        <v>25000</v>
      </c>
      <c r="L13" s="88">
        <f t="shared" si="2"/>
        <v>25000</v>
      </c>
      <c r="M13" s="88">
        <f t="shared" si="2"/>
        <v>25000</v>
      </c>
      <c r="N13" s="88">
        <f t="shared" si="2"/>
        <v>25000</v>
      </c>
      <c r="O13" s="88">
        <f t="shared" si="2"/>
        <v>25000</v>
      </c>
      <c r="P13" s="88">
        <f t="shared" si="2"/>
        <v>25000</v>
      </c>
      <c r="Q13" s="88">
        <f t="shared" si="2"/>
        <v>25000</v>
      </c>
      <c r="R13" s="88">
        <f t="shared" si="2"/>
        <v>25000</v>
      </c>
      <c r="S13" s="88">
        <f t="shared" si="2"/>
        <v>25000</v>
      </c>
      <c r="T13" s="88">
        <f t="shared" si="2"/>
        <v>25000</v>
      </c>
      <c r="U13" s="88">
        <f t="shared" si="2"/>
        <v>25000</v>
      </c>
      <c r="V13" s="88">
        <f t="shared" si="2"/>
        <v>25000</v>
      </c>
      <c r="W13" s="88">
        <f t="shared" si="2"/>
        <v>25000</v>
      </c>
      <c r="X13" s="88">
        <f t="shared" si="2"/>
        <v>25000</v>
      </c>
      <c r="Y13" s="88">
        <f t="shared" si="2"/>
        <v>25000</v>
      </c>
      <c r="Z13" s="88">
        <f t="shared" si="2"/>
        <v>25000</v>
      </c>
      <c r="AA13" s="88">
        <f t="shared" si="2"/>
        <v>25000</v>
      </c>
      <c r="AB13" s="88">
        <f t="shared" si="2"/>
        <v>25000</v>
      </c>
      <c r="AC13" s="88">
        <f t="shared" si="2"/>
        <v>25000</v>
      </c>
      <c r="AD13" s="88">
        <f t="shared" si="2"/>
        <v>25000</v>
      </c>
      <c r="AE13" s="88">
        <f t="shared" si="2"/>
        <v>25000</v>
      </c>
      <c r="AF13" s="88">
        <f t="shared" si="2"/>
        <v>25000</v>
      </c>
      <c r="AG13" s="88">
        <f t="shared" si="2"/>
        <v>25000</v>
      </c>
      <c r="AH13" s="88">
        <f t="shared" si="2"/>
        <v>25000</v>
      </c>
      <c r="AI13" s="88">
        <f t="shared" si="2"/>
        <v>25000</v>
      </c>
      <c r="AJ13" s="88">
        <f t="shared" si="2"/>
        <v>25000</v>
      </c>
      <c r="AK13" s="88">
        <f t="shared" si="2"/>
        <v>25000</v>
      </c>
      <c r="AL13" s="88">
        <f t="shared" si="2"/>
        <v>25000</v>
      </c>
      <c r="AM13" s="88">
        <f t="shared" si="2"/>
        <v>25000</v>
      </c>
      <c r="AN13" s="88">
        <f t="shared" si="2"/>
        <v>25000</v>
      </c>
      <c r="AO13" s="88">
        <f t="shared" si="2"/>
        <v>25000</v>
      </c>
      <c r="AP13" s="88">
        <f t="shared" si="2"/>
        <v>25000</v>
      </c>
      <c r="AQ13" s="88">
        <f t="shared" si="2"/>
        <v>25000</v>
      </c>
      <c r="AR13" s="88">
        <f t="shared" si="2"/>
        <v>25000</v>
      </c>
      <c r="AS13" s="88">
        <f t="shared" si="2"/>
        <v>25000</v>
      </c>
      <c r="AT13" s="88">
        <f t="shared" si="2"/>
        <v>25000</v>
      </c>
      <c r="AU13" s="88">
        <f t="shared" si="2"/>
        <v>25000</v>
      </c>
      <c r="AV13" s="88">
        <f t="shared" si="2"/>
        <v>25000</v>
      </c>
      <c r="AW13" s="88">
        <f t="shared" si="2"/>
        <v>25000</v>
      </c>
      <c r="AX13" s="88">
        <f t="shared" si="2"/>
        <v>25000</v>
      </c>
      <c r="AY13" s="88">
        <f t="shared" si="2"/>
        <v>25000</v>
      </c>
      <c r="AZ13" s="88">
        <f t="shared" si="2"/>
        <v>25000</v>
      </c>
      <c r="BA13" s="88">
        <f t="shared" si="2"/>
        <v>25000</v>
      </c>
      <c r="BB13" s="88">
        <f t="shared" si="2"/>
        <v>25000</v>
      </c>
      <c r="BC13" s="88">
        <f t="shared" si="2"/>
        <v>25000</v>
      </c>
      <c r="BD13" s="88">
        <f t="shared" si="2"/>
        <v>25000</v>
      </c>
      <c r="BE13" s="88">
        <f t="shared" si="2"/>
        <v>25000</v>
      </c>
      <c r="BF13" s="88">
        <f t="shared" si="2"/>
        <v>25000</v>
      </c>
      <c r="BG13" s="88">
        <f t="shared" si="2"/>
        <v>25000</v>
      </c>
      <c r="BH13" s="88">
        <f t="shared" si="2"/>
        <v>25000</v>
      </c>
      <c r="BI13" s="88">
        <f t="shared" si="2"/>
        <v>25000</v>
      </c>
      <c r="BJ13" s="88">
        <f t="shared" si="2"/>
        <v>25000</v>
      </c>
      <c r="BK13" s="88">
        <f t="shared" si="2"/>
        <v>25000</v>
      </c>
      <c r="BL13" s="88">
        <f t="shared" si="2"/>
        <v>25000</v>
      </c>
    </row>
    <row r="14" spans="1:64" x14ac:dyDescent="0.2">
      <c r="B14" s="87" t="s">
        <v>54</v>
      </c>
      <c r="C14" s="87"/>
      <c r="D14" s="87"/>
      <c r="E14" s="88">
        <f>IF(E$7&lt;=100000,MAX(E$7-50000,0),50000)</f>
        <v>0</v>
      </c>
      <c r="F14" s="88">
        <f t="shared" ref="F14:BL14" si="3">IF(F$7&lt;=100000,MAX(F$7-50000,0),50000)</f>
        <v>0</v>
      </c>
      <c r="G14" s="88">
        <f t="shared" si="3"/>
        <v>0</v>
      </c>
      <c r="H14" s="88">
        <f t="shared" si="3"/>
        <v>50000</v>
      </c>
      <c r="I14" s="88">
        <f t="shared" si="3"/>
        <v>50000</v>
      </c>
      <c r="J14" s="88">
        <f t="shared" si="3"/>
        <v>50000</v>
      </c>
      <c r="K14" s="88">
        <f t="shared" si="3"/>
        <v>50000</v>
      </c>
      <c r="L14" s="88">
        <f t="shared" si="3"/>
        <v>50000</v>
      </c>
      <c r="M14" s="88">
        <f t="shared" si="3"/>
        <v>50000</v>
      </c>
      <c r="N14" s="88">
        <f t="shared" si="3"/>
        <v>50000</v>
      </c>
      <c r="O14" s="88">
        <f t="shared" si="3"/>
        <v>50000</v>
      </c>
      <c r="P14" s="88">
        <f t="shared" si="3"/>
        <v>50000</v>
      </c>
      <c r="Q14" s="88">
        <f t="shared" si="3"/>
        <v>50000</v>
      </c>
      <c r="R14" s="88">
        <f t="shared" si="3"/>
        <v>50000</v>
      </c>
      <c r="S14" s="88">
        <f t="shared" si="3"/>
        <v>50000</v>
      </c>
      <c r="T14" s="88">
        <f t="shared" si="3"/>
        <v>50000</v>
      </c>
      <c r="U14" s="88">
        <f t="shared" si="3"/>
        <v>50000</v>
      </c>
      <c r="V14" s="88">
        <f t="shared" si="3"/>
        <v>50000</v>
      </c>
      <c r="W14" s="88">
        <f t="shared" si="3"/>
        <v>50000</v>
      </c>
      <c r="X14" s="88">
        <f t="shared" si="3"/>
        <v>50000</v>
      </c>
      <c r="Y14" s="88">
        <f t="shared" si="3"/>
        <v>50000</v>
      </c>
      <c r="Z14" s="88">
        <f t="shared" si="3"/>
        <v>50000</v>
      </c>
      <c r="AA14" s="88">
        <f t="shared" si="3"/>
        <v>50000</v>
      </c>
      <c r="AB14" s="88">
        <f t="shared" si="3"/>
        <v>50000</v>
      </c>
      <c r="AC14" s="88">
        <f t="shared" si="3"/>
        <v>50000</v>
      </c>
      <c r="AD14" s="88">
        <f t="shared" si="3"/>
        <v>50000</v>
      </c>
      <c r="AE14" s="88">
        <f t="shared" si="3"/>
        <v>50000</v>
      </c>
      <c r="AF14" s="88">
        <f t="shared" si="3"/>
        <v>50000</v>
      </c>
      <c r="AG14" s="88">
        <f t="shared" si="3"/>
        <v>50000</v>
      </c>
      <c r="AH14" s="88">
        <f t="shared" si="3"/>
        <v>50000</v>
      </c>
      <c r="AI14" s="88">
        <f t="shared" si="3"/>
        <v>50000</v>
      </c>
      <c r="AJ14" s="88">
        <f t="shared" si="3"/>
        <v>50000</v>
      </c>
      <c r="AK14" s="88">
        <f t="shared" si="3"/>
        <v>50000</v>
      </c>
      <c r="AL14" s="88">
        <f t="shared" si="3"/>
        <v>50000</v>
      </c>
      <c r="AM14" s="88">
        <f t="shared" si="3"/>
        <v>50000</v>
      </c>
      <c r="AN14" s="88">
        <f t="shared" si="3"/>
        <v>50000</v>
      </c>
      <c r="AO14" s="88">
        <f t="shared" si="3"/>
        <v>50000</v>
      </c>
      <c r="AP14" s="88">
        <f t="shared" si="3"/>
        <v>50000</v>
      </c>
      <c r="AQ14" s="88">
        <f t="shared" si="3"/>
        <v>50000</v>
      </c>
      <c r="AR14" s="88">
        <f t="shared" si="3"/>
        <v>50000</v>
      </c>
      <c r="AS14" s="88">
        <f t="shared" si="3"/>
        <v>50000</v>
      </c>
      <c r="AT14" s="88">
        <f t="shared" si="3"/>
        <v>50000</v>
      </c>
      <c r="AU14" s="88">
        <f t="shared" si="3"/>
        <v>50000</v>
      </c>
      <c r="AV14" s="88">
        <f t="shared" si="3"/>
        <v>50000</v>
      </c>
      <c r="AW14" s="88">
        <f t="shared" si="3"/>
        <v>50000</v>
      </c>
      <c r="AX14" s="88">
        <f t="shared" si="3"/>
        <v>50000</v>
      </c>
      <c r="AY14" s="88">
        <f t="shared" si="3"/>
        <v>50000</v>
      </c>
      <c r="AZ14" s="88">
        <f t="shared" si="3"/>
        <v>50000</v>
      </c>
      <c r="BA14" s="88">
        <f t="shared" si="3"/>
        <v>50000</v>
      </c>
      <c r="BB14" s="88">
        <f t="shared" si="3"/>
        <v>50000</v>
      </c>
      <c r="BC14" s="88">
        <f t="shared" si="3"/>
        <v>50000</v>
      </c>
      <c r="BD14" s="88">
        <f t="shared" si="3"/>
        <v>50000</v>
      </c>
      <c r="BE14" s="88">
        <f t="shared" si="3"/>
        <v>50000</v>
      </c>
      <c r="BF14" s="88">
        <f t="shared" si="3"/>
        <v>50000</v>
      </c>
      <c r="BG14" s="88">
        <f t="shared" si="3"/>
        <v>50000</v>
      </c>
      <c r="BH14" s="88">
        <f t="shared" si="3"/>
        <v>50000</v>
      </c>
      <c r="BI14" s="88">
        <f t="shared" si="3"/>
        <v>50000</v>
      </c>
      <c r="BJ14" s="88">
        <f t="shared" si="3"/>
        <v>50000</v>
      </c>
      <c r="BK14" s="88">
        <f t="shared" si="3"/>
        <v>50000</v>
      </c>
      <c r="BL14" s="88">
        <f t="shared" si="3"/>
        <v>50000</v>
      </c>
    </row>
    <row r="15" spans="1:64" x14ac:dyDescent="0.2">
      <c r="B15" s="87" t="s">
        <v>40</v>
      </c>
      <c r="C15" s="87"/>
      <c r="D15" s="87"/>
      <c r="E15" s="88">
        <f>IF(E$7&lt;=200000,MAX(E$7-100000,0),100000)</f>
        <v>0</v>
      </c>
      <c r="F15" s="88">
        <f t="shared" ref="F15:BL15" si="4">IF(F$7&lt;=200000,MAX(F$7-100000,0),100000)</f>
        <v>0</v>
      </c>
      <c r="G15" s="88">
        <f t="shared" si="4"/>
        <v>0</v>
      </c>
      <c r="H15" s="88">
        <f t="shared" si="4"/>
        <v>100000</v>
      </c>
      <c r="I15" s="88">
        <f t="shared" si="4"/>
        <v>100000</v>
      </c>
      <c r="J15" s="88">
        <f t="shared" si="4"/>
        <v>100000</v>
      </c>
      <c r="K15" s="88">
        <f t="shared" si="4"/>
        <v>100000</v>
      </c>
      <c r="L15" s="88">
        <f t="shared" si="4"/>
        <v>100000</v>
      </c>
      <c r="M15" s="88">
        <f t="shared" si="4"/>
        <v>100000</v>
      </c>
      <c r="N15" s="88">
        <f t="shared" si="4"/>
        <v>100000</v>
      </c>
      <c r="O15" s="88">
        <f t="shared" si="4"/>
        <v>100000</v>
      </c>
      <c r="P15" s="88">
        <f t="shared" si="4"/>
        <v>100000</v>
      </c>
      <c r="Q15" s="88">
        <f t="shared" si="4"/>
        <v>100000</v>
      </c>
      <c r="R15" s="88">
        <f t="shared" si="4"/>
        <v>100000</v>
      </c>
      <c r="S15" s="88">
        <f t="shared" si="4"/>
        <v>100000</v>
      </c>
      <c r="T15" s="88">
        <f t="shared" si="4"/>
        <v>100000</v>
      </c>
      <c r="U15" s="88">
        <f t="shared" si="4"/>
        <v>100000</v>
      </c>
      <c r="V15" s="88">
        <f t="shared" si="4"/>
        <v>100000</v>
      </c>
      <c r="W15" s="88">
        <f t="shared" si="4"/>
        <v>100000</v>
      </c>
      <c r="X15" s="88">
        <f t="shared" si="4"/>
        <v>100000</v>
      </c>
      <c r="Y15" s="88">
        <f t="shared" si="4"/>
        <v>100000</v>
      </c>
      <c r="Z15" s="88">
        <f t="shared" si="4"/>
        <v>100000</v>
      </c>
      <c r="AA15" s="88">
        <f t="shared" si="4"/>
        <v>100000</v>
      </c>
      <c r="AB15" s="88">
        <f t="shared" si="4"/>
        <v>100000</v>
      </c>
      <c r="AC15" s="88">
        <f t="shared" si="4"/>
        <v>100000</v>
      </c>
      <c r="AD15" s="88">
        <f t="shared" si="4"/>
        <v>100000</v>
      </c>
      <c r="AE15" s="88">
        <f t="shared" si="4"/>
        <v>100000</v>
      </c>
      <c r="AF15" s="88">
        <f t="shared" si="4"/>
        <v>100000</v>
      </c>
      <c r="AG15" s="88">
        <f t="shared" si="4"/>
        <v>100000</v>
      </c>
      <c r="AH15" s="88">
        <f t="shared" si="4"/>
        <v>100000</v>
      </c>
      <c r="AI15" s="88">
        <f t="shared" si="4"/>
        <v>100000</v>
      </c>
      <c r="AJ15" s="88">
        <f t="shared" si="4"/>
        <v>100000</v>
      </c>
      <c r="AK15" s="88">
        <f t="shared" si="4"/>
        <v>100000</v>
      </c>
      <c r="AL15" s="88">
        <f t="shared" si="4"/>
        <v>100000</v>
      </c>
      <c r="AM15" s="88">
        <f t="shared" si="4"/>
        <v>100000</v>
      </c>
      <c r="AN15" s="88">
        <f t="shared" si="4"/>
        <v>100000</v>
      </c>
      <c r="AO15" s="88">
        <f t="shared" si="4"/>
        <v>100000</v>
      </c>
      <c r="AP15" s="88">
        <f t="shared" si="4"/>
        <v>100000</v>
      </c>
      <c r="AQ15" s="88">
        <f t="shared" si="4"/>
        <v>100000</v>
      </c>
      <c r="AR15" s="88">
        <f t="shared" si="4"/>
        <v>100000</v>
      </c>
      <c r="AS15" s="88">
        <f t="shared" si="4"/>
        <v>100000</v>
      </c>
      <c r="AT15" s="88">
        <f t="shared" si="4"/>
        <v>100000</v>
      </c>
      <c r="AU15" s="88">
        <f t="shared" si="4"/>
        <v>100000</v>
      </c>
      <c r="AV15" s="88">
        <f t="shared" si="4"/>
        <v>100000</v>
      </c>
      <c r="AW15" s="88">
        <f t="shared" si="4"/>
        <v>100000</v>
      </c>
      <c r="AX15" s="88">
        <f t="shared" si="4"/>
        <v>100000</v>
      </c>
      <c r="AY15" s="88">
        <f t="shared" si="4"/>
        <v>100000</v>
      </c>
      <c r="AZ15" s="88">
        <f t="shared" si="4"/>
        <v>100000</v>
      </c>
      <c r="BA15" s="88">
        <f t="shared" si="4"/>
        <v>100000</v>
      </c>
      <c r="BB15" s="88">
        <f t="shared" si="4"/>
        <v>100000</v>
      </c>
      <c r="BC15" s="88">
        <f t="shared" si="4"/>
        <v>100000</v>
      </c>
      <c r="BD15" s="88">
        <f t="shared" si="4"/>
        <v>100000</v>
      </c>
      <c r="BE15" s="88">
        <f t="shared" si="4"/>
        <v>100000</v>
      </c>
      <c r="BF15" s="88">
        <f t="shared" si="4"/>
        <v>100000</v>
      </c>
      <c r="BG15" s="88">
        <f t="shared" si="4"/>
        <v>100000</v>
      </c>
      <c r="BH15" s="88">
        <f t="shared" si="4"/>
        <v>100000</v>
      </c>
      <c r="BI15" s="88">
        <f t="shared" si="4"/>
        <v>100000</v>
      </c>
      <c r="BJ15" s="88">
        <f t="shared" si="4"/>
        <v>100000</v>
      </c>
      <c r="BK15" s="88">
        <f t="shared" si="4"/>
        <v>100000</v>
      </c>
      <c r="BL15" s="88">
        <f t="shared" si="4"/>
        <v>100000</v>
      </c>
    </row>
    <row r="16" spans="1:64" x14ac:dyDescent="0.2">
      <c r="B16" s="87" t="s">
        <v>41</v>
      </c>
      <c r="C16" s="87"/>
      <c r="D16" s="87"/>
      <c r="E16" s="88">
        <f>IF(E$7&lt;=500000,MAX(E$7-200000,0),300000)</f>
        <v>0</v>
      </c>
      <c r="F16" s="88">
        <f t="shared" ref="F16:BL16" si="5">IF(F$7&lt;=500000,MAX(F$7-200000,0),300000)</f>
        <v>0</v>
      </c>
      <c r="G16" s="88">
        <f t="shared" si="5"/>
        <v>0</v>
      </c>
      <c r="H16" s="88">
        <f t="shared" si="5"/>
        <v>300000</v>
      </c>
      <c r="I16" s="88">
        <f t="shared" si="5"/>
        <v>300000</v>
      </c>
      <c r="J16" s="88">
        <f t="shared" si="5"/>
        <v>300000</v>
      </c>
      <c r="K16" s="88">
        <f t="shared" si="5"/>
        <v>300000</v>
      </c>
      <c r="L16" s="88">
        <f t="shared" si="5"/>
        <v>300000</v>
      </c>
      <c r="M16" s="88">
        <f t="shared" si="5"/>
        <v>300000</v>
      </c>
      <c r="N16" s="88">
        <f t="shared" si="5"/>
        <v>300000</v>
      </c>
      <c r="O16" s="88">
        <f t="shared" si="5"/>
        <v>300000</v>
      </c>
      <c r="P16" s="88">
        <f t="shared" si="5"/>
        <v>300000</v>
      </c>
      <c r="Q16" s="88">
        <f t="shared" si="5"/>
        <v>300000</v>
      </c>
      <c r="R16" s="88">
        <f t="shared" si="5"/>
        <v>300000</v>
      </c>
      <c r="S16" s="88">
        <f t="shared" si="5"/>
        <v>300000</v>
      </c>
      <c r="T16" s="88">
        <f t="shared" si="5"/>
        <v>300000</v>
      </c>
      <c r="U16" s="88">
        <f t="shared" si="5"/>
        <v>300000</v>
      </c>
      <c r="V16" s="88">
        <f t="shared" si="5"/>
        <v>300000</v>
      </c>
      <c r="W16" s="88">
        <f t="shared" si="5"/>
        <v>300000</v>
      </c>
      <c r="X16" s="88">
        <f t="shared" si="5"/>
        <v>300000</v>
      </c>
      <c r="Y16" s="88">
        <f t="shared" si="5"/>
        <v>300000</v>
      </c>
      <c r="Z16" s="88">
        <f t="shared" si="5"/>
        <v>300000</v>
      </c>
      <c r="AA16" s="88">
        <f t="shared" si="5"/>
        <v>300000</v>
      </c>
      <c r="AB16" s="88">
        <f t="shared" si="5"/>
        <v>300000</v>
      </c>
      <c r="AC16" s="88">
        <f t="shared" si="5"/>
        <v>300000</v>
      </c>
      <c r="AD16" s="88">
        <f t="shared" si="5"/>
        <v>300000</v>
      </c>
      <c r="AE16" s="88">
        <f t="shared" si="5"/>
        <v>300000</v>
      </c>
      <c r="AF16" s="88">
        <f t="shared" si="5"/>
        <v>300000</v>
      </c>
      <c r="AG16" s="88">
        <f t="shared" si="5"/>
        <v>300000</v>
      </c>
      <c r="AH16" s="88">
        <f t="shared" si="5"/>
        <v>300000</v>
      </c>
      <c r="AI16" s="88">
        <f t="shared" si="5"/>
        <v>300000</v>
      </c>
      <c r="AJ16" s="88">
        <f t="shared" si="5"/>
        <v>300000</v>
      </c>
      <c r="AK16" s="88">
        <f t="shared" si="5"/>
        <v>300000</v>
      </c>
      <c r="AL16" s="88">
        <f t="shared" si="5"/>
        <v>300000</v>
      </c>
      <c r="AM16" s="88">
        <f t="shared" si="5"/>
        <v>300000</v>
      </c>
      <c r="AN16" s="88">
        <f t="shared" si="5"/>
        <v>300000</v>
      </c>
      <c r="AO16" s="88">
        <f t="shared" si="5"/>
        <v>300000</v>
      </c>
      <c r="AP16" s="88">
        <f t="shared" si="5"/>
        <v>300000</v>
      </c>
      <c r="AQ16" s="88">
        <f t="shared" si="5"/>
        <v>300000</v>
      </c>
      <c r="AR16" s="88">
        <f t="shared" si="5"/>
        <v>300000</v>
      </c>
      <c r="AS16" s="88">
        <f t="shared" si="5"/>
        <v>300000</v>
      </c>
      <c r="AT16" s="88">
        <f t="shared" si="5"/>
        <v>300000</v>
      </c>
      <c r="AU16" s="88">
        <f t="shared" si="5"/>
        <v>300000</v>
      </c>
      <c r="AV16" s="88">
        <f t="shared" si="5"/>
        <v>300000</v>
      </c>
      <c r="AW16" s="88">
        <f t="shared" si="5"/>
        <v>300000</v>
      </c>
      <c r="AX16" s="88">
        <f t="shared" si="5"/>
        <v>300000</v>
      </c>
      <c r="AY16" s="88">
        <f t="shared" si="5"/>
        <v>300000</v>
      </c>
      <c r="AZ16" s="88">
        <f t="shared" si="5"/>
        <v>300000</v>
      </c>
      <c r="BA16" s="88">
        <f t="shared" si="5"/>
        <v>300000</v>
      </c>
      <c r="BB16" s="88">
        <f t="shared" si="5"/>
        <v>300000</v>
      </c>
      <c r="BC16" s="88">
        <f t="shared" si="5"/>
        <v>300000</v>
      </c>
      <c r="BD16" s="88">
        <f t="shared" si="5"/>
        <v>300000</v>
      </c>
      <c r="BE16" s="88">
        <f t="shared" si="5"/>
        <v>300000</v>
      </c>
      <c r="BF16" s="88">
        <f t="shared" si="5"/>
        <v>300000</v>
      </c>
      <c r="BG16" s="88">
        <f t="shared" si="5"/>
        <v>300000</v>
      </c>
      <c r="BH16" s="88">
        <f t="shared" si="5"/>
        <v>300000</v>
      </c>
      <c r="BI16" s="88">
        <f t="shared" si="5"/>
        <v>300000</v>
      </c>
      <c r="BJ16" s="88">
        <f t="shared" si="5"/>
        <v>300000</v>
      </c>
      <c r="BK16" s="88">
        <f t="shared" si="5"/>
        <v>300000</v>
      </c>
      <c r="BL16" s="88">
        <f t="shared" si="5"/>
        <v>300000</v>
      </c>
    </row>
    <row r="17" spans="1:64" x14ac:dyDescent="0.2">
      <c r="B17" s="87" t="s">
        <v>42</v>
      </c>
      <c r="C17" s="87"/>
      <c r="D17" s="87"/>
      <c r="E17" s="88">
        <f>IF(E$7&gt;500000,E$7-500000,0)</f>
        <v>0</v>
      </c>
      <c r="F17" s="88">
        <f t="shared" ref="F17:BL17" si="6">IF(F$7&gt;500000,F$7-500000,0)</f>
        <v>0</v>
      </c>
      <c r="G17" s="88">
        <f t="shared" si="6"/>
        <v>0</v>
      </c>
      <c r="H17" s="88">
        <f t="shared" si="6"/>
        <v>952991</v>
      </c>
      <c r="I17" s="88">
        <f t="shared" si="6"/>
        <v>952991</v>
      </c>
      <c r="J17" s="88">
        <f t="shared" si="6"/>
        <v>952991</v>
      </c>
      <c r="K17" s="88">
        <f t="shared" si="6"/>
        <v>952991</v>
      </c>
      <c r="L17" s="88">
        <f t="shared" si="6"/>
        <v>952991</v>
      </c>
      <c r="M17" s="88">
        <f t="shared" si="6"/>
        <v>952991</v>
      </c>
      <c r="N17" s="88">
        <f t="shared" si="6"/>
        <v>952991</v>
      </c>
      <c r="O17" s="88">
        <f t="shared" si="6"/>
        <v>952991</v>
      </c>
      <c r="P17" s="88">
        <f t="shared" si="6"/>
        <v>952991</v>
      </c>
      <c r="Q17" s="88">
        <f t="shared" si="6"/>
        <v>952991</v>
      </c>
      <c r="R17" s="88">
        <f t="shared" si="6"/>
        <v>952991</v>
      </c>
      <c r="S17" s="88">
        <f t="shared" si="6"/>
        <v>952991</v>
      </c>
      <c r="T17" s="88">
        <f t="shared" si="6"/>
        <v>2510446</v>
      </c>
      <c r="U17" s="88">
        <f t="shared" si="6"/>
        <v>2510446</v>
      </c>
      <c r="V17" s="88">
        <f t="shared" si="6"/>
        <v>2510446</v>
      </c>
      <c r="W17" s="88">
        <f t="shared" si="6"/>
        <v>2510446</v>
      </c>
      <c r="X17" s="88">
        <f t="shared" si="6"/>
        <v>2510446</v>
      </c>
      <c r="Y17" s="88">
        <f t="shared" si="6"/>
        <v>2510446</v>
      </c>
      <c r="Z17" s="88">
        <f t="shared" si="6"/>
        <v>2510446</v>
      </c>
      <c r="AA17" s="88">
        <f t="shared" si="6"/>
        <v>2510446</v>
      </c>
      <c r="AB17" s="88">
        <f t="shared" si="6"/>
        <v>2510446</v>
      </c>
      <c r="AC17" s="88">
        <f t="shared" si="6"/>
        <v>2510446</v>
      </c>
      <c r="AD17" s="88">
        <f t="shared" si="6"/>
        <v>2510446</v>
      </c>
      <c r="AE17" s="88">
        <f t="shared" si="6"/>
        <v>2510446</v>
      </c>
      <c r="AF17" s="88">
        <f t="shared" si="6"/>
        <v>3441911</v>
      </c>
      <c r="AG17" s="88">
        <f t="shared" si="6"/>
        <v>3441911</v>
      </c>
      <c r="AH17" s="88">
        <f t="shared" si="6"/>
        <v>3441911</v>
      </c>
      <c r="AI17" s="88">
        <f t="shared" si="6"/>
        <v>3441911</v>
      </c>
      <c r="AJ17" s="88">
        <f t="shared" si="6"/>
        <v>3441911</v>
      </c>
      <c r="AK17" s="88">
        <f t="shared" si="6"/>
        <v>3441911</v>
      </c>
      <c r="AL17" s="88">
        <f t="shared" si="6"/>
        <v>3441911</v>
      </c>
      <c r="AM17" s="88">
        <f t="shared" si="6"/>
        <v>3441911</v>
      </c>
      <c r="AN17" s="88">
        <f t="shared" si="6"/>
        <v>3441915</v>
      </c>
      <c r="AO17" s="88">
        <f t="shared" si="6"/>
        <v>3930199</v>
      </c>
      <c r="AP17" s="88">
        <f t="shared" si="6"/>
        <v>3930199</v>
      </c>
      <c r="AQ17" s="88">
        <f t="shared" si="6"/>
        <v>3930199</v>
      </c>
      <c r="AR17" s="88">
        <f t="shared" si="6"/>
        <v>3930199</v>
      </c>
      <c r="AS17" s="88">
        <f t="shared" si="6"/>
        <v>3930199</v>
      </c>
      <c r="AT17" s="88">
        <f t="shared" si="6"/>
        <v>3930199</v>
      </c>
      <c r="AU17" s="88">
        <f t="shared" si="6"/>
        <v>3930199</v>
      </c>
      <c r="AV17" s="88">
        <f t="shared" si="6"/>
        <v>3930199</v>
      </c>
      <c r="AW17" s="88">
        <f t="shared" si="6"/>
        <v>3930199</v>
      </c>
      <c r="AX17" s="88">
        <f t="shared" si="6"/>
        <v>3930199</v>
      </c>
      <c r="AY17" s="88">
        <f t="shared" si="6"/>
        <v>3930199</v>
      </c>
      <c r="AZ17" s="88">
        <f t="shared" si="6"/>
        <v>3930203</v>
      </c>
      <c r="BA17" s="88">
        <f t="shared" si="6"/>
        <v>3930199</v>
      </c>
      <c r="BB17" s="88">
        <f t="shared" si="6"/>
        <v>3930199</v>
      </c>
      <c r="BC17" s="88">
        <f t="shared" si="6"/>
        <v>3930199</v>
      </c>
      <c r="BD17" s="88">
        <f t="shared" si="6"/>
        <v>3930199</v>
      </c>
      <c r="BE17" s="88">
        <f t="shared" si="6"/>
        <v>3930199</v>
      </c>
      <c r="BF17" s="88">
        <f t="shared" si="6"/>
        <v>3930199</v>
      </c>
      <c r="BG17" s="88">
        <f t="shared" si="6"/>
        <v>5372507</v>
      </c>
      <c r="BH17" s="88">
        <f t="shared" si="6"/>
        <v>5372507</v>
      </c>
      <c r="BI17" s="88">
        <f t="shared" si="6"/>
        <v>5372507</v>
      </c>
      <c r="BJ17" s="88">
        <f t="shared" si="6"/>
        <v>5372507</v>
      </c>
      <c r="BK17" s="88">
        <f t="shared" si="6"/>
        <v>5372507</v>
      </c>
      <c r="BL17" s="88">
        <f t="shared" si="6"/>
        <v>5372510</v>
      </c>
    </row>
    <row r="18" spans="1:64" x14ac:dyDescent="0.2">
      <c r="B18" s="87" t="s">
        <v>16</v>
      </c>
      <c r="C18" s="87"/>
      <c r="D18" s="87"/>
      <c r="E18" s="89">
        <f>SUM(E12:E17)</f>
        <v>0</v>
      </c>
      <c r="F18" s="89">
        <f t="shared" ref="F18:BL18" si="7">SUM(F12:F17)</f>
        <v>0</v>
      </c>
      <c r="G18" s="89">
        <f t="shared" si="7"/>
        <v>0</v>
      </c>
      <c r="H18" s="89">
        <f t="shared" si="7"/>
        <v>1452991</v>
      </c>
      <c r="I18" s="89">
        <f t="shared" si="7"/>
        <v>1452991</v>
      </c>
      <c r="J18" s="89">
        <f t="shared" si="7"/>
        <v>1452991</v>
      </c>
      <c r="K18" s="89">
        <f t="shared" si="7"/>
        <v>1452991</v>
      </c>
      <c r="L18" s="89">
        <f t="shared" si="7"/>
        <v>1452991</v>
      </c>
      <c r="M18" s="89">
        <f t="shared" si="7"/>
        <v>1452991</v>
      </c>
      <c r="N18" s="89">
        <f t="shared" si="7"/>
        <v>1452991</v>
      </c>
      <c r="O18" s="89">
        <f t="shared" si="7"/>
        <v>1452991</v>
      </c>
      <c r="P18" s="89">
        <f t="shared" si="7"/>
        <v>1452991</v>
      </c>
      <c r="Q18" s="89">
        <f t="shared" si="7"/>
        <v>1452991</v>
      </c>
      <c r="R18" s="89">
        <f t="shared" si="7"/>
        <v>1452991</v>
      </c>
      <c r="S18" s="89">
        <f t="shared" si="7"/>
        <v>1452991</v>
      </c>
      <c r="T18" s="89">
        <f t="shared" si="7"/>
        <v>3010446</v>
      </c>
      <c r="U18" s="89">
        <f t="shared" si="7"/>
        <v>3010446</v>
      </c>
      <c r="V18" s="89">
        <f t="shared" si="7"/>
        <v>3010446</v>
      </c>
      <c r="W18" s="89">
        <f t="shared" si="7"/>
        <v>3010446</v>
      </c>
      <c r="X18" s="89">
        <f t="shared" si="7"/>
        <v>3010446</v>
      </c>
      <c r="Y18" s="89">
        <f t="shared" si="7"/>
        <v>3010446</v>
      </c>
      <c r="Z18" s="89">
        <f t="shared" si="7"/>
        <v>3010446</v>
      </c>
      <c r="AA18" s="89">
        <f t="shared" si="7"/>
        <v>3010446</v>
      </c>
      <c r="AB18" s="89">
        <f t="shared" si="7"/>
        <v>3010446</v>
      </c>
      <c r="AC18" s="89">
        <f t="shared" si="7"/>
        <v>3010446</v>
      </c>
      <c r="AD18" s="89">
        <f t="shared" si="7"/>
        <v>3010446</v>
      </c>
      <c r="AE18" s="89">
        <f t="shared" si="7"/>
        <v>3010446</v>
      </c>
      <c r="AF18" s="89">
        <f t="shared" si="7"/>
        <v>3941911</v>
      </c>
      <c r="AG18" s="89">
        <f t="shared" si="7"/>
        <v>3941911</v>
      </c>
      <c r="AH18" s="89">
        <f t="shared" si="7"/>
        <v>3941911</v>
      </c>
      <c r="AI18" s="89">
        <f t="shared" si="7"/>
        <v>3941911</v>
      </c>
      <c r="AJ18" s="89">
        <f t="shared" si="7"/>
        <v>3941911</v>
      </c>
      <c r="AK18" s="89">
        <f t="shared" si="7"/>
        <v>3941911</v>
      </c>
      <c r="AL18" s="89">
        <f t="shared" si="7"/>
        <v>3941911</v>
      </c>
      <c r="AM18" s="89">
        <f t="shared" si="7"/>
        <v>3941911</v>
      </c>
      <c r="AN18" s="89">
        <f t="shared" si="7"/>
        <v>3941915</v>
      </c>
      <c r="AO18" s="89">
        <f t="shared" si="7"/>
        <v>4430199</v>
      </c>
      <c r="AP18" s="89">
        <f t="shared" si="7"/>
        <v>4430199</v>
      </c>
      <c r="AQ18" s="89">
        <f t="shared" si="7"/>
        <v>4430199</v>
      </c>
      <c r="AR18" s="89">
        <f t="shared" si="7"/>
        <v>4430199</v>
      </c>
      <c r="AS18" s="89">
        <f t="shared" si="7"/>
        <v>4430199</v>
      </c>
      <c r="AT18" s="89">
        <f t="shared" si="7"/>
        <v>4430199</v>
      </c>
      <c r="AU18" s="89">
        <f t="shared" si="7"/>
        <v>4430199</v>
      </c>
      <c r="AV18" s="89">
        <f t="shared" si="7"/>
        <v>4430199</v>
      </c>
      <c r="AW18" s="89">
        <f t="shared" si="7"/>
        <v>4430199</v>
      </c>
      <c r="AX18" s="89">
        <f t="shared" si="7"/>
        <v>4430199</v>
      </c>
      <c r="AY18" s="89">
        <f t="shared" si="7"/>
        <v>4430199</v>
      </c>
      <c r="AZ18" s="89">
        <f t="shared" si="7"/>
        <v>4430203</v>
      </c>
      <c r="BA18" s="89">
        <f t="shared" si="7"/>
        <v>4430199</v>
      </c>
      <c r="BB18" s="89">
        <f t="shared" si="7"/>
        <v>4430199</v>
      </c>
      <c r="BC18" s="89">
        <f t="shared" si="7"/>
        <v>4430199</v>
      </c>
      <c r="BD18" s="89">
        <f t="shared" si="7"/>
        <v>4430199</v>
      </c>
      <c r="BE18" s="89">
        <f t="shared" si="7"/>
        <v>4430199</v>
      </c>
      <c r="BF18" s="89">
        <f t="shared" si="7"/>
        <v>4430199</v>
      </c>
      <c r="BG18" s="89">
        <f t="shared" si="7"/>
        <v>5872507</v>
      </c>
      <c r="BH18" s="89">
        <f t="shared" si="7"/>
        <v>5872507</v>
      </c>
      <c r="BI18" s="89">
        <f t="shared" si="7"/>
        <v>5872507</v>
      </c>
      <c r="BJ18" s="89">
        <f t="shared" si="7"/>
        <v>5872507</v>
      </c>
      <c r="BK18" s="89">
        <f t="shared" si="7"/>
        <v>5872507</v>
      </c>
      <c r="BL18" s="89">
        <f t="shared" si="7"/>
        <v>5872510</v>
      </c>
    </row>
    <row r="19" spans="1:64" x14ac:dyDescent="0.2">
      <c r="B19" s="90" t="s">
        <v>25</v>
      </c>
      <c r="C19" s="90"/>
      <c r="D19" s="90"/>
      <c r="E19" s="85">
        <f t="shared" ref="E19:BL19" si="8">E7-E18</f>
        <v>0</v>
      </c>
      <c r="F19" s="85">
        <f t="shared" si="8"/>
        <v>0</v>
      </c>
      <c r="G19" s="85">
        <f t="shared" si="8"/>
        <v>0</v>
      </c>
      <c r="H19" s="85">
        <f t="shared" si="8"/>
        <v>0</v>
      </c>
      <c r="I19" s="85">
        <f t="shared" si="8"/>
        <v>0</v>
      </c>
      <c r="J19" s="85">
        <f t="shared" si="8"/>
        <v>0</v>
      </c>
      <c r="K19" s="85">
        <f t="shared" si="8"/>
        <v>0</v>
      </c>
      <c r="L19" s="85">
        <f t="shared" si="8"/>
        <v>0</v>
      </c>
      <c r="M19" s="85">
        <f t="shared" si="8"/>
        <v>0</v>
      </c>
      <c r="N19" s="85">
        <f t="shared" si="8"/>
        <v>0</v>
      </c>
      <c r="O19" s="85">
        <f t="shared" si="8"/>
        <v>0</v>
      </c>
      <c r="P19" s="85">
        <f t="shared" si="8"/>
        <v>0</v>
      </c>
      <c r="Q19" s="85">
        <f t="shared" si="8"/>
        <v>0</v>
      </c>
      <c r="R19" s="85">
        <f t="shared" si="8"/>
        <v>0</v>
      </c>
      <c r="S19" s="85">
        <f t="shared" si="8"/>
        <v>0</v>
      </c>
      <c r="T19" s="85">
        <f t="shared" si="8"/>
        <v>0</v>
      </c>
      <c r="U19" s="85">
        <f t="shared" si="8"/>
        <v>0</v>
      </c>
      <c r="V19" s="85">
        <f t="shared" si="8"/>
        <v>0</v>
      </c>
      <c r="W19" s="85">
        <f t="shared" si="8"/>
        <v>0</v>
      </c>
      <c r="X19" s="85">
        <f t="shared" si="8"/>
        <v>0</v>
      </c>
      <c r="Y19" s="85">
        <f t="shared" si="8"/>
        <v>0</v>
      </c>
      <c r="Z19" s="85">
        <f t="shared" si="8"/>
        <v>0</v>
      </c>
      <c r="AA19" s="85">
        <f t="shared" si="8"/>
        <v>0</v>
      </c>
      <c r="AB19" s="85">
        <f t="shared" si="8"/>
        <v>0</v>
      </c>
      <c r="AC19" s="85">
        <f t="shared" si="8"/>
        <v>0</v>
      </c>
      <c r="AD19" s="85">
        <f t="shared" si="8"/>
        <v>0</v>
      </c>
      <c r="AE19" s="85">
        <f t="shared" si="8"/>
        <v>0</v>
      </c>
      <c r="AF19" s="85">
        <f t="shared" si="8"/>
        <v>0</v>
      </c>
      <c r="AG19" s="85">
        <f t="shared" si="8"/>
        <v>0</v>
      </c>
      <c r="AH19" s="85">
        <f t="shared" si="8"/>
        <v>0</v>
      </c>
      <c r="AI19" s="85">
        <f t="shared" si="8"/>
        <v>0</v>
      </c>
      <c r="AJ19" s="85">
        <f t="shared" si="8"/>
        <v>0</v>
      </c>
      <c r="AK19" s="85">
        <f t="shared" si="8"/>
        <v>0</v>
      </c>
      <c r="AL19" s="85">
        <f t="shared" si="8"/>
        <v>0</v>
      </c>
      <c r="AM19" s="85">
        <f t="shared" si="8"/>
        <v>0</v>
      </c>
      <c r="AN19" s="85">
        <f t="shared" si="8"/>
        <v>0</v>
      </c>
      <c r="AO19" s="85">
        <f t="shared" si="8"/>
        <v>0</v>
      </c>
      <c r="AP19" s="85">
        <f t="shared" si="8"/>
        <v>0</v>
      </c>
      <c r="AQ19" s="85">
        <f t="shared" si="8"/>
        <v>0</v>
      </c>
      <c r="AR19" s="85">
        <f t="shared" si="8"/>
        <v>0</v>
      </c>
      <c r="AS19" s="85">
        <f t="shared" si="8"/>
        <v>0</v>
      </c>
      <c r="AT19" s="85">
        <f t="shared" si="8"/>
        <v>0</v>
      </c>
      <c r="AU19" s="85">
        <f t="shared" si="8"/>
        <v>0</v>
      </c>
      <c r="AV19" s="85">
        <f t="shared" si="8"/>
        <v>0</v>
      </c>
      <c r="AW19" s="85">
        <f t="shared" si="8"/>
        <v>0</v>
      </c>
      <c r="AX19" s="85">
        <f t="shared" si="8"/>
        <v>0</v>
      </c>
      <c r="AY19" s="85">
        <f t="shared" si="8"/>
        <v>0</v>
      </c>
      <c r="AZ19" s="85">
        <f t="shared" si="8"/>
        <v>0</v>
      </c>
      <c r="BA19" s="85">
        <f t="shared" si="8"/>
        <v>0</v>
      </c>
      <c r="BB19" s="85">
        <f t="shared" si="8"/>
        <v>0</v>
      </c>
      <c r="BC19" s="85">
        <f t="shared" si="8"/>
        <v>0</v>
      </c>
      <c r="BD19" s="85">
        <f t="shared" si="8"/>
        <v>0</v>
      </c>
      <c r="BE19" s="85">
        <f t="shared" si="8"/>
        <v>0</v>
      </c>
      <c r="BF19" s="85">
        <f t="shared" si="8"/>
        <v>0</v>
      </c>
      <c r="BG19" s="85">
        <f t="shared" si="8"/>
        <v>0</v>
      </c>
      <c r="BH19" s="85">
        <f t="shared" si="8"/>
        <v>0</v>
      </c>
      <c r="BI19" s="85">
        <f t="shared" si="8"/>
        <v>0</v>
      </c>
      <c r="BJ19" s="85">
        <f t="shared" si="8"/>
        <v>0</v>
      </c>
      <c r="BK19" s="85">
        <f t="shared" si="8"/>
        <v>0</v>
      </c>
      <c r="BL19" s="85">
        <f t="shared" si="8"/>
        <v>0</v>
      </c>
    </row>
    <row r="20" spans="1:64" x14ac:dyDescent="0.2">
      <c r="B20" s="84"/>
      <c r="C20" s="84"/>
      <c r="D20" s="84"/>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row>
    <row r="21" spans="1:64" x14ac:dyDescent="0.2">
      <c r="A21" s="31" t="s">
        <v>120</v>
      </c>
      <c r="C21" s="31"/>
      <c r="D21" s="31"/>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row>
    <row r="22" spans="1:64" x14ac:dyDescent="0.2">
      <c r="B22" s="79" t="s">
        <v>45</v>
      </c>
      <c r="C22" s="79"/>
      <c r="D22" s="79"/>
      <c r="E22" s="91">
        <f t="shared" ref="E22:BL22" si="9">E6</f>
        <v>44562</v>
      </c>
      <c r="F22" s="91">
        <f t="shared" si="9"/>
        <v>44593</v>
      </c>
      <c r="G22" s="91">
        <f t="shared" si="9"/>
        <v>44621</v>
      </c>
      <c r="H22" s="91">
        <f t="shared" si="9"/>
        <v>44652</v>
      </c>
      <c r="I22" s="91">
        <f t="shared" si="9"/>
        <v>44682</v>
      </c>
      <c r="J22" s="91">
        <f t="shared" si="9"/>
        <v>44713</v>
      </c>
      <c r="K22" s="91">
        <f t="shared" si="9"/>
        <v>44743</v>
      </c>
      <c r="L22" s="91">
        <f t="shared" si="9"/>
        <v>44774</v>
      </c>
      <c r="M22" s="91">
        <f t="shared" si="9"/>
        <v>44805</v>
      </c>
      <c r="N22" s="91">
        <f t="shared" si="9"/>
        <v>44835</v>
      </c>
      <c r="O22" s="91">
        <f t="shared" si="9"/>
        <v>44866</v>
      </c>
      <c r="P22" s="91">
        <f t="shared" si="9"/>
        <v>44896</v>
      </c>
      <c r="Q22" s="91">
        <f t="shared" si="9"/>
        <v>44927</v>
      </c>
      <c r="R22" s="91">
        <f t="shared" si="9"/>
        <v>44958</v>
      </c>
      <c r="S22" s="91">
        <f t="shared" si="9"/>
        <v>44986</v>
      </c>
      <c r="T22" s="91">
        <f t="shared" si="9"/>
        <v>45017</v>
      </c>
      <c r="U22" s="91">
        <f t="shared" si="9"/>
        <v>45047</v>
      </c>
      <c r="V22" s="91">
        <f t="shared" si="9"/>
        <v>45078</v>
      </c>
      <c r="W22" s="91">
        <f t="shared" si="9"/>
        <v>45108</v>
      </c>
      <c r="X22" s="91">
        <f t="shared" si="9"/>
        <v>45139</v>
      </c>
      <c r="Y22" s="91">
        <f t="shared" si="9"/>
        <v>45170</v>
      </c>
      <c r="Z22" s="91">
        <f t="shared" si="9"/>
        <v>45200</v>
      </c>
      <c r="AA22" s="91">
        <f t="shared" si="9"/>
        <v>45231</v>
      </c>
      <c r="AB22" s="91">
        <f t="shared" si="9"/>
        <v>45261</v>
      </c>
      <c r="AC22" s="91">
        <f t="shared" si="9"/>
        <v>45292</v>
      </c>
      <c r="AD22" s="91">
        <f t="shared" si="9"/>
        <v>45323</v>
      </c>
      <c r="AE22" s="91">
        <f t="shared" si="9"/>
        <v>45352</v>
      </c>
      <c r="AF22" s="91">
        <f t="shared" si="9"/>
        <v>45383</v>
      </c>
      <c r="AG22" s="91">
        <f t="shared" si="9"/>
        <v>45413</v>
      </c>
      <c r="AH22" s="91">
        <f t="shared" si="9"/>
        <v>45444</v>
      </c>
      <c r="AI22" s="91">
        <f t="shared" si="9"/>
        <v>45474</v>
      </c>
      <c r="AJ22" s="91">
        <f t="shared" si="9"/>
        <v>45505</v>
      </c>
      <c r="AK22" s="91">
        <f t="shared" si="9"/>
        <v>45536</v>
      </c>
      <c r="AL22" s="91">
        <f t="shared" si="9"/>
        <v>45566</v>
      </c>
      <c r="AM22" s="91">
        <f t="shared" si="9"/>
        <v>45597</v>
      </c>
      <c r="AN22" s="91">
        <f t="shared" si="9"/>
        <v>45627</v>
      </c>
      <c r="AO22" s="91">
        <f t="shared" si="9"/>
        <v>45658</v>
      </c>
      <c r="AP22" s="91">
        <f t="shared" si="9"/>
        <v>45689</v>
      </c>
      <c r="AQ22" s="91">
        <f t="shared" si="9"/>
        <v>45717</v>
      </c>
      <c r="AR22" s="91">
        <f t="shared" si="9"/>
        <v>45748</v>
      </c>
      <c r="AS22" s="91">
        <f t="shared" si="9"/>
        <v>45778</v>
      </c>
      <c r="AT22" s="91">
        <f t="shared" si="9"/>
        <v>45809</v>
      </c>
      <c r="AU22" s="91">
        <f t="shared" si="9"/>
        <v>45839</v>
      </c>
      <c r="AV22" s="91">
        <f t="shared" si="9"/>
        <v>45870</v>
      </c>
      <c r="AW22" s="91">
        <f t="shared" si="9"/>
        <v>45901</v>
      </c>
      <c r="AX22" s="91">
        <f t="shared" si="9"/>
        <v>45931</v>
      </c>
      <c r="AY22" s="91">
        <f t="shared" si="9"/>
        <v>45962</v>
      </c>
      <c r="AZ22" s="91">
        <f t="shared" si="9"/>
        <v>45992</v>
      </c>
      <c r="BA22" s="91">
        <f t="shared" si="9"/>
        <v>46023</v>
      </c>
      <c r="BB22" s="91">
        <f t="shared" si="9"/>
        <v>46054</v>
      </c>
      <c r="BC22" s="91">
        <f t="shared" si="9"/>
        <v>46082</v>
      </c>
      <c r="BD22" s="91">
        <f t="shared" si="9"/>
        <v>46113</v>
      </c>
      <c r="BE22" s="91">
        <f t="shared" si="9"/>
        <v>46143</v>
      </c>
      <c r="BF22" s="91">
        <f t="shared" si="9"/>
        <v>46174</v>
      </c>
      <c r="BG22" s="91">
        <f t="shared" si="9"/>
        <v>46204</v>
      </c>
      <c r="BH22" s="91">
        <f t="shared" si="9"/>
        <v>46235</v>
      </c>
      <c r="BI22" s="91">
        <f t="shared" si="9"/>
        <v>46266</v>
      </c>
      <c r="BJ22" s="91">
        <f t="shared" si="9"/>
        <v>46296</v>
      </c>
      <c r="BK22" s="91">
        <f t="shared" si="9"/>
        <v>46327</v>
      </c>
      <c r="BL22" s="91">
        <f t="shared" si="9"/>
        <v>46357</v>
      </c>
    </row>
    <row r="23" spans="1:64" x14ac:dyDescent="0.2">
      <c r="B23" s="82" t="s">
        <v>121</v>
      </c>
      <c r="C23" s="82"/>
      <c r="D23" s="82"/>
      <c r="E23" s="83">
        <v>0</v>
      </c>
      <c r="F23" s="83">
        <v>0</v>
      </c>
      <c r="G23" s="83">
        <v>0</v>
      </c>
      <c r="H23" s="83">
        <v>0</v>
      </c>
      <c r="I23" s="83">
        <v>0</v>
      </c>
      <c r="J23" s="83">
        <v>0</v>
      </c>
      <c r="K23" s="83">
        <v>0</v>
      </c>
      <c r="L23" s="83">
        <v>0</v>
      </c>
      <c r="M23" s="83">
        <v>0</v>
      </c>
      <c r="N23" s="83">
        <v>0</v>
      </c>
      <c r="O23" s="83">
        <v>0</v>
      </c>
      <c r="P23" s="83">
        <v>0</v>
      </c>
      <c r="Q23" s="83">
        <v>0</v>
      </c>
      <c r="R23" s="83">
        <v>0</v>
      </c>
      <c r="S23" s="83">
        <v>0</v>
      </c>
      <c r="T23" s="83">
        <v>0</v>
      </c>
      <c r="U23" s="83">
        <v>0</v>
      </c>
      <c r="V23" s="83">
        <v>0</v>
      </c>
      <c r="W23" s="83">
        <v>0</v>
      </c>
      <c r="X23" s="83">
        <v>0</v>
      </c>
      <c r="Y23" s="83">
        <v>0</v>
      </c>
      <c r="Z23" s="83">
        <v>0</v>
      </c>
      <c r="AA23" s="83">
        <v>0</v>
      </c>
      <c r="AB23" s="83">
        <v>0</v>
      </c>
      <c r="AC23" s="83">
        <v>0</v>
      </c>
      <c r="AD23" s="83">
        <v>0</v>
      </c>
      <c r="AE23" s="83">
        <v>0</v>
      </c>
      <c r="AF23" s="83">
        <v>0</v>
      </c>
      <c r="AG23" s="83">
        <v>0</v>
      </c>
      <c r="AH23" s="83">
        <v>0</v>
      </c>
      <c r="AI23" s="83">
        <v>0</v>
      </c>
      <c r="AJ23" s="83">
        <v>0</v>
      </c>
      <c r="AK23" s="83">
        <v>0</v>
      </c>
      <c r="AL23" s="83">
        <v>0</v>
      </c>
      <c r="AM23" s="83">
        <v>0</v>
      </c>
      <c r="AN23" s="83">
        <v>0</v>
      </c>
      <c r="AO23" s="83">
        <v>0</v>
      </c>
      <c r="AP23" s="83">
        <v>0</v>
      </c>
      <c r="AQ23" s="83">
        <v>0</v>
      </c>
      <c r="AR23" s="83">
        <v>0</v>
      </c>
      <c r="AS23" s="83">
        <v>0</v>
      </c>
      <c r="AT23" s="83">
        <v>0</v>
      </c>
      <c r="AU23" s="83">
        <v>0</v>
      </c>
      <c r="AV23" s="83">
        <v>0</v>
      </c>
      <c r="AW23" s="83">
        <v>0</v>
      </c>
      <c r="AX23" s="83">
        <v>0</v>
      </c>
      <c r="AY23" s="83">
        <v>0</v>
      </c>
      <c r="AZ23" s="83">
        <v>0</v>
      </c>
      <c r="BA23" s="83">
        <v>0</v>
      </c>
      <c r="BB23" s="83">
        <v>0</v>
      </c>
      <c r="BC23" s="83">
        <v>0</v>
      </c>
      <c r="BD23" s="83">
        <v>0</v>
      </c>
      <c r="BE23" s="83">
        <v>0</v>
      </c>
      <c r="BF23" s="83">
        <v>0</v>
      </c>
      <c r="BG23" s="83">
        <v>0</v>
      </c>
      <c r="BH23" s="83">
        <v>0</v>
      </c>
      <c r="BI23" s="83">
        <v>0</v>
      </c>
      <c r="BJ23" s="83">
        <v>0</v>
      </c>
      <c r="BK23" s="83">
        <v>0</v>
      </c>
      <c r="BL23" s="83">
        <v>0</v>
      </c>
    </row>
    <row r="24" spans="1:64" x14ac:dyDescent="0.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row>
    <row r="25" spans="1:64" x14ac:dyDescent="0.2">
      <c r="A25" s="31" t="s">
        <v>122</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row>
    <row r="26" spans="1:64" x14ac:dyDescent="0.2">
      <c r="B26" s="79" t="s">
        <v>45</v>
      </c>
      <c r="C26" s="79"/>
      <c r="D26" s="79"/>
      <c r="E26" s="81">
        <f t="shared" ref="E26:BL26" si="10">E6</f>
        <v>44562</v>
      </c>
      <c r="F26" s="81">
        <f t="shared" si="10"/>
        <v>44593</v>
      </c>
      <c r="G26" s="81">
        <f t="shared" si="10"/>
        <v>44621</v>
      </c>
      <c r="H26" s="81">
        <f t="shared" si="10"/>
        <v>44652</v>
      </c>
      <c r="I26" s="81">
        <f t="shared" si="10"/>
        <v>44682</v>
      </c>
      <c r="J26" s="81">
        <f t="shared" si="10"/>
        <v>44713</v>
      </c>
      <c r="K26" s="81">
        <f t="shared" si="10"/>
        <v>44743</v>
      </c>
      <c r="L26" s="81">
        <f t="shared" si="10"/>
        <v>44774</v>
      </c>
      <c r="M26" s="81">
        <f t="shared" si="10"/>
        <v>44805</v>
      </c>
      <c r="N26" s="81">
        <f t="shared" si="10"/>
        <v>44835</v>
      </c>
      <c r="O26" s="81">
        <f t="shared" si="10"/>
        <v>44866</v>
      </c>
      <c r="P26" s="81">
        <f t="shared" si="10"/>
        <v>44896</v>
      </c>
      <c r="Q26" s="81">
        <f t="shared" si="10"/>
        <v>44927</v>
      </c>
      <c r="R26" s="81">
        <f t="shared" si="10"/>
        <v>44958</v>
      </c>
      <c r="S26" s="81">
        <f t="shared" si="10"/>
        <v>44986</v>
      </c>
      <c r="T26" s="81">
        <f t="shared" si="10"/>
        <v>45017</v>
      </c>
      <c r="U26" s="81">
        <f t="shared" si="10"/>
        <v>45047</v>
      </c>
      <c r="V26" s="81">
        <f t="shared" si="10"/>
        <v>45078</v>
      </c>
      <c r="W26" s="81">
        <f t="shared" si="10"/>
        <v>45108</v>
      </c>
      <c r="X26" s="81">
        <f t="shared" si="10"/>
        <v>45139</v>
      </c>
      <c r="Y26" s="81">
        <f t="shared" si="10"/>
        <v>45170</v>
      </c>
      <c r="Z26" s="81">
        <f t="shared" si="10"/>
        <v>45200</v>
      </c>
      <c r="AA26" s="81">
        <f t="shared" si="10"/>
        <v>45231</v>
      </c>
      <c r="AB26" s="81">
        <f t="shared" si="10"/>
        <v>45261</v>
      </c>
      <c r="AC26" s="81">
        <f t="shared" si="10"/>
        <v>45292</v>
      </c>
      <c r="AD26" s="81">
        <f t="shared" si="10"/>
        <v>45323</v>
      </c>
      <c r="AE26" s="81">
        <f t="shared" si="10"/>
        <v>45352</v>
      </c>
      <c r="AF26" s="81">
        <f t="shared" si="10"/>
        <v>45383</v>
      </c>
      <c r="AG26" s="81">
        <f t="shared" si="10"/>
        <v>45413</v>
      </c>
      <c r="AH26" s="81">
        <f t="shared" si="10"/>
        <v>45444</v>
      </c>
      <c r="AI26" s="81">
        <f t="shared" si="10"/>
        <v>45474</v>
      </c>
      <c r="AJ26" s="81">
        <f t="shared" si="10"/>
        <v>45505</v>
      </c>
      <c r="AK26" s="81">
        <f t="shared" si="10"/>
        <v>45536</v>
      </c>
      <c r="AL26" s="81">
        <f t="shared" si="10"/>
        <v>45566</v>
      </c>
      <c r="AM26" s="81">
        <f t="shared" si="10"/>
        <v>45597</v>
      </c>
      <c r="AN26" s="81">
        <f t="shared" si="10"/>
        <v>45627</v>
      </c>
      <c r="AO26" s="81">
        <f t="shared" si="10"/>
        <v>45658</v>
      </c>
      <c r="AP26" s="81">
        <f t="shared" si="10"/>
        <v>45689</v>
      </c>
      <c r="AQ26" s="81">
        <f t="shared" si="10"/>
        <v>45717</v>
      </c>
      <c r="AR26" s="81">
        <f t="shared" si="10"/>
        <v>45748</v>
      </c>
      <c r="AS26" s="81">
        <f t="shared" si="10"/>
        <v>45778</v>
      </c>
      <c r="AT26" s="81">
        <f t="shared" si="10"/>
        <v>45809</v>
      </c>
      <c r="AU26" s="81">
        <f t="shared" si="10"/>
        <v>45839</v>
      </c>
      <c r="AV26" s="81">
        <f t="shared" si="10"/>
        <v>45870</v>
      </c>
      <c r="AW26" s="81">
        <f t="shared" si="10"/>
        <v>45901</v>
      </c>
      <c r="AX26" s="81">
        <f t="shared" si="10"/>
        <v>45931</v>
      </c>
      <c r="AY26" s="81">
        <f t="shared" si="10"/>
        <v>45962</v>
      </c>
      <c r="AZ26" s="81">
        <f t="shared" si="10"/>
        <v>45992</v>
      </c>
      <c r="BA26" s="81">
        <f t="shared" si="10"/>
        <v>46023</v>
      </c>
      <c r="BB26" s="81">
        <f t="shared" si="10"/>
        <v>46054</v>
      </c>
      <c r="BC26" s="81">
        <f t="shared" si="10"/>
        <v>46082</v>
      </c>
      <c r="BD26" s="81">
        <f t="shared" si="10"/>
        <v>46113</v>
      </c>
      <c r="BE26" s="81">
        <f t="shared" si="10"/>
        <v>46143</v>
      </c>
      <c r="BF26" s="81">
        <f t="shared" si="10"/>
        <v>46174</v>
      </c>
      <c r="BG26" s="81">
        <f t="shared" si="10"/>
        <v>46204</v>
      </c>
      <c r="BH26" s="81">
        <f t="shared" si="10"/>
        <v>46235</v>
      </c>
      <c r="BI26" s="81">
        <f t="shared" si="10"/>
        <v>46266</v>
      </c>
      <c r="BJ26" s="81">
        <f t="shared" si="10"/>
        <v>46296</v>
      </c>
      <c r="BK26" s="81">
        <f t="shared" si="10"/>
        <v>46327</v>
      </c>
      <c r="BL26" s="81">
        <f t="shared" si="10"/>
        <v>46357</v>
      </c>
    </row>
    <row r="27" spans="1:64" x14ac:dyDescent="0.2">
      <c r="B27" s="82" t="s">
        <v>118</v>
      </c>
      <c r="C27" s="82"/>
      <c r="D27" s="82"/>
      <c r="E27" s="83">
        <v>0</v>
      </c>
      <c r="F27" s="83">
        <v>0</v>
      </c>
      <c r="G27" s="83">
        <v>0</v>
      </c>
      <c r="H27" s="83">
        <v>1</v>
      </c>
      <c r="I27" s="83">
        <v>1</v>
      </c>
      <c r="J27" s="83">
        <v>1</v>
      </c>
      <c r="K27" s="83">
        <v>1</v>
      </c>
      <c r="L27" s="83">
        <v>1</v>
      </c>
      <c r="M27" s="83">
        <v>1</v>
      </c>
      <c r="N27" s="83">
        <v>1</v>
      </c>
      <c r="O27" s="83">
        <v>1</v>
      </c>
      <c r="P27" s="83">
        <v>1</v>
      </c>
      <c r="Q27" s="83">
        <v>1</v>
      </c>
      <c r="R27" s="83">
        <v>1</v>
      </c>
      <c r="S27" s="83">
        <v>1</v>
      </c>
      <c r="T27" s="83">
        <v>1</v>
      </c>
      <c r="U27" s="83">
        <v>1</v>
      </c>
      <c r="V27" s="83">
        <v>1</v>
      </c>
      <c r="W27" s="83">
        <v>1</v>
      </c>
      <c r="X27" s="83">
        <v>1</v>
      </c>
      <c r="Y27" s="83">
        <v>1</v>
      </c>
      <c r="Z27" s="83">
        <v>1</v>
      </c>
      <c r="AA27" s="83">
        <v>1</v>
      </c>
      <c r="AB27" s="83">
        <v>1</v>
      </c>
      <c r="AC27" s="83">
        <v>1</v>
      </c>
      <c r="AD27" s="83">
        <v>1</v>
      </c>
      <c r="AE27" s="83">
        <v>1</v>
      </c>
      <c r="AF27" s="83">
        <v>1</v>
      </c>
      <c r="AG27" s="83">
        <v>1</v>
      </c>
      <c r="AH27" s="83">
        <v>1</v>
      </c>
      <c r="AI27" s="83">
        <v>1</v>
      </c>
      <c r="AJ27" s="83">
        <v>1</v>
      </c>
      <c r="AK27" s="83">
        <v>1</v>
      </c>
      <c r="AL27" s="83">
        <v>1</v>
      </c>
      <c r="AM27" s="83">
        <v>1</v>
      </c>
      <c r="AN27" s="83">
        <v>1</v>
      </c>
      <c r="AO27" s="83">
        <v>1</v>
      </c>
      <c r="AP27" s="83">
        <v>1</v>
      </c>
      <c r="AQ27" s="83">
        <v>1</v>
      </c>
      <c r="AR27" s="83">
        <v>1</v>
      </c>
      <c r="AS27" s="83">
        <v>1</v>
      </c>
      <c r="AT27" s="83">
        <v>1</v>
      </c>
      <c r="AU27" s="83">
        <v>1</v>
      </c>
      <c r="AV27" s="83">
        <v>1</v>
      </c>
      <c r="AW27" s="83">
        <v>1</v>
      </c>
      <c r="AX27" s="83">
        <v>1</v>
      </c>
      <c r="AY27" s="83">
        <v>1</v>
      </c>
      <c r="AZ27" s="83">
        <v>1</v>
      </c>
      <c r="BA27" s="83">
        <v>1</v>
      </c>
      <c r="BB27" s="83">
        <v>1</v>
      </c>
      <c r="BC27" s="83">
        <v>1</v>
      </c>
      <c r="BD27" s="83">
        <v>1</v>
      </c>
      <c r="BE27" s="83">
        <v>1</v>
      </c>
      <c r="BF27" s="83">
        <v>1</v>
      </c>
      <c r="BG27" s="83">
        <v>1</v>
      </c>
      <c r="BH27" s="83">
        <v>1</v>
      </c>
      <c r="BI27" s="83">
        <v>1</v>
      </c>
      <c r="BJ27" s="83">
        <v>1</v>
      </c>
      <c r="BK27" s="83">
        <v>1</v>
      </c>
      <c r="BL27" s="83">
        <v>1</v>
      </c>
    </row>
    <row r="28" spans="1:64" x14ac:dyDescent="0.2">
      <c r="A28" s="31"/>
      <c r="B28" s="92"/>
    </row>
    <row r="29" spans="1:64" x14ac:dyDescent="0.2">
      <c r="A29" s="31" t="s">
        <v>123</v>
      </c>
      <c r="B29" s="31"/>
    </row>
    <row r="30" spans="1:64" x14ac:dyDescent="0.2">
      <c r="A30" s="30" t="s">
        <v>124</v>
      </c>
      <c r="C30" s="93" t="s">
        <v>17</v>
      </c>
      <c r="D30" s="30" t="s">
        <v>125</v>
      </c>
      <c r="E30" s="94">
        <v>918.31</v>
      </c>
      <c r="F30" s="94">
        <v>918.31</v>
      </c>
      <c r="G30" s="94">
        <v>918.31</v>
      </c>
      <c r="H30" s="94">
        <v>918.31</v>
      </c>
      <c r="I30" s="94">
        <v>918.31</v>
      </c>
      <c r="J30" s="94">
        <v>918.31</v>
      </c>
      <c r="K30" s="94">
        <v>918.31</v>
      </c>
      <c r="L30" s="94">
        <v>918.31</v>
      </c>
      <c r="M30" s="94">
        <v>918.31</v>
      </c>
      <c r="N30" s="94">
        <v>918.31</v>
      </c>
      <c r="O30" s="94">
        <v>918.31</v>
      </c>
      <c r="P30" s="94">
        <v>918.31</v>
      </c>
      <c r="Q30" s="94">
        <v>918.31</v>
      </c>
      <c r="R30" s="94">
        <v>918.31</v>
      </c>
      <c r="S30" s="94">
        <v>918.31</v>
      </c>
      <c r="T30" s="94">
        <v>918.31</v>
      </c>
      <c r="U30" s="94">
        <v>918.31</v>
      </c>
      <c r="V30" s="94">
        <v>918.31</v>
      </c>
      <c r="W30" s="94">
        <v>918.31</v>
      </c>
      <c r="X30" s="94">
        <v>918.31</v>
      </c>
      <c r="Y30" s="94">
        <v>918.31</v>
      </c>
      <c r="Z30" s="94">
        <v>918.31</v>
      </c>
      <c r="AA30" s="94">
        <v>918.31</v>
      </c>
      <c r="AB30" s="94">
        <v>918.31</v>
      </c>
      <c r="AC30" s="94">
        <v>918.31</v>
      </c>
      <c r="AD30" s="94">
        <v>918.31</v>
      </c>
      <c r="AE30" s="94">
        <v>918.31</v>
      </c>
      <c r="AF30" s="94">
        <v>918.31</v>
      </c>
      <c r="AG30" s="94">
        <v>918.31</v>
      </c>
      <c r="AH30" s="94">
        <v>918.31</v>
      </c>
      <c r="AI30" s="94">
        <v>918.31</v>
      </c>
      <c r="AJ30" s="94">
        <v>918.31</v>
      </c>
      <c r="AK30" s="94">
        <v>918.31</v>
      </c>
      <c r="AL30" s="94">
        <v>918.31</v>
      </c>
      <c r="AM30" s="94">
        <v>918.31</v>
      </c>
      <c r="AN30" s="94">
        <v>918.31</v>
      </c>
      <c r="AO30" s="94">
        <v>918.31</v>
      </c>
      <c r="AP30" s="94">
        <v>918.31</v>
      </c>
      <c r="AQ30" s="94">
        <v>918.31</v>
      </c>
      <c r="AR30" s="94">
        <v>918.31</v>
      </c>
      <c r="AS30" s="94">
        <v>918.31</v>
      </c>
      <c r="AT30" s="94">
        <v>918.31</v>
      </c>
      <c r="AU30" s="94">
        <v>918.31</v>
      </c>
      <c r="AV30" s="94">
        <v>918.31</v>
      </c>
      <c r="AW30" s="94">
        <v>918.31</v>
      </c>
      <c r="AX30" s="94">
        <v>918.31</v>
      </c>
      <c r="AY30" s="94">
        <v>918.31</v>
      </c>
      <c r="AZ30" s="94">
        <v>918.31</v>
      </c>
      <c r="BA30" s="94">
        <v>918.31</v>
      </c>
      <c r="BB30" s="94">
        <v>918.31</v>
      </c>
      <c r="BC30" s="94">
        <v>918.31</v>
      </c>
      <c r="BD30" s="94">
        <v>918.31</v>
      </c>
      <c r="BE30" s="94">
        <v>918.31</v>
      </c>
      <c r="BF30" s="94">
        <v>918.31</v>
      </c>
      <c r="BG30" s="94">
        <v>918.31</v>
      </c>
      <c r="BH30" s="94">
        <v>918.31</v>
      </c>
      <c r="BI30" s="94">
        <v>918.31</v>
      </c>
      <c r="BJ30" s="94">
        <v>918.31</v>
      </c>
      <c r="BK30" s="94">
        <v>918.31</v>
      </c>
      <c r="BL30" s="94">
        <v>918.31</v>
      </c>
    </row>
    <row r="31" spans="1:64" x14ac:dyDescent="0.2">
      <c r="A31" s="30" t="s">
        <v>126</v>
      </c>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row>
    <row r="32" spans="1:64" x14ac:dyDescent="0.2">
      <c r="B32" s="30" t="s">
        <v>127</v>
      </c>
      <c r="C32" s="93" t="s">
        <v>17</v>
      </c>
      <c r="D32" s="30" t="s">
        <v>128</v>
      </c>
      <c r="E32" s="95">
        <v>0.17533000000000001</v>
      </c>
      <c r="F32" s="95">
        <v>0.17533000000000001</v>
      </c>
      <c r="G32" s="95">
        <v>0.17533000000000001</v>
      </c>
      <c r="H32" s="95">
        <v>0.17533000000000001</v>
      </c>
      <c r="I32" s="95">
        <v>0.17533000000000001</v>
      </c>
      <c r="J32" s="95">
        <v>0.17533000000000001</v>
      </c>
      <c r="K32" s="95">
        <v>0.17533000000000001</v>
      </c>
      <c r="L32" s="95">
        <v>0.17533000000000001</v>
      </c>
      <c r="M32" s="95">
        <v>0.17533000000000001</v>
      </c>
      <c r="N32" s="95">
        <v>0.17533000000000001</v>
      </c>
      <c r="O32" s="95">
        <v>0.17533000000000001</v>
      </c>
      <c r="P32" s="95">
        <v>0.17533000000000001</v>
      </c>
      <c r="Q32" s="95">
        <v>0.17533000000000001</v>
      </c>
      <c r="R32" s="95">
        <v>0.17533000000000001</v>
      </c>
      <c r="S32" s="95">
        <v>0.17533000000000001</v>
      </c>
      <c r="T32" s="95">
        <v>0.17533000000000001</v>
      </c>
      <c r="U32" s="95">
        <v>0.17533000000000001</v>
      </c>
      <c r="V32" s="95">
        <v>0.17533000000000001</v>
      </c>
      <c r="W32" s="95">
        <v>0.17533000000000001</v>
      </c>
      <c r="X32" s="95">
        <v>0.17533000000000001</v>
      </c>
      <c r="Y32" s="95">
        <v>0.17533000000000001</v>
      </c>
      <c r="Z32" s="95">
        <v>0.17533000000000001</v>
      </c>
      <c r="AA32" s="95">
        <v>0.17533000000000001</v>
      </c>
      <c r="AB32" s="95">
        <v>0.17533000000000001</v>
      </c>
      <c r="AC32" s="95">
        <v>0.17533000000000001</v>
      </c>
      <c r="AD32" s="95">
        <v>0.17533000000000001</v>
      </c>
      <c r="AE32" s="95">
        <v>0.17533000000000001</v>
      </c>
      <c r="AF32" s="95">
        <v>0.17533000000000001</v>
      </c>
      <c r="AG32" s="95">
        <v>0.17533000000000001</v>
      </c>
      <c r="AH32" s="95">
        <v>0.17533000000000001</v>
      </c>
      <c r="AI32" s="95">
        <v>0.17533000000000001</v>
      </c>
      <c r="AJ32" s="95">
        <v>0.17533000000000001</v>
      </c>
      <c r="AK32" s="95">
        <v>0.17533000000000001</v>
      </c>
      <c r="AL32" s="95">
        <v>0.17533000000000001</v>
      </c>
      <c r="AM32" s="95">
        <v>0.17533000000000001</v>
      </c>
      <c r="AN32" s="95">
        <v>0.17533000000000001</v>
      </c>
      <c r="AO32" s="95">
        <v>0.17533000000000001</v>
      </c>
      <c r="AP32" s="95">
        <v>0.17533000000000001</v>
      </c>
      <c r="AQ32" s="95">
        <v>0.17533000000000001</v>
      </c>
      <c r="AR32" s="95">
        <v>0.17533000000000001</v>
      </c>
      <c r="AS32" s="95">
        <v>0.17533000000000001</v>
      </c>
      <c r="AT32" s="95">
        <v>0.17533000000000001</v>
      </c>
      <c r="AU32" s="95">
        <v>0.17533000000000001</v>
      </c>
      <c r="AV32" s="95">
        <v>0.17533000000000001</v>
      </c>
      <c r="AW32" s="95">
        <v>0.17533000000000001</v>
      </c>
      <c r="AX32" s="95">
        <v>0.17533000000000001</v>
      </c>
      <c r="AY32" s="95">
        <v>0.17533000000000001</v>
      </c>
      <c r="AZ32" s="95">
        <v>0.17533000000000001</v>
      </c>
      <c r="BA32" s="95">
        <v>0.17533000000000001</v>
      </c>
      <c r="BB32" s="95">
        <v>0.17533000000000001</v>
      </c>
      <c r="BC32" s="95">
        <v>0.17533000000000001</v>
      </c>
      <c r="BD32" s="95">
        <v>0.17533000000000001</v>
      </c>
      <c r="BE32" s="95">
        <v>0.17533000000000001</v>
      </c>
      <c r="BF32" s="95">
        <v>0.17533000000000001</v>
      </c>
      <c r="BG32" s="95">
        <v>0.17533000000000001</v>
      </c>
      <c r="BH32" s="95">
        <v>0.17533000000000001</v>
      </c>
      <c r="BI32" s="95">
        <v>0.17533000000000001</v>
      </c>
      <c r="BJ32" s="95">
        <v>0.17533000000000001</v>
      </c>
      <c r="BK32" s="95">
        <v>0.17533000000000001</v>
      </c>
      <c r="BL32" s="95">
        <v>0.17533000000000001</v>
      </c>
    </row>
    <row r="33" spans="1:64" x14ac:dyDescent="0.2">
      <c r="B33" s="30" t="s">
        <v>129</v>
      </c>
      <c r="C33" s="93" t="s">
        <v>17</v>
      </c>
      <c r="D33" s="30" t="s">
        <v>128</v>
      </c>
      <c r="E33" s="95">
        <v>0.10595</v>
      </c>
      <c r="F33" s="95">
        <v>0.10595</v>
      </c>
      <c r="G33" s="95">
        <v>0.10595</v>
      </c>
      <c r="H33" s="95">
        <v>0.10595</v>
      </c>
      <c r="I33" s="95">
        <v>0.10595</v>
      </c>
      <c r="J33" s="95">
        <v>0.10595</v>
      </c>
      <c r="K33" s="95">
        <v>0.10595</v>
      </c>
      <c r="L33" s="95">
        <v>0.10595</v>
      </c>
      <c r="M33" s="95">
        <v>0.10595</v>
      </c>
      <c r="N33" s="95">
        <v>0.10595</v>
      </c>
      <c r="O33" s="95">
        <v>0.10595</v>
      </c>
      <c r="P33" s="95">
        <v>0.10595</v>
      </c>
      <c r="Q33" s="95">
        <v>0.10595</v>
      </c>
      <c r="R33" s="95">
        <v>0.10595</v>
      </c>
      <c r="S33" s="95">
        <v>0.10595</v>
      </c>
      <c r="T33" s="95">
        <v>0.10595</v>
      </c>
      <c r="U33" s="95">
        <v>0.10595</v>
      </c>
      <c r="V33" s="95">
        <v>0.10595</v>
      </c>
      <c r="W33" s="95">
        <v>0.10595</v>
      </c>
      <c r="X33" s="95">
        <v>0.10595</v>
      </c>
      <c r="Y33" s="95">
        <v>0.10595</v>
      </c>
      <c r="Z33" s="95">
        <v>0.10595</v>
      </c>
      <c r="AA33" s="95">
        <v>0.10595</v>
      </c>
      <c r="AB33" s="95">
        <v>0.10595</v>
      </c>
      <c r="AC33" s="95">
        <v>0.10595</v>
      </c>
      <c r="AD33" s="95">
        <v>0.10595</v>
      </c>
      <c r="AE33" s="95">
        <v>0.10595</v>
      </c>
      <c r="AF33" s="95">
        <v>0.10595</v>
      </c>
      <c r="AG33" s="95">
        <v>0.10595</v>
      </c>
      <c r="AH33" s="95">
        <v>0.10595</v>
      </c>
      <c r="AI33" s="95">
        <v>0.10595</v>
      </c>
      <c r="AJ33" s="95">
        <v>0.10595</v>
      </c>
      <c r="AK33" s="95">
        <v>0.10595</v>
      </c>
      <c r="AL33" s="95">
        <v>0.10595</v>
      </c>
      <c r="AM33" s="95">
        <v>0.10595</v>
      </c>
      <c r="AN33" s="95">
        <v>0.10595</v>
      </c>
      <c r="AO33" s="95">
        <v>0.10595</v>
      </c>
      <c r="AP33" s="95">
        <v>0.10595</v>
      </c>
      <c r="AQ33" s="95">
        <v>0.10595</v>
      </c>
      <c r="AR33" s="95">
        <v>0.10595</v>
      </c>
      <c r="AS33" s="95">
        <v>0.10595</v>
      </c>
      <c r="AT33" s="95">
        <v>0.10595</v>
      </c>
      <c r="AU33" s="95">
        <v>0.10595</v>
      </c>
      <c r="AV33" s="95">
        <v>0.10595</v>
      </c>
      <c r="AW33" s="95">
        <v>0.10595</v>
      </c>
      <c r="AX33" s="95">
        <v>0.10595</v>
      </c>
      <c r="AY33" s="95">
        <v>0.10595</v>
      </c>
      <c r="AZ33" s="95">
        <v>0.10595</v>
      </c>
      <c r="BA33" s="95">
        <v>0.10595</v>
      </c>
      <c r="BB33" s="95">
        <v>0.10595</v>
      </c>
      <c r="BC33" s="95">
        <v>0.10595</v>
      </c>
      <c r="BD33" s="95">
        <v>0.10595</v>
      </c>
      <c r="BE33" s="95">
        <v>0.10595</v>
      </c>
      <c r="BF33" s="95">
        <v>0.10595</v>
      </c>
      <c r="BG33" s="95">
        <v>0.10595</v>
      </c>
      <c r="BH33" s="95">
        <v>0.10595</v>
      </c>
      <c r="BI33" s="95">
        <v>0.10595</v>
      </c>
      <c r="BJ33" s="95">
        <v>0.10595</v>
      </c>
      <c r="BK33" s="95">
        <v>0.10595</v>
      </c>
      <c r="BL33" s="95">
        <v>0.10595</v>
      </c>
    </row>
    <row r="34" spans="1:64" x14ac:dyDescent="0.2">
      <c r="B34" s="30" t="s">
        <v>130</v>
      </c>
      <c r="C34" s="93" t="s">
        <v>17</v>
      </c>
      <c r="D34" s="30" t="s">
        <v>128</v>
      </c>
      <c r="E34" s="95">
        <v>6.7419999999999994E-2</v>
      </c>
      <c r="F34" s="95">
        <v>6.7419999999999994E-2</v>
      </c>
      <c r="G34" s="95">
        <v>6.7419999999999994E-2</v>
      </c>
      <c r="H34" s="95">
        <v>6.7419999999999994E-2</v>
      </c>
      <c r="I34" s="95">
        <v>6.7419999999999994E-2</v>
      </c>
      <c r="J34" s="95">
        <v>6.7419999999999994E-2</v>
      </c>
      <c r="K34" s="95">
        <v>6.7419999999999994E-2</v>
      </c>
      <c r="L34" s="95">
        <v>6.7419999999999994E-2</v>
      </c>
      <c r="M34" s="95">
        <v>6.7419999999999994E-2</v>
      </c>
      <c r="N34" s="95">
        <v>6.7419999999999994E-2</v>
      </c>
      <c r="O34" s="95">
        <v>6.7419999999999994E-2</v>
      </c>
      <c r="P34" s="95">
        <v>6.7419999999999994E-2</v>
      </c>
      <c r="Q34" s="95">
        <v>6.7419999999999994E-2</v>
      </c>
      <c r="R34" s="95">
        <v>6.7419999999999994E-2</v>
      </c>
      <c r="S34" s="95">
        <v>6.7419999999999994E-2</v>
      </c>
      <c r="T34" s="95">
        <v>6.7419999999999994E-2</v>
      </c>
      <c r="U34" s="95">
        <v>6.7419999999999994E-2</v>
      </c>
      <c r="V34" s="95">
        <v>6.7419999999999994E-2</v>
      </c>
      <c r="W34" s="95">
        <v>6.7419999999999994E-2</v>
      </c>
      <c r="X34" s="95">
        <v>6.7419999999999994E-2</v>
      </c>
      <c r="Y34" s="95">
        <v>6.7419999999999994E-2</v>
      </c>
      <c r="Z34" s="95">
        <v>6.7419999999999994E-2</v>
      </c>
      <c r="AA34" s="95">
        <v>6.7419999999999994E-2</v>
      </c>
      <c r="AB34" s="95">
        <v>6.7419999999999994E-2</v>
      </c>
      <c r="AC34" s="95">
        <v>6.7419999999999994E-2</v>
      </c>
      <c r="AD34" s="95">
        <v>6.7419999999999994E-2</v>
      </c>
      <c r="AE34" s="95">
        <v>6.7419999999999994E-2</v>
      </c>
      <c r="AF34" s="95">
        <v>6.7419999999999994E-2</v>
      </c>
      <c r="AG34" s="95">
        <v>6.7419999999999994E-2</v>
      </c>
      <c r="AH34" s="95">
        <v>6.7419999999999994E-2</v>
      </c>
      <c r="AI34" s="95">
        <v>6.7419999999999994E-2</v>
      </c>
      <c r="AJ34" s="95">
        <v>6.7419999999999994E-2</v>
      </c>
      <c r="AK34" s="95">
        <v>6.7419999999999994E-2</v>
      </c>
      <c r="AL34" s="95">
        <v>6.7419999999999994E-2</v>
      </c>
      <c r="AM34" s="95">
        <v>6.7419999999999994E-2</v>
      </c>
      <c r="AN34" s="95">
        <v>6.7419999999999994E-2</v>
      </c>
      <c r="AO34" s="95">
        <v>6.7419999999999994E-2</v>
      </c>
      <c r="AP34" s="95">
        <v>6.7419999999999994E-2</v>
      </c>
      <c r="AQ34" s="95">
        <v>6.7419999999999994E-2</v>
      </c>
      <c r="AR34" s="95">
        <v>6.7419999999999994E-2</v>
      </c>
      <c r="AS34" s="95">
        <v>6.7419999999999994E-2</v>
      </c>
      <c r="AT34" s="95">
        <v>6.7419999999999994E-2</v>
      </c>
      <c r="AU34" s="95">
        <v>6.7419999999999994E-2</v>
      </c>
      <c r="AV34" s="95">
        <v>6.7419999999999994E-2</v>
      </c>
      <c r="AW34" s="95">
        <v>6.7419999999999994E-2</v>
      </c>
      <c r="AX34" s="95">
        <v>6.7419999999999994E-2</v>
      </c>
      <c r="AY34" s="95">
        <v>6.7419999999999994E-2</v>
      </c>
      <c r="AZ34" s="95">
        <v>6.7419999999999994E-2</v>
      </c>
      <c r="BA34" s="95">
        <v>6.7419999999999994E-2</v>
      </c>
      <c r="BB34" s="95">
        <v>6.7419999999999994E-2</v>
      </c>
      <c r="BC34" s="95">
        <v>6.7419999999999994E-2</v>
      </c>
      <c r="BD34" s="95">
        <v>6.7419999999999994E-2</v>
      </c>
      <c r="BE34" s="95">
        <v>6.7419999999999994E-2</v>
      </c>
      <c r="BF34" s="95">
        <v>6.7419999999999994E-2</v>
      </c>
      <c r="BG34" s="95">
        <v>6.7419999999999994E-2</v>
      </c>
      <c r="BH34" s="95">
        <v>6.7419999999999994E-2</v>
      </c>
      <c r="BI34" s="95">
        <v>6.7419999999999994E-2</v>
      </c>
      <c r="BJ34" s="95">
        <v>6.7419999999999994E-2</v>
      </c>
      <c r="BK34" s="95">
        <v>6.7419999999999994E-2</v>
      </c>
      <c r="BL34" s="95">
        <v>6.7419999999999994E-2</v>
      </c>
    </row>
    <row r="35" spans="1:64" x14ac:dyDescent="0.2">
      <c r="B35" s="30" t="s">
        <v>131</v>
      </c>
      <c r="C35" s="93" t="s">
        <v>17</v>
      </c>
      <c r="D35" s="30" t="s">
        <v>128</v>
      </c>
      <c r="E35" s="95">
        <v>4.3229999999999998E-2</v>
      </c>
      <c r="F35" s="95">
        <v>4.3229999999999998E-2</v>
      </c>
      <c r="G35" s="95">
        <v>4.3229999999999998E-2</v>
      </c>
      <c r="H35" s="95">
        <v>4.3229999999999998E-2</v>
      </c>
      <c r="I35" s="95">
        <v>4.3229999999999998E-2</v>
      </c>
      <c r="J35" s="95">
        <v>4.3229999999999998E-2</v>
      </c>
      <c r="K35" s="95">
        <v>4.3229999999999998E-2</v>
      </c>
      <c r="L35" s="95">
        <v>4.3229999999999998E-2</v>
      </c>
      <c r="M35" s="95">
        <v>4.3229999999999998E-2</v>
      </c>
      <c r="N35" s="95">
        <v>4.3229999999999998E-2</v>
      </c>
      <c r="O35" s="95">
        <v>4.3229999999999998E-2</v>
      </c>
      <c r="P35" s="95">
        <v>4.3229999999999998E-2</v>
      </c>
      <c r="Q35" s="95">
        <v>4.3229999999999998E-2</v>
      </c>
      <c r="R35" s="95">
        <v>4.3229999999999998E-2</v>
      </c>
      <c r="S35" s="95">
        <v>4.3229999999999998E-2</v>
      </c>
      <c r="T35" s="95">
        <v>4.3229999999999998E-2</v>
      </c>
      <c r="U35" s="95">
        <v>4.3229999999999998E-2</v>
      </c>
      <c r="V35" s="95">
        <v>4.3229999999999998E-2</v>
      </c>
      <c r="W35" s="95">
        <v>4.3229999999999998E-2</v>
      </c>
      <c r="X35" s="95">
        <v>4.3229999999999998E-2</v>
      </c>
      <c r="Y35" s="95">
        <v>4.3229999999999998E-2</v>
      </c>
      <c r="Z35" s="95">
        <v>4.3229999999999998E-2</v>
      </c>
      <c r="AA35" s="95">
        <v>4.3229999999999998E-2</v>
      </c>
      <c r="AB35" s="95">
        <v>4.3229999999999998E-2</v>
      </c>
      <c r="AC35" s="95">
        <v>4.3229999999999998E-2</v>
      </c>
      <c r="AD35" s="95">
        <v>4.3229999999999998E-2</v>
      </c>
      <c r="AE35" s="95">
        <v>4.3229999999999998E-2</v>
      </c>
      <c r="AF35" s="95">
        <v>4.3229999999999998E-2</v>
      </c>
      <c r="AG35" s="95">
        <v>4.3229999999999998E-2</v>
      </c>
      <c r="AH35" s="95">
        <v>4.3229999999999998E-2</v>
      </c>
      <c r="AI35" s="95">
        <v>4.3229999999999998E-2</v>
      </c>
      <c r="AJ35" s="95">
        <v>4.3229999999999998E-2</v>
      </c>
      <c r="AK35" s="95">
        <v>4.3229999999999998E-2</v>
      </c>
      <c r="AL35" s="95">
        <v>4.3229999999999998E-2</v>
      </c>
      <c r="AM35" s="95">
        <v>4.3229999999999998E-2</v>
      </c>
      <c r="AN35" s="95">
        <v>4.3229999999999998E-2</v>
      </c>
      <c r="AO35" s="95">
        <v>4.3229999999999998E-2</v>
      </c>
      <c r="AP35" s="95">
        <v>4.3229999999999998E-2</v>
      </c>
      <c r="AQ35" s="95">
        <v>4.3229999999999998E-2</v>
      </c>
      <c r="AR35" s="95">
        <v>4.3229999999999998E-2</v>
      </c>
      <c r="AS35" s="95">
        <v>4.3229999999999998E-2</v>
      </c>
      <c r="AT35" s="95">
        <v>4.3229999999999998E-2</v>
      </c>
      <c r="AU35" s="95">
        <v>4.3229999999999998E-2</v>
      </c>
      <c r="AV35" s="95">
        <v>4.3229999999999998E-2</v>
      </c>
      <c r="AW35" s="95">
        <v>4.3229999999999998E-2</v>
      </c>
      <c r="AX35" s="95">
        <v>4.3229999999999998E-2</v>
      </c>
      <c r="AY35" s="95">
        <v>4.3229999999999998E-2</v>
      </c>
      <c r="AZ35" s="95">
        <v>4.3229999999999998E-2</v>
      </c>
      <c r="BA35" s="95">
        <v>4.3229999999999998E-2</v>
      </c>
      <c r="BB35" s="95">
        <v>4.3229999999999998E-2</v>
      </c>
      <c r="BC35" s="95">
        <v>4.3229999999999998E-2</v>
      </c>
      <c r="BD35" s="95">
        <v>4.3229999999999998E-2</v>
      </c>
      <c r="BE35" s="95">
        <v>4.3229999999999998E-2</v>
      </c>
      <c r="BF35" s="95">
        <v>4.3229999999999998E-2</v>
      </c>
      <c r="BG35" s="95">
        <v>4.3229999999999998E-2</v>
      </c>
      <c r="BH35" s="95">
        <v>4.3229999999999998E-2</v>
      </c>
      <c r="BI35" s="95">
        <v>4.3229999999999998E-2</v>
      </c>
      <c r="BJ35" s="95">
        <v>4.3229999999999998E-2</v>
      </c>
      <c r="BK35" s="95">
        <v>4.3229999999999998E-2</v>
      </c>
      <c r="BL35" s="95">
        <v>4.3229999999999998E-2</v>
      </c>
    </row>
    <row r="36" spans="1:64" x14ac:dyDescent="0.2">
      <c r="B36" s="30" t="s">
        <v>132</v>
      </c>
      <c r="C36" s="93" t="s">
        <v>17</v>
      </c>
      <c r="D36" s="30" t="s">
        <v>128</v>
      </c>
      <c r="E36" s="95">
        <v>3.1109999999999999E-2</v>
      </c>
      <c r="F36" s="95">
        <v>3.1109999999999999E-2</v>
      </c>
      <c r="G36" s="95">
        <v>3.1109999999999999E-2</v>
      </c>
      <c r="H36" s="95">
        <v>3.1109999999999999E-2</v>
      </c>
      <c r="I36" s="95">
        <v>3.1109999999999999E-2</v>
      </c>
      <c r="J36" s="95">
        <v>3.1109999999999999E-2</v>
      </c>
      <c r="K36" s="95">
        <v>3.1109999999999999E-2</v>
      </c>
      <c r="L36" s="95">
        <v>3.1109999999999999E-2</v>
      </c>
      <c r="M36" s="95">
        <v>3.1109999999999999E-2</v>
      </c>
      <c r="N36" s="95">
        <v>3.1109999999999999E-2</v>
      </c>
      <c r="O36" s="95">
        <v>3.1109999999999999E-2</v>
      </c>
      <c r="P36" s="95">
        <v>3.1109999999999999E-2</v>
      </c>
      <c r="Q36" s="95">
        <v>3.1109999999999999E-2</v>
      </c>
      <c r="R36" s="95">
        <v>3.1109999999999999E-2</v>
      </c>
      <c r="S36" s="95">
        <v>3.1109999999999999E-2</v>
      </c>
      <c r="T36" s="95">
        <v>3.1109999999999999E-2</v>
      </c>
      <c r="U36" s="95">
        <v>3.1109999999999999E-2</v>
      </c>
      <c r="V36" s="95">
        <v>3.1109999999999999E-2</v>
      </c>
      <c r="W36" s="95">
        <v>3.1109999999999999E-2</v>
      </c>
      <c r="X36" s="95">
        <v>3.1109999999999999E-2</v>
      </c>
      <c r="Y36" s="95">
        <v>3.1109999999999999E-2</v>
      </c>
      <c r="Z36" s="95">
        <v>3.1109999999999999E-2</v>
      </c>
      <c r="AA36" s="95">
        <v>3.1109999999999999E-2</v>
      </c>
      <c r="AB36" s="95">
        <v>3.1109999999999999E-2</v>
      </c>
      <c r="AC36" s="95">
        <v>3.1109999999999999E-2</v>
      </c>
      <c r="AD36" s="95">
        <v>3.1109999999999999E-2</v>
      </c>
      <c r="AE36" s="95">
        <v>3.1109999999999999E-2</v>
      </c>
      <c r="AF36" s="95">
        <v>3.1109999999999999E-2</v>
      </c>
      <c r="AG36" s="95">
        <v>3.1109999999999999E-2</v>
      </c>
      <c r="AH36" s="95">
        <v>3.1109999999999999E-2</v>
      </c>
      <c r="AI36" s="95">
        <v>3.1109999999999999E-2</v>
      </c>
      <c r="AJ36" s="95">
        <v>3.1109999999999999E-2</v>
      </c>
      <c r="AK36" s="95">
        <v>3.1109999999999999E-2</v>
      </c>
      <c r="AL36" s="95">
        <v>3.1109999999999999E-2</v>
      </c>
      <c r="AM36" s="95">
        <v>3.1109999999999999E-2</v>
      </c>
      <c r="AN36" s="95">
        <v>3.1109999999999999E-2</v>
      </c>
      <c r="AO36" s="95">
        <v>3.1109999999999999E-2</v>
      </c>
      <c r="AP36" s="95">
        <v>3.1109999999999999E-2</v>
      </c>
      <c r="AQ36" s="95">
        <v>3.1109999999999999E-2</v>
      </c>
      <c r="AR36" s="95">
        <v>3.1109999999999999E-2</v>
      </c>
      <c r="AS36" s="95">
        <v>3.1109999999999999E-2</v>
      </c>
      <c r="AT36" s="95">
        <v>3.1109999999999999E-2</v>
      </c>
      <c r="AU36" s="95">
        <v>3.1109999999999999E-2</v>
      </c>
      <c r="AV36" s="95">
        <v>3.1109999999999999E-2</v>
      </c>
      <c r="AW36" s="95">
        <v>3.1109999999999999E-2</v>
      </c>
      <c r="AX36" s="95">
        <v>3.1109999999999999E-2</v>
      </c>
      <c r="AY36" s="95">
        <v>3.1109999999999999E-2</v>
      </c>
      <c r="AZ36" s="95">
        <v>3.1109999999999999E-2</v>
      </c>
      <c r="BA36" s="95">
        <v>3.1109999999999999E-2</v>
      </c>
      <c r="BB36" s="95">
        <v>3.1109999999999999E-2</v>
      </c>
      <c r="BC36" s="95">
        <v>3.1109999999999999E-2</v>
      </c>
      <c r="BD36" s="95">
        <v>3.1109999999999999E-2</v>
      </c>
      <c r="BE36" s="95">
        <v>3.1109999999999999E-2</v>
      </c>
      <c r="BF36" s="95">
        <v>3.1109999999999999E-2</v>
      </c>
      <c r="BG36" s="95">
        <v>3.1109999999999999E-2</v>
      </c>
      <c r="BH36" s="95">
        <v>3.1109999999999999E-2</v>
      </c>
      <c r="BI36" s="95">
        <v>3.1109999999999999E-2</v>
      </c>
      <c r="BJ36" s="95">
        <v>3.1109999999999999E-2</v>
      </c>
      <c r="BK36" s="95">
        <v>3.1109999999999999E-2</v>
      </c>
      <c r="BL36" s="95">
        <v>3.1109999999999999E-2</v>
      </c>
    </row>
    <row r="37" spans="1:64" x14ac:dyDescent="0.2">
      <c r="B37" s="30" t="s">
        <v>133</v>
      </c>
      <c r="C37" s="93" t="s">
        <v>17</v>
      </c>
      <c r="D37" s="30" t="s">
        <v>128</v>
      </c>
      <c r="E37" s="95">
        <v>2.3990000000000001E-2</v>
      </c>
      <c r="F37" s="95">
        <v>2.3990000000000001E-2</v>
      </c>
      <c r="G37" s="95">
        <v>2.3990000000000001E-2</v>
      </c>
      <c r="H37" s="95">
        <v>2.3990000000000001E-2</v>
      </c>
      <c r="I37" s="95">
        <v>2.3990000000000001E-2</v>
      </c>
      <c r="J37" s="95">
        <v>2.3990000000000001E-2</v>
      </c>
      <c r="K37" s="95">
        <v>2.3990000000000001E-2</v>
      </c>
      <c r="L37" s="95">
        <v>2.3990000000000001E-2</v>
      </c>
      <c r="M37" s="95">
        <v>2.3990000000000001E-2</v>
      </c>
      <c r="N37" s="95">
        <v>2.3990000000000001E-2</v>
      </c>
      <c r="O37" s="95">
        <v>2.3990000000000001E-2</v>
      </c>
      <c r="P37" s="95">
        <v>2.3990000000000001E-2</v>
      </c>
      <c r="Q37" s="95">
        <v>2.3990000000000001E-2</v>
      </c>
      <c r="R37" s="95">
        <v>2.3990000000000001E-2</v>
      </c>
      <c r="S37" s="95">
        <v>2.3990000000000001E-2</v>
      </c>
      <c r="T37" s="95">
        <v>2.3990000000000001E-2</v>
      </c>
      <c r="U37" s="95">
        <v>2.3990000000000001E-2</v>
      </c>
      <c r="V37" s="95">
        <v>2.3990000000000001E-2</v>
      </c>
      <c r="W37" s="95">
        <v>2.3990000000000001E-2</v>
      </c>
      <c r="X37" s="95">
        <v>2.3990000000000001E-2</v>
      </c>
      <c r="Y37" s="95">
        <v>2.3990000000000001E-2</v>
      </c>
      <c r="Z37" s="95">
        <v>2.3990000000000001E-2</v>
      </c>
      <c r="AA37" s="95">
        <v>2.3990000000000001E-2</v>
      </c>
      <c r="AB37" s="95">
        <v>2.3990000000000001E-2</v>
      </c>
      <c r="AC37" s="95">
        <v>2.3990000000000001E-2</v>
      </c>
      <c r="AD37" s="95">
        <v>2.3990000000000001E-2</v>
      </c>
      <c r="AE37" s="95">
        <v>2.3990000000000001E-2</v>
      </c>
      <c r="AF37" s="95">
        <v>2.3990000000000001E-2</v>
      </c>
      <c r="AG37" s="95">
        <v>2.3990000000000001E-2</v>
      </c>
      <c r="AH37" s="95">
        <v>2.3990000000000001E-2</v>
      </c>
      <c r="AI37" s="95">
        <v>2.3990000000000001E-2</v>
      </c>
      <c r="AJ37" s="95">
        <v>2.3990000000000001E-2</v>
      </c>
      <c r="AK37" s="95">
        <v>2.3990000000000001E-2</v>
      </c>
      <c r="AL37" s="95">
        <v>2.3990000000000001E-2</v>
      </c>
      <c r="AM37" s="95">
        <v>2.3990000000000001E-2</v>
      </c>
      <c r="AN37" s="95">
        <v>2.3990000000000001E-2</v>
      </c>
      <c r="AO37" s="95">
        <v>2.3990000000000001E-2</v>
      </c>
      <c r="AP37" s="95">
        <v>2.3990000000000001E-2</v>
      </c>
      <c r="AQ37" s="95">
        <v>2.3990000000000001E-2</v>
      </c>
      <c r="AR37" s="95">
        <v>2.3990000000000001E-2</v>
      </c>
      <c r="AS37" s="95">
        <v>2.3990000000000001E-2</v>
      </c>
      <c r="AT37" s="95">
        <v>2.3990000000000001E-2</v>
      </c>
      <c r="AU37" s="95">
        <v>2.3990000000000001E-2</v>
      </c>
      <c r="AV37" s="95">
        <v>2.3990000000000001E-2</v>
      </c>
      <c r="AW37" s="95">
        <v>2.3990000000000001E-2</v>
      </c>
      <c r="AX37" s="95">
        <v>2.3990000000000001E-2</v>
      </c>
      <c r="AY37" s="95">
        <v>2.3990000000000001E-2</v>
      </c>
      <c r="AZ37" s="95">
        <v>2.3990000000000001E-2</v>
      </c>
      <c r="BA37" s="95">
        <v>2.3990000000000001E-2</v>
      </c>
      <c r="BB37" s="95">
        <v>2.3990000000000001E-2</v>
      </c>
      <c r="BC37" s="95">
        <v>2.3990000000000001E-2</v>
      </c>
      <c r="BD37" s="95">
        <v>2.3990000000000001E-2</v>
      </c>
      <c r="BE37" s="95">
        <v>2.3990000000000001E-2</v>
      </c>
      <c r="BF37" s="95">
        <v>2.3990000000000001E-2</v>
      </c>
      <c r="BG37" s="95">
        <v>2.3990000000000001E-2</v>
      </c>
      <c r="BH37" s="95">
        <v>2.3990000000000001E-2</v>
      </c>
      <c r="BI37" s="95">
        <v>2.3990000000000001E-2</v>
      </c>
      <c r="BJ37" s="95">
        <v>2.3990000000000001E-2</v>
      </c>
      <c r="BK37" s="95">
        <v>2.3990000000000001E-2</v>
      </c>
      <c r="BL37" s="95">
        <v>2.3990000000000001E-2</v>
      </c>
    </row>
    <row r="38" spans="1:64" x14ac:dyDescent="0.2">
      <c r="A38" s="30" t="s">
        <v>134</v>
      </c>
      <c r="C38" s="93" t="s">
        <v>17</v>
      </c>
      <c r="D38" s="30" t="s">
        <v>128</v>
      </c>
      <c r="E38" s="94">
        <v>1.45</v>
      </c>
      <c r="F38" s="94">
        <v>1.45</v>
      </c>
      <c r="G38" s="94">
        <v>1.45</v>
      </c>
      <c r="H38" s="94">
        <v>1.45</v>
      </c>
      <c r="I38" s="94">
        <v>1.45</v>
      </c>
      <c r="J38" s="94">
        <v>1.45</v>
      </c>
      <c r="K38" s="94">
        <v>1.45</v>
      </c>
      <c r="L38" s="94">
        <v>1.45</v>
      </c>
      <c r="M38" s="94">
        <v>1.45</v>
      </c>
      <c r="N38" s="94">
        <v>1.45</v>
      </c>
      <c r="O38" s="94">
        <v>1.45</v>
      </c>
      <c r="P38" s="94">
        <v>1.45</v>
      </c>
      <c r="Q38" s="94">
        <v>1.45</v>
      </c>
      <c r="R38" s="94">
        <v>1.45</v>
      </c>
      <c r="S38" s="94">
        <v>1.45</v>
      </c>
      <c r="T38" s="94">
        <v>1.45</v>
      </c>
      <c r="U38" s="94">
        <v>1.45</v>
      </c>
      <c r="V38" s="94">
        <v>1.45</v>
      </c>
      <c r="W38" s="94">
        <v>1.45</v>
      </c>
      <c r="X38" s="94">
        <v>1.45</v>
      </c>
      <c r="Y38" s="94">
        <v>1.45</v>
      </c>
      <c r="Z38" s="94">
        <v>1.45</v>
      </c>
      <c r="AA38" s="94">
        <v>1.45</v>
      </c>
      <c r="AB38" s="94">
        <v>1.45</v>
      </c>
      <c r="AC38" s="94">
        <v>1.45</v>
      </c>
      <c r="AD38" s="94">
        <v>1.45</v>
      </c>
      <c r="AE38" s="94">
        <v>1.45</v>
      </c>
      <c r="AF38" s="94">
        <v>1.45</v>
      </c>
      <c r="AG38" s="94">
        <v>1.45</v>
      </c>
      <c r="AH38" s="94">
        <v>1.45</v>
      </c>
      <c r="AI38" s="94">
        <v>1.45</v>
      </c>
      <c r="AJ38" s="94">
        <v>1.45</v>
      </c>
      <c r="AK38" s="94">
        <v>1.45</v>
      </c>
      <c r="AL38" s="94">
        <v>1.45</v>
      </c>
      <c r="AM38" s="94">
        <v>1.45</v>
      </c>
      <c r="AN38" s="94">
        <v>1.45</v>
      </c>
      <c r="AO38" s="94">
        <v>1.45</v>
      </c>
      <c r="AP38" s="94">
        <v>1.45</v>
      </c>
      <c r="AQ38" s="94">
        <v>1.45</v>
      </c>
      <c r="AR38" s="94">
        <v>1.45</v>
      </c>
      <c r="AS38" s="94">
        <v>1.45</v>
      </c>
      <c r="AT38" s="94">
        <v>1.45</v>
      </c>
      <c r="AU38" s="94">
        <v>1.45</v>
      </c>
      <c r="AV38" s="94">
        <v>1.45</v>
      </c>
      <c r="AW38" s="94">
        <v>1.45</v>
      </c>
      <c r="AX38" s="94">
        <v>1.45</v>
      </c>
      <c r="AY38" s="94">
        <v>1.45</v>
      </c>
      <c r="AZ38" s="94">
        <v>1.45</v>
      </c>
      <c r="BA38" s="94">
        <v>1.45</v>
      </c>
      <c r="BB38" s="94">
        <v>1.45</v>
      </c>
      <c r="BC38" s="94">
        <v>1.45</v>
      </c>
      <c r="BD38" s="94">
        <v>1.45</v>
      </c>
      <c r="BE38" s="94">
        <v>1.45</v>
      </c>
      <c r="BF38" s="94">
        <v>1.45</v>
      </c>
      <c r="BG38" s="94">
        <v>1.45</v>
      </c>
      <c r="BH38" s="94">
        <v>1.45</v>
      </c>
      <c r="BI38" s="94">
        <v>1.45</v>
      </c>
      <c r="BJ38" s="94">
        <v>1.45</v>
      </c>
      <c r="BK38" s="94">
        <v>1.45</v>
      </c>
      <c r="BL38" s="94">
        <v>1.45</v>
      </c>
    </row>
    <row r="39" spans="1:64" x14ac:dyDescent="0.2">
      <c r="A39" s="30" t="s">
        <v>135</v>
      </c>
      <c r="C39" s="93" t="s">
        <v>17</v>
      </c>
      <c r="D39" s="30" t="s">
        <v>128</v>
      </c>
      <c r="E39" s="95">
        <v>1E-3</v>
      </c>
      <c r="F39" s="95">
        <v>1E-3</v>
      </c>
      <c r="G39" s="95">
        <v>1E-3</v>
      </c>
      <c r="H39" s="95">
        <v>1E-3</v>
      </c>
      <c r="I39" s="95">
        <v>1E-3</v>
      </c>
      <c r="J39" s="95">
        <v>1E-3</v>
      </c>
      <c r="K39" s="95">
        <v>1E-3</v>
      </c>
      <c r="L39" s="95">
        <v>1E-3</v>
      </c>
      <c r="M39" s="95">
        <v>1E-3</v>
      </c>
      <c r="N39" s="95">
        <v>1E-3</v>
      </c>
      <c r="O39" s="95">
        <v>1E-3</v>
      </c>
      <c r="P39" s="95">
        <v>1E-3</v>
      </c>
      <c r="Q39" s="95">
        <v>1E-3</v>
      </c>
      <c r="R39" s="95">
        <v>1E-3</v>
      </c>
      <c r="S39" s="95">
        <v>1E-3</v>
      </c>
      <c r="T39" s="95">
        <v>1E-3</v>
      </c>
      <c r="U39" s="95">
        <v>1E-3</v>
      </c>
      <c r="V39" s="95">
        <v>1E-3</v>
      </c>
      <c r="W39" s="95">
        <v>1E-3</v>
      </c>
      <c r="X39" s="95">
        <v>1E-3</v>
      </c>
      <c r="Y39" s="95">
        <v>1E-3</v>
      </c>
      <c r="Z39" s="95">
        <v>1E-3</v>
      </c>
      <c r="AA39" s="95">
        <v>1E-3</v>
      </c>
      <c r="AB39" s="95">
        <v>1E-3</v>
      </c>
      <c r="AC39" s="95">
        <v>1E-3</v>
      </c>
      <c r="AD39" s="95">
        <v>1E-3</v>
      </c>
      <c r="AE39" s="95">
        <v>1E-3</v>
      </c>
      <c r="AF39" s="95">
        <v>1E-3</v>
      </c>
      <c r="AG39" s="95">
        <v>1E-3</v>
      </c>
      <c r="AH39" s="95">
        <v>1E-3</v>
      </c>
      <c r="AI39" s="95">
        <v>1E-3</v>
      </c>
      <c r="AJ39" s="95">
        <v>1E-3</v>
      </c>
      <c r="AK39" s="95">
        <v>1E-3</v>
      </c>
      <c r="AL39" s="95">
        <v>1E-3</v>
      </c>
      <c r="AM39" s="95">
        <v>1E-3</v>
      </c>
      <c r="AN39" s="95">
        <v>1E-3</v>
      </c>
      <c r="AO39" s="95">
        <v>1E-3</v>
      </c>
      <c r="AP39" s="95">
        <v>1E-3</v>
      </c>
      <c r="AQ39" s="95">
        <v>1E-3</v>
      </c>
      <c r="AR39" s="95">
        <v>1E-3</v>
      </c>
      <c r="AS39" s="95">
        <v>1E-3</v>
      </c>
      <c r="AT39" s="95">
        <v>1E-3</v>
      </c>
      <c r="AU39" s="95">
        <v>1E-3</v>
      </c>
      <c r="AV39" s="95">
        <v>1E-3</v>
      </c>
      <c r="AW39" s="95">
        <v>1E-3</v>
      </c>
      <c r="AX39" s="95">
        <v>1E-3</v>
      </c>
      <c r="AY39" s="95">
        <v>1E-3</v>
      </c>
      <c r="AZ39" s="95">
        <v>1E-3</v>
      </c>
      <c r="BA39" s="95">
        <v>1E-3</v>
      </c>
      <c r="BB39" s="95">
        <v>1E-3</v>
      </c>
      <c r="BC39" s="95">
        <v>1E-3</v>
      </c>
      <c r="BD39" s="95">
        <v>1E-3</v>
      </c>
      <c r="BE39" s="95">
        <v>1E-3</v>
      </c>
      <c r="BF39" s="95">
        <v>1E-3</v>
      </c>
      <c r="BG39" s="95">
        <v>1E-3</v>
      </c>
      <c r="BH39" s="95">
        <v>1E-3</v>
      </c>
      <c r="BI39" s="95">
        <v>1E-3</v>
      </c>
      <c r="BJ39" s="95">
        <v>1E-3</v>
      </c>
      <c r="BK39" s="95">
        <v>1E-3</v>
      </c>
      <c r="BL39" s="95">
        <v>1E-3</v>
      </c>
    </row>
    <row r="41" spans="1:64" x14ac:dyDescent="0.2">
      <c r="A41" s="31" t="s">
        <v>136</v>
      </c>
    </row>
    <row r="42" spans="1:64" x14ac:dyDescent="0.2">
      <c r="A42" s="30" t="s">
        <v>137</v>
      </c>
      <c r="C42" s="93"/>
      <c r="D42" s="30" t="s">
        <v>137</v>
      </c>
      <c r="E42" s="96">
        <f t="shared" ref="E42:BL42" si="11">E27</f>
        <v>0</v>
      </c>
      <c r="F42" s="96">
        <f t="shared" si="11"/>
        <v>0</v>
      </c>
      <c r="G42" s="96">
        <f t="shared" si="11"/>
        <v>0</v>
      </c>
      <c r="H42" s="96">
        <f t="shared" si="11"/>
        <v>1</v>
      </c>
      <c r="I42" s="96">
        <f t="shared" si="11"/>
        <v>1</v>
      </c>
      <c r="J42" s="96">
        <f t="shared" si="11"/>
        <v>1</v>
      </c>
      <c r="K42" s="96">
        <f t="shared" si="11"/>
        <v>1</v>
      </c>
      <c r="L42" s="96">
        <f t="shared" si="11"/>
        <v>1</v>
      </c>
      <c r="M42" s="96">
        <f t="shared" si="11"/>
        <v>1</v>
      </c>
      <c r="N42" s="96">
        <f t="shared" si="11"/>
        <v>1</v>
      </c>
      <c r="O42" s="96">
        <f t="shared" si="11"/>
        <v>1</v>
      </c>
      <c r="P42" s="96">
        <f t="shared" si="11"/>
        <v>1</v>
      </c>
      <c r="Q42" s="96">
        <f t="shared" si="11"/>
        <v>1</v>
      </c>
      <c r="R42" s="96">
        <f t="shared" si="11"/>
        <v>1</v>
      </c>
      <c r="S42" s="96">
        <f t="shared" si="11"/>
        <v>1</v>
      </c>
      <c r="T42" s="96">
        <f t="shared" si="11"/>
        <v>1</v>
      </c>
      <c r="U42" s="96">
        <f t="shared" si="11"/>
        <v>1</v>
      </c>
      <c r="V42" s="96">
        <f t="shared" si="11"/>
        <v>1</v>
      </c>
      <c r="W42" s="96">
        <f t="shared" si="11"/>
        <v>1</v>
      </c>
      <c r="X42" s="96">
        <f t="shared" si="11"/>
        <v>1</v>
      </c>
      <c r="Y42" s="96">
        <f t="shared" si="11"/>
        <v>1</v>
      </c>
      <c r="Z42" s="96">
        <f t="shared" si="11"/>
        <v>1</v>
      </c>
      <c r="AA42" s="96">
        <f t="shared" si="11"/>
        <v>1</v>
      </c>
      <c r="AB42" s="96">
        <f t="shared" si="11"/>
        <v>1</v>
      </c>
      <c r="AC42" s="96">
        <f t="shared" si="11"/>
        <v>1</v>
      </c>
      <c r="AD42" s="96">
        <f t="shared" si="11"/>
        <v>1</v>
      </c>
      <c r="AE42" s="96">
        <f t="shared" si="11"/>
        <v>1</v>
      </c>
      <c r="AF42" s="96">
        <f t="shared" si="11"/>
        <v>1</v>
      </c>
      <c r="AG42" s="96">
        <f t="shared" si="11"/>
        <v>1</v>
      </c>
      <c r="AH42" s="96">
        <f t="shared" si="11"/>
        <v>1</v>
      </c>
      <c r="AI42" s="96">
        <f t="shared" si="11"/>
        <v>1</v>
      </c>
      <c r="AJ42" s="96">
        <f t="shared" si="11"/>
        <v>1</v>
      </c>
      <c r="AK42" s="96">
        <f t="shared" si="11"/>
        <v>1</v>
      </c>
      <c r="AL42" s="96">
        <f t="shared" si="11"/>
        <v>1</v>
      </c>
      <c r="AM42" s="96">
        <f t="shared" si="11"/>
        <v>1</v>
      </c>
      <c r="AN42" s="96">
        <f t="shared" si="11"/>
        <v>1</v>
      </c>
      <c r="AO42" s="96">
        <f t="shared" si="11"/>
        <v>1</v>
      </c>
      <c r="AP42" s="96">
        <f t="shared" si="11"/>
        <v>1</v>
      </c>
      <c r="AQ42" s="96">
        <f t="shared" si="11"/>
        <v>1</v>
      </c>
      <c r="AR42" s="96">
        <f t="shared" si="11"/>
        <v>1</v>
      </c>
      <c r="AS42" s="96">
        <f t="shared" si="11"/>
        <v>1</v>
      </c>
      <c r="AT42" s="96">
        <f t="shared" si="11"/>
        <v>1</v>
      </c>
      <c r="AU42" s="96">
        <f t="shared" si="11"/>
        <v>1</v>
      </c>
      <c r="AV42" s="96">
        <f t="shared" si="11"/>
        <v>1</v>
      </c>
      <c r="AW42" s="96">
        <f t="shared" si="11"/>
        <v>1</v>
      </c>
      <c r="AX42" s="96">
        <f t="shared" si="11"/>
        <v>1</v>
      </c>
      <c r="AY42" s="96">
        <f t="shared" si="11"/>
        <v>1</v>
      </c>
      <c r="AZ42" s="96">
        <f t="shared" si="11"/>
        <v>1</v>
      </c>
      <c r="BA42" s="96">
        <f t="shared" si="11"/>
        <v>1</v>
      </c>
      <c r="BB42" s="96">
        <f t="shared" si="11"/>
        <v>1</v>
      </c>
      <c r="BC42" s="96">
        <f t="shared" si="11"/>
        <v>1</v>
      </c>
      <c r="BD42" s="96">
        <f t="shared" si="11"/>
        <v>1</v>
      </c>
      <c r="BE42" s="96">
        <f t="shared" si="11"/>
        <v>1</v>
      </c>
      <c r="BF42" s="96">
        <f t="shared" si="11"/>
        <v>1</v>
      </c>
      <c r="BG42" s="96">
        <f t="shared" si="11"/>
        <v>1</v>
      </c>
      <c r="BH42" s="96">
        <f t="shared" si="11"/>
        <v>1</v>
      </c>
      <c r="BI42" s="96">
        <f t="shared" si="11"/>
        <v>1</v>
      </c>
      <c r="BJ42" s="96">
        <f t="shared" si="11"/>
        <v>1</v>
      </c>
      <c r="BK42" s="96">
        <f t="shared" si="11"/>
        <v>1</v>
      </c>
      <c r="BL42" s="96">
        <f t="shared" si="11"/>
        <v>1</v>
      </c>
    </row>
    <row r="43" spans="1:64" x14ac:dyDescent="0.2">
      <c r="A43" s="30" t="s">
        <v>138</v>
      </c>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row>
    <row r="44" spans="1:64" x14ac:dyDescent="0.2">
      <c r="B44" s="30" t="s">
        <v>127</v>
      </c>
      <c r="C44" s="93"/>
      <c r="D44" s="30" t="s">
        <v>50</v>
      </c>
      <c r="E44" s="88">
        <f t="shared" ref="E44:BL48" si="12">E12</f>
        <v>0</v>
      </c>
      <c r="F44" s="88">
        <f t="shared" si="12"/>
        <v>0</v>
      </c>
      <c r="G44" s="88">
        <f t="shared" si="12"/>
        <v>0</v>
      </c>
      <c r="H44" s="88">
        <f t="shared" si="12"/>
        <v>25000</v>
      </c>
      <c r="I44" s="88">
        <f t="shared" si="12"/>
        <v>25000</v>
      </c>
      <c r="J44" s="88">
        <f t="shared" si="12"/>
        <v>25000</v>
      </c>
      <c r="K44" s="88">
        <f t="shared" si="12"/>
        <v>25000</v>
      </c>
      <c r="L44" s="88">
        <f t="shared" si="12"/>
        <v>25000</v>
      </c>
      <c r="M44" s="88">
        <f t="shared" si="12"/>
        <v>25000</v>
      </c>
      <c r="N44" s="88">
        <f t="shared" si="12"/>
        <v>25000</v>
      </c>
      <c r="O44" s="88">
        <f t="shared" si="12"/>
        <v>25000</v>
      </c>
      <c r="P44" s="88">
        <f t="shared" si="12"/>
        <v>25000</v>
      </c>
      <c r="Q44" s="88">
        <f t="shared" si="12"/>
        <v>25000</v>
      </c>
      <c r="R44" s="88">
        <f t="shared" si="12"/>
        <v>25000</v>
      </c>
      <c r="S44" s="88">
        <f t="shared" si="12"/>
        <v>25000</v>
      </c>
      <c r="T44" s="88">
        <f t="shared" si="12"/>
        <v>25000</v>
      </c>
      <c r="U44" s="88">
        <f t="shared" si="12"/>
        <v>25000</v>
      </c>
      <c r="V44" s="88">
        <f t="shared" si="12"/>
        <v>25000</v>
      </c>
      <c r="W44" s="88">
        <f t="shared" si="12"/>
        <v>25000</v>
      </c>
      <c r="X44" s="88">
        <f t="shared" si="12"/>
        <v>25000</v>
      </c>
      <c r="Y44" s="88">
        <f t="shared" si="12"/>
        <v>25000</v>
      </c>
      <c r="Z44" s="88">
        <f t="shared" si="12"/>
        <v>25000</v>
      </c>
      <c r="AA44" s="88">
        <f t="shared" si="12"/>
        <v>25000</v>
      </c>
      <c r="AB44" s="88">
        <f t="shared" si="12"/>
        <v>25000</v>
      </c>
      <c r="AC44" s="88">
        <f t="shared" si="12"/>
        <v>25000</v>
      </c>
      <c r="AD44" s="88">
        <f t="shared" si="12"/>
        <v>25000</v>
      </c>
      <c r="AE44" s="88">
        <f t="shared" si="12"/>
        <v>25000</v>
      </c>
      <c r="AF44" s="88">
        <f t="shared" si="12"/>
        <v>25000</v>
      </c>
      <c r="AG44" s="88">
        <f t="shared" si="12"/>
        <v>25000</v>
      </c>
      <c r="AH44" s="88">
        <f t="shared" si="12"/>
        <v>25000</v>
      </c>
      <c r="AI44" s="88">
        <f t="shared" si="12"/>
        <v>25000</v>
      </c>
      <c r="AJ44" s="88">
        <f t="shared" si="12"/>
        <v>25000</v>
      </c>
      <c r="AK44" s="88">
        <f t="shared" si="12"/>
        <v>25000</v>
      </c>
      <c r="AL44" s="88">
        <f t="shared" si="12"/>
        <v>25000</v>
      </c>
      <c r="AM44" s="88">
        <f t="shared" si="12"/>
        <v>25000</v>
      </c>
      <c r="AN44" s="88">
        <f t="shared" si="12"/>
        <v>25000</v>
      </c>
      <c r="AO44" s="88">
        <f t="shared" si="12"/>
        <v>25000</v>
      </c>
      <c r="AP44" s="88">
        <f t="shared" si="12"/>
        <v>25000</v>
      </c>
      <c r="AQ44" s="88">
        <f t="shared" si="12"/>
        <v>25000</v>
      </c>
      <c r="AR44" s="88">
        <f t="shared" si="12"/>
        <v>25000</v>
      </c>
      <c r="AS44" s="88">
        <f t="shared" si="12"/>
        <v>25000</v>
      </c>
      <c r="AT44" s="88">
        <f t="shared" si="12"/>
        <v>25000</v>
      </c>
      <c r="AU44" s="88">
        <f t="shared" si="12"/>
        <v>25000</v>
      </c>
      <c r="AV44" s="88">
        <f t="shared" si="12"/>
        <v>25000</v>
      </c>
      <c r="AW44" s="88">
        <f t="shared" si="12"/>
        <v>25000</v>
      </c>
      <c r="AX44" s="88">
        <f t="shared" si="12"/>
        <v>25000</v>
      </c>
      <c r="AY44" s="88">
        <f t="shared" si="12"/>
        <v>25000</v>
      </c>
      <c r="AZ44" s="88">
        <f t="shared" si="12"/>
        <v>25000</v>
      </c>
      <c r="BA44" s="88">
        <f t="shared" si="12"/>
        <v>25000</v>
      </c>
      <c r="BB44" s="88">
        <f t="shared" si="12"/>
        <v>25000</v>
      </c>
      <c r="BC44" s="88">
        <f t="shared" si="12"/>
        <v>25000</v>
      </c>
      <c r="BD44" s="88">
        <f t="shared" si="12"/>
        <v>25000</v>
      </c>
      <c r="BE44" s="88">
        <f t="shared" si="12"/>
        <v>25000</v>
      </c>
      <c r="BF44" s="88">
        <f t="shared" si="12"/>
        <v>25000</v>
      </c>
      <c r="BG44" s="88">
        <f t="shared" si="12"/>
        <v>25000</v>
      </c>
      <c r="BH44" s="88">
        <f t="shared" si="12"/>
        <v>25000</v>
      </c>
      <c r="BI44" s="88">
        <f t="shared" si="12"/>
        <v>25000</v>
      </c>
      <c r="BJ44" s="88">
        <f t="shared" si="12"/>
        <v>25000</v>
      </c>
      <c r="BK44" s="88">
        <f t="shared" si="12"/>
        <v>25000</v>
      </c>
      <c r="BL44" s="88">
        <f t="shared" si="12"/>
        <v>25000</v>
      </c>
    </row>
    <row r="45" spans="1:64" x14ac:dyDescent="0.2">
      <c r="B45" s="30" t="s">
        <v>129</v>
      </c>
      <c r="C45" s="93"/>
      <c r="D45" s="30" t="s">
        <v>50</v>
      </c>
      <c r="E45" s="88">
        <f t="shared" si="12"/>
        <v>0</v>
      </c>
      <c r="F45" s="88">
        <f t="shared" si="12"/>
        <v>0</v>
      </c>
      <c r="G45" s="88">
        <f t="shared" si="12"/>
        <v>0</v>
      </c>
      <c r="H45" s="88">
        <f t="shared" si="12"/>
        <v>25000</v>
      </c>
      <c r="I45" s="88">
        <f t="shared" si="12"/>
        <v>25000</v>
      </c>
      <c r="J45" s="88">
        <f t="shared" si="12"/>
        <v>25000</v>
      </c>
      <c r="K45" s="88">
        <f t="shared" si="12"/>
        <v>25000</v>
      </c>
      <c r="L45" s="88">
        <f t="shared" si="12"/>
        <v>25000</v>
      </c>
      <c r="M45" s="88">
        <f t="shared" si="12"/>
        <v>25000</v>
      </c>
      <c r="N45" s="88">
        <f t="shared" si="12"/>
        <v>25000</v>
      </c>
      <c r="O45" s="88">
        <f t="shared" si="12"/>
        <v>25000</v>
      </c>
      <c r="P45" s="88">
        <f t="shared" si="12"/>
        <v>25000</v>
      </c>
      <c r="Q45" s="88">
        <f t="shared" si="12"/>
        <v>25000</v>
      </c>
      <c r="R45" s="88">
        <f t="shared" si="12"/>
        <v>25000</v>
      </c>
      <c r="S45" s="88">
        <f t="shared" si="12"/>
        <v>25000</v>
      </c>
      <c r="T45" s="88">
        <f t="shared" si="12"/>
        <v>25000</v>
      </c>
      <c r="U45" s="88">
        <f t="shared" si="12"/>
        <v>25000</v>
      </c>
      <c r="V45" s="88">
        <f t="shared" si="12"/>
        <v>25000</v>
      </c>
      <c r="W45" s="88">
        <f t="shared" si="12"/>
        <v>25000</v>
      </c>
      <c r="X45" s="88">
        <f t="shared" si="12"/>
        <v>25000</v>
      </c>
      <c r="Y45" s="88">
        <f t="shared" si="12"/>
        <v>25000</v>
      </c>
      <c r="Z45" s="88">
        <f t="shared" si="12"/>
        <v>25000</v>
      </c>
      <c r="AA45" s="88">
        <f t="shared" si="12"/>
        <v>25000</v>
      </c>
      <c r="AB45" s="88">
        <f t="shared" si="12"/>
        <v>25000</v>
      </c>
      <c r="AC45" s="88">
        <f t="shared" si="12"/>
        <v>25000</v>
      </c>
      <c r="AD45" s="88">
        <f t="shared" si="12"/>
        <v>25000</v>
      </c>
      <c r="AE45" s="88">
        <f t="shared" si="12"/>
        <v>25000</v>
      </c>
      <c r="AF45" s="88">
        <f t="shared" si="12"/>
        <v>25000</v>
      </c>
      <c r="AG45" s="88">
        <f t="shared" si="12"/>
        <v>25000</v>
      </c>
      <c r="AH45" s="88">
        <f t="shared" si="12"/>
        <v>25000</v>
      </c>
      <c r="AI45" s="88">
        <f t="shared" si="12"/>
        <v>25000</v>
      </c>
      <c r="AJ45" s="88">
        <f t="shared" si="12"/>
        <v>25000</v>
      </c>
      <c r="AK45" s="88">
        <f t="shared" si="12"/>
        <v>25000</v>
      </c>
      <c r="AL45" s="88">
        <f t="shared" si="12"/>
        <v>25000</v>
      </c>
      <c r="AM45" s="88">
        <f t="shared" si="12"/>
        <v>25000</v>
      </c>
      <c r="AN45" s="88">
        <f t="shared" si="12"/>
        <v>25000</v>
      </c>
      <c r="AO45" s="88">
        <f t="shared" si="12"/>
        <v>25000</v>
      </c>
      <c r="AP45" s="88">
        <f t="shared" si="12"/>
        <v>25000</v>
      </c>
      <c r="AQ45" s="88">
        <f t="shared" si="12"/>
        <v>25000</v>
      </c>
      <c r="AR45" s="88">
        <f t="shared" si="12"/>
        <v>25000</v>
      </c>
      <c r="AS45" s="88">
        <f t="shared" si="12"/>
        <v>25000</v>
      </c>
      <c r="AT45" s="88">
        <f t="shared" si="12"/>
        <v>25000</v>
      </c>
      <c r="AU45" s="88">
        <f t="shared" si="12"/>
        <v>25000</v>
      </c>
      <c r="AV45" s="88">
        <f t="shared" si="12"/>
        <v>25000</v>
      </c>
      <c r="AW45" s="88">
        <f t="shared" si="12"/>
        <v>25000</v>
      </c>
      <c r="AX45" s="88">
        <f t="shared" si="12"/>
        <v>25000</v>
      </c>
      <c r="AY45" s="88">
        <f t="shared" si="12"/>
        <v>25000</v>
      </c>
      <c r="AZ45" s="88">
        <f t="shared" si="12"/>
        <v>25000</v>
      </c>
      <c r="BA45" s="88">
        <f t="shared" si="12"/>
        <v>25000</v>
      </c>
      <c r="BB45" s="88">
        <f t="shared" si="12"/>
        <v>25000</v>
      </c>
      <c r="BC45" s="88">
        <f t="shared" si="12"/>
        <v>25000</v>
      </c>
      <c r="BD45" s="88">
        <f t="shared" si="12"/>
        <v>25000</v>
      </c>
      <c r="BE45" s="88">
        <f t="shared" si="12"/>
        <v>25000</v>
      </c>
      <c r="BF45" s="88">
        <f t="shared" si="12"/>
        <v>25000</v>
      </c>
      <c r="BG45" s="88">
        <f t="shared" si="12"/>
        <v>25000</v>
      </c>
      <c r="BH45" s="88">
        <f t="shared" si="12"/>
        <v>25000</v>
      </c>
      <c r="BI45" s="88">
        <f t="shared" si="12"/>
        <v>25000</v>
      </c>
      <c r="BJ45" s="88">
        <f t="shared" si="12"/>
        <v>25000</v>
      </c>
      <c r="BK45" s="88">
        <f t="shared" si="12"/>
        <v>25000</v>
      </c>
      <c r="BL45" s="88">
        <f t="shared" si="12"/>
        <v>25000</v>
      </c>
    </row>
    <row r="46" spans="1:64" x14ac:dyDescent="0.2">
      <c r="B46" s="30" t="s">
        <v>130</v>
      </c>
      <c r="C46" s="93"/>
      <c r="D46" s="30" t="s">
        <v>50</v>
      </c>
      <c r="E46" s="88">
        <f t="shared" si="12"/>
        <v>0</v>
      </c>
      <c r="F46" s="88">
        <f t="shared" si="12"/>
        <v>0</v>
      </c>
      <c r="G46" s="88">
        <f t="shared" si="12"/>
        <v>0</v>
      </c>
      <c r="H46" s="88">
        <f t="shared" si="12"/>
        <v>50000</v>
      </c>
      <c r="I46" s="88">
        <f t="shared" si="12"/>
        <v>50000</v>
      </c>
      <c r="J46" s="88">
        <f t="shared" si="12"/>
        <v>50000</v>
      </c>
      <c r="K46" s="88">
        <f t="shared" si="12"/>
        <v>50000</v>
      </c>
      <c r="L46" s="88">
        <f t="shared" si="12"/>
        <v>50000</v>
      </c>
      <c r="M46" s="88">
        <f t="shared" si="12"/>
        <v>50000</v>
      </c>
      <c r="N46" s="88">
        <f t="shared" si="12"/>
        <v>50000</v>
      </c>
      <c r="O46" s="88">
        <f t="shared" si="12"/>
        <v>50000</v>
      </c>
      <c r="P46" s="88">
        <f t="shared" si="12"/>
        <v>50000</v>
      </c>
      <c r="Q46" s="88">
        <f t="shared" si="12"/>
        <v>50000</v>
      </c>
      <c r="R46" s="88">
        <f t="shared" si="12"/>
        <v>50000</v>
      </c>
      <c r="S46" s="88">
        <f t="shared" si="12"/>
        <v>50000</v>
      </c>
      <c r="T46" s="88">
        <f t="shared" si="12"/>
        <v>50000</v>
      </c>
      <c r="U46" s="88">
        <f t="shared" si="12"/>
        <v>50000</v>
      </c>
      <c r="V46" s="88">
        <f t="shared" si="12"/>
        <v>50000</v>
      </c>
      <c r="W46" s="88">
        <f t="shared" si="12"/>
        <v>50000</v>
      </c>
      <c r="X46" s="88">
        <f t="shared" si="12"/>
        <v>50000</v>
      </c>
      <c r="Y46" s="88">
        <f t="shared" si="12"/>
        <v>50000</v>
      </c>
      <c r="Z46" s="88">
        <f t="shared" si="12"/>
        <v>50000</v>
      </c>
      <c r="AA46" s="88">
        <f t="shared" si="12"/>
        <v>50000</v>
      </c>
      <c r="AB46" s="88">
        <f t="shared" si="12"/>
        <v>50000</v>
      </c>
      <c r="AC46" s="88">
        <f t="shared" si="12"/>
        <v>50000</v>
      </c>
      <c r="AD46" s="88">
        <f t="shared" si="12"/>
        <v>50000</v>
      </c>
      <c r="AE46" s="88">
        <f t="shared" si="12"/>
        <v>50000</v>
      </c>
      <c r="AF46" s="88">
        <f t="shared" si="12"/>
        <v>50000</v>
      </c>
      <c r="AG46" s="88">
        <f t="shared" si="12"/>
        <v>50000</v>
      </c>
      <c r="AH46" s="88">
        <f t="shared" si="12"/>
        <v>50000</v>
      </c>
      <c r="AI46" s="88">
        <f t="shared" si="12"/>
        <v>50000</v>
      </c>
      <c r="AJ46" s="88">
        <f t="shared" si="12"/>
        <v>50000</v>
      </c>
      <c r="AK46" s="88">
        <f t="shared" si="12"/>
        <v>50000</v>
      </c>
      <c r="AL46" s="88">
        <f t="shared" si="12"/>
        <v>50000</v>
      </c>
      <c r="AM46" s="88">
        <f t="shared" si="12"/>
        <v>50000</v>
      </c>
      <c r="AN46" s="88">
        <f t="shared" si="12"/>
        <v>50000</v>
      </c>
      <c r="AO46" s="88">
        <f t="shared" si="12"/>
        <v>50000</v>
      </c>
      <c r="AP46" s="88">
        <f t="shared" si="12"/>
        <v>50000</v>
      </c>
      <c r="AQ46" s="88">
        <f t="shared" si="12"/>
        <v>50000</v>
      </c>
      <c r="AR46" s="88">
        <f t="shared" si="12"/>
        <v>50000</v>
      </c>
      <c r="AS46" s="88">
        <f t="shared" si="12"/>
        <v>50000</v>
      </c>
      <c r="AT46" s="88">
        <f t="shared" si="12"/>
        <v>50000</v>
      </c>
      <c r="AU46" s="88">
        <f t="shared" si="12"/>
        <v>50000</v>
      </c>
      <c r="AV46" s="88">
        <f t="shared" si="12"/>
        <v>50000</v>
      </c>
      <c r="AW46" s="88">
        <f t="shared" si="12"/>
        <v>50000</v>
      </c>
      <c r="AX46" s="88">
        <f t="shared" si="12"/>
        <v>50000</v>
      </c>
      <c r="AY46" s="88">
        <f t="shared" si="12"/>
        <v>50000</v>
      </c>
      <c r="AZ46" s="88">
        <f t="shared" si="12"/>
        <v>50000</v>
      </c>
      <c r="BA46" s="88">
        <f t="shared" si="12"/>
        <v>50000</v>
      </c>
      <c r="BB46" s="88">
        <f t="shared" si="12"/>
        <v>50000</v>
      </c>
      <c r="BC46" s="88">
        <f t="shared" si="12"/>
        <v>50000</v>
      </c>
      <c r="BD46" s="88">
        <f t="shared" si="12"/>
        <v>50000</v>
      </c>
      <c r="BE46" s="88">
        <f t="shared" si="12"/>
        <v>50000</v>
      </c>
      <c r="BF46" s="88">
        <f t="shared" si="12"/>
        <v>50000</v>
      </c>
      <c r="BG46" s="88">
        <f t="shared" si="12"/>
        <v>50000</v>
      </c>
      <c r="BH46" s="88">
        <f t="shared" si="12"/>
        <v>50000</v>
      </c>
      <c r="BI46" s="88">
        <f t="shared" si="12"/>
        <v>50000</v>
      </c>
      <c r="BJ46" s="88">
        <f t="shared" si="12"/>
        <v>50000</v>
      </c>
      <c r="BK46" s="88">
        <f t="shared" si="12"/>
        <v>50000</v>
      </c>
      <c r="BL46" s="88">
        <f t="shared" si="12"/>
        <v>50000</v>
      </c>
    </row>
    <row r="47" spans="1:64" x14ac:dyDescent="0.2">
      <c r="B47" s="30" t="s">
        <v>131</v>
      </c>
      <c r="C47" s="93"/>
      <c r="D47" s="30" t="s">
        <v>50</v>
      </c>
      <c r="E47" s="88">
        <f t="shared" si="12"/>
        <v>0</v>
      </c>
      <c r="F47" s="88">
        <f t="shared" si="12"/>
        <v>0</v>
      </c>
      <c r="G47" s="88">
        <f t="shared" si="12"/>
        <v>0</v>
      </c>
      <c r="H47" s="88">
        <f t="shared" si="12"/>
        <v>100000</v>
      </c>
      <c r="I47" s="88">
        <f t="shared" si="12"/>
        <v>100000</v>
      </c>
      <c r="J47" s="88">
        <f t="shared" si="12"/>
        <v>100000</v>
      </c>
      <c r="K47" s="88">
        <f t="shared" si="12"/>
        <v>100000</v>
      </c>
      <c r="L47" s="88">
        <f t="shared" si="12"/>
        <v>100000</v>
      </c>
      <c r="M47" s="88">
        <f t="shared" si="12"/>
        <v>100000</v>
      </c>
      <c r="N47" s="88">
        <f t="shared" si="12"/>
        <v>100000</v>
      </c>
      <c r="O47" s="88">
        <f t="shared" si="12"/>
        <v>100000</v>
      </c>
      <c r="P47" s="88">
        <f t="shared" si="12"/>
        <v>100000</v>
      </c>
      <c r="Q47" s="88">
        <f t="shared" si="12"/>
        <v>100000</v>
      </c>
      <c r="R47" s="88">
        <f t="shared" si="12"/>
        <v>100000</v>
      </c>
      <c r="S47" s="88">
        <f t="shared" si="12"/>
        <v>100000</v>
      </c>
      <c r="T47" s="88">
        <f t="shared" si="12"/>
        <v>100000</v>
      </c>
      <c r="U47" s="88">
        <f t="shared" si="12"/>
        <v>100000</v>
      </c>
      <c r="V47" s="88">
        <f t="shared" si="12"/>
        <v>100000</v>
      </c>
      <c r="W47" s="88">
        <f t="shared" si="12"/>
        <v>100000</v>
      </c>
      <c r="X47" s="88">
        <f t="shared" si="12"/>
        <v>100000</v>
      </c>
      <c r="Y47" s="88">
        <f t="shared" si="12"/>
        <v>100000</v>
      </c>
      <c r="Z47" s="88">
        <f t="shared" si="12"/>
        <v>100000</v>
      </c>
      <c r="AA47" s="88">
        <f t="shared" si="12"/>
        <v>100000</v>
      </c>
      <c r="AB47" s="88">
        <f t="shared" si="12"/>
        <v>100000</v>
      </c>
      <c r="AC47" s="88">
        <f t="shared" si="12"/>
        <v>100000</v>
      </c>
      <c r="AD47" s="88">
        <f t="shared" si="12"/>
        <v>100000</v>
      </c>
      <c r="AE47" s="88">
        <f t="shared" si="12"/>
        <v>100000</v>
      </c>
      <c r="AF47" s="88">
        <f t="shared" si="12"/>
        <v>100000</v>
      </c>
      <c r="AG47" s="88">
        <f t="shared" si="12"/>
        <v>100000</v>
      </c>
      <c r="AH47" s="88">
        <f t="shared" si="12"/>
        <v>100000</v>
      </c>
      <c r="AI47" s="88">
        <f t="shared" si="12"/>
        <v>100000</v>
      </c>
      <c r="AJ47" s="88">
        <f t="shared" si="12"/>
        <v>100000</v>
      </c>
      <c r="AK47" s="88">
        <f t="shared" si="12"/>
        <v>100000</v>
      </c>
      <c r="AL47" s="88">
        <f t="shared" si="12"/>
        <v>100000</v>
      </c>
      <c r="AM47" s="88">
        <f t="shared" si="12"/>
        <v>100000</v>
      </c>
      <c r="AN47" s="88">
        <f t="shared" si="12"/>
        <v>100000</v>
      </c>
      <c r="AO47" s="88">
        <f t="shared" si="12"/>
        <v>100000</v>
      </c>
      <c r="AP47" s="88">
        <f t="shared" si="12"/>
        <v>100000</v>
      </c>
      <c r="AQ47" s="88">
        <f t="shared" si="12"/>
        <v>100000</v>
      </c>
      <c r="AR47" s="88">
        <f t="shared" si="12"/>
        <v>100000</v>
      </c>
      <c r="AS47" s="88">
        <f t="shared" si="12"/>
        <v>100000</v>
      </c>
      <c r="AT47" s="88">
        <f t="shared" si="12"/>
        <v>100000</v>
      </c>
      <c r="AU47" s="88">
        <f t="shared" si="12"/>
        <v>100000</v>
      </c>
      <c r="AV47" s="88">
        <f t="shared" si="12"/>
        <v>100000</v>
      </c>
      <c r="AW47" s="88">
        <f t="shared" si="12"/>
        <v>100000</v>
      </c>
      <c r="AX47" s="88">
        <f t="shared" si="12"/>
        <v>100000</v>
      </c>
      <c r="AY47" s="88">
        <f t="shared" si="12"/>
        <v>100000</v>
      </c>
      <c r="AZ47" s="88">
        <f t="shared" si="12"/>
        <v>100000</v>
      </c>
      <c r="BA47" s="88">
        <f t="shared" si="12"/>
        <v>100000</v>
      </c>
      <c r="BB47" s="88">
        <f t="shared" si="12"/>
        <v>100000</v>
      </c>
      <c r="BC47" s="88">
        <f t="shared" si="12"/>
        <v>100000</v>
      </c>
      <c r="BD47" s="88">
        <f t="shared" si="12"/>
        <v>100000</v>
      </c>
      <c r="BE47" s="88">
        <f t="shared" si="12"/>
        <v>100000</v>
      </c>
      <c r="BF47" s="88">
        <f t="shared" si="12"/>
        <v>100000</v>
      </c>
      <c r="BG47" s="88">
        <f t="shared" si="12"/>
        <v>100000</v>
      </c>
      <c r="BH47" s="88">
        <f t="shared" si="12"/>
        <v>100000</v>
      </c>
      <c r="BI47" s="88">
        <f t="shared" si="12"/>
        <v>100000</v>
      </c>
      <c r="BJ47" s="88">
        <f t="shared" si="12"/>
        <v>100000</v>
      </c>
      <c r="BK47" s="88">
        <f t="shared" si="12"/>
        <v>100000</v>
      </c>
      <c r="BL47" s="88">
        <f t="shared" si="12"/>
        <v>100000</v>
      </c>
    </row>
    <row r="48" spans="1:64" x14ac:dyDescent="0.2">
      <c r="B48" s="30" t="s">
        <v>132</v>
      </c>
      <c r="C48" s="93"/>
      <c r="D48" s="30" t="s">
        <v>50</v>
      </c>
      <c r="E48" s="88">
        <f t="shared" si="12"/>
        <v>0</v>
      </c>
      <c r="F48" s="88">
        <f t="shared" si="12"/>
        <v>0</v>
      </c>
      <c r="G48" s="88">
        <f t="shared" si="12"/>
        <v>0</v>
      </c>
      <c r="H48" s="88">
        <f t="shared" si="12"/>
        <v>300000</v>
      </c>
      <c r="I48" s="88">
        <f t="shared" si="12"/>
        <v>300000</v>
      </c>
      <c r="J48" s="88">
        <f t="shared" si="12"/>
        <v>300000</v>
      </c>
      <c r="K48" s="88">
        <f t="shared" si="12"/>
        <v>300000</v>
      </c>
      <c r="L48" s="88">
        <f t="shared" si="12"/>
        <v>300000</v>
      </c>
      <c r="M48" s="88">
        <f t="shared" si="12"/>
        <v>300000</v>
      </c>
      <c r="N48" s="88">
        <f t="shared" si="12"/>
        <v>300000</v>
      </c>
      <c r="O48" s="88">
        <f t="shared" si="12"/>
        <v>300000</v>
      </c>
      <c r="P48" s="88">
        <f t="shared" si="12"/>
        <v>300000</v>
      </c>
      <c r="Q48" s="88">
        <f t="shared" si="12"/>
        <v>300000</v>
      </c>
      <c r="R48" s="88">
        <f t="shared" si="12"/>
        <v>300000</v>
      </c>
      <c r="S48" s="88">
        <f t="shared" si="12"/>
        <v>300000</v>
      </c>
      <c r="T48" s="88">
        <f t="shared" ref="T48:BL49" si="13">T16</f>
        <v>300000</v>
      </c>
      <c r="U48" s="88">
        <f t="shared" si="13"/>
        <v>300000</v>
      </c>
      <c r="V48" s="88">
        <f t="shared" si="13"/>
        <v>300000</v>
      </c>
      <c r="W48" s="88">
        <f t="shared" si="13"/>
        <v>300000</v>
      </c>
      <c r="X48" s="88">
        <f t="shared" si="13"/>
        <v>300000</v>
      </c>
      <c r="Y48" s="88">
        <f t="shared" si="13"/>
        <v>300000</v>
      </c>
      <c r="Z48" s="88">
        <f t="shared" si="13"/>
        <v>300000</v>
      </c>
      <c r="AA48" s="88">
        <f t="shared" si="13"/>
        <v>300000</v>
      </c>
      <c r="AB48" s="88">
        <f t="shared" si="13"/>
        <v>300000</v>
      </c>
      <c r="AC48" s="88">
        <f t="shared" si="13"/>
        <v>300000</v>
      </c>
      <c r="AD48" s="88">
        <f t="shared" si="13"/>
        <v>300000</v>
      </c>
      <c r="AE48" s="88">
        <f t="shared" si="13"/>
        <v>300000</v>
      </c>
      <c r="AF48" s="88">
        <f t="shared" si="13"/>
        <v>300000</v>
      </c>
      <c r="AG48" s="88">
        <f t="shared" si="13"/>
        <v>300000</v>
      </c>
      <c r="AH48" s="88">
        <f t="shared" si="13"/>
        <v>300000</v>
      </c>
      <c r="AI48" s="88">
        <f t="shared" si="13"/>
        <v>300000</v>
      </c>
      <c r="AJ48" s="88">
        <f t="shared" si="13"/>
        <v>300000</v>
      </c>
      <c r="AK48" s="88">
        <f t="shared" si="13"/>
        <v>300000</v>
      </c>
      <c r="AL48" s="88">
        <f t="shared" si="13"/>
        <v>300000</v>
      </c>
      <c r="AM48" s="88">
        <f t="shared" si="13"/>
        <v>300000</v>
      </c>
      <c r="AN48" s="88">
        <f t="shared" si="13"/>
        <v>300000</v>
      </c>
      <c r="AO48" s="88">
        <f t="shared" si="13"/>
        <v>300000</v>
      </c>
      <c r="AP48" s="88">
        <f t="shared" si="13"/>
        <v>300000</v>
      </c>
      <c r="AQ48" s="88">
        <f t="shared" si="13"/>
        <v>300000</v>
      </c>
      <c r="AR48" s="88">
        <f t="shared" si="13"/>
        <v>300000</v>
      </c>
      <c r="AS48" s="88">
        <f t="shared" si="13"/>
        <v>300000</v>
      </c>
      <c r="AT48" s="88">
        <f t="shared" si="13"/>
        <v>300000</v>
      </c>
      <c r="AU48" s="88">
        <f t="shared" si="13"/>
        <v>300000</v>
      </c>
      <c r="AV48" s="88">
        <f t="shared" si="13"/>
        <v>300000</v>
      </c>
      <c r="AW48" s="88">
        <f t="shared" si="13"/>
        <v>300000</v>
      </c>
      <c r="AX48" s="88">
        <f t="shared" si="13"/>
        <v>300000</v>
      </c>
      <c r="AY48" s="88">
        <f t="shared" si="13"/>
        <v>300000</v>
      </c>
      <c r="AZ48" s="88">
        <f t="shared" si="13"/>
        <v>300000</v>
      </c>
      <c r="BA48" s="88">
        <f t="shared" si="13"/>
        <v>300000</v>
      </c>
      <c r="BB48" s="88">
        <f t="shared" si="13"/>
        <v>300000</v>
      </c>
      <c r="BC48" s="88">
        <f t="shared" si="13"/>
        <v>300000</v>
      </c>
      <c r="BD48" s="88">
        <f t="shared" si="13"/>
        <v>300000</v>
      </c>
      <c r="BE48" s="88">
        <f t="shared" si="13"/>
        <v>300000</v>
      </c>
      <c r="BF48" s="88">
        <f t="shared" si="13"/>
        <v>300000</v>
      </c>
      <c r="BG48" s="88">
        <f t="shared" si="13"/>
        <v>300000</v>
      </c>
      <c r="BH48" s="88">
        <f t="shared" si="13"/>
        <v>300000</v>
      </c>
      <c r="BI48" s="88">
        <f t="shared" si="13"/>
        <v>300000</v>
      </c>
      <c r="BJ48" s="88">
        <f t="shared" si="13"/>
        <v>300000</v>
      </c>
      <c r="BK48" s="88">
        <f t="shared" si="13"/>
        <v>300000</v>
      </c>
      <c r="BL48" s="88">
        <f t="shared" si="13"/>
        <v>300000</v>
      </c>
    </row>
    <row r="49" spans="1:64" x14ac:dyDescent="0.2">
      <c r="B49" s="30" t="s">
        <v>133</v>
      </c>
      <c r="C49" s="93"/>
      <c r="D49" s="30" t="s">
        <v>50</v>
      </c>
      <c r="E49" s="88">
        <f t="shared" ref="E49:AJ49" si="14">E17</f>
        <v>0</v>
      </c>
      <c r="F49" s="88">
        <f t="shared" si="14"/>
        <v>0</v>
      </c>
      <c r="G49" s="88">
        <f t="shared" si="14"/>
        <v>0</v>
      </c>
      <c r="H49" s="88">
        <f t="shared" si="14"/>
        <v>952991</v>
      </c>
      <c r="I49" s="88">
        <f t="shared" si="14"/>
        <v>952991</v>
      </c>
      <c r="J49" s="88">
        <f t="shared" si="14"/>
        <v>952991</v>
      </c>
      <c r="K49" s="88">
        <f t="shared" si="14"/>
        <v>952991</v>
      </c>
      <c r="L49" s="88">
        <f t="shared" si="14"/>
        <v>952991</v>
      </c>
      <c r="M49" s="88">
        <f t="shared" si="14"/>
        <v>952991</v>
      </c>
      <c r="N49" s="88">
        <f t="shared" si="14"/>
        <v>952991</v>
      </c>
      <c r="O49" s="88">
        <f t="shared" si="14"/>
        <v>952991</v>
      </c>
      <c r="P49" s="88">
        <f t="shared" si="14"/>
        <v>952991</v>
      </c>
      <c r="Q49" s="88">
        <f t="shared" si="14"/>
        <v>952991</v>
      </c>
      <c r="R49" s="88">
        <f t="shared" si="14"/>
        <v>952991</v>
      </c>
      <c r="S49" s="88">
        <f t="shared" si="14"/>
        <v>952991</v>
      </c>
      <c r="T49" s="88">
        <f t="shared" si="14"/>
        <v>2510446</v>
      </c>
      <c r="U49" s="88">
        <f t="shared" si="14"/>
        <v>2510446</v>
      </c>
      <c r="V49" s="88">
        <f t="shared" si="14"/>
        <v>2510446</v>
      </c>
      <c r="W49" s="88">
        <f t="shared" si="14"/>
        <v>2510446</v>
      </c>
      <c r="X49" s="88">
        <f t="shared" si="14"/>
        <v>2510446</v>
      </c>
      <c r="Y49" s="88">
        <f t="shared" si="14"/>
        <v>2510446</v>
      </c>
      <c r="Z49" s="88">
        <f t="shared" si="14"/>
        <v>2510446</v>
      </c>
      <c r="AA49" s="88">
        <f t="shared" si="14"/>
        <v>2510446</v>
      </c>
      <c r="AB49" s="88">
        <f t="shared" si="14"/>
        <v>2510446</v>
      </c>
      <c r="AC49" s="88">
        <f t="shared" si="14"/>
        <v>2510446</v>
      </c>
      <c r="AD49" s="88">
        <f t="shared" si="14"/>
        <v>2510446</v>
      </c>
      <c r="AE49" s="88">
        <f t="shared" si="14"/>
        <v>2510446</v>
      </c>
      <c r="AF49" s="88">
        <f t="shared" si="14"/>
        <v>3441911</v>
      </c>
      <c r="AG49" s="88">
        <f t="shared" si="14"/>
        <v>3441911</v>
      </c>
      <c r="AH49" s="88">
        <f t="shared" si="14"/>
        <v>3441911</v>
      </c>
      <c r="AI49" s="88">
        <f t="shared" si="14"/>
        <v>3441911</v>
      </c>
      <c r="AJ49" s="88">
        <f t="shared" si="14"/>
        <v>3441911</v>
      </c>
      <c r="AK49" s="88">
        <f t="shared" si="13"/>
        <v>3441911</v>
      </c>
      <c r="AL49" s="88">
        <f t="shared" si="13"/>
        <v>3441911</v>
      </c>
      <c r="AM49" s="88">
        <f t="shared" si="13"/>
        <v>3441911</v>
      </c>
      <c r="AN49" s="88">
        <f t="shared" si="13"/>
        <v>3441915</v>
      </c>
      <c r="AO49" s="88">
        <f t="shared" si="13"/>
        <v>3930199</v>
      </c>
      <c r="AP49" s="88">
        <f t="shared" si="13"/>
        <v>3930199</v>
      </c>
      <c r="AQ49" s="88">
        <f t="shared" si="13"/>
        <v>3930199</v>
      </c>
      <c r="AR49" s="88">
        <f t="shared" si="13"/>
        <v>3930199</v>
      </c>
      <c r="AS49" s="88">
        <f t="shared" si="13"/>
        <v>3930199</v>
      </c>
      <c r="AT49" s="88">
        <f t="shared" si="13"/>
        <v>3930199</v>
      </c>
      <c r="AU49" s="88">
        <f t="shared" si="13"/>
        <v>3930199</v>
      </c>
      <c r="AV49" s="88">
        <f t="shared" si="13"/>
        <v>3930199</v>
      </c>
      <c r="AW49" s="88">
        <f t="shared" si="13"/>
        <v>3930199</v>
      </c>
      <c r="AX49" s="88">
        <f t="shared" si="13"/>
        <v>3930199</v>
      </c>
      <c r="AY49" s="88">
        <f t="shared" si="13"/>
        <v>3930199</v>
      </c>
      <c r="AZ49" s="88">
        <f t="shared" si="13"/>
        <v>3930203</v>
      </c>
      <c r="BA49" s="88">
        <f t="shared" si="13"/>
        <v>3930199</v>
      </c>
      <c r="BB49" s="88">
        <f t="shared" si="13"/>
        <v>3930199</v>
      </c>
      <c r="BC49" s="88">
        <f t="shared" si="13"/>
        <v>3930199</v>
      </c>
      <c r="BD49" s="88">
        <f t="shared" si="13"/>
        <v>3930199</v>
      </c>
      <c r="BE49" s="88">
        <f t="shared" si="13"/>
        <v>3930199</v>
      </c>
      <c r="BF49" s="88">
        <f t="shared" si="13"/>
        <v>3930199</v>
      </c>
      <c r="BG49" s="88">
        <f t="shared" si="13"/>
        <v>5372507</v>
      </c>
      <c r="BH49" s="88">
        <f t="shared" si="13"/>
        <v>5372507</v>
      </c>
      <c r="BI49" s="88">
        <f t="shared" si="13"/>
        <v>5372507</v>
      </c>
      <c r="BJ49" s="88">
        <f t="shared" si="13"/>
        <v>5372507</v>
      </c>
      <c r="BK49" s="88">
        <f t="shared" si="13"/>
        <v>5372507</v>
      </c>
      <c r="BL49" s="88">
        <f t="shared" si="13"/>
        <v>5372510</v>
      </c>
    </row>
    <row r="50" spans="1:64" x14ac:dyDescent="0.2">
      <c r="B50" s="30" t="s">
        <v>139</v>
      </c>
      <c r="C50" s="93"/>
      <c r="D50" s="30" t="s">
        <v>50</v>
      </c>
      <c r="E50" s="98">
        <f t="shared" ref="E50:BL50" si="15">SUM(E44:E49)</f>
        <v>0</v>
      </c>
      <c r="F50" s="98">
        <f t="shared" si="15"/>
        <v>0</v>
      </c>
      <c r="G50" s="98">
        <f t="shared" si="15"/>
        <v>0</v>
      </c>
      <c r="H50" s="98">
        <f t="shared" si="15"/>
        <v>1452991</v>
      </c>
      <c r="I50" s="98">
        <f t="shared" si="15"/>
        <v>1452991</v>
      </c>
      <c r="J50" s="98">
        <f t="shared" si="15"/>
        <v>1452991</v>
      </c>
      <c r="K50" s="98">
        <f t="shared" si="15"/>
        <v>1452991</v>
      </c>
      <c r="L50" s="98">
        <f t="shared" si="15"/>
        <v>1452991</v>
      </c>
      <c r="M50" s="98">
        <f t="shared" si="15"/>
        <v>1452991</v>
      </c>
      <c r="N50" s="98">
        <f t="shared" si="15"/>
        <v>1452991</v>
      </c>
      <c r="O50" s="98">
        <f t="shared" si="15"/>
        <v>1452991</v>
      </c>
      <c r="P50" s="98">
        <f t="shared" si="15"/>
        <v>1452991</v>
      </c>
      <c r="Q50" s="98">
        <f t="shared" si="15"/>
        <v>1452991</v>
      </c>
      <c r="R50" s="98">
        <f t="shared" si="15"/>
        <v>1452991</v>
      </c>
      <c r="S50" s="98">
        <f t="shared" si="15"/>
        <v>1452991</v>
      </c>
      <c r="T50" s="98">
        <f t="shared" si="15"/>
        <v>3010446</v>
      </c>
      <c r="U50" s="98">
        <f t="shared" si="15"/>
        <v>3010446</v>
      </c>
      <c r="V50" s="98">
        <f t="shared" si="15"/>
        <v>3010446</v>
      </c>
      <c r="W50" s="98">
        <f t="shared" si="15"/>
        <v>3010446</v>
      </c>
      <c r="X50" s="98">
        <f t="shared" si="15"/>
        <v>3010446</v>
      </c>
      <c r="Y50" s="98">
        <f t="shared" si="15"/>
        <v>3010446</v>
      </c>
      <c r="Z50" s="98">
        <f t="shared" si="15"/>
        <v>3010446</v>
      </c>
      <c r="AA50" s="98">
        <f t="shared" si="15"/>
        <v>3010446</v>
      </c>
      <c r="AB50" s="98">
        <f t="shared" si="15"/>
        <v>3010446</v>
      </c>
      <c r="AC50" s="98">
        <f t="shared" si="15"/>
        <v>3010446</v>
      </c>
      <c r="AD50" s="98">
        <f t="shared" si="15"/>
        <v>3010446</v>
      </c>
      <c r="AE50" s="98">
        <f t="shared" si="15"/>
        <v>3010446</v>
      </c>
      <c r="AF50" s="98">
        <f t="shared" si="15"/>
        <v>3941911</v>
      </c>
      <c r="AG50" s="98">
        <f t="shared" si="15"/>
        <v>3941911</v>
      </c>
      <c r="AH50" s="98">
        <f t="shared" si="15"/>
        <v>3941911</v>
      </c>
      <c r="AI50" s="98">
        <f t="shared" si="15"/>
        <v>3941911</v>
      </c>
      <c r="AJ50" s="98">
        <f t="shared" si="15"/>
        <v>3941911</v>
      </c>
      <c r="AK50" s="98">
        <f t="shared" si="15"/>
        <v>3941911</v>
      </c>
      <c r="AL50" s="98">
        <f t="shared" si="15"/>
        <v>3941911</v>
      </c>
      <c r="AM50" s="98">
        <f t="shared" si="15"/>
        <v>3941911</v>
      </c>
      <c r="AN50" s="98">
        <f t="shared" si="15"/>
        <v>3941915</v>
      </c>
      <c r="AO50" s="98">
        <f t="shared" si="15"/>
        <v>4430199</v>
      </c>
      <c r="AP50" s="98">
        <f t="shared" si="15"/>
        <v>4430199</v>
      </c>
      <c r="AQ50" s="98">
        <f t="shared" si="15"/>
        <v>4430199</v>
      </c>
      <c r="AR50" s="98">
        <f t="shared" si="15"/>
        <v>4430199</v>
      </c>
      <c r="AS50" s="98">
        <f t="shared" si="15"/>
        <v>4430199</v>
      </c>
      <c r="AT50" s="98">
        <f t="shared" si="15"/>
        <v>4430199</v>
      </c>
      <c r="AU50" s="98">
        <f t="shared" si="15"/>
        <v>4430199</v>
      </c>
      <c r="AV50" s="98">
        <f t="shared" si="15"/>
        <v>4430199</v>
      </c>
      <c r="AW50" s="98">
        <f t="shared" si="15"/>
        <v>4430199</v>
      </c>
      <c r="AX50" s="98">
        <f t="shared" si="15"/>
        <v>4430199</v>
      </c>
      <c r="AY50" s="98">
        <f t="shared" si="15"/>
        <v>4430199</v>
      </c>
      <c r="AZ50" s="98">
        <f t="shared" si="15"/>
        <v>4430203</v>
      </c>
      <c r="BA50" s="98">
        <f t="shared" si="15"/>
        <v>4430199</v>
      </c>
      <c r="BB50" s="98">
        <f t="shared" si="15"/>
        <v>4430199</v>
      </c>
      <c r="BC50" s="98">
        <f t="shared" si="15"/>
        <v>4430199</v>
      </c>
      <c r="BD50" s="98">
        <f t="shared" si="15"/>
        <v>4430199</v>
      </c>
      <c r="BE50" s="98">
        <f t="shared" si="15"/>
        <v>4430199</v>
      </c>
      <c r="BF50" s="98">
        <f t="shared" si="15"/>
        <v>4430199</v>
      </c>
      <c r="BG50" s="98">
        <f t="shared" si="15"/>
        <v>5872507</v>
      </c>
      <c r="BH50" s="98">
        <f t="shared" si="15"/>
        <v>5872507</v>
      </c>
      <c r="BI50" s="98">
        <f t="shared" si="15"/>
        <v>5872507</v>
      </c>
      <c r="BJ50" s="98">
        <f t="shared" si="15"/>
        <v>5872507</v>
      </c>
      <c r="BK50" s="98">
        <f t="shared" si="15"/>
        <v>5872507</v>
      </c>
      <c r="BL50" s="98">
        <f t="shared" si="15"/>
        <v>5872510</v>
      </c>
    </row>
    <row r="51" spans="1:64" x14ac:dyDescent="0.2">
      <c r="A51" s="30" t="s">
        <v>27</v>
      </c>
      <c r="C51" s="93"/>
      <c r="D51" s="30" t="s">
        <v>140</v>
      </c>
      <c r="E51" s="99">
        <f t="shared" ref="E51:BL51" si="16">E23</f>
        <v>0</v>
      </c>
      <c r="F51" s="99">
        <f t="shared" si="16"/>
        <v>0</v>
      </c>
      <c r="G51" s="99">
        <f t="shared" si="16"/>
        <v>0</v>
      </c>
      <c r="H51" s="99">
        <f t="shared" si="16"/>
        <v>0</v>
      </c>
      <c r="I51" s="99">
        <f t="shared" si="16"/>
        <v>0</v>
      </c>
      <c r="J51" s="99">
        <f t="shared" si="16"/>
        <v>0</v>
      </c>
      <c r="K51" s="99">
        <f t="shared" si="16"/>
        <v>0</v>
      </c>
      <c r="L51" s="99">
        <f t="shared" si="16"/>
        <v>0</v>
      </c>
      <c r="M51" s="99">
        <f t="shared" si="16"/>
        <v>0</v>
      </c>
      <c r="N51" s="99">
        <f t="shared" si="16"/>
        <v>0</v>
      </c>
      <c r="O51" s="99">
        <f t="shared" si="16"/>
        <v>0</v>
      </c>
      <c r="P51" s="99">
        <f t="shared" si="16"/>
        <v>0</v>
      </c>
      <c r="Q51" s="99">
        <f t="shared" si="16"/>
        <v>0</v>
      </c>
      <c r="R51" s="99">
        <f t="shared" si="16"/>
        <v>0</v>
      </c>
      <c r="S51" s="99">
        <f t="shared" si="16"/>
        <v>0</v>
      </c>
      <c r="T51" s="99">
        <f t="shared" si="16"/>
        <v>0</v>
      </c>
      <c r="U51" s="99">
        <f t="shared" si="16"/>
        <v>0</v>
      </c>
      <c r="V51" s="99">
        <f t="shared" si="16"/>
        <v>0</v>
      </c>
      <c r="W51" s="99">
        <f t="shared" si="16"/>
        <v>0</v>
      </c>
      <c r="X51" s="99">
        <f t="shared" si="16"/>
        <v>0</v>
      </c>
      <c r="Y51" s="99">
        <f t="shared" si="16"/>
        <v>0</v>
      </c>
      <c r="Z51" s="99">
        <f t="shared" si="16"/>
        <v>0</v>
      </c>
      <c r="AA51" s="99">
        <f t="shared" si="16"/>
        <v>0</v>
      </c>
      <c r="AB51" s="99">
        <f t="shared" si="16"/>
        <v>0</v>
      </c>
      <c r="AC51" s="99">
        <f t="shared" si="16"/>
        <v>0</v>
      </c>
      <c r="AD51" s="99">
        <f t="shared" si="16"/>
        <v>0</v>
      </c>
      <c r="AE51" s="99">
        <f t="shared" si="16"/>
        <v>0</v>
      </c>
      <c r="AF51" s="99">
        <f t="shared" si="16"/>
        <v>0</v>
      </c>
      <c r="AG51" s="99">
        <f t="shared" si="16"/>
        <v>0</v>
      </c>
      <c r="AH51" s="99">
        <f t="shared" si="16"/>
        <v>0</v>
      </c>
      <c r="AI51" s="99">
        <f t="shared" si="16"/>
        <v>0</v>
      </c>
      <c r="AJ51" s="99">
        <f t="shared" si="16"/>
        <v>0</v>
      </c>
      <c r="AK51" s="99">
        <f t="shared" si="16"/>
        <v>0</v>
      </c>
      <c r="AL51" s="99">
        <f t="shared" si="16"/>
        <v>0</v>
      </c>
      <c r="AM51" s="99">
        <f t="shared" si="16"/>
        <v>0</v>
      </c>
      <c r="AN51" s="99">
        <f t="shared" si="16"/>
        <v>0</v>
      </c>
      <c r="AO51" s="99">
        <f t="shared" si="16"/>
        <v>0</v>
      </c>
      <c r="AP51" s="99">
        <f t="shared" si="16"/>
        <v>0</v>
      </c>
      <c r="AQ51" s="99">
        <f t="shared" si="16"/>
        <v>0</v>
      </c>
      <c r="AR51" s="99">
        <f t="shared" si="16"/>
        <v>0</v>
      </c>
      <c r="AS51" s="99">
        <f t="shared" si="16"/>
        <v>0</v>
      </c>
      <c r="AT51" s="99">
        <f t="shared" si="16"/>
        <v>0</v>
      </c>
      <c r="AU51" s="99">
        <f t="shared" si="16"/>
        <v>0</v>
      </c>
      <c r="AV51" s="99">
        <f t="shared" si="16"/>
        <v>0</v>
      </c>
      <c r="AW51" s="99">
        <f t="shared" si="16"/>
        <v>0</v>
      </c>
      <c r="AX51" s="99">
        <f t="shared" si="16"/>
        <v>0</v>
      </c>
      <c r="AY51" s="99">
        <f t="shared" si="16"/>
        <v>0</v>
      </c>
      <c r="AZ51" s="99">
        <f t="shared" si="16"/>
        <v>0</v>
      </c>
      <c r="BA51" s="99">
        <f t="shared" si="16"/>
        <v>0</v>
      </c>
      <c r="BB51" s="99">
        <f t="shared" si="16"/>
        <v>0</v>
      </c>
      <c r="BC51" s="99">
        <f t="shared" si="16"/>
        <v>0</v>
      </c>
      <c r="BD51" s="99">
        <f t="shared" si="16"/>
        <v>0</v>
      </c>
      <c r="BE51" s="99">
        <f t="shared" si="16"/>
        <v>0</v>
      </c>
      <c r="BF51" s="99">
        <f t="shared" si="16"/>
        <v>0</v>
      </c>
      <c r="BG51" s="99">
        <f t="shared" si="16"/>
        <v>0</v>
      </c>
      <c r="BH51" s="99">
        <f t="shared" si="16"/>
        <v>0</v>
      </c>
      <c r="BI51" s="99">
        <f t="shared" si="16"/>
        <v>0</v>
      </c>
      <c r="BJ51" s="99">
        <f t="shared" si="16"/>
        <v>0</v>
      </c>
      <c r="BK51" s="99">
        <f t="shared" si="16"/>
        <v>0</v>
      </c>
      <c r="BL51" s="99">
        <f t="shared" si="16"/>
        <v>0</v>
      </c>
    </row>
    <row r="53" spans="1:64" x14ac:dyDescent="0.2">
      <c r="A53" s="31" t="s">
        <v>141</v>
      </c>
    </row>
    <row r="54" spans="1:64" x14ac:dyDescent="0.2">
      <c r="A54" s="30" t="s">
        <v>124</v>
      </c>
      <c r="C54" s="93" t="s">
        <v>17</v>
      </c>
      <c r="E54" s="100">
        <f>E30*E42</f>
        <v>0</v>
      </c>
      <c r="F54" s="100">
        <f t="shared" ref="F54:BL54" si="17">F30*F42</f>
        <v>0</v>
      </c>
      <c r="G54" s="100">
        <f t="shared" si="17"/>
        <v>0</v>
      </c>
      <c r="H54" s="100">
        <f t="shared" si="17"/>
        <v>918.31</v>
      </c>
      <c r="I54" s="100">
        <f t="shared" si="17"/>
        <v>918.31</v>
      </c>
      <c r="J54" s="100">
        <f t="shared" si="17"/>
        <v>918.31</v>
      </c>
      <c r="K54" s="100">
        <f t="shared" si="17"/>
        <v>918.31</v>
      </c>
      <c r="L54" s="100">
        <f t="shared" si="17"/>
        <v>918.31</v>
      </c>
      <c r="M54" s="100">
        <f t="shared" si="17"/>
        <v>918.31</v>
      </c>
      <c r="N54" s="100">
        <f t="shared" si="17"/>
        <v>918.31</v>
      </c>
      <c r="O54" s="100">
        <f t="shared" si="17"/>
        <v>918.31</v>
      </c>
      <c r="P54" s="100">
        <f t="shared" si="17"/>
        <v>918.31</v>
      </c>
      <c r="Q54" s="100">
        <f t="shared" si="17"/>
        <v>918.31</v>
      </c>
      <c r="R54" s="100">
        <f t="shared" si="17"/>
        <v>918.31</v>
      </c>
      <c r="S54" s="100">
        <f t="shared" si="17"/>
        <v>918.31</v>
      </c>
      <c r="T54" s="100">
        <f t="shared" si="17"/>
        <v>918.31</v>
      </c>
      <c r="U54" s="100">
        <f t="shared" si="17"/>
        <v>918.31</v>
      </c>
      <c r="V54" s="100">
        <f t="shared" si="17"/>
        <v>918.31</v>
      </c>
      <c r="W54" s="100">
        <f t="shared" si="17"/>
        <v>918.31</v>
      </c>
      <c r="X54" s="100">
        <f t="shared" si="17"/>
        <v>918.31</v>
      </c>
      <c r="Y54" s="100">
        <f t="shared" si="17"/>
        <v>918.31</v>
      </c>
      <c r="Z54" s="100">
        <f t="shared" si="17"/>
        <v>918.31</v>
      </c>
      <c r="AA54" s="100">
        <f t="shared" si="17"/>
        <v>918.31</v>
      </c>
      <c r="AB54" s="100">
        <f t="shared" si="17"/>
        <v>918.31</v>
      </c>
      <c r="AC54" s="100">
        <f t="shared" si="17"/>
        <v>918.31</v>
      </c>
      <c r="AD54" s="100">
        <f t="shared" si="17"/>
        <v>918.31</v>
      </c>
      <c r="AE54" s="100">
        <f t="shared" si="17"/>
        <v>918.31</v>
      </c>
      <c r="AF54" s="100">
        <f t="shared" si="17"/>
        <v>918.31</v>
      </c>
      <c r="AG54" s="100">
        <f t="shared" si="17"/>
        <v>918.31</v>
      </c>
      <c r="AH54" s="100">
        <f t="shared" si="17"/>
        <v>918.31</v>
      </c>
      <c r="AI54" s="100">
        <f t="shared" si="17"/>
        <v>918.31</v>
      </c>
      <c r="AJ54" s="100">
        <f t="shared" si="17"/>
        <v>918.31</v>
      </c>
      <c r="AK54" s="100">
        <f t="shared" si="17"/>
        <v>918.31</v>
      </c>
      <c r="AL54" s="100">
        <f t="shared" si="17"/>
        <v>918.31</v>
      </c>
      <c r="AM54" s="100">
        <f t="shared" si="17"/>
        <v>918.31</v>
      </c>
      <c r="AN54" s="100">
        <f t="shared" si="17"/>
        <v>918.31</v>
      </c>
      <c r="AO54" s="100">
        <f t="shared" si="17"/>
        <v>918.31</v>
      </c>
      <c r="AP54" s="100">
        <f t="shared" si="17"/>
        <v>918.31</v>
      </c>
      <c r="AQ54" s="100">
        <f t="shared" si="17"/>
        <v>918.31</v>
      </c>
      <c r="AR54" s="100">
        <f t="shared" si="17"/>
        <v>918.31</v>
      </c>
      <c r="AS54" s="100">
        <f t="shared" si="17"/>
        <v>918.31</v>
      </c>
      <c r="AT54" s="100">
        <f t="shared" si="17"/>
        <v>918.31</v>
      </c>
      <c r="AU54" s="100">
        <f t="shared" si="17"/>
        <v>918.31</v>
      </c>
      <c r="AV54" s="100">
        <f t="shared" si="17"/>
        <v>918.31</v>
      </c>
      <c r="AW54" s="100">
        <f t="shared" si="17"/>
        <v>918.31</v>
      </c>
      <c r="AX54" s="100">
        <f t="shared" si="17"/>
        <v>918.31</v>
      </c>
      <c r="AY54" s="100">
        <f t="shared" si="17"/>
        <v>918.31</v>
      </c>
      <c r="AZ54" s="100">
        <f t="shared" si="17"/>
        <v>918.31</v>
      </c>
      <c r="BA54" s="100">
        <f t="shared" si="17"/>
        <v>918.31</v>
      </c>
      <c r="BB54" s="100">
        <f t="shared" si="17"/>
        <v>918.31</v>
      </c>
      <c r="BC54" s="100">
        <f t="shared" si="17"/>
        <v>918.31</v>
      </c>
      <c r="BD54" s="100">
        <f t="shared" si="17"/>
        <v>918.31</v>
      </c>
      <c r="BE54" s="100">
        <f t="shared" si="17"/>
        <v>918.31</v>
      </c>
      <c r="BF54" s="100">
        <f t="shared" si="17"/>
        <v>918.31</v>
      </c>
      <c r="BG54" s="100">
        <f t="shared" si="17"/>
        <v>918.31</v>
      </c>
      <c r="BH54" s="100">
        <f t="shared" si="17"/>
        <v>918.31</v>
      </c>
      <c r="BI54" s="100">
        <f t="shared" si="17"/>
        <v>918.31</v>
      </c>
      <c r="BJ54" s="100">
        <f t="shared" si="17"/>
        <v>918.31</v>
      </c>
      <c r="BK54" s="100">
        <f t="shared" si="17"/>
        <v>918.31</v>
      </c>
      <c r="BL54" s="100">
        <f t="shared" si="17"/>
        <v>918.31</v>
      </c>
    </row>
    <row r="55" spans="1:64" x14ac:dyDescent="0.2">
      <c r="A55" s="30" t="s">
        <v>142</v>
      </c>
      <c r="C55" s="93" t="s">
        <v>17</v>
      </c>
      <c r="E55" s="101">
        <v>0</v>
      </c>
      <c r="F55" s="101">
        <v>0</v>
      </c>
      <c r="G55" s="101">
        <v>0</v>
      </c>
      <c r="H55" s="101">
        <v>0</v>
      </c>
      <c r="I55" s="101">
        <v>0</v>
      </c>
      <c r="J55" s="101">
        <v>0</v>
      </c>
      <c r="K55" s="101">
        <v>0</v>
      </c>
      <c r="L55" s="101">
        <v>0</v>
      </c>
      <c r="M55" s="101">
        <v>0</v>
      </c>
      <c r="N55" s="101">
        <v>0</v>
      </c>
      <c r="O55" s="101">
        <v>0</v>
      </c>
      <c r="P55" s="101">
        <v>0</v>
      </c>
      <c r="Q55" s="101">
        <v>0</v>
      </c>
      <c r="R55" s="101">
        <v>0</v>
      </c>
      <c r="S55" s="101">
        <v>0</v>
      </c>
      <c r="T55" s="101">
        <v>0</v>
      </c>
      <c r="U55" s="101">
        <v>0</v>
      </c>
      <c r="V55" s="101">
        <v>0</v>
      </c>
      <c r="W55" s="101">
        <v>0</v>
      </c>
      <c r="X55" s="101">
        <v>0</v>
      </c>
      <c r="Y55" s="101">
        <v>0</v>
      </c>
      <c r="Z55" s="101">
        <v>0</v>
      </c>
      <c r="AA55" s="101">
        <v>0</v>
      </c>
      <c r="AB55" s="101">
        <v>0</v>
      </c>
      <c r="AC55" s="101">
        <v>0</v>
      </c>
      <c r="AD55" s="101">
        <v>0</v>
      </c>
      <c r="AE55" s="101">
        <v>0</v>
      </c>
      <c r="AF55" s="101">
        <v>0</v>
      </c>
      <c r="AG55" s="101">
        <v>0</v>
      </c>
      <c r="AH55" s="101">
        <v>0</v>
      </c>
      <c r="AI55" s="101">
        <v>0</v>
      </c>
      <c r="AJ55" s="101">
        <v>0</v>
      </c>
      <c r="AK55" s="101">
        <v>0</v>
      </c>
      <c r="AL55" s="101">
        <v>0</v>
      </c>
      <c r="AM55" s="101">
        <v>0</v>
      </c>
      <c r="AN55" s="101">
        <v>0</v>
      </c>
      <c r="AO55" s="101">
        <v>0</v>
      </c>
      <c r="AP55" s="101">
        <v>0</v>
      </c>
      <c r="AQ55" s="101">
        <v>0</v>
      </c>
      <c r="AR55" s="101">
        <v>0</v>
      </c>
      <c r="AS55" s="101">
        <v>0</v>
      </c>
      <c r="AT55" s="101">
        <v>0</v>
      </c>
      <c r="AU55" s="101">
        <v>0</v>
      </c>
      <c r="AV55" s="101">
        <v>0</v>
      </c>
      <c r="AW55" s="101">
        <v>0</v>
      </c>
      <c r="AX55" s="101">
        <v>0</v>
      </c>
      <c r="AY55" s="101">
        <v>0</v>
      </c>
      <c r="AZ55" s="101">
        <v>0</v>
      </c>
      <c r="BA55" s="101">
        <v>0</v>
      </c>
      <c r="BB55" s="101">
        <v>0</v>
      </c>
      <c r="BC55" s="101">
        <v>0</v>
      </c>
      <c r="BD55" s="101">
        <v>0</v>
      </c>
      <c r="BE55" s="101">
        <v>0</v>
      </c>
      <c r="BF55" s="101">
        <v>0</v>
      </c>
      <c r="BG55" s="101">
        <v>0</v>
      </c>
      <c r="BH55" s="101">
        <v>0</v>
      </c>
      <c r="BI55" s="101">
        <v>0</v>
      </c>
      <c r="BJ55" s="101">
        <v>0</v>
      </c>
      <c r="BK55" s="101">
        <v>0</v>
      </c>
      <c r="BL55" s="101">
        <v>0</v>
      </c>
    </row>
    <row r="56" spans="1:64" x14ac:dyDescent="0.2">
      <c r="A56" s="30" t="s">
        <v>126</v>
      </c>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row>
    <row r="57" spans="1:64" x14ac:dyDescent="0.2">
      <c r="B57" s="30" t="s">
        <v>127</v>
      </c>
      <c r="C57" s="93" t="s">
        <v>17</v>
      </c>
      <c r="E57" s="100">
        <f t="shared" ref="E57:BL61" si="18">E32*E44</f>
        <v>0</v>
      </c>
      <c r="F57" s="100">
        <f t="shared" si="18"/>
        <v>0</v>
      </c>
      <c r="G57" s="100">
        <f t="shared" si="18"/>
        <v>0</v>
      </c>
      <c r="H57" s="100">
        <f t="shared" si="18"/>
        <v>4383.25</v>
      </c>
      <c r="I57" s="100">
        <f t="shared" si="18"/>
        <v>4383.25</v>
      </c>
      <c r="J57" s="100">
        <f t="shared" si="18"/>
        <v>4383.25</v>
      </c>
      <c r="K57" s="100">
        <f t="shared" si="18"/>
        <v>4383.25</v>
      </c>
      <c r="L57" s="100">
        <f t="shared" si="18"/>
        <v>4383.25</v>
      </c>
      <c r="M57" s="100">
        <f t="shared" si="18"/>
        <v>4383.25</v>
      </c>
      <c r="N57" s="100">
        <f t="shared" si="18"/>
        <v>4383.25</v>
      </c>
      <c r="O57" s="100">
        <f t="shared" si="18"/>
        <v>4383.25</v>
      </c>
      <c r="P57" s="100">
        <f t="shared" si="18"/>
        <v>4383.25</v>
      </c>
      <c r="Q57" s="100">
        <f t="shared" si="18"/>
        <v>4383.25</v>
      </c>
      <c r="R57" s="100">
        <f t="shared" si="18"/>
        <v>4383.25</v>
      </c>
      <c r="S57" s="100">
        <f t="shared" si="18"/>
        <v>4383.25</v>
      </c>
      <c r="T57" s="100">
        <f t="shared" si="18"/>
        <v>4383.25</v>
      </c>
      <c r="U57" s="100">
        <f t="shared" si="18"/>
        <v>4383.25</v>
      </c>
      <c r="V57" s="100">
        <f t="shared" si="18"/>
        <v>4383.25</v>
      </c>
      <c r="W57" s="100">
        <f t="shared" si="18"/>
        <v>4383.25</v>
      </c>
      <c r="X57" s="100">
        <f t="shared" si="18"/>
        <v>4383.25</v>
      </c>
      <c r="Y57" s="100">
        <f t="shared" si="18"/>
        <v>4383.25</v>
      </c>
      <c r="Z57" s="100">
        <f t="shared" si="18"/>
        <v>4383.25</v>
      </c>
      <c r="AA57" s="100">
        <f t="shared" si="18"/>
        <v>4383.25</v>
      </c>
      <c r="AB57" s="100">
        <f t="shared" si="18"/>
        <v>4383.25</v>
      </c>
      <c r="AC57" s="100">
        <f t="shared" si="18"/>
        <v>4383.25</v>
      </c>
      <c r="AD57" s="100">
        <f t="shared" si="18"/>
        <v>4383.25</v>
      </c>
      <c r="AE57" s="100">
        <f t="shared" si="18"/>
        <v>4383.25</v>
      </c>
      <c r="AF57" s="100">
        <f t="shared" si="18"/>
        <v>4383.25</v>
      </c>
      <c r="AG57" s="100">
        <f t="shared" si="18"/>
        <v>4383.25</v>
      </c>
      <c r="AH57" s="100">
        <f t="shared" si="18"/>
        <v>4383.25</v>
      </c>
      <c r="AI57" s="100">
        <f t="shared" si="18"/>
        <v>4383.25</v>
      </c>
      <c r="AJ57" s="100">
        <f t="shared" si="18"/>
        <v>4383.25</v>
      </c>
      <c r="AK57" s="100">
        <f t="shared" si="18"/>
        <v>4383.25</v>
      </c>
      <c r="AL57" s="100">
        <f t="shared" si="18"/>
        <v>4383.25</v>
      </c>
      <c r="AM57" s="100">
        <f t="shared" si="18"/>
        <v>4383.25</v>
      </c>
      <c r="AN57" s="100">
        <f t="shared" si="18"/>
        <v>4383.25</v>
      </c>
      <c r="AO57" s="100">
        <f t="shared" si="18"/>
        <v>4383.25</v>
      </c>
      <c r="AP57" s="100">
        <f t="shared" si="18"/>
        <v>4383.25</v>
      </c>
      <c r="AQ57" s="100">
        <f t="shared" si="18"/>
        <v>4383.25</v>
      </c>
      <c r="AR57" s="100">
        <f t="shared" si="18"/>
        <v>4383.25</v>
      </c>
      <c r="AS57" s="100">
        <f t="shared" si="18"/>
        <v>4383.25</v>
      </c>
      <c r="AT57" s="100">
        <f t="shared" si="18"/>
        <v>4383.25</v>
      </c>
      <c r="AU57" s="100">
        <f t="shared" si="18"/>
        <v>4383.25</v>
      </c>
      <c r="AV57" s="100">
        <f t="shared" si="18"/>
        <v>4383.25</v>
      </c>
      <c r="AW57" s="100">
        <f t="shared" si="18"/>
        <v>4383.25</v>
      </c>
      <c r="AX57" s="100">
        <f t="shared" si="18"/>
        <v>4383.25</v>
      </c>
      <c r="AY57" s="100">
        <f t="shared" si="18"/>
        <v>4383.25</v>
      </c>
      <c r="AZ57" s="100">
        <f t="shared" si="18"/>
        <v>4383.25</v>
      </c>
      <c r="BA57" s="100">
        <f t="shared" si="18"/>
        <v>4383.25</v>
      </c>
      <c r="BB57" s="100">
        <f t="shared" si="18"/>
        <v>4383.25</v>
      </c>
      <c r="BC57" s="100">
        <f t="shared" si="18"/>
        <v>4383.25</v>
      </c>
      <c r="BD57" s="100">
        <f t="shared" si="18"/>
        <v>4383.25</v>
      </c>
      <c r="BE57" s="100">
        <f t="shared" si="18"/>
        <v>4383.25</v>
      </c>
      <c r="BF57" s="100">
        <f t="shared" si="18"/>
        <v>4383.25</v>
      </c>
      <c r="BG57" s="100">
        <f t="shared" si="18"/>
        <v>4383.25</v>
      </c>
      <c r="BH57" s="100">
        <f t="shared" si="18"/>
        <v>4383.25</v>
      </c>
      <c r="BI57" s="100">
        <f t="shared" si="18"/>
        <v>4383.25</v>
      </c>
      <c r="BJ57" s="100">
        <f t="shared" si="18"/>
        <v>4383.25</v>
      </c>
      <c r="BK57" s="100">
        <f t="shared" si="18"/>
        <v>4383.25</v>
      </c>
      <c r="BL57" s="100">
        <f t="shared" si="18"/>
        <v>4383.25</v>
      </c>
    </row>
    <row r="58" spans="1:64" x14ac:dyDescent="0.2">
      <c r="B58" s="30" t="s">
        <v>129</v>
      </c>
      <c r="C58" s="93" t="s">
        <v>17</v>
      </c>
      <c r="E58" s="100">
        <f t="shared" si="18"/>
        <v>0</v>
      </c>
      <c r="F58" s="100">
        <f t="shared" si="18"/>
        <v>0</v>
      </c>
      <c r="G58" s="100">
        <f t="shared" si="18"/>
        <v>0</v>
      </c>
      <c r="H58" s="100">
        <f t="shared" si="18"/>
        <v>2648.75</v>
      </c>
      <c r="I58" s="100">
        <f t="shared" si="18"/>
        <v>2648.75</v>
      </c>
      <c r="J58" s="100">
        <f t="shared" si="18"/>
        <v>2648.75</v>
      </c>
      <c r="K58" s="100">
        <f t="shared" si="18"/>
        <v>2648.75</v>
      </c>
      <c r="L58" s="100">
        <f t="shared" si="18"/>
        <v>2648.75</v>
      </c>
      <c r="M58" s="100">
        <f t="shared" si="18"/>
        <v>2648.75</v>
      </c>
      <c r="N58" s="100">
        <f t="shared" si="18"/>
        <v>2648.75</v>
      </c>
      <c r="O58" s="100">
        <f t="shared" si="18"/>
        <v>2648.75</v>
      </c>
      <c r="P58" s="100">
        <f t="shared" si="18"/>
        <v>2648.75</v>
      </c>
      <c r="Q58" s="100">
        <f t="shared" si="18"/>
        <v>2648.75</v>
      </c>
      <c r="R58" s="100">
        <f t="shared" si="18"/>
        <v>2648.75</v>
      </c>
      <c r="S58" s="100">
        <f t="shared" si="18"/>
        <v>2648.75</v>
      </c>
      <c r="T58" s="100">
        <f t="shared" si="18"/>
        <v>2648.75</v>
      </c>
      <c r="U58" s="100">
        <f t="shared" si="18"/>
        <v>2648.75</v>
      </c>
      <c r="V58" s="100">
        <f t="shared" si="18"/>
        <v>2648.75</v>
      </c>
      <c r="W58" s="100">
        <f t="shared" si="18"/>
        <v>2648.75</v>
      </c>
      <c r="X58" s="100">
        <f t="shared" si="18"/>
        <v>2648.75</v>
      </c>
      <c r="Y58" s="100">
        <f t="shared" si="18"/>
        <v>2648.75</v>
      </c>
      <c r="Z58" s="100">
        <f t="shared" si="18"/>
        <v>2648.75</v>
      </c>
      <c r="AA58" s="100">
        <f t="shared" si="18"/>
        <v>2648.75</v>
      </c>
      <c r="AB58" s="100">
        <f t="shared" si="18"/>
        <v>2648.75</v>
      </c>
      <c r="AC58" s="100">
        <f t="shared" si="18"/>
        <v>2648.75</v>
      </c>
      <c r="AD58" s="100">
        <f t="shared" si="18"/>
        <v>2648.75</v>
      </c>
      <c r="AE58" s="100">
        <f t="shared" si="18"/>
        <v>2648.75</v>
      </c>
      <c r="AF58" s="100">
        <f t="shared" si="18"/>
        <v>2648.75</v>
      </c>
      <c r="AG58" s="100">
        <f t="shared" si="18"/>
        <v>2648.75</v>
      </c>
      <c r="AH58" s="100">
        <f t="shared" si="18"/>
        <v>2648.75</v>
      </c>
      <c r="AI58" s="100">
        <f t="shared" si="18"/>
        <v>2648.75</v>
      </c>
      <c r="AJ58" s="100">
        <f t="shared" si="18"/>
        <v>2648.75</v>
      </c>
      <c r="AK58" s="100">
        <f t="shared" si="18"/>
        <v>2648.75</v>
      </c>
      <c r="AL58" s="100">
        <f t="shared" si="18"/>
        <v>2648.75</v>
      </c>
      <c r="AM58" s="100">
        <f t="shared" si="18"/>
        <v>2648.75</v>
      </c>
      <c r="AN58" s="100">
        <f t="shared" si="18"/>
        <v>2648.75</v>
      </c>
      <c r="AO58" s="100">
        <f t="shared" si="18"/>
        <v>2648.75</v>
      </c>
      <c r="AP58" s="100">
        <f t="shared" si="18"/>
        <v>2648.75</v>
      </c>
      <c r="AQ58" s="100">
        <f t="shared" si="18"/>
        <v>2648.75</v>
      </c>
      <c r="AR58" s="100">
        <f t="shared" si="18"/>
        <v>2648.75</v>
      </c>
      <c r="AS58" s="100">
        <f t="shared" si="18"/>
        <v>2648.75</v>
      </c>
      <c r="AT58" s="100">
        <f t="shared" si="18"/>
        <v>2648.75</v>
      </c>
      <c r="AU58" s="100">
        <f t="shared" si="18"/>
        <v>2648.75</v>
      </c>
      <c r="AV58" s="100">
        <f t="shared" si="18"/>
        <v>2648.75</v>
      </c>
      <c r="AW58" s="100">
        <f t="shared" si="18"/>
        <v>2648.75</v>
      </c>
      <c r="AX58" s="100">
        <f t="shared" si="18"/>
        <v>2648.75</v>
      </c>
      <c r="AY58" s="100">
        <f t="shared" si="18"/>
        <v>2648.75</v>
      </c>
      <c r="AZ58" s="100">
        <f t="shared" si="18"/>
        <v>2648.75</v>
      </c>
      <c r="BA58" s="100">
        <f t="shared" si="18"/>
        <v>2648.75</v>
      </c>
      <c r="BB58" s="100">
        <f t="shared" si="18"/>
        <v>2648.75</v>
      </c>
      <c r="BC58" s="100">
        <f t="shared" si="18"/>
        <v>2648.75</v>
      </c>
      <c r="BD58" s="100">
        <f t="shared" si="18"/>
        <v>2648.75</v>
      </c>
      <c r="BE58" s="100">
        <f t="shared" si="18"/>
        <v>2648.75</v>
      </c>
      <c r="BF58" s="100">
        <f t="shared" si="18"/>
        <v>2648.75</v>
      </c>
      <c r="BG58" s="100">
        <f t="shared" si="18"/>
        <v>2648.75</v>
      </c>
      <c r="BH58" s="100">
        <f t="shared" si="18"/>
        <v>2648.75</v>
      </c>
      <c r="BI58" s="100">
        <f t="shared" si="18"/>
        <v>2648.75</v>
      </c>
      <c r="BJ58" s="100">
        <f t="shared" si="18"/>
        <v>2648.75</v>
      </c>
      <c r="BK58" s="100">
        <f t="shared" si="18"/>
        <v>2648.75</v>
      </c>
      <c r="BL58" s="100">
        <f t="shared" si="18"/>
        <v>2648.75</v>
      </c>
    </row>
    <row r="59" spans="1:64" x14ac:dyDescent="0.2">
      <c r="B59" s="30" t="s">
        <v>130</v>
      </c>
      <c r="C59" s="93" t="s">
        <v>17</v>
      </c>
      <c r="E59" s="100">
        <f t="shared" si="18"/>
        <v>0</v>
      </c>
      <c r="F59" s="100">
        <f t="shared" si="18"/>
        <v>0</v>
      </c>
      <c r="G59" s="100">
        <f t="shared" si="18"/>
        <v>0</v>
      </c>
      <c r="H59" s="100">
        <f t="shared" si="18"/>
        <v>3370.9999999999995</v>
      </c>
      <c r="I59" s="100">
        <f t="shared" si="18"/>
        <v>3370.9999999999995</v>
      </c>
      <c r="J59" s="100">
        <f t="shared" si="18"/>
        <v>3370.9999999999995</v>
      </c>
      <c r="K59" s="100">
        <f t="shared" si="18"/>
        <v>3370.9999999999995</v>
      </c>
      <c r="L59" s="100">
        <f t="shared" si="18"/>
        <v>3370.9999999999995</v>
      </c>
      <c r="M59" s="100">
        <f t="shared" si="18"/>
        <v>3370.9999999999995</v>
      </c>
      <c r="N59" s="100">
        <f t="shared" si="18"/>
        <v>3370.9999999999995</v>
      </c>
      <c r="O59" s="100">
        <f t="shared" si="18"/>
        <v>3370.9999999999995</v>
      </c>
      <c r="P59" s="100">
        <f t="shared" si="18"/>
        <v>3370.9999999999995</v>
      </c>
      <c r="Q59" s="100">
        <f t="shared" si="18"/>
        <v>3370.9999999999995</v>
      </c>
      <c r="R59" s="100">
        <f t="shared" si="18"/>
        <v>3370.9999999999995</v>
      </c>
      <c r="S59" s="100">
        <f t="shared" si="18"/>
        <v>3370.9999999999995</v>
      </c>
      <c r="T59" s="100">
        <f t="shared" si="18"/>
        <v>3370.9999999999995</v>
      </c>
      <c r="U59" s="100">
        <f t="shared" si="18"/>
        <v>3370.9999999999995</v>
      </c>
      <c r="V59" s="100">
        <f t="shared" si="18"/>
        <v>3370.9999999999995</v>
      </c>
      <c r="W59" s="100">
        <f t="shared" si="18"/>
        <v>3370.9999999999995</v>
      </c>
      <c r="X59" s="100">
        <f t="shared" si="18"/>
        <v>3370.9999999999995</v>
      </c>
      <c r="Y59" s="100">
        <f t="shared" si="18"/>
        <v>3370.9999999999995</v>
      </c>
      <c r="Z59" s="100">
        <f t="shared" si="18"/>
        <v>3370.9999999999995</v>
      </c>
      <c r="AA59" s="100">
        <f t="shared" si="18"/>
        <v>3370.9999999999995</v>
      </c>
      <c r="AB59" s="100">
        <f t="shared" si="18"/>
        <v>3370.9999999999995</v>
      </c>
      <c r="AC59" s="100">
        <f t="shared" si="18"/>
        <v>3370.9999999999995</v>
      </c>
      <c r="AD59" s="100">
        <f t="shared" si="18"/>
        <v>3370.9999999999995</v>
      </c>
      <c r="AE59" s="100">
        <f t="shared" si="18"/>
        <v>3370.9999999999995</v>
      </c>
      <c r="AF59" s="100">
        <f t="shared" si="18"/>
        <v>3370.9999999999995</v>
      </c>
      <c r="AG59" s="100">
        <f t="shared" si="18"/>
        <v>3370.9999999999995</v>
      </c>
      <c r="AH59" s="100">
        <f t="shared" si="18"/>
        <v>3370.9999999999995</v>
      </c>
      <c r="AI59" s="100">
        <f t="shared" si="18"/>
        <v>3370.9999999999995</v>
      </c>
      <c r="AJ59" s="100">
        <f t="shared" si="18"/>
        <v>3370.9999999999995</v>
      </c>
      <c r="AK59" s="100">
        <f t="shared" si="18"/>
        <v>3370.9999999999995</v>
      </c>
      <c r="AL59" s="100">
        <f t="shared" si="18"/>
        <v>3370.9999999999995</v>
      </c>
      <c r="AM59" s="100">
        <f t="shared" si="18"/>
        <v>3370.9999999999995</v>
      </c>
      <c r="AN59" s="100">
        <f t="shared" si="18"/>
        <v>3370.9999999999995</v>
      </c>
      <c r="AO59" s="100">
        <f t="shared" si="18"/>
        <v>3370.9999999999995</v>
      </c>
      <c r="AP59" s="100">
        <f t="shared" si="18"/>
        <v>3370.9999999999995</v>
      </c>
      <c r="AQ59" s="100">
        <f t="shared" si="18"/>
        <v>3370.9999999999995</v>
      </c>
      <c r="AR59" s="100">
        <f t="shared" si="18"/>
        <v>3370.9999999999995</v>
      </c>
      <c r="AS59" s="100">
        <f t="shared" si="18"/>
        <v>3370.9999999999995</v>
      </c>
      <c r="AT59" s="100">
        <f t="shared" si="18"/>
        <v>3370.9999999999995</v>
      </c>
      <c r="AU59" s="100">
        <f t="shared" si="18"/>
        <v>3370.9999999999995</v>
      </c>
      <c r="AV59" s="100">
        <f t="shared" si="18"/>
        <v>3370.9999999999995</v>
      </c>
      <c r="AW59" s="100">
        <f t="shared" si="18"/>
        <v>3370.9999999999995</v>
      </c>
      <c r="AX59" s="100">
        <f t="shared" si="18"/>
        <v>3370.9999999999995</v>
      </c>
      <c r="AY59" s="100">
        <f t="shared" si="18"/>
        <v>3370.9999999999995</v>
      </c>
      <c r="AZ59" s="100">
        <f t="shared" si="18"/>
        <v>3370.9999999999995</v>
      </c>
      <c r="BA59" s="100">
        <f t="shared" si="18"/>
        <v>3370.9999999999995</v>
      </c>
      <c r="BB59" s="100">
        <f t="shared" si="18"/>
        <v>3370.9999999999995</v>
      </c>
      <c r="BC59" s="100">
        <f t="shared" si="18"/>
        <v>3370.9999999999995</v>
      </c>
      <c r="BD59" s="100">
        <f t="shared" si="18"/>
        <v>3370.9999999999995</v>
      </c>
      <c r="BE59" s="100">
        <f t="shared" si="18"/>
        <v>3370.9999999999995</v>
      </c>
      <c r="BF59" s="100">
        <f t="shared" si="18"/>
        <v>3370.9999999999995</v>
      </c>
      <c r="BG59" s="100">
        <f t="shared" si="18"/>
        <v>3370.9999999999995</v>
      </c>
      <c r="BH59" s="100">
        <f t="shared" si="18"/>
        <v>3370.9999999999995</v>
      </c>
      <c r="BI59" s="100">
        <f t="shared" si="18"/>
        <v>3370.9999999999995</v>
      </c>
      <c r="BJ59" s="100">
        <f t="shared" si="18"/>
        <v>3370.9999999999995</v>
      </c>
      <c r="BK59" s="100">
        <f t="shared" si="18"/>
        <v>3370.9999999999995</v>
      </c>
      <c r="BL59" s="100">
        <f t="shared" si="18"/>
        <v>3370.9999999999995</v>
      </c>
    </row>
    <row r="60" spans="1:64" x14ac:dyDescent="0.2">
      <c r="B60" s="30" t="s">
        <v>131</v>
      </c>
      <c r="C60" s="93" t="s">
        <v>17</v>
      </c>
      <c r="E60" s="100">
        <f t="shared" si="18"/>
        <v>0</v>
      </c>
      <c r="F60" s="100">
        <f t="shared" si="18"/>
        <v>0</v>
      </c>
      <c r="G60" s="100">
        <f t="shared" si="18"/>
        <v>0</v>
      </c>
      <c r="H60" s="100">
        <f t="shared" si="18"/>
        <v>4323</v>
      </c>
      <c r="I60" s="100">
        <f t="shared" si="18"/>
        <v>4323</v>
      </c>
      <c r="J60" s="100">
        <f t="shared" si="18"/>
        <v>4323</v>
      </c>
      <c r="K60" s="100">
        <f t="shared" si="18"/>
        <v>4323</v>
      </c>
      <c r="L60" s="100">
        <f t="shared" si="18"/>
        <v>4323</v>
      </c>
      <c r="M60" s="100">
        <f t="shared" si="18"/>
        <v>4323</v>
      </c>
      <c r="N60" s="100">
        <f t="shared" si="18"/>
        <v>4323</v>
      </c>
      <c r="O60" s="100">
        <f t="shared" si="18"/>
        <v>4323</v>
      </c>
      <c r="P60" s="100">
        <f t="shared" si="18"/>
        <v>4323</v>
      </c>
      <c r="Q60" s="100">
        <f t="shared" si="18"/>
        <v>4323</v>
      </c>
      <c r="R60" s="100">
        <f t="shared" si="18"/>
        <v>4323</v>
      </c>
      <c r="S60" s="100">
        <f t="shared" si="18"/>
        <v>4323</v>
      </c>
      <c r="T60" s="100">
        <f t="shared" si="18"/>
        <v>4323</v>
      </c>
      <c r="U60" s="100">
        <f t="shared" si="18"/>
        <v>4323</v>
      </c>
      <c r="V60" s="100">
        <f t="shared" si="18"/>
        <v>4323</v>
      </c>
      <c r="W60" s="100">
        <f t="shared" si="18"/>
        <v>4323</v>
      </c>
      <c r="X60" s="100">
        <f t="shared" si="18"/>
        <v>4323</v>
      </c>
      <c r="Y60" s="100">
        <f t="shared" si="18"/>
        <v>4323</v>
      </c>
      <c r="Z60" s="100">
        <f t="shared" si="18"/>
        <v>4323</v>
      </c>
      <c r="AA60" s="100">
        <f t="shared" si="18"/>
        <v>4323</v>
      </c>
      <c r="AB60" s="100">
        <f t="shared" si="18"/>
        <v>4323</v>
      </c>
      <c r="AC60" s="100">
        <f t="shared" si="18"/>
        <v>4323</v>
      </c>
      <c r="AD60" s="100">
        <f t="shared" si="18"/>
        <v>4323</v>
      </c>
      <c r="AE60" s="100">
        <f t="shared" si="18"/>
        <v>4323</v>
      </c>
      <c r="AF60" s="100">
        <f t="shared" si="18"/>
        <v>4323</v>
      </c>
      <c r="AG60" s="100">
        <f t="shared" si="18"/>
        <v>4323</v>
      </c>
      <c r="AH60" s="100">
        <f t="shared" si="18"/>
        <v>4323</v>
      </c>
      <c r="AI60" s="100">
        <f t="shared" si="18"/>
        <v>4323</v>
      </c>
      <c r="AJ60" s="100">
        <f t="shared" si="18"/>
        <v>4323</v>
      </c>
      <c r="AK60" s="100">
        <f t="shared" si="18"/>
        <v>4323</v>
      </c>
      <c r="AL60" s="100">
        <f t="shared" si="18"/>
        <v>4323</v>
      </c>
      <c r="AM60" s="100">
        <f t="shared" si="18"/>
        <v>4323</v>
      </c>
      <c r="AN60" s="100">
        <f t="shared" si="18"/>
        <v>4323</v>
      </c>
      <c r="AO60" s="100">
        <f t="shared" si="18"/>
        <v>4323</v>
      </c>
      <c r="AP60" s="100">
        <f t="shared" si="18"/>
        <v>4323</v>
      </c>
      <c r="AQ60" s="100">
        <f t="shared" si="18"/>
        <v>4323</v>
      </c>
      <c r="AR60" s="100">
        <f t="shared" si="18"/>
        <v>4323</v>
      </c>
      <c r="AS60" s="100">
        <f t="shared" si="18"/>
        <v>4323</v>
      </c>
      <c r="AT60" s="100">
        <f t="shared" si="18"/>
        <v>4323</v>
      </c>
      <c r="AU60" s="100">
        <f t="shared" si="18"/>
        <v>4323</v>
      </c>
      <c r="AV60" s="100">
        <f t="shared" si="18"/>
        <v>4323</v>
      </c>
      <c r="AW60" s="100">
        <f t="shared" si="18"/>
        <v>4323</v>
      </c>
      <c r="AX60" s="100">
        <f t="shared" si="18"/>
        <v>4323</v>
      </c>
      <c r="AY60" s="100">
        <f t="shared" si="18"/>
        <v>4323</v>
      </c>
      <c r="AZ60" s="100">
        <f t="shared" si="18"/>
        <v>4323</v>
      </c>
      <c r="BA60" s="100">
        <f t="shared" si="18"/>
        <v>4323</v>
      </c>
      <c r="BB60" s="100">
        <f t="shared" si="18"/>
        <v>4323</v>
      </c>
      <c r="BC60" s="100">
        <f t="shared" si="18"/>
        <v>4323</v>
      </c>
      <c r="BD60" s="100">
        <f t="shared" si="18"/>
        <v>4323</v>
      </c>
      <c r="BE60" s="100">
        <f t="shared" si="18"/>
        <v>4323</v>
      </c>
      <c r="BF60" s="100">
        <f t="shared" si="18"/>
        <v>4323</v>
      </c>
      <c r="BG60" s="100">
        <f t="shared" si="18"/>
        <v>4323</v>
      </c>
      <c r="BH60" s="100">
        <f t="shared" si="18"/>
        <v>4323</v>
      </c>
      <c r="BI60" s="100">
        <f t="shared" si="18"/>
        <v>4323</v>
      </c>
      <c r="BJ60" s="100">
        <f t="shared" si="18"/>
        <v>4323</v>
      </c>
      <c r="BK60" s="100">
        <f t="shared" si="18"/>
        <v>4323</v>
      </c>
      <c r="BL60" s="100">
        <f t="shared" si="18"/>
        <v>4323</v>
      </c>
    </row>
    <row r="61" spans="1:64" x14ac:dyDescent="0.2">
      <c r="B61" s="30" t="s">
        <v>132</v>
      </c>
      <c r="C61" s="93" t="s">
        <v>17</v>
      </c>
      <c r="E61" s="100">
        <f t="shared" si="18"/>
        <v>0</v>
      </c>
      <c r="F61" s="100">
        <f t="shared" si="18"/>
        <v>0</v>
      </c>
      <c r="G61" s="100">
        <f t="shared" si="18"/>
        <v>0</v>
      </c>
      <c r="H61" s="100">
        <f t="shared" si="18"/>
        <v>9333</v>
      </c>
      <c r="I61" s="100">
        <f t="shared" si="18"/>
        <v>9333</v>
      </c>
      <c r="J61" s="100">
        <f t="shared" si="18"/>
        <v>9333</v>
      </c>
      <c r="K61" s="100">
        <f t="shared" si="18"/>
        <v>9333</v>
      </c>
      <c r="L61" s="100">
        <f t="shared" si="18"/>
        <v>9333</v>
      </c>
      <c r="M61" s="100">
        <f t="shared" si="18"/>
        <v>9333</v>
      </c>
      <c r="N61" s="100">
        <f t="shared" si="18"/>
        <v>9333</v>
      </c>
      <c r="O61" s="100">
        <f t="shared" si="18"/>
        <v>9333</v>
      </c>
      <c r="P61" s="100">
        <f t="shared" si="18"/>
        <v>9333</v>
      </c>
      <c r="Q61" s="100">
        <f t="shared" si="18"/>
        <v>9333</v>
      </c>
      <c r="R61" s="100">
        <f t="shared" si="18"/>
        <v>9333</v>
      </c>
      <c r="S61" s="100">
        <f t="shared" si="18"/>
        <v>9333</v>
      </c>
      <c r="T61" s="100">
        <f t="shared" ref="T61:BL61" si="19">T36*T48</f>
        <v>9333</v>
      </c>
      <c r="U61" s="100">
        <f t="shared" si="19"/>
        <v>9333</v>
      </c>
      <c r="V61" s="100">
        <f t="shared" si="19"/>
        <v>9333</v>
      </c>
      <c r="W61" s="100">
        <f t="shared" si="19"/>
        <v>9333</v>
      </c>
      <c r="X61" s="100">
        <f t="shared" si="19"/>
        <v>9333</v>
      </c>
      <c r="Y61" s="100">
        <f t="shared" si="19"/>
        <v>9333</v>
      </c>
      <c r="Z61" s="100">
        <f t="shared" si="19"/>
        <v>9333</v>
      </c>
      <c r="AA61" s="100">
        <f t="shared" si="19"/>
        <v>9333</v>
      </c>
      <c r="AB61" s="100">
        <f t="shared" si="19"/>
        <v>9333</v>
      </c>
      <c r="AC61" s="100">
        <f t="shared" si="19"/>
        <v>9333</v>
      </c>
      <c r="AD61" s="100">
        <f t="shared" si="19"/>
        <v>9333</v>
      </c>
      <c r="AE61" s="100">
        <f t="shared" si="19"/>
        <v>9333</v>
      </c>
      <c r="AF61" s="100">
        <f t="shared" si="19"/>
        <v>9333</v>
      </c>
      <c r="AG61" s="100">
        <f t="shared" si="19"/>
        <v>9333</v>
      </c>
      <c r="AH61" s="100">
        <f t="shared" si="19"/>
        <v>9333</v>
      </c>
      <c r="AI61" s="100">
        <f t="shared" si="19"/>
        <v>9333</v>
      </c>
      <c r="AJ61" s="100">
        <f t="shared" si="19"/>
        <v>9333</v>
      </c>
      <c r="AK61" s="100">
        <f t="shared" si="19"/>
        <v>9333</v>
      </c>
      <c r="AL61" s="100">
        <f t="shared" si="19"/>
        <v>9333</v>
      </c>
      <c r="AM61" s="100">
        <f t="shared" si="19"/>
        <v>9333</v>
      </c>
      <c r="AN61" s="100">
        <f t="shared" si="19"/>
        <v>9333</v>
      </c>
      <c r="AO61" s="100">
        <f t="shared" si="19"/>
        <v>9333</v>
      </c>
      <c r="AP61" s="100">
        <f t="shared" si="19"/>
        <v>9333</v>
      </c>
      <c r="AQ61" s="100">
        <f t="shared" si="19"/>
        <v>9333</v>
      </c>
      <c r="AR61" s="100">
        <f t="shared" si="19"/>
        <v>9333</v>
      </c>
      <c r="AS61" s="100">
        <f t="shared" si="19"/>
        <v>9333</v>
      </c>
      <c r="AT61" s="100">
        <f t="shared" si="19"/>
        <v>9333</v>
      </c>
      <c r="AU61" s="100">
        <f t="shared" si="19"/>
        <v>9333</v>
      </c>
      <c r="AV61" s="100">
        <f t="shared" si="19"/>
        <v>9333</v>
      </c>
      <c r="AW61" s="100">
        <f t="shared" si="19"/>
        <v>9333</v>
      </c>
      <c r="AX61" s="100">
        <f t="shared" si="19"/>
        <v>9333</v>
      </c>
      <c r="AY61" s="100">
        <f t="shared" si="19"/>
        <v>9333</v>
      </c>
      <c r="AZ61" s="100">
        <f t="shared" si="19"/>
        <v>9333</v>
      </c>
      <c r="BA61" s="100">
        <f t="shared" si="19"/>
        <v>9333</v>
      </c>
      <c r="BB61" s="100">
        <f t="shared" si="19"/>
        <v>9333</v>
      </c>
      <c r="BC61" s="100">
        <f t="shared" si="19"/>
        <v>9333</v>
      </c>
      <c r="BD61" s="100">
        <f t="shared" si="19"/>
        <v>9333</v>
      </c>
      <c r="BE61" s="100">
        <f t="shared" si="19"/>
        <v>9333</v>
      </c>
      <c r="BF61" s="100">
        <f t="shared" si="19"/>
        <v>9333</v>
      </c>
      <c r="BG61" s="100">
        <f t="shared" si="19"/>
        <v>9333</v>
      </c>
      <c r="BH61" s="100">
        <f t="shared" si="19"/>
        <v>9333</v>
      </c>
      <c r="BI61" s="100">
        <f t="shared" si="19"/>
        <v>9333</v>
      </c>
      <c r="BJ61" s="100">
        <f t="shared" si="19"/>
        <v>9333</v>
      </c>
      <c r="BK61" s="100">
        <f t="shared" si="19"/>
        <v>9333</v>
      </c>
      <c r="BL61" s="100">
        <f t="shared" si="19"/>
        <v>9333</v>
      </c>
    </row>
    <row r="62" spans="1:64" x14ac:dyDescent="0.2">
      <c r="B62" s="30" t="s">
        <v>133</v>
      </c>
      <c r="C62" s="93" t="s">
        <v>17</v>
      </c>
      <c r="E62" s="100">
        <f t="shared" ref="E62:BL62" si="20">E37*E49</f>
        <v>0</v>
      </c>
      <c r="F62" s="100">
        <f t="shared" si="20"/>
        <v>0</v>
      </c>
      <c r="G62" s="100">
        <f t="shared" si="20"/>
        <v>0</v>
      </c>
      <c r="H62" s="100">
        <f t="shared" si="20"/>
        <v>22862.254090000002</v>
      </c>
      <c r="I62" s="100">
        <f t="shared" si="20"/>
        <v>22862.254090000002</v>
      </c>
      <c r="J62" s="100">
        <f t="shared" si="20"/>
        <v>22862.254090000002</v>
      </c>
      <c r="K62" s="100">
        <f t="shared" si="20"/>
        <v>22862.254090000002</v>
      </c>
      <c r="L62" s="100">
        <f t="shared" si="20"/>
        <v>22862.254090000002</v>
      </c>
      <c r="M62" s="100">
        <f t="shared" si="20"/>
        <v>22862.254090000002</v>
      </c>
      <c r="N62" s="100">
        <f t="shared" si="20"/>
        <v>22862.254090000002</v>
      </c>
      <c r="O62" s="100">
        <f t="shared" si="20"/>
        <v>22862.254090000002</v>
      </c>
      <c r="P62" s="100">
        <f t="shared" si="20"/>
        <v>22862.254090000002</v>
      </c>
      <c r="Q62" s="100">
        <f t="shared" si="20"/>
        <v>22862.254090000002</v>
      </c>
      <c r="R62" s="100">
        <f t="shared" si="20"/>
        <v>22862.254090000002</v>
      </c>
      <c r="S62" s="100">
        <f t="shared" si="20"/>
        <v>22862.254090000002</v>
      </c>
      <c r="T62" s="100">
        <f t="shared" si="20"/>
        <v>60225.599540000003</v>
      </c>
      <c r="U62" s="100">
        <f t="shared" si="20"/>
        <v>60225.599540000003</v>
      </c>
      <c r="V62" s="100">
        <f t="shared" si="20"/>
        <v>60225.599540000003</v>
      </c>
      <c r="W62" s="100">
        <f t="shared" si="20"/>
        <v>60225.599540000003</v>
      </c>
      <c r="X62" s="100">
        <f t="shared" si="20"/>
        <v>60225.599540000003</v>
      </c>
      <c r="Y62" s="100">
        <f t="shared" si="20"/>
        <v>60225.599540000003</v>
      </c>
      <c r="Z62" s="100">
        <f t="shared" si="20"/>
        <v>60225.599540000003</v>
      </c>
      <c r="AA62" s="100">
        <f t="shared" si="20"/>
        <v>60225.599540000003</v>
      </c>
      <c r="AB62" s="100">
        <f t="shared" si="20"/>
        <v>60225.599540000003</v>
      </c>
      <c r="AC62" s="100">
        <f t="shared" si="20"/>
        <v>60225.599540000003</v>
      </c>
      <c r="AD62" s="100">
        <f t="shared" si="20"/>
        <v>60225.599540000003</v>
      </c>
      <c r="AE62" s="100">
        <f t="shared" si="20"/>
        <v>60225.599540000003</v>
      </c>
      <c r="AF62" s="100">
        <f t="shared" si="20"/>
        <v>82571.444889999999</v>
      </c>
      <c r="AG62" s="100">
        <f t="shared" si="20"/>
        <v>82571.444889999999</v>
      </c>
      <c r="AH62" s="100">
        <f t="shared" si="20"/>
        <v>82571.444889999999</v>
      </c>
      <c r="AI62" s="100">
        <f t="shared" si="20"/>
        <v>82571.444889999999</v>
      </c>
      <c r="AJ62" s="100">
        <f t="shared" si="20"/>
        <v>82571.444889999999</v>
      </c>
      <c r="AK62" s="100">
        <f t="shared" si="20"/>
        <v>82571.444889999999</v>
      </c>
      <c r="AL62" s="100">
        <f t="shared" si="20"/>
        <v>82571.444889999999</v>
      </c>
      <c r="AM62" s="100">
        <f t="shared" si="20"/>
        <v>82571.444889999999</v>
      </c>
      <c r="AN62" s="100">
        <f t="shared" si="20"/>
        <v>82571.540850000005</v>
      </c>
      <c r="AO62" s="100">
        <f t="shared" si="20"/>
        <v>94285.474010000005</v>
      </c>
      <c r="AP62" s="100">
        <f t="shared" si="20"/>
        <v>94285.474010000005</v>
      </c>
      <c r="AQ62" s="100">
        <f t="shared" si="20"/>
        <v>94285.474010000005</v>
      </c>
      <c r="AR62" s="100">
        <f t="shared" si="20"/>
        <v>94285.474010000005</v>
      </c>
      <c r="AS62" s="100">
        <f t="shared" si="20"/>
        <v>94285.474010000005</v>
      </c>
      <c r="AT62" s="100">
        <f t="shared" si="20"/>
        <v>94285.474010000005</v>
      </c>
      <c r="AU62" s="100">
        <f t="shared" si="20"/>
        <v>94285.474010000005</v>
      </c>
      <c r="AV62" s="100">
        <f t="shared" si="20"/>
        <v>94285.474010000005</v>
      </c>
      <c r="AW62" s="100">
        <f t="shared" si="20"/>
        <v>94285.474010000005</v>
      </c>
      <c r="AX62" s="100">
        <f t="shared" si="20"/>
        <v>94285.474010000005</v>
      </c>
      <c r="AY62" s="100">
        <f t="shared" si="20"/>
        <v>94285.474010000005</v>
      </c>
      <c r="AZ62" s="100">
        <f t="shared" si="20"/>
        <v>94285.569969999997</v>
      </c>
      <c r="BA62" s="100">
        <f t="shared" si="20"/>
        <v>94285.474010000005</v>
      </c>
      <c r="BB62" s="100">
        <f t="shared" si="20"/>
        <v>94285.474010000005</v>
      </c>
      <c r="BC62" s="100">
        <f t="shared" si="20"/>
        <v>94285.474010000005</v>
      </c>
      <c r="BD62" s="100">
        <f t="shared" si="20"/>
        <v>94285.474010000005</v>
      </c>
      <c r="BE62" s="100">
        <f t="shared" si="20"/>
        <v>94285.474010000005</v>
      </c>
      <c r="BF62" s="100">
        <f t="shared" si="20"/>
        <v>94285.474010000005</v>
      </c>
      <c r="BG62" s="100">
        <f t="shared" si="20"/>
        <v>128886.44293</v>
      </c>
      <c r="BH62" s="100">
        <f t="shared" si="20"/>
        <v>128886.44293</v>
      </c>
      <c r="BI62" s="100">
        <f t="shared" si="20"/>
        <v>128886.44293</v>
      </c>
      <c r="BJ62" s="100">
        <f t="shared" si="20"/>
        <v>128886.44293</v>
      </c>
      <c r="BK62" s="100">
        <f t="shared" si="20"/>
        <v>128886.44293</v>
      </c>
      <c r="BL62" s="100">
        <f t="shared" si="20"/>
        <v>128886.51490000001</v>
      </c>
    </row>
    <row r="63" spans="1:64" x14ac:dyDescent="0.2">
      <c r="B63" s="30" t="s">
        <v>143</v>
      </c>
      <c r="E63" s="102">
        <f t="shared" ref="E63:BL63" si="21">SUM(E57:E62)</f>
        <v>0</v>
      </c>
      <c r="F63" s="102">
        <f t="shared" si="21"/>
        <v>0</v>
      </c>
      <c r="G63" s="102">
        <f t="shared" si="21"/>
        <v>0</v>
      </c>
      <c r="H63" s="102">
        <f t="shared" si="21"/>
        <v>46921.254090000002</v>
      </c>
      <c r="I63" s="102">
        <f t="shared" si="21"/>
        <v>46921.254090000002</v>
      </c>
      <c r="J63" s="102">
        <f t="shared" si="21"/>
        <v>46921.254090000002</v>
      </c>
      <c r="K63" s="102">
        <f t="shared" si="21"/>
        <v>46921.254090000002</v>
      </c>
      <c r="L63" s="102">
        <f t="shared" si="21"/>
        <v>46921.254090000002</v>
      </c>
      <c r="M63" s="102">
        <f t="shared" si="21"/>
        <v>46921.254090000002</v>
      </c>
      <c r="N63" s="102">
        <f t="shared" si="21"/>
        <v>46921.254090000002</v>
      </c>
      <c r="O63" s="102">
        <f t="shared" si="21"/>
        <v>46921.254090000002</v>
      </c>
      <c r="P63" s="102">
        <f t="shared" si="21"/>
        <v>46921.254090000002</v>
      </c>
      <c r="Q63" s="102">
        <f t="shared" si="21"/>
        <v>46921.254090000002</v>
      </c>
      <c r="R63" s="102">
        <f t="shared" si="21"/>
        <v>46921.254090000002</v>
      </c>
      <c r="S63" s="102">
        <f t="shared" si="21"/>
        <v>46921.254090000002</v>
      </c>
      <c r="T63" s="102">
        <f t="shared" si="21"/>
        <v>84284.599539999996</v>
      </c>
      <c r="U63" s="102">
        <f t="shared" si="21"/>
        <v>84284.599539999996</v>
      </c>
      <c r="V63" s="102">
        <f t="shared" si="21"/>
        <v>84284.599539999996</v>
      </c>
      <c r="W63" s="102">
        <f t="shared" si="21"/>
        <v>84284.599539999996</v>
      </c>
      <c r="X63" s="102">
        <f t="shared" si="21"/>
        <v>84284.599539999996</v>
      </c>
      <c r="Y63" s="102">
        <f t="shared" si="21"/>
        <v>84284.599539999996</v>
      </c>
      <c r="Z63" s="102">
        <f t="shared" si="21"/>
        <v>84284.599539999996</v>
      </c>
      <c r="AA63" s="102">
        <f t="shared" si="21"/>
        <v>84284.599539999996</v>
      </c>
      <c r="AB63" s="102">
        <f t="shared" si="21"/>
        <v>84284.599539999996</v>
      </c>
      <c r="AC63" s="102">
        <f t="shared" si="21"/>
        <v>84284.599539999996</v>
      </c>
      <c r="AD63" s="102">
        <f t="shared" si="21"/>
        <v>84284.599539999996</v>
      </c>
      <c r="AE63" s="102">
        <f t="shared" si="21"/>
        <v>84284.599539999996</v>
      </c>
      <c r="AF63" s="102">
        <f t="shared" si="21"/>
        <v>106630.44489</v>
      </c>
      <c r="AG63" s="102">
        <f t="shared" si="21"/>
        <v>106630.44489</v>
      </c>
      <c r="AH63" s="102">
        <f t="shared" si="21"/>
        <v>106630.44489</v>
      </c>
      <c r="AI63" s="102">
        <f t="shared" si="21"/>
        <v>106630.44489</v>
      </c>
      <c r="AJ63" s="102">
        <f t="shared" si="21"/>
        <v>106630.44489</v>
      </c>
      <c r="AK63" s="102">
        <f t="shared" si="21"/>
        <v>106630.44489</v>
      </c>
      <c r="AL63" s="102">
        <f t="shared" si="21"/>
        <v>106630.44489</v>
      </c>
      <c r="AM63" s="102">
        <f t="shared" si="21"/>
        <v>106630.44489</v>
      </c>
      <c r="AN63" s="102">
        <f t="shared" si="21"/>
        <v>106630.54085</v>
      </c>
      <c r="AO63" s="102">
        <f t="shared" si="21"/>
        <v>118344.47401000001</v>
      </c>
      <c r="AP63" s="102">
        <f t="shared" si="21"/>
        <v>118344.47401000001</v>
      </c>
      <c r="AQ63" s="102">
        <f t="shared" si="21"/>
        <v>118344.47401000001</v>
      </c>
      <c r="AR63" s="102">
        <f t="shared" si="21"/>
        <v>118344.47401000001</v>
      </c>
      <c r="AS63" s="102">
        <f t="shared" si="21"/>
        <v>118344.47401000001</v>
      </c>
      <c r="AT63" s="102">
        <f t="shared" si="21"/>
        <v>118344.47401000001</v>
      </c>
      <c r="AU63" s="102">
        <f t="shared" si="21"/>
        <v>118344.47401000001</v>
      </c>
      <c r="AV63" s="102">
        <f t="shared" si="21"/>
        <v>118344.47401000001</v>
      </c>
      <c r="AW63" s="102">
        <f t="shared" si="21"/>
        <v>118344.47401000001</v>
      </c>
      <c r="AX63" s="102">
        <f t="shared" si="21"/>
        <v>118344.47401000001</v>
      </c>
      <c r="AY63" s="102">
        <f t="shared" si="21"/>
        <v>118344.47401000001</v>
      </c>
      <c r="AZ63" s="102">
        <f t="shared" si="21"/>
        <v>118344.56997</v>
      </c>
      <c r="BA63" s="102">
        <f t="shared" si="21"/>
        <v>118344.47401000001</v>
      </c>
      <c r="BB63" s="102">
        <f t="shared" si="21"/>
        <v>118344.47401000001</v>
      </c>
      <c r="BC63" s="102">
        <f t="shared" si="21"/>
        <v>118344.47401000001</v>
      </c>
      <c r="BD63" s="102">
        <f t="shared" si="21"/>
        <v>118344.47401000001</v>
      </c>
      <c r="BE63" s="102">
        <f t="shared" si="21"/>
        <v>118344.47401000001</v>
      </c>
      <c r="BF63" s="102">
        <f t="shared" si="21"/>
        <v>118344.47401000001</v>
      </c>
      <c r="BG63" s="102">
        <f t="shared" si="21"/>
        <v>152945.44293000002</v>
      </c>
      <c r="BH63" s="102">
        <f t="shared" si="21"/>
        <v>152945.44293000002</v>
      </c>
      <c r="BI63" s="102">
        <f t="shared" si="21"/>
        <v>152945.44293000002</v>
      </c>
      <c r="BJ63" s="102">
        <f t="shared" si="21"/>
        <v>152945.44293000002</v>
      </c>
      <c r="BK63" s="102">
        <f t="shared" si="21"/>
        <v>152945.44293000002</v>
      </c>
      <c r="BL63" s="102">
        <f t="shared" si="21"/>
        <v>152945.51490000001</v>
      </c>
    </row>
    <row r="64" spans="1:64" x14ac:dyDescent="0.2">
      <c r="A64" s="30" t="s">
        <v>134</v>
      </c>
      <c r="C64" s="93" t="s">
        <v>17</v>
      </c>
      <c r="E64" s="100">
        <f t="shared" ref="E64:BL64" si="22">E38*E51</f>
        <v>0</v>
      </c>
      <c r="F64" s="100">
        <f t="shared" si="22"/>
        <v>0</v>
      </c>
      <c r="G64" s="100">
        <f t="shared" si="22"/>
        <v>0</v>
      </c>
      <c r="H64" s="100">
        <f t="shared" si="22"/>
        <v>0</v>
      </c>
      <c r="I64" s="100">
        <f t="shared" si="22"/>
        <v>0</v>
      </c>
      <c r="J64" s="100">
        <f t="shared" si="22"/>
        <v>0</v>
      </c>
      <c r="K64" s="100">
        <f t="shared" si="22"/>
        <v>0</v>
      </c>
      <c r="L64" s="100">
        <f t="shared" si="22"/>
        <v>0</v>
      </c>
      <c r="M64" s="100">
        <f t="shared" si="22"/>
        <v>0</v>
      </c>
      <c r="N64" s="100">
        <f t="shared" si="22"/>
        <v>0</v>
      </c>
      <c r="O64" s="100">
        <f t="shared" si="22"/>
        <v>0</v>
      </c>
      <c r="P64" s="100">
        <f t="shared" si="22"/>
        <v>0</v>
      </c>
      <c r="Q64" s="100">
        <f t="shared" si="22"/>
        <v>0</v>
      </c>
      <c r="R64" s="100">
        <f t="shared" si="22"/>
        <v>0</v>
      </c>
      <c r="S64" s="100">
        <f t="shared" si="22"/>
        <v>0</v>
      </c>
      <c r="T64" s="100">
        <f t="shared" si="22"/>
        <v>0</v>
      </c>
      <c r="U64" s="100">
        <f t="shared" si="22"/>
        <v>0</v>
      </c>
      <c r="V64" s="100">
        <f t="shared" si="22"/>
        <v>0</v>
      </c>
      <c r="W64" s="100">
        <f t="shared" si="22"/>
        <v>0</v>
      </c>
      <c r="X64" s="100">
        <f t="shared" si="22"/>
        <v>0</v>
      </c>
      <c r="Y64" s="100">
        <f t="shared" si="22"/>
        <v>0</v>
      </c>
      <c r="Z64" s="100">
        <f t="shared" si="22"/>
        <v>0</v>
      </c>
      <c r="AA64" s="100">
        <f t="shared" si="22"/>
        <v>0</v>
      </c>
      <c r="AB64" s="100">
        <f t="shared" si="22"/>
        <v>0</v>
      </c>
      <c r="AC64" s="100">
        <f t="shared" si="22"/>
        <v>0</v>
      </c>
      <c r="AD64" s="100">
        <f t="shared" si="22"/>
        <v>0</v>
      </c>
      <c r="AE64" s="100">
        <f t="shared" si="22"/>
        <v>0</v>
      </c>
      <c r="AF64" s="100">
        <f t="shared" si="22"/>
        <v>0</v>
      </c>
      <c r="AG64" s="100">
        <f t="shared" si="22"/>
        <v>0</v>
      </c>
      <c r="AH64" s="100">
        <f t="shared" si="22"/>
        <v>0</v>
      </c>
      <c r="AI64" s="100">
        <f t="shared" si="22"/>
        <v>0</v>
      </c>
      <c r="AJ64" s="100">
        <f t="shared" si="22"/>
        <v>0</v>
      </c>
      <c r="AK64" s="100">
        <f t="shared" si="22"/>
        <v>0</v>
      </c>
      <c r="AL64" s="100">
        <f t="shared" si="22"/>
        <v>0</v>
      </c>
      <c r="AM64" s="100">
        <f t="shared" si="22"/>
        <v>0</v>
      </c>
      <c r="AN64" s="100">
        <f t="shared" si="22"/>
        <v>0</v>
      </c>
      <c r="AO64" s="100">
        <f t="shared" si="22"/>
        <v>0</v>
      </c>
      <c r="AP64" s="100">
        <f t="shared" si="22"/>
        <v>0</v>
      </c>
      <c r="AQ64" s="100">
        <f t="shared" si="22"/>
        <v>0</v>
      </c>
      <c r="AR64" s="100">
        <f t="shared" si="22"/>
        <v>0</v>
      </c>
      <c r="AS64" s="100">
        <f t="shared" si="22"/>
        <v>0</v>
      </c>
      <c r="AT64" s="100">
        <f t="shared" si="22"/>
        <v>0</v>
      </c>
      <c r="AU64" s="100">
        <f t="shared" si="22"/>
        <v>0</v>
      </c>
      <c r="AV64" s="100">
        <f t="shared" si="22"/>
        <v>0</v>
      </c>
      <c r="AW64" s="100">
        <f t="shared" si="22"/>
        <v>0</v>
      </c>
      <c r="AX64" s="100">
        <f t="shared" si="22"/>
        <v>0</v>
      </c>
      <c r="AY64" s="100">
        <f t="shared" si="22"/>
        <v>0</v>
      </c>
      <c r="AZ64" s="100">
        <f t="shared" si="22"/>
        <v>0</v>
      </c>
      <c r="BA64" s="100">
        <f t="shared" si="22"/>
        <v>0</v>
      </c>
      <c r="BB64" s="100">
        <f t="shared" si="22"/>
        <v>0</v>
      </c>
      <c r="BC64" s="100">
        <f t="shared" si="22"/>
        <v>0</v>
      </c>
      <c r="BD64" s="100">
        <f t="shared" si="22"/>
        <v>0</v>
      </c>
      <c r="BE64" s="100">
        <f t="shared" si="22"/>
        <v>0</v>
      </c>
      <c r="BF64" s="100">
        <f t="shared" si="22"/>
        <v>0</v>
      </c>
      <c r="BG64" s="100">
        <f t="shared" si="22"/>
        <v>0</v>
      </c>
      <c r="BH64" s="100">
        <f t="shared" si="22"/>
        <v>0</v>
      </c>
      <c r="BI64" s="100">
        <f t="shared" si="22"/>
        <v>0</v>
      </c>
      <c r="BJ64" s="100">
        <f t="shared" si="22"/>
        <v>0</v>
      </c>
      <c r="BK64" s="100">
        <f t="shared" si="22"/>
        <v>0</v>
      </c>
      <c r="BL64" s="100">
        <f t="shared" si="22"/>
        <v>0</v>
      </c>
    </row>
    <row r="65" spans="1:64" x14ac:dyDescent="0.2">
      <c r="A65" s="30" t="s">
        <v>135</v>
      </c>
      <c r="C65" s="93" t="s">
        <v>17</v>
      </c>
      <c r="E65" s="100">
        <f t="shared" ref="E65:BL65" si="23">E39*E50</f>
        <v>0</v>
      </c>
      <c r="F65" s="100">
        <f t="shared" si="23"/>
        <v>0</v>
      </c>
      <c r="G65" s="100">
        <f t="shared" si="23"/>
        <v>0</v>
      </c>
      <c r="H65" s="100">
        <f t="shared" si="23"/>
        <v>1452.991</v>
      </c>
      <c r="I65" s="100">
        <f t="shared" si="23"/>
        <v>1452.991</v>
      </c>
      <c r="J65" s="100">
        <f t="shared" si="23"/>
        <v>1452.991</v>
      </c>
      <c r="K65" s="100">
        <f t="shared" si="23"/>
        <v>1452.991</v>
      </c>
      <c r="L65" s="100">
        <f t="shared" si="23"/>
        <v>1452.991</v>
      </c>
      <c r="M65" s="100">
        <f t="shared" si="23"/>
        <v>1452.991</v>
      </c>
      <c r="N65" s="100">
        <f t="shared" si="23"/>
        <v>1452.991</v>
      </c>
      <c r="O65" s="100">
        <f t="shared" si="23"/>
        <v>1452.991</v>
      </c>
      <c r="P65" s="100">
        <f t="shared" si="23"/>
        <v>1452.991</v>
      </c>
      <c r="Q65" s="100">
        <f t="shared" si="23"/>
        <v>1452.991</v>
      </c>
      <c r="R65" s="100">
        <f t="shared" si="23"/>
        <v>1452.991</v>
      </c>
      <c r="S65" s="100">
        <f t="shared" si="23"/>
        <v>1452.991</v>
      </c>
      <c r="T65" s="100">
        <f t="shared" si="23"/>
        <v>3010.4459999999999</v>
      </c>
      <c r="U65" s="100">
        <f t="shared" si="23"/>
        <v>3010.4459999999999</v>
      </c>
      <c r="V65" s="100">
        <f t="shared" si="23"/>
        <v>3010.4459999999999</v>
      </c>
      <c r="W65" s="100">
        <f t="shared" si="23"/>
        <v>3010.4459999999999</v>
      </c>
      <c r="X65" s="100">
        <f t="shared" si="23"/>
        <v>3010.4459999999999</v>
      </c>
      <c r="Y65" s="100">
        <f t="shared" si="23"/>
        <v>3010.4459999999999</v>
      </c>
      <c r="Z65" s="100">
        <f t="shared" si="23"/>
        <v>3010.4459999999999</v>
      </c>
      <c r="AA65" s="100">
        <f t="shared" si="23"/>
        <v>3010.4459999999999</v>
      </c>
      <c r="AB65" s="100">
        <f t="shared" si="23"/>
        <v>3010.4459999999999</v>
      </c>
      <c r="AC65" s="100">
        <f t="shared" si="23"/>
        <v>3010.4459999999999</v>
      </c>
      <c r="AD65" s="100">
        <f t="shared" si="23"/>
        <v>3010.4459999999999</v>
      </c>
      <c r="AE65" s="100">
        <f t="shared" si="23"/>
        <v>3010.4459999999999</v>
      </c>
      <c r="AF65" s="100">
        <f t="shared" si="23"/>
        <v>3941.9110000000001</v>
      </c>
      <c r="AG65" s="100">
        <f t="shared" si="23"/>
        <v>3941.9110000000001</v>
      </c>
      <c r="AH65" s="100">
        <f t="shared" si="23"/>
        <v>3941.9110000000001</v>
      </c>
      <c r="AI65" s="100">
        <f t="shared" si="23"/>
        <v>3941.9110000000001</v>
      </c>
      <c r="AJ65" s="100">
        <f t="shared" si="23"/>
        <v>3941.9110000000001</v>
      </c>
      <c r="AK65" s="100">
        <f t="shared" si="23"/>
        <v>3941.9110000000001</v>
      </c>
      <c r="AL65" s="100">
        <f t="shared" si="23"/>
        <v>3941.9110000000001</v>
      </c>
      <c r="AM65" s="100">
        <f t="shared" si="23"/>
        <v>3941.9110000000001</v>
      </c>
      <c r="AN65" s="100">
        <f t="shared" si="23"/>
        <v>3941.915</v>
      </c>
      <c r="AO65" s="100">
        <f t="shared" si="23"/>
        <v>4430.1990000000005</v>
      </c>
      <c r="AP65" s="100">
        <f t="shared" si="23"/>
        <v>4430.1990000000005</v>
      </c>
      <c r="AQ65" s="100">
        <f t="shared" si="23"/>
        <v>4430.1990000000005</v>
      </c>
      <c r="AR65" s="100">
        <f t="shared" si="23"/>
        <v>4430.1990000000005</v>
      </c>
      <c r="AS65" s="100">
        <f t="shared" si="23"/>
        <v>4430.1990000000005</v>
      </c>
      <c r="AT65" s="100">
        <f t="shared" si="23"/>
        <v>4430.1990000000005</v>
      </c>
      <c r="AU65" s="100">
        <f t="shared" si="23"/>
        <v>4430.1990000000005</v>
      </c>
      <c r="AV65" s="100">
        <f t="shared" si="23"/>
        <v>4430.1990000000005</v>
      </c>
      <c r="AW65" s="100">
        <f t="shared" si="23"/>
        <v>4430.1990000000005</v>
      </c>
      <c r="AX65" s="100">
        <f t="shared" si="23"/>
        <v>4430.1990000000005</v>
      </c>
      <c r="AY65" s="100">
        <f t="shared" si="23"/>
        <v>4430.1990000000005</v>
      </c>
      <c r="AZ65" s="100">
        <f t="shared" si="23"/>
        <v>4430.2030000000004</v>
      </c>
      <c r="BA65" s="100">
        <f t="shared" si="23"/>
        <v>4430.1990000000005</v>
      </c>
      <c r="BB65" s="100">
        <f t="shared" si="23"/>
        <v>4430.1990000000005</v>
      </c>
      <c r="BC65" s="100">
        <f t="shared" si="23"/>
        <v>4430.1990000000005</v>
      </c>
      <c r="BD65" s="100">
        <f t="shared" si="23"/>
        <v>4430.1990000000005</v>
      </c>
      <c r="BE65" s="100">
        <f t="shared" si="23"/>
        <v>4430.1990000000005</v>
      </c>
      <c r="BF65" s="100">
        <f t="shared" si="23"/>
        <v>4430.1990000000005</v>
      </c>
      <c r="BG65" s="100">
        <f t="shared" si="23"/>
        <v>5872.5070000000005</v>
      </c>
      <c r="BH65" s="100">
        <f t="shared" si="23"/>
        <v>5872.5070000000005</v>
      </c>
      <c r="BI65" s="100">
        <f t="shared" si="23"/>
        <v>5872.5070000000005</v>
      </c>
      <c r="BJ65" s="100">
        <f t="shared" si="23"/>
        <v>5872.5070000000005</v>
      </c>
      <c r="BK65" s="100">
        <f t="shared" si="23"/>
        <v>5872.5070000000005</v>
      </c>
      <c r="BL65" s="100">
        <f t="shared" si="23"/>
        <v>5872.51</v>
      </c>
    </row>
    <row r="66" spans="1:64" x14ac:dyDescent="0.2">
      <c r="A66" s="30" t="s">
        <v>144</v>
      </c>
      <c r="E66" s="102">
        <f>SUM(E54:E55,E63:E65)</f>
        <v>0</v>
      </c>
      <c r="F66" s="102">
        <f t="shared" ref="F66:BL66" si="24">SUM(F54:F55,F63:F65)</f>
        <v>0</v>
      </c>
      <c r="G66" s="102">
        <f t="shared" si="24"/>
        <v>0</v>
      </c>
      <c r="H66" s="102">
        <f>SUM(H54:H55,H63:H65)</f>
        <v>49292.555090000002</v>
      </c>
      <c r="I66" s="102">
        <f t="shared" si="24"/>
        <v>49292.555090000002</v>
      </c>
      <c r="J66" s="102">
        <f t="shared" si="24"/>
        <v>49292.555090000002</v>
      </c>
      <c r="K66" s="102">
        <f t="shared" si="24"/>
        <v>49292.555090000002</v>
      </c>
      <c r="L66" s="102">
        <f t="shared" si="24"/>
        <v>49292.555090000002</v>
      </c>
      <c r="M66" s="102">
        <f t="shared" si="24"/>
        <v>49292.555090000002</v>
      </c>
      <c r="N66" s="102">
        <f t="shared" si="24"/>
        <v>49292.555090000002</v>
      </c>
      <c r="O66" s="102">
        <f t="shared" si="24"/>
        <v>49292.555090000002</v>
      </c>
      <c r="P66" s="102">
        <f t="shared" si="24"/>
        <v>49292.555090000002</v>
      </c>
      <c r="Q66" s="102">
        <f t="shared" si="24"/>
        <v>49292.555090000002</v>
      </c>
      <c r="R66" s="102">
        <f t="shared" si="24"/>
        <v>49292.555090000002</v>
      </c>
      <c r="S66" s="102">
        <f t="shared" si="24"/>
        <v>49292.555090000002</v>
      </c>
      <c r="T66" s="102">
        <f t="shared" si="24"/>
        <v>88213.35553999999</v>
      </c>
      <c r="U66" s="102">
        <f t="shared" si="24"/>
        <v>88213.35553999999</v>
      </c>
      <c r="V66" s="102">
        <f t="shared" si="24"/>
        <v>88213.35553999999</v>
      </c>
      <c r="W66" s="102">
        <f t="shared" si="24"/>
        <v>88213.35553999999</v>
      </c>
      <c r="X66" s="102">
        <f t="shared" si="24"/>
        <v>88213.35553999999</v>
      </c>
      <c r="Y66" s="102">
        <f t="shared" si="24"/>
        <v>88213.35553999999</v>
      </c>
      <c r="Z66" s="102">
        <f t="shared" si="24"/>
        <v>88213.35553999999</v>
      </c>
      <c r="AA66" s="102">
        <f t="shared" si="24"/>
        <v>88213.35553999999</v>
      </c>
      <c r="AB66" s="102">
        <f t="shared" si="24"/>
        <v>88213.35553999999</v>
      </c>
      <c r="AC66" s="102">
        <f t="shared" si="24"/>
        <v>88213.35553999999</v>
      </c>
      <c r="AD66" s="102">
        <f t="shared" si="24"/>
        <v>88213.35553999999</v>
      </c>
      <c r="AE66" s="102">
        <f t="shared" si="24"/>
        <v>88213.35553999999</v>
      </c>
      <c r="AF66" s="102">
        <f t="shared" si="24"/>
        <v>111490.66589</v>
      </c>
      <c r="AG66" s="102">
        <f t="shared" si="24"/>
        <v>111490.66589</v>
      </c>
      <c r="AH66" s="102">
        <f t="shared" si="24"/>
        <v>111490.66589</v>
      </c>
      <c r="AI66" s="102">
        <f t="shared" si="24"/>
        <v>111490.66589</v>
      </c>
      <c r="AJ66" s="102">
        <f t="shared" si="24"/>
        <v>111490.66589</v>
      </c>
      <c r="AK66" s="102">
        <f t="shared" si="24"/>
        <v>111490.66589</v>
      </c>
      <c r="AL66" s="102">
        <f t="shared" si="24"/>
        <v>111490.66589</v>
      </c>
      <c r="AM66" s="102">
        <f t="shared" si="24"/>
        <v>111490.66589</v>
      </c>
      <c r="AN66" s="102">
        <f t="shared" si="24"/>
        <v>111490.76585</v>
      </c>
      <c r="AO66" s="102">
        <f t="shared" si="24"/>
        <v>123692.98301</v>
      </c>
      <c r="AP66" s="102">
        <f t="shared" si="24"/>
        <v>123692.98301</v>
      </c>
      <c r="AQ66" s="102">
        <f t="shared" si="24"/>
        <v>123692.98301</v>
      </c>
      <c r="AR66" s="102">
        <f t="shared" si="24"/>
        <v>123692.98301</v>
      </c>
      <c r="AS66" s="102">
        <f t="shared" si="24"/>
        <v>123692.98301</v>
      </c>
      <c r="AT66" s="102">
        <f t="shared" si="24"/>
        <v>123692.98301</v>
      </c>
      <c r="AU66" s="102">
        <f t="shared" si="24"/>
        <v>123692.98301</v>
      </c>
      <c r="AV66" s="102">
        <f t="shared" si="24"/>
        <v>123692.98301</v>
      </c>
      <c r="AW66" s="102">
        <f t="shared" si="24"/>
        <v>123692.98301</v>
      </c>
      <c r="AX66" s="102">
        <f t="shared" si="24"/>
        <v>123692.98301</v>
      </c>
      <c r="AY66" s="102">
        <f t="shared" si="24"/>
        <v>123692.98301</v>
      </c>
      <c r="AZ66" s="102">
        <f t="shared" si="24"/>
        <v>123693.08296999999</v>
      </c>
      <c r="BA66" s="102">
        <f t="shared" si="24"/>
        <v>123692.98301</v>
      </c>
      <c r="BB66" s="102">
        <f t="shared" si="24"/>
        <v>123692.98301</v>
      </c>
      <c r="BC66" s="102">
        <f t="shared" si="24"/>
        <v>123692.98301</v>
      </c>
      <c r="BD66" s="102">
        <f t="shared" si="24"/>
        <v>123692.98301</v>
      </c>
      <c r="BE66" s="102">
        <f t="shared" si="24"/>
        <v>123692.98301</v>
      </c>
      <c r="BF66" s="102">
        <f t="shared" si="24"/>
        <v>123692.98301</v>
      </c>
      <c r="BG66" s="102">
        <f t="shared" si="24"/>
        <v>159736.25993000003</v>
      </c>
      <c r="BH66" s="102">
        <f t="shared" si="24"/>
        <v>159736.25993000003</v>
      </c>
      <c r="BI66" s="102">
        <f t="shared" si="24"/>
        <v>159736.25993000003</v>
      </c>
      <c r="BJ66" s="102">
        <f t="shared" si="24"/>
        <v>159736.25993000003</v>
      </c>
      <c r="BK66" s="102">
        <f t="shared" si="24"/>
        <v>159736.25993000003</v>
      </c>
      <c r="BL66" s="102">
        <f t="shared" si="24"/>
        <v>159736.33490000002</v>
      </c>
    </row>
    <row r="68" spans="1:64" x14ac:dyDescent="0.2">
      <c r="A68" s="30" t="s">
        <v>145</v>
      </c>
      <c r="E68" s="100">
        <f>E65</f>
        <v>0</v>
      </c>
      <c r="F68" s="100">
        <f t="shared" ref="F68:BL68" si="25">F65</f>
        <v>0</v>
      </c>
      <c r="G68" s="100">
        <f t="shared" si="25"/>
        <v>0</v>
      </c>
      <c r="H68" s="100">
        <f t="shared" si="25"/>
        <v>1452.991</v>
      </c>
      <c r="I68" s="100">
        <f t="shared" si="25"/>
        <v>1452.991</v>
      </c>
      <c r="J68" s="100">
        <f t="shared" si="25"/>
        <v>1452.991</v>
      </c>
      <c r="K68" s="100">
        <f t="shared" si="25"/>
        <v>1452.991</v>
      </c>
      <c r="L68" s="100">
        <f t="shared" si="25"/>
        <v>1452.991</v>
      </c>
      <c r="M68" s="100">
        <f t="shared" si="25"/>
        <v>1452.991</v>
      </c>
      <c r="N68" s="100">
        <f t="shared" si="25"/>
        <v>1452.991</v>
      </c>
      <c r="O68" s="100">
        <f t="shared" si="25"/>
        <v>1452.991</v>
      </c>
      <c r="P68" s="100">
        <f t="shared" si="25"/>
        <v>1452.991</v>
      </c>
      <c r="Q68" s="100">
        <f t="shared" si="25"/>
        <v>1452.991</v>
      </c>
      <c r="R68" s="100">
        <f t="shared" si="25"/>
        <v>1452.991</v>
      </c>
      <c r="S68" s="100">
        <f t="shared" si="25"/>
        <v>1452.991</v>
      </c>
      <c r="T68" s="100">
        <f t="shared" si="25"/>
        <v>3010.4459999999999</v>
      </c>
      <c r="U68" s="100">
        <f t="shared" si="25"/>
        <v>3010.4459999999999</v>
      </c>
      <c r="V68" s="100">
        <f t="shared" si="25"/>
        <v>3010.4459999999999</v>
      </c>
      <c r="W68" s="100">
        <f t="shared" si="25"/>
        <v>3010.4459999999999</v>
      </c>
      <c r="X68" s="100">
        <f t="shared" si="25"/>
        <v>3010.4459999999999</v>
      </c>
      <c r="Y68" s="100">
        <f t="shared" si="25"/>
        <v>3010.4459999999999</v>
      </c>
      <c r="Z68" s="100">
        <f t="shared" si="25"/>
        <v>3010.4459999999999</v>
      </c>
      <c r="AA68" s="100">
        <f t="shared" si="25"/>
        <v>3010.4459999999999</v>
      </c>
      <c r="AB68" s="100">
        <f t="shared" si="25"/>
        <v>3010.4459999999999</v>
      </c>
      <c r="AC68" s="100">
        <f t="shared" si="25"/>
        <v>3010.4459999999999</v>
      </c>
      <c r="AD68" s="100">
        <f t="shared" si="25"/>
        <v>3010.4459999999999</v>
      </c>
      <c r="AE68" s="100">
        <f t="shared" si="25"/>
        <v>3010.4459999999999</v>
      </c>
      <c r="AF68" s="100">
        <f t="shared" si="25"/>
        <v>3941.9110000000001</v>
      </c>
      <c r="AG68" s="100">
        <f t="shared" si="25"/>
        <v>3941.9110000000001</v>
      </c>
      <c r="AH68" s="100">
        <f t="shared" si="25"/>
        <v>3941.9110000000001</v>
      </c>
      <c r="AI68" s="100">
        <f t="shared" si="25"/>
        <v>3941.9110000000001</v>
      </c>
      <c r="AJ68" s="100">
        <f t="shared" si="25"/>
        <v>3941.9110000000001</v>
      </c>
      <c r="AK68" s="100">
        <f t="shared" si="25"/>
        <v>3941.9110000000001</v>
      </c>
      <c r="AL68" s="100">
        <f t="shared" si="25"/>
        <v>3941.9110000000001</v>
      </c>
      <c r="AM68" s="100">
        <f t="shared" si="25"/>
        <v>3941.9110000000001</v>
      </c>
      <c r="AN68" s="100">
        <f t="shared" si="25"/>
        <v>3941.915</v>
      </c>
      <c r="AO68" s="100">
        <f t="shared" si="25"/>
        <v>4430.1990000000005</v>
      </c>
      <c r="AP68" s="100">
        <f t="shared" si="25"/>
        <v>4430.1990000000005</v>
      </c>
      <c r="AQ68" s="100">
        <f t="shared" si="25"/>
        <v>4430.1990000000005</v>
      </c>
      <c r="AR68" s="100">
        <f t="shared" si="25"/>
        <v>4430.1990000000005</v>
      </c>
      <c r="AS68" s="100">
        <f t="shared" si="25"/>
        <v>4430.1990000000005</v>
      </c>
      <c r="AT68" s="100">
        <f t="shared" si="25"/>
        <v>4430.1990000000005</v>
      </c>
      <c r="AU68" s="100">
        <f t="shared" si="25"/>
        <v>4430.1990000000005</v>
      </c>
      <c r="AV68" s="100">
        <f t="shared" si="25"/>
        <v>4430.1990000000005</v>
      </c>
      <c r="AW68" s="100">
        <f t="shared" si="25"/>
        <v>4430.1990000000005</v>
      </c>
      <c r="AX68" s="100">
        <f t="shared" si="25"/>
        <v>4430.1990000000005</v>
      </c>
      <c r="AY68" s="100">
        <f t="shared" si="25"/>
        <v>4430.1990000000005</v>
      </c>
      <c r="AZ68" s="100">
        <f t="shared" si="25"/>
        <v>4430.2030000000004</v>
      </c>
      <c r="BA68" s="100">
        <f t="shared" si="25"/>
        <v>4430.1990000000005</v>
      </c>
      <c r="BB68" s="100">
        <f t="shared" si="25"/>
        <v>4430.1990000000005</v>
      </c>
      <c r="BC68" s="100">
        <f t="shared" si="25"/>
        <v>4430.1990000000005</v>
      </c>
      <c r="BD68" s="100">
        <f t="shared" si="25"/>
        <v>4430.1990000000005</v>
      </c>
      <c r="BE68" s="100">
        <f t="shared" si="25"/>
        <v>4430.1990000000005</v>
      </c>
      <c r="BF68" s="100">
        <f t="shared" si="25"/>
        <v>4430.1990000000005</v>
      </c>
      <c r="BG68" s="100">
        <f t="shared" si="25"/>
        <v>5872.5070000000005</v>
      </c>
      <c r="BH68" s="100">
        <f t="shared" si="25"/>
        <v>5872.5070000000005</v>
      </c>
      <c r="BI68" s="100">
        <f t="shared" si="25"/>
        <v>5872.5070000000005</v>
      </c>
      <c r="BJ68" s="100">
        <f t="shared" si="25"/>
        <v>5872.5070000000005</v>
      </c>
      <c r="BK68" s="100">
        <f t="shared" si="25"/>
        <v>5872.5070000000005</v>
      </c>
      <c r="BL68" s="100">
        <f t="shared" si="25"/>
        <v>5872.51</v>
      </c>
    </row>
    <row r="70" spans="1:64" x14ac:dyDescent="0.2">
      <c r="A70" s="30" t="s">
        <v>146</v>
      </c>
      <c r="E70" s="100">
        <f t="shared" ref="E70:BL70" si="26">E66-E68</f>
        <v>0</v>
      </c>
      <c r="F70" s="100">
        <f t="shared" si="26"/>
        <v>0</v>
      </c>
      <c r="G70" s="100">
        <f t="shared" si="26"/>
        <v>0</v>
      </c>
      <c r="H70" s="100">
        <f t="shared" si="26"/>
        <v>47839.56409</v>
      </c>
      <c r="I70" s="100">
        <f t="shared" si="26"/>
        <v>47839.56409</v>
      </c>
      <c r="J70" s="100">
        <f t="shared" si="26"/>
        <v>47839.56409</v>
      </c>
      <c r="K70" s="100">
        <f t="shared" si="26"/>
        <v>47839.56409</v>
      </c>
      <c r="L70" s="100">
        <f t="shared" si="26"/>
        <v>47839.56409</v>
      </c>
      <c r="M70" s="100">
        <f t="shared" si="26"/>
        <v>47839.56409</v>
      </c>
      <c r="N70" s="100">
        <f t="shared" si="26"/>
        <v>47839.56409</v>
      </c>
      <c r="O70" s="100">
        <f t="shared" si="26"/>
        <v>47839.56409</v>
      </c>
      <c r="P70" s="100">
        <f t="shared" si="26"/>
        <v>47839.56409</v>
      </c>
      <c r="Q70" s="100">
        <f t="shared" si="26"/>
        <v>47839.56409</v>
      </c>
      <c r="R70" s="100">
        <f t="shared" si="26"/>
        <v>47839.56409</v>
      </c>
      <c r="S70" s="100">
        <f t="shared" si="26"/>
        <v>47839.56409</v>
      </c>
      <c r="T70" s="100">
        <f t="shared" si="26"/>
        <v>85202.909539999993</v>
      </c>
      <c r="U70" s="100">
        <f t="shared" si="26"/>
        <v>85202.909539999993</v>
      </c>
      <c r="V70" s="100">
        <f t="shared" si="26"/>
        <v>85202.909539999993</v>
      </c>
      <c r="W70" s="100">
        <f t="shared" si="26"/>
        <v>85202.909539999993</v>
      </c>
      <c r="X70" s="100">
        <f t="shared" si="26"/>
        <v>85202.909539999993</v>
      </c>
      <c r="Y70" s="100">
        <f t="shared" si="26"/>
        <v>85202.909539999993</v>
      </c>
      <c r="Z70" s="100">
        <f t="shared" si="26"/>
        <v>85202.909539999993</v>
      </c>
      <c r="AA70" s="100">
        <f t="shared" si="26"/>
        <v>85202.909539999993</v>
      </c>
      <c r="AB70" s="100">
        <f t="shared" si="26"/>
        <v>85202.909539999993</v>
      </c>
      <c r="AC70" s="100">
        <f t="shared" si="26"/>
        <v>85202.909539999993</v>
      </c>
      <c r="AD70" s="100">
        <f t="shared" si="26"/>
        <v>85202.909539999993</v>
      </c>
      <c r="AE70" s="100">
        <f t="shared" si="26"/>
        <v>85202.909539999993</v>
      </c>
      <c r="AF70" s="100">
        <f t="shared" si="26"/>
        <v>107548.75489000001</v>
      </c>
      <c r="AG70" s="100">
        <f t="shared" si="26"/>
        <v>107548.75489000001</v>
      </c>
      <c r="AH70" s="100">
        <f t="shared" si="26"/>
        <v>107548.75489000001</v>
      </c>
      <c r="AI70" s="100">
        <f t="shared" si="26"/>
        <v>107548.75489000001</v>
      </c>
      <c r="AJ70" s="100">
        <f t="shared" si="26"/>
        <v>107548.75489000001</v>
      </c>
      <c r="AK70" s="100">
        <f t="shared" si="26"/>
        <v>107548.75489000001</v>
      </c>
      <c r="AL70" s="100">
        <f t="shared" si="26"/>
        <v>107548.75489000001</v>
      </c>
      <c r="AM70" s="100">
        <f t="shared" si="26"/>
        <v>107548.75489000001</v>
      </c>
      <c r="AN70" s="100">
        <f t="shared" si="26"/>
        <v>107548.85085</v>
      </c>
      <c r="AO70" s="100">
        <f t="shared" si="26"/>
        <v>119262.78401</v>
      </c>
      <c r="AP70" s="100">
        <f t="shared" si="26"/>
        <v>119262.78401</v>
      </c>
      <c r="AQ70" s="100">
        <f t="shared" si="26"/>
        <v>119262.78401</v>
      </c>
      <c r="AR70" s="100">
        <f t="shared" si="26"/>
        <v>119262.78401</v>
      </c>
      <c r="AS70" s="100">
        <f t="shared" si="26"/>
        <v>119262.78401</v>
      </c>
      <c r="AT70" s="100">
        <f t="shared" si="26"/>
        <v>119262.78401</v>
      </c>
      <c r="AU70" s="100">
        <f t="shared" si="26"/>
        <v>119262.78401</v>
      </c>
      <c r="AV70" s="100">
        <f t="shared" si="26"/>
        <v>119262.78401</v>
      </c>
      <c r="AW70" s="100">
        <f t="shared" si="26"/>
        <v>119262.78401</v>
      </c>
      <c r="AX70" s="100">
        <f t="shared" si="26"/>
        <v>119262.78401</v>
      </c>
      <c r="AY70" s="100">
        <f t="shared" si="26"/>
        <v>119262.78401</v>
      </c>
      <c r="AZ70" s="100">
        <f t="shared" si="26"/>
        <v>119262.87996999999</v>
      </c>
      <c r="BA70" s="100">
        <f t="shared" si="26"/>
        <v>119262.78401</v>
      </c>
      <c r="BB70" s="100">
        <f t="shared" si="26"/>
        <v>119262.78401</v>
      </c>
      <c r="BC70" s="100">
        <f t="shared" si="26"/>
        <v>119262.78401</v>
      </c>
      <c r="BD70" s="100">
        <f t="shared" si="26"/>
        <v>119262.78401</v>
      </c>
      <c r="BE70" s="100">
        <f t="shared" si="26"/>
        <v>119262.78401</v>
      </c>
      <c r="BF70" s="100">
        <f t="shared" si="26"/>
        <v>119262.78401</v>
      </c>
      <c r="BG70" s="100">
        <f t="shared" si="26"/>
        <v>153863.75293000002</v>
      </c>
      <c r="BH70" s="100">
        <f t="shared" si="26"/>
        <v>153863.75293000002</v>
      </c>
      <c r="BI70" s="100">
        <f t="shared" si="26"/>
        <v>153863.75293000002</v>
      </c>
      <c r="BJ70" s="100">
        <f t="shared" si="26"/>
        <v>153863.75293000002</v>
      </c>
      <c r="BK70" s="100">
        <f t="shared" si="26"/>
        <v>153863.75293000002</v>
      </c>
      <c r="BL70" s="100">
        <f t="shared" si="26"/>
        <v>153863.82490000001</v>
      </c>
    </row>
  </sheetData>
  <pageMargins left="0.7" right="0.7" top="0.75" bottom="0.75" header="0.3" footer="0.3"/>
  <pageSetup scale="57" orientation="landscape" r:id="rId1"/>
  <headerFooter>
    <oddFooter>&amp;L&amp;F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zoomScale="90" zoomScaleNormal="90" workbookViewId="0">
      <selection activeCell="C42" sqref="C42"/>
    </sheetView>
  </sheetViews>
  <sheetFormatPr defaultColWidth="42.28515625" defaultRowHeight="12.75" x14ac:dyDescent="0.2"/>
  <cols>
    <col min="1" max="1" width="26.5703125" style="10" customWidth="1"/>
    <col min="2" max="2" width="26.7109375" style="2" bestFit="1" customWidth="1"/>
    <col min="3" max="3" width="22.140625" style="2" bestFit="1" customWidth="1"/>
    <col min="4" max="5" width="20.5703125" style="2" customWidth="1"/>
    <col min="6" max="6" width="20.7109375" style="2" customWidth="1"/>
    <col min="7" max="16384" width="42.28515625" style="2"/>
  </cols>
  <sheetData>
    <row r="1" spans="1:6" x14ac:dyDescent="0.2">
      <c r="A1" s="4" t="s">
        <v>0</v>
      </c>
    </row>
    <row r="2" spans="1:6" x14ac:dyDescent="0.2">
      <c r="A2" s="4" t="s">
        <v>111</v>
      </c>
    </row>
    <row r="3" spans="1:6" x14ac:dyDescent="0.2">
      <c r="A3" s="4" t="s">
        <v>49</v>
      </c>
      <c r="B3" s="7"/>
      <c r="C3" s="7"/>
      <c r="D3" s="7"/>
    </row>
    <row r="4" spans="1:6" x14ac:dyDescent="0.2">
      <c r="A4" s="4" t="s">
        <v>26</v>
      </c>
      <c r="B4" s="7"/>
      <c r="C4" s="7"/>
      <c r="D4" s="7"/>
    </row>
    <row r="6" spans="1:6" s="8" customFormat="1" ht="18.75" customHeight="1" x14ac:dyDescent="0.25">
      <c r="A6" s="308" t="s">
        <v>44</v>
      </c>
      <c r="B6" s="310" t="s">
        <v>45</v>
      </c>
      <c r="C6" s="311"/>
      <c r="D6" s="310" t="s">
        <v>198</v>
      </c>
      <c r="E6" s="308" t="s">
        <v>355</v>
      </c>
      <c r="F6" s="314" t="s">
        <v>112</v>
      </c>
    </row>
    <row r="7" spans="1:6" s="8" customFormat="1" ht="18.75" customHeight="1" x14ac:dyDescent="0.25">
      <c r="A7" s="309"/>
      <c r="B7" s="312"/>
      <c r="C7" s="313"/>
      <c r="D7" s="312"/>
      <c r="E7" s="309"/>
      <c r="F7" s="315"/>
    </row>
    <row r="8" spans="1:6" s="8" customFormat="1" x14ac:dyDescent="0.25">
      <c r="A8" s="9"/>
      <c r="B8" s="9"/>
      <c r="C8" s="9"/>
      <c r="D8" s="291"/>
      <c r="E8" s="292"/>
      <c r="F8" s="293"/>
    </row>
    <row r="9" spans="1:6" x14ac:dyDescent="0.2">
      <c r="A9" s="11" t="s">
        <v>8</v>
      </c>
      <c r="B9" s="11" t="s">
        <v>29</v>
      </c>
      <c r="C9" s="11" t="s">
        <v>46</v>
      </c>
      <c r="D9" s="11"/>
      <c r="E9" s="287">
        <f>'Rate Design (Sch. 141N)'!F12</f>
        <v>2.2200000000000002E-3</v>
      </c>
      <c r="F9" s="120">
        <f>'Rate Design (Sch. 141D)'!F12</f>
        <v>9.3000000000000005E-4</v>
      </c>
    </row>
    <row r="10" spans="1:6" x14ac:dyDescent="0.2">
      <c r="A10" s="11" t="s">
        <v>8</v>
      </c>
      <c r="B10" s="11" t="s">
        <v>30</v>
      </c>
      <c r="C10" s="11" t="s">
        <v>46</v>
      </c>
      <c r="D10" s="11"/>
      <c r="E10" s="287">
        <f>'Rate Design (Sch. 141N)'!F12</f>
        <v>2.2200000000000002E-3</v>
      </c>
      <c r="F10" s="120">
        <f>'Rate Design (Sch. 141D)'!F12</f>
        <v>9.3000000000000005E-4</v>
      </c>
    </row>
    <row r="11" spans="1:6" x14ac:dyDescent="0.2">
      <c r="A11" s="11" t="s">
        <v>8</v>
      </c>
      <c r="B11" s="11" t="s">
        <v>31</v>
      </c>
      <c r="C11" s="11" t="s">
        <v>47</v>
      </c>
      <c r="D11" s="11"/>
      <c r="E11" s="290">
        <f>'Rate Design (Sch. 141N)'!G12</f>
        <v>0.04</v>
      </c>
      <c r="F11" s="121">
        <f>'Rate Design (Sch. 141D)'!G12</f>
        <v>0.02</v>
      </c>
    </row>
    <row r="12" spans="1:6" x14ac:dyDescent="0.2">
      <c r="A12" s="11"/>
      <c r="B12" s="11"/>
      <c r="C12" s="11"/>
      <c r="D12" s="11"/>
      <c r="E12" s="287"/>
      <c r="F12" s="120"/>
    </row>
    <row r="13" spans="1:6" x14ac:dyDescent="0.2">
      <c r="A13" s="11" t="s">
        <v>10</v>
      </c>
      <c r="B13" s="11" t="s">
        <v>32</v>
      </c>
      <c r="C13" s="13" t="s">
        <v>46</v>
      </c>
      <c r="D13" s="13"/>
      <c r="E13" s="287">
        <f>'Rate Design (Sch. 141N)'!F13</f>
        <v>2.0300000000000001E-3</v>
      </c>
      <c r="F13" s="120">
        <f>'Rate Design (Sch. 141D)'!F13</f>
        <v>8.5999999999999998E-4</v>
      </c>
    </row>
    <row r="14" spans="1:6" x14ac:dyDescent="0.2">
      <c r="A14" s="11"/>
      <c r="B14" s="11"/>
      <c r="C14" s="13"/>
      <c r="D14" s="13"/>
      <c r="E14" s="287"/>
      <c r="F14" s="120"/>
    </row>
    <row r="15" spans="1:6" x14ac:dyDescent="0.2">
      <c r="A15" s="11" t="s">
        <v>11</v>
      </c>
      <c r="B15" s="11" t="s">
        <v>33</v>
      </c>
      <c r="C15" s="13" t="s">
        <v>46</v>
      </c>
      <c r="D15" s="13"/>
      <c r="E15" s="287">
        <f>'Rate Design (Sch. 141N)'!F14</f>
        <v>1.5499999999999999E-3</v>
      </c>
      <c r="F15" s="120">
        <f>'Rate Design (Sch. 141D)'!F14</f>
        <v>6.4999999999999997E-4</v>
      </c>
    </row>
    <row r="16" spans="1:6" x14ac:dyDescent="0.2">
      <c r="A16" s="11"/>
      <c r="B16" s="11"/>
      <c r="C16" s="13"/>
      <c r="D16" s="13"/>
      <c r="E16" s="287"/>
      <c r="F16" s="120"/>
    </row>
    <row r="17" spans="1:6" x14ac:dyDescent="0.2">
      <c r="A17" s="11" t="s">
        <v>12</v>
      </c>
      <c r="B17" s="11" t="s">
        <v>34</v>
      </c>
      <c r="C17" s="13" t="s">
        <v>46</v>
      </c>
      <c r="D17" s="13"/>
      <c r="E17" s="287">
        <f>'Rate Design (Sch. 141N)'!F15</f>
        <v>1.2999999999999999E-3</v>
      </c>
      <c r="F17" s="120">
        <f>'Rate Design (Sch. 141D)'!F15</f>
        <v>5.5000000000000003E-4</v>
      </c>
    </row>
    <row r="18" spans="1:6" x14ac:dyDescent="0.2">
      <c r="A18" s="11"/>
      <c r="B18" s="11"/>
      <c r="C18" s="13"/>
      <c r="D18" s="13"/>
      <c r="E18" s="287"/>
      <c r="F18" s="120"/>
    </row>
    <row r="19" spans="1:6" x14ac:dyDescent="0.2">
      <c r="A19" s="11" t="s">
        <v>13</v>
      </c>
      <c r="B19" s="11" t="s">
        <v>38</v>
      </c>
      <c r="C19" s="13" t="s">
        <v>46</v>
      </c>
      <c r="D19" s="13"/>
      <c r="E19" s="287">
        <f>'Rate Design (Sch. 141N)'!F16</f>
        <v>3.5E-4</v>
      </c>
      <c r="F19" s="120">
        <f>'Rate Design (Sch. 141D)'!F16</f>
        <v>1.4999999999999999E-4</v>
      </c>
    </row>
    <row r="20" spans="1:6" x14ac:dyDescent="0.2">
      <c r="A20" s="11"/>
      <c r="B20" s="11"/>
      <c r="C20" s="13"/>
      <c r="D20" s="13"/>
      <c r="E20" s="287"/>
      <c r="F20" s="120"/>
    </row>
    <row r="21" spans="1:6" x14ac:dyDescent="0.2">
      <c r="A21" s="11" t="s">
        <v>48</v>
      </c>
      <c r="B21" s="11" t="s">
        <v>39</v>
      </c>
      <c r="C21" s="13" t="s">
        <v>35</v>
      </c>
      <c r="D21" s="13"/>
      <c r="E21" s="287">
        <f>'Rate Design (Sch. 141N)'!F19</f>
        <v>2.3800000000000002E-3</v>
      </c>
      <c r="F21" s="120">
        <f>'Rate Design (Sch. 141D)'!F19</f>
        <v>1E-3</v>
      </c>
    </row>
    <row r="22" spans="1:6" x14ac:dyDescent="0.2">
      <c r="A22" s="11" t="s">
        <v>48</v>
      </c>
      <c r="B22" s="11" t="s">
        <v>39</v>
      </c>
      <c r="C22" s="13" t="s">
        <v>36</v>
      </c>
      <c r="D22" s="13"/>
      <c r="E22" s="287">
        <f>'Rate Design (Sch. 141N)'!F20</f>
        <v>1.4400000000000001E-3</v>
      </c>
      <c r="F22" s="120">
        <f>'Rate Design (Sch. 141D)'!F20</f>
        <v>5.9999999999999995E-4</v>
      </c>
    </row>
    <row r="23" spans="1:6" x14ac:dyDescent="0.2">
      <c r="A23" s="11" t="s">
        <v>48</v>
      </c>
      <c r="B23" s="11" t="s">
        <v>39</v>
      </c>
      <c r="C23" s="13" t="s">
        <v>37</v>
      </c>
      <c r="D23" s="13"/>
      <c r="E23" s="287">
        <f>'Rate Design (Sch. 141N)'!F21</f>
        <v>9.1E-4</v>
      </c>
      <c r="F23" s="120">
        <f>'Rate Design (Sch. 141D)'!F21</f>
        <v>3.8000000000000002E-4</v>
      </c>
    </row>
    <row r="24" spans="1:6" x14ac:dyDescent="0.2">
      <c r="A24" s="11" t="s">
        <v>48</v>
      </c>
      <c r="B24" s="11" t="s">
        <v>39</v>
      </c>
      <c r="C24" s="13" t="s">
        <v>40</v>
      </c>
      <c r="D24" s="13"/>
      <c r="E24" s="287">
        <f>'Rate Design (Sch. 141N)'!F22</f>
        <v>5.9000000000000003E-4</v>
      </c>
      <c r="F24" s="120">
        <f>'Rate Design (Sch. 141D)'!F22</f>
        <v>2.5000000000000001E-4</v>
      </c>
    </row>
    <row r="25" spans="1:6" x14ac:dyDescent="0.2">
      <c r="A25" s="11" t="s">
        <v>48</v>
      </c>
      <c r="B25" s="11" t="s">
        <v>39</v>
      </c>
      <c r="C25" s="13" t="s">
        <v>41</v>
      </c>
      <c r="D25" s="13"/>
      <c r="E25" s="287">
        <f>'Rate Design (Sch. 141N)'!F23</f>
        <v>4.2000000000000002E-4</v>
      </c>
      <c r="F25" s="120">
        <f>'Rate Design (Sch. 141D)'!F23</f>
        <v>1.8000000000000001E-4</v>
      </c>
    </row>
    <row r="26" spans="1:6" x14ac:dyDescent="0.2">
      <c r="A26" s="11" t="s">
        <v>48</v>
      </c>
      <c r="B26" s="11" t="s">
        <v>39</v>
      </c>
      <c r="C26" s="13" t="s">
        <v>42</v>
      </c>
      <c r="D26" s="13"/>
      <c r="E26" s="287">
        <f>'Rate Design (Sch. 141N)'!F24</f>
        <v>8.0000000000000007E-5</v>
      </c>
      <c r="F26" s="120">
        <f>'Rate Design (Sch. 141D)'!F24</f>
        <v>3.0000000000000001E-5</v>
      </c>
    </row>
    <row r="27" spans="1:6" x14ac:dyDescent="0.2">
      <c r="A27" s="11"/>
      <c r="B27" s="11"/>
      <c r="C27" s="13"/>
      <c r="D27" s="13"/>
      <c r="E27" s="287"/>
      <c r="F27" s="120"/>
    </row>
    <row r="28" spans="1:6" x14ac:dyDescent="0.2">
      <c r="A28" s="11"/>
      <c r="B28" s="11"/>
      <c r="C28" s="13"/>
      <c r="D28" s="13"/>
      <c r="E28" s="287"/>
      <c r="F28" s="120"/>
    </row>
    <row r="29" spans="1:6" x14ac:dyDescent="0.2">
      <c r="A29" s="11" t="s">
        <v>12</v>
      </c>
      <c r="B29" s="11" t="s">
        <v>114</v>
      </c>
      <c r="C29" s="13" t="s">
        <v>214</v>
      </c>
      <c r="D29" s="284">
        <f>'Sch. 88T Rate Design'!H13</f>
        <v>5000</v>
      </c>
      <c r="E29" s="287"/>
      <c r="F29" s="120"/>
    </row>
    <row r="30" spans="1:6" x14ac:dyDescent="0.2">
      <c r="A30" s="11" t="s">
        <v>12</v>
      </c>
      <c r="B30" s="11" t="s">
        <v>114</v>
      </c>
      <c r="C30" s="13" t="s">
        <v>215</v>
      </c>
      <c r="D30" s="284">
        <f>'Sch. 88T Rate Design'!H14</f>
        <v>0</v>
      </c>
      <c r="E30" s="287"/>
      <c r="F30" s="120"/>
    </row>
    <row r="31" spans="1:6" x14ac:dyDescent="0.2">
      <c r="A31" s="11"/>
      <c r="B31" s="11"/>
      <c r="C31" s="13"/>
      <c r="D31" s="284"/>
      <c r="E31" s="287"/>
      <c r="F31" s="120"/>
    </row>
    <row r="32" spans="1:6" x14ac:dyDescent="0.2">
      <c r="A32" s="11" t="s">
        <v>347</v>
      </c>
      <c r="B32" s="11" t="s">
        <v>114</v>
      </c>
      <c r="C32" s="13" t="s">
        <v>35</v>
      </c>
      <c r="D32" s="285">
        <f>'Sch. 88T Rate Design'!H18</f>
        <v>-0.128</v>
      </c>
      <c r="E32" s="287"/>
      <c r="F32" s="120">
        <f>'Rate Design (Sch. 141D)'!F27</f>
        <v>0.32801999999999998</v>
      </c>
    </row>
    <row r="33" spans="1:6" x14ac:dyDescent="0.2">
      <c r="A33" s="11" t="s">
        <v>347</v>
      </c>
      <c r="B33" s="11" t="s">
        <v>114</v>
      </c>
      <c r="C33" s="13" t="s">
        <v>36</v>
      </c>
      <c r="D33" s="285">
        <f>'Sch. 88T Rate Design'!H19</f>
        <v>-7.7350000000000002E-2</v>
      </c>
      <c r="E33" s="287"/>
      <c r="F33" s="120">
        <f>'Rate Design (Sch. 141D)'!F28</f>
        <v>0.19821</v>
      </c>
    </row>
    <row r="34" spans="1:6" x14ac:dyDescent="0.2">
      <c r="A34" s="11" t="s">
        <v>347</v>
      </c>
      <c r="B34" s="11" t="s">
        <v>114</v>
      </c>
      <c r="C34" s="13" t="s">
        <v>37</v>
      </c>
      <c r="D34" s="285">
        <f>'Sch. 88T Rate Design'!H20</f>
        <v>-4.922E-2</v>
      </c>
      <c r="E34" s="287"/>
      <c r="F34" s="120">
        <f>'Rate Design (Sch. 141D)'!F29</f>
        <v>0.12614</v>
      </c>
    </row>
    <row r="35" spans="1:6" x14ac:dyDescent="0.2">
      <c r="A35" s="11" t="s">
        <v>347</v>
      </c>
      <c r="B35" s="11" t="s">
        <v>114</v>
      </c>
      <c r="C35" s="13" t="s">
        <v>40</v>
      </c>
      <c r="D35" s="285">
        <f>'Sch. 88T Rate Design'!H21</f>
        <v>-3.1559999999999998E-2</v>
      </c>
      <c r="E35" s="287"/>
      <c r="F35" s="120">
        <f>'Rate Design (Sch. 141D)'!F30</f>
        <v>8.0879999999999994E-2</v>
      </c>
    </row>
    <row r="36" spans="1:6" x14ac:dyDescent="0.2">
      <c r="A36" s="11" t="s">
        <v>347</v>
      </c>
      <c r="B36" s="11" t="s">
        <v>114</v>
      </c>
      <c r="C36" s="13" t="s">
        <v>41</v>
      </c>
      <c r="D36" s="285">
        <f>'Sch. 88T Rate Design'!H22</f>
        <v>-2.2710000000000001E-2</v>
      </c>
      <c r="E36" s="287"/>
      <c r="F36" s="120">
        <f>'Rate Design (Sch. 141D)'!F31</f>
        <v>5.8209999999999998E-2</v>
      </c>
    </row>
    <row r="37" spans="1:6" x14ac:dyDescent="0.2">
      <c r="A37" s="12" t="s">
        <v>347</v>
      </c>
      <c r="B37" s="12" t="s">
        <v>114</v>
      </c>
      <c r="C37" s="14" t="s">
        <v>42</v>
      </c>
      <c r="D37" s="286">
        <f>'Sch. 88T Rate Design'!H23</f>
        <v>-1.5310000000000001E-2</v>
      </c>
      <c r="E37" s="288"/>
      <c r="F37" s="122">
        <f>'Rate Design (Sch. 141D)'!F32</f>
        <v>3.9239999999999997E-2</v>
      </c>
    </row>
    <row r="38" spans="1:6" x14ac:dyDescent="0.2">
      <c r="E38" s="289"/>
    </row>
  </sheetData>
  <mergeCells count="5">
    <mergeCell ref="A6:A7"/>
    <mergeCell ref="B6:C7"/>
    <mergeCell ref="D6:D7"/>
    <mergeCell ref="E6:E7"/>
    <mergeCell ref="F6:F7"/>
  </mergeCells>
  <printOptions horizontalCentered="1"/>
  <pageMargins left="0.45" right="0.45" top="0.75" bottom="0.83" header="0.3" footer="0.3"/>
  <pageSetup orientation="landscape" r:id="rId1"/>
  <headerFooter alignWithMargins="0">
    <oddFooter>&amp;R&amp;A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zoomScale="90" zoomScaleNormal="90" workbookViewId="0">
      <selection activeCell="E38" sqref="E38"/>
    </sheetView>
  </sheetViews>
  <sheetFormatPr defaultColWidth="9.140625" defaultRowHeight="12.75" x14ac:dyDescent="0.2"/>
  <cols>
    <col min="1" max="1" width="4.42578125" style="21" customWidth="1"/>
    <col min="2" max="2" width="27.5703125" style="21" customWidth="1"/>
    <col min="3" max="3" width="11.5703125" style="21" customWidth="1"/>
    <col min="4" max="5" width="15.7109375" style="21" customWidth="1"/>
    <col min="6" max="7" width="13.42578125" style="21" customWidth="1"/>
    <col min="8" max="16384" width="9.140625" style="21"/>
  </cols>
  <sheetData>
    <row r="1" spans="1:7" ht="15" customHeight="1" x14ac:dyDescent="0.2">
      <c r="A1" s="25" t="s">
        <v>0</v>
      </c>
    </row>
    <row r="2" spans="1:7" ht="15" customHeight="1" x14ac:dyDescent="0.2">
      <c r="A2" s="25" t="str">
        <f>'Rate Summary'!A2</f>
        <v>2023 Gas Schedule 141D Distribution Pipeline Recovery Filing</v>
      </c>
      <c r="B2" s="3"/>
      <c r="C2" s="3"/>
    </row>
    <row r="3" spans="1:7" ht="15" customHeight="1" x14ac:dyDescent="0.2">
      <c r="A3" s="25" t="s">
        <v>113</v>
      </c>
    </row>
    <row r="4" spans="1:7" ht="15" customHeight="1" x14ac:dyDescent="0.2">
      <c r="A4" s="25" t="str">
        <f>'Rate Summary'!A4</f>
        <v>Proposed Rates Effective November 1, 2023</v>
      </c>
    </row>
    <row r="5" spans="1:7" ht="15" customHeight="1" x14ac:dyDescent="0.2">
      <c r="A5" s="25"/>
    </row>
    <row r="6" spans="1:7" ht="15" customHeight="1" x14ac:dyDescent="0.2">
      <c r="A6" s="25"/>
    </row>
    <row r="7" spans="1:7" ht="15" customHeight="1" x14ac:dyDescent="0.2">
      <c r="A7" s="25"/>
      <c r="B7" s="25"/>
      <c r="C7" s="25"/>
      <c r="D7" s="26" t="s">
        <v>197</v>
      </c>
      <c r="E7" s="26" t="s">
        <v>189</v>
      </c>
      <c r="F7" s="25"/>
      <c r="G7" s="26" t="s">
        <v>200</v>
      </c>
    </row>
    <row r="8" spans="1:7" ht="15" customHeight="1" x14ac:dyDescent="0.2">
      <c r="A8" s="25"/>
      <c r="B8" s="26"/>
      <c r="C8" s="26"/>
      <c r="D8" s="26" t="s">
        <v>28</v>
      </c>
      <c r="E8" s="26" t="s">
        <v>50</v>
      </c>
      <c r="F8" s="26" t="s">
        <v>1</v>
      </c>
      <c r="G8" s="26" t="s">
        <v>3</v>
      </c>
    </row>
    <row r="9" spans="1:7" ht="15" customHeight="1" x14ac:dyDescent="0.2">
      <c r="A9" s="26" t="s">
        <v>22</v>
      </c>
      <c r="B9" s="26"/>
      <c r="C9" s="26"/>
      <c r="D9" s="26" t="s">
        <v>2</v>
      </c>
      <c r="E9" s="26" t="s">
        <v>187</v>
      </c>
      <c r="F9" s="26" t="s">
        <v>3</v>
      </c>
      <c r="G9" s="26" t="s">
        <v>107</v>
      </c>
    </row>
    <row r="10" spans="1:7" ht="15" customHeight="1" x14ac:dyDescent="0.2">
      <c r="A10" s="27" t="s">
        <v>23</v>
      </c>
      <c r="B10" s="27" t="s">
        <v>4</v>
      </c>
      <c r="C10" s="27" t="s">
        <v>5</v>
      </c>
      <c r="D10" s="27" t="s">
        <v>6</v>
      </c>
      <c r="E10" s="27" t="s">
        <v>188</v>
      </c>
      <c r="F10" s="27" t="s">
        <v>7</v>
      </c>
      <c r="G10" s="27" t="s">
        <v>24</v>
      </c>
    </row>
    <row r="11" spans="1:7" ht="15" customHeight="1" x14ac:dyDescent="0.2">
      <c r="B11" s="3" t="s">
        <v>18</v>
      </c>
      <c r="C11" s="3" t="s">
        <v>19</v>
      </c>
      <c r="D11" s="3" t="s">
        <v>20</v>
      </c>
      <c r="E11" s="3" t="s">
        <v>21</v>
      </c>
      <c r="F11" s="3" t="s">
        <v>108</v>
      </c>
      <c r="G11" s="3" t="s">
        <v>109</v>
      </c>
    </row>
    <row r="12" spans="1:7" ht="15" customHeight="1" x14ac:dyDescent="0.2">
      <c r="A12" s="3">
        <v>1</v>
      </c>
      <c r="B12" s="21" t="s">
        <v>8</v>
      </c>
      <c r="C12" s="3" t="s">
        <v>9</v>
      </c>
      <c r="D12" s="29">
        <f>'Rate Spread (Sch. 141D)'!H12</f>
        <v>597166.83958798868</v>
      </c>
      <c r="E12" s="73">
        <f>SUM('RY#2 Therms'!N36:N38)</f>
        <v>639473381</v>
      </c>
      <c r="F12" s="74">
        <f>ROUND(D12/E12,5)</f>
        <v>9.3000000000000005E-4</v>
      </c>
      <c r="G12" s="75">
        <f>ROUND(F12*19,2)</f>
        <v>0.02</v>
      </c>
    </row>
    <row r="13" spans="1:7" ht="15" customHeight="1" x14ac:dyDescent="0.2">
      <c r="A13" s="3">
        <f>A12+1</f>
        <v>2</v>
      </c>
      <c r="B13" s="21" t="s">
        <v>10</v>
      </c>
      <c r="C13" s="3">
        <v>31</v>
      </c>
      <c r="D13" s="29">
        <f>'Rate Spread (Sch. 141D)'!H13</f>
        <v>210403.6817461813</v>
      </c>
      <c r="E13" s="73">
        <f>'RY#2 Therms'!N39</f>
        <v>245936243</v>
      </c>
      <c r="F13" s="74">
        <f t="shared" ref="F13:F16" si="0">ROUND(D13/E13,5)</f>
        <v>8.5999999999999998E-4</v>
      </c>
    </row>
    <row r="14" spans="1:7" ht="15" customHeight="1" x14ac:dyDescent="0.2">
      <c r="A14" s="3">
        <f t="shared" ref="A14:A33" si="1">A13+1</f>
        <v>3</v>
      </c>
      <c r="B14" s="21" t="s">
        <v>11</v>
      </c>
      <c r="C14" s="3">
        <v>41</v>
      </c>
      <c r="D14" s="29">
        <f>'Rate Spread (Sch. 141D)'!H14</f>
        <v>43659.061747437918</v>
      </c>
      <c r="E14" s="73">
        <f>'RY#2 Therms'!N40</f>
        <v>66890541</v>
      </c>
      <c r="F14" s="74">
        <f t="shared" si="0"/>
        <v>6.4999999999999997E-4</v>
      </c>
    </row>
    <row r="15" spans="1:7" ht="15" customHeight="1" x14ac:dyDescent="0.2">
      <c r="A15" s="3">
        <f t="shared" si="1"/>
        <v>4</v>
      </c>
      <c r="B15" s="21" t="s">
        <v>12</v>
      </c>
      <c r="C15" s="3">
        <v>85</v>
      </c>
      <c r="D15" s="29">
        <f>'Rate Spread (Sch. 141D)'!H15</f>
        <v>5892.7769552188129</v>
      </c>
      <c r="E15" s="73">
        <f>'RY#2 Therms'!N41</f>
        <v>10745378</v>
      </c>
      <c r="F15" s="74">
        <f t="shared" si="0"/>
        <v>5.5000000000000003E-4</v>
      </c>
    </row>
    <row r="16" spans="1:7" ht="15" customHeight="1" x14ac:dyDescent="0.2">
      <c r="A16" s="3">
        <f t="shared" si="1"/>
        <v>5</v>
      </c>
      <c r="B16" s="21" t="s">
        <v>13</v>
      </c>
      <c r="C16" s="3">
        <v>86</v>
      </c>
      <c r="D16" s="29">
        <f>'Rate Spread (Sch. 141D)'!H16</f>
        <v>798.64614136751698</v>
      </c>
      <c r="E16" s="73">
        <f>'RY#2 Therms'!N42</f>
        <v>5489408</v>
      </c>
      <c r="F16" s="74">
        <f t="shared" si="0"/>
        <v>1.4999999999999999E-4</v>
      </c>
    </row>
    <row r="17" spans="1:6" ht="15" customHeight="1" x14ac:dyDescent="0.2">
      <c r="A17" s="3">
        <f t="shared" si="1"/>
        <v>6</v>
      </c>
      <c r="C17" s="3"/>
      <c r="D17" s="29"/>
      <c r="E17" s="73"/>
      <c r="F17" s="74"/>
    </row>
    <row r="18" spans="1:6" ht="15" customHeight="1" x14ac:dyDescent="0.2">
      <c r="A18" s="3">
        <f t="shared" si="1"/>
        <v>7</v>
      </c>
      <c r="B18" s="21" t="s">
        <v>14</v>
      </c>
      <c r="C18" s="3">
        <v>87</v>
      </c>
      <c r="D18" s="29"/>
      <c r="E18" s="73"/>
      <c r="F18" s="74"/>
    </row>
    <row r="19" spans="1:6" ht="15" customHeight="1" x14ac:dyDescent="0.2">
      <c r="A19" s="3">
        <f t="shared" si="1"/>
        <v>8</v>
      </c>
      <c r="B19" s="21" t="s">
        <v>52</v>
      </c>
      <c r="C19" s="3">
        <v>87</v>
      </c>
      <c r="D19" s="29">
        <f>'Rate Spread (Sch. 141D Blocks)'!I13</f>
        <v>1513.5501678219264</v>
      </c>
      <c r="E19" s="73">
        <f>'Rate Spread (Sch. 141D Blocks)'!D13</f>
        <v>1512193</v>
      </c>
      <c r="F19" s="74">
        <f>ROUND(D19/E19,5)</f>
        <v>1E-3</v>
      </c>
    </row>
    <row r="20" spans="1:6" ht="15" customHeight="1" x14ac:dyDescent="0.2">
      <c r="A20" s="3">
        <f t="shared" si="1"/>
        <v>9</v>
      </c>
      <c r="B20" s="21" t="s">
        <v>53</v>
      </c>
      <c r="C20" s="3">
        <v>87</v>
      </c>
      <c r="D20" s="29">
        <f>'Rate Spread (Sch. 141D Blocks)'!I14</f>
        <v>845.53383137760602</v>
      </c>
      <c r="E20" s="73">
        <f>'Rate Spread (Sch. 141D Blocks)'!D14</f>
        <v>1398016.115</v>
      </c>
      <c r="F20" s="74">
        <f t="shared" ref="F20:F24" si="2">ROUND(D20/E20,5)</f>
        <v>5.9999999999999995E-4</v>
      </c>
    </row>
    <row r="21" spans="1:6" ht="15" customHeight="1" x14ac:dyDescent="0.2">
      <c r="A21" s="3">
        <f t="shared" si="1"/>
        <v>10</v>
      </c>
      <c r="B21" s="21" t="s">
        <v>54</v>
      </c>
      <c r="C21" s="3">
        <v>87</v>
      </c>
      <c r="D21" s="29">
        <f>'Rate Spread (Sch. 141D Blocks)'!I15</f>
        <v>891.76390300222158</v>
      </c>
      <c r="E21" s="73">
        <f>'Rate Spread (Sch. 141D Blocks)'!D15</f>
        <v>2316890.0959999999</v>
      </c>
      <c r="F21" s="74">
        <f t="shared" si="2"/>
        <v>3.8000000000000002E-4</v>
      </c>
    </row>
    <row r="22" spans="1:6" ht="15" customHeight="1" x14ac:dyDescent="0.2">
      <c r="A22" s="3">
        <f t="shared" si="1"/>
        <v>11</v>
      </c>
      <c r="B22" s="21" t="s">
        <v>40</v>
      </c>
      <c r="C22" s="3">
        <v>87</v>
      </c>
      <c r="D22" s="29">
        <f>'Rate Spread (Sch. 141D Blocks)'!I16</f>
        <v>751.49667650504398</v>
      </c>
      <c r="E22" s="73">
        <f>'Rate Spread (Sch. 141D Blocks)'!D16</f>
        <v>3045256.8779999996</v>
      </c>
      <c r="F22" s="74">
        <f t="shared" si="2"/>
        <v>2.5000000000000001E-4</v>
      </c>
    </row>
    <row r="23" spans="1:6" ht="15" customHeight="1" x14ac:dyDescent="0.2">
      <c r="A23" s="3">
        <f t="shared" si="1"/>
        <v>12</v>
      </c>
      <c r="B23" s="21" t="s">
        <v>41</v>
      </c>
      <c r="C23" s="3">
        <v>87</v>
      </c>
      <c r="D23" s="29">
        <f>'Rate Spread (Sch. 141D Blocks)'!I17</f>
        <v>673.53828845873568</v>
      </c>
      <c r="E23" s="73">
        <f>'Rate Spread (Sch. 141D Blocks)'!D17</f>
        <v>3792042.2029999997</v>
      </c>
      <c r="F23" s="74">
        <f t="shared" si="2"/>
        <v>1.8000000000000001E-4</v>
      </c>
    </row>
    <row r="24" spans="1:6" ht="15" customHeight="1" x14ac:dyDescent="0.2">
      <c r="A24" s="3">
        <f t="shared" si="1"/>
        <v>13</v>
      </c>
      <c r="B24" s="21" t="s">
        <v>55</v>
      </c>
      <c r="C24" s="3">
        <v>87</v>
      </c>
      <c r="D24" s="29">
        <f>'Rate Spread (Sch. 141D Blocks)'!I18</f>
        <v>330.21369348631163</v>
      </c>
      <c r="E24" s="73">
        <f>'Rate Spread (Sch. 141D Blocks)'!D18</f>
        <v>9755057.4703552071</v>
      </c>
      <c r="F24" s="74">
        <f t="shared" si="2"/>
        <v>3.0000000000000001E-5</v>
      </c>
    </row>
    <row r="25" spans="1:6" ht="15" customHeight="1" x14ac:dyDescent="0.2">
      <c r="A25" s="3">
        <f t="shared" si="1"/>
        <v>14</v>
      </c>
      <c r="C25" s="3"/>
      <c r="D25" s="29"/>
      <c r="E25" s="73"/>
      <c r="F25" s="74"/>
    </row>
    <row r="26" spans="1:6" ht="15" customHeight="1" x14ac:dyDescent="0.2">
      <c r="A26" s="3">
        <f t="shared" si="1"/>
        <v>15</v>
      </c>
      <c r="B26" s="21" t="s">
        <v>348</v>
      </c>
      <c r="C26" s="3" t="s">
        <v>110</v>
      </c>
      <c r="D26" s="29"/>
      <c r="E26" s="73"/>
      <c r="F26" s="74"/>
    </row>
    <row r="27" spans="1:6" ht="15" customHeight="1" x14ac:dyDescent="0.2">
      <c r="A27" s="3">
        <f t="shared" si="1"/>
        <v>16</v>
      </c>
      <c r="B27" s="21" t="s">
        <v>52</v>
      </c>
      <c r="C27" s="3" t="s">
        <v>110</v>
      </c>
      <c r="D27" s="29">
        <f>'Rate Spread (Sch. 141D Blocks)'!I22</f>
        <v>98406.675460875398</v>
      </c>
      <c r="E27" s="73">
        <f>'Rate Spread (Sch. 141D Blocks)'!D22</f>
        <v>300000</v>
      </c>
      <c r="F27" s="74">
        <f>ROUND(D27/E27,5)</f>
        <v>0.32801999999999998</v>
      </c>
    </row>
    <row r="28" spans="1:6" ht="15" customHeight="1" x14ac:dyDescent="0.2">
      <c r="A28" s="3">
        <f t="shared" si="1"/>
        <v>17</v>
      </c>
      <c r="B28" s="21" t="s">
        <v>53</v>
      </c>
      <c r="C28" s="3" t="s">
        <v>110</v>
      </c>
      <c r="D28" s="29">
        <f>'Rate Spread (Sch. 141D Blocks)'!I23</f>
        <v>59464.108940678343</v>
      </c>
      <c r="E28" s="73">
        <f>'Rate Spread (Sch. 141D Blocks)'!D23</f>
        <v>300000</v>
      </c>
      <c r="F28" s="74">
        <f t="shared" ref="F28:F32" si="3">ROUND(D28/E28,5)</f>
        <v>0.19821</v>
      </c>
    </row>
    <row r="29" spans="1:6" ht="15" customHeight="1" x14ac:dyDescent="0.2">
      <c r="A29" s="3">
        <f t="shared" si="1"/>
        <v>18</v>
      </c>
      <c r="B29" s="21" t="s">
        <v>54</v>
      </c>
      <c r="C29" s="3" t="s">
        <v>110</v>
      </c>
      <c r="D29" s="29">
        <f>'Rate Spread (Sch. 141D Blocks)'!I24</f>
        <v>75685.041616386865</v>
      </c>
      <c r="E29" s="73">
        <f>'Rate Spread (Sch. 141D Blocks)'!D24</f>
        <v>600000</v>
      </c>
      <c r="F29" s="74">
        <f t="shared" si="3"/>
        <v>0.12614</v>
      </c>
    </row>
    <row r="30" spans="1:6" ht="15" customHeight="1" x14ac:dyDescent="0.2">
      <c r="A30" s="3">
        <f t="shared" si="1"/>
        <v>19</v>
      </c>
      <c r="B30" s="21" t="s">
        <v>40</v>
      </c>
      <c r="C30" s="3" t="s">
        <v>110</v>
      </c>
      <c r="D30" s="29">
        <f>'Rate Spread (Sch. 141D Blocks)'!I25</f>
        <v>97050.584626250245</v>
      </c>
      <c r="E30" s="73">
        <f>'Rate Spread (Sch. 141D Blocks)'!D25</f>
        <v>1200000</v>
      </c>
      <c r="F30" s="74">
        <f t="shared" si="3"/>
        <v>8.0879999999999994E-2</v>
      </c>
    </row>
    <row r="31" spans="1:6" ht="15" customHeight="1" x14ac:dyDescent="0.2">
      <c r="A31" s="3">
        <f t="shared" si="1"/>
        <v>20</v>
      </c>
      <c r="B31" s="21" t="s">
        <v>41</v>
      </c>
      <c r="C31" s="3" t="s">
        <v>110</v>
      </c>
      <c r="D31" s="29">
        <f>'Rate Spread (Sch. 141D Blocks)'!I26</f>
        <v>209558.70813668927</v>
      </c>
      <c r="E31" s="73">
        <f>'Rate Spread (Sch. 141D Blocks)'!D26</f>
        <v>3600000</v>
      </c>
      <c r="F31" s="74">
        <f t="shared" si="3"/>
        <v>5.8209999999999998E-2</v>
      </c>
    </row>
    <row r="32" spans="1:6" ht="15" customHeight="1" x14ac:dyDescent="0.2">
      <c r="A32" s="3">
        <f t="shared" si="1"/>
        <v>21</v>
      </c>
      <c r="B32" s="21" t="s">
        <v>55</v>
      </c>
      <c r="C32" s="3" t="s">
        <v>110</v>
      </c>
      <c r="D32" s="29">
        <f>'Rate Spread (Sch. 141D Blocks)'!I27</f>
        <v>1511246.276306557</v>
      </c>
      <c r="E32" s="73">
        <f>'Rate Spread (Sch. 141D Blocks)'!D27</f>
        <v>38508541</v>
      </c>
      <c r="F32" s="74">
        <f t="shared" si="3"/>
        <v>3.9239999999999997E-2</v>
      </c>
    </row>
    <row r="33" spans="1:6" ht="15" customHeight="1" x14ac:dyDescent="0.2">
      <c r="A33" s="3">
        <f t="shared" si="1"/>
        <v>22</v>
      </c>
      <c r="C33" s="3"/>
      <c r="D33" s="29"/>
      <c r="E33" s="73"/>
      <c r="F33" s="74"/>
    </row>
    <row r="34" spans="1:6" ht="15" customHeight="1" x14ac:dyDescent="0.2">
      <c r="A34" s="3">
        <f>A33+1</f>
        <v>23</v>
      </c>
      <c r="B34" s="21" t="s">
        <v>16</v>
      </c>
      <c r="D34" s="28">
        <f>SUM(D12:D32)</f>
        <v>2914338.4978262833</v>
      </c>
      <c r="E34" s="76">
        <f>SUM(E12:E32)</f>
        <v>1034862947.7623551</v>
      </c>
    </row>
    <row r="35" spans="1:6" ht="15" customHeight="1" x14ac:dyDescent="0.2">
      <c r="A35" s="3"/>
    </row>
  </sheetData>
  <printOptions horizontalCentered="1"/>
  <pageMargins left="0.45" right="0.45" top="0.75" bottom="0.75" header="0.3" footer="0.3"/>
  <pageSetup scale="78" orientation="landscape" blackAndWhite="1" r:id="rId1"/>
  <headerFooter>
    <oddFooter>&amp;R&amp;A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8"/>
  <sheetViews>
    <sheetView zoomScale="90" zoomScaleNormal="90" workbookViewId="0">
      <pane ySplit="10" topLeftCell="A11" activePane="bottomLeft" state="frozen"/>
      <selection activeCell="E36" sqref="E36"/>
      <selection pane="bottomLeft" activeCell="E38" sqref="E38"/>
    </sheetView>
  </sheetViews>
  <sheetFormatPr defaultColWidth="8.85546875" defaultRowHeight="12.75" x14ac:dyDescent="0.2"/>
  <cols>
    <col min="1" max="1" width="4.5703125" style="2" customWidth="1"/>
    <col min="2" max="2" width="3.140625" style="2" customWidth="1"/>
    <col min="3" max="3" width="25.7109375" style="2" customWidth="1"/>
    <col min="4" max="4" width="13.7109375" style="2" customWidth="1"/>
    <col min="5" max="5" width="13.28515625" style="2" customWidth="1"/>
    <col min="6" max="7" width="14.5703125" style="2" bestFit="1" customWidth="1"/>
    <col min="8" max="8" width="11.28515625" style="2" bestFit="1" customWidth="1"/>
    <col min="9" max="9" width="15" style="2" bestFit="1" customWidth="1"/>
    <col min="10" max="10" width="9.42578125" style="2" customWidth="1"/>
    <col min="11" max="16384" width="8.85546875" style="2"/>
  </cols>
  <sheetData>
    <row r="1" spans="1:9" x14ac:dyDescent="0.2">
      <c r="A1" s="25" t="s">
        <v>0</v>
      </c>
      <c r="B1" s="21"/>
      <c r="C1" s="21"/>
      <c r="D1" s="21"/>
      <c r="E1" s="21"/>
      <c r="F1" s="21"/>
      <c r="G1" s="21"/>
      <c r="H1" s="21"/>
      <c r="I1" s="21"/>
    </row>
    <row r="2" spans="1:9" x14ac:dyDescent="0.2">
      <c r="A2" s="25" t="str">
        <f>'Rate Summary'!A2</f>
        <v>2023 Gas Schedule 141D Distribution Pipeline Recovery Filing</v>
      </c>
      <c r="B2" s="3"/>
      <c r="C2" s="3"/>
      <c r="D2" s="3"/>
      <c r="E2" s="3"/>
      <c r="F2" s="3"/>
      <c r="G2" s="3"/>
      <c r="H2" s="3"/>
      <c r="I2" s="3"/>
    </row>
    <row r="3" spans="1:9" x14ac:dyDescent="0.2">
      <c r="A3" s="25" t="s">
        <v>199</v>
      </c>
    </row>
    <row r="4" spans="1:9" x14ac:dyDescent="0.2">
      <c r="A4" s="25" t="str">
        <f>'Rate Summary'!A4</f>
        <v>Proposed Rates Effective November 1, 2023</v>
      </c>
      <c r="B4" s="15"/>
      <c r="C4" s="15"/>
      <c r="D4" s="15"/>
      <c r="E4" s="15"/>
      <c r="F4" s="15"/>
      <c r="G4" s="15"/>
      <c r="H4" s="15"/>
      <c r="I4" s="15"/>
    </row>
    <row r="5" spans="1:9" x14ac:dyDescent="0.2">
      <c r="A5" s="25"/>
      <c r="B5" s="15"/>
      <c r="C5" s="15"/>
      <c r="D5" s="15"/>
      <c r="E5" s="15"/>
      <c r="F5" s="15"/>
      <c r="G5" s="15"/>
      <c r="H5" s="15"/>
      <c r="I5" s="15"/>
    </row>
    <row r="6" spans="1:9" x14ac:dyDescent="0.2">
      <c r="A6" s="25"/>
      <c r="B6" s="15"/>
      <c r="C6" s="15"/>
      <c r="D6" s="15"/>
      <c r="E6" s="15"/>
      <c r="F6" s="15"/>
      <c r="G6" s="15"/>
      <c r="H6" s="15"/>
      <c r="I6" s="15"/>
    </row>
    <row r="7" spans="1:9" x14ac:dyDescent="0.2">
      <c r="D7" s="22" t="s">
        <v>189</v>
      </c>
      <c r="I7" s="22" t="s">
        <v>197</v>
      </c>
    </row>
    <row r="8" spans="1:9" x14ac:dyDescent="0.2">
      <c r="A8" s="5"/>
      <c r="B8" s="5"/>
      <c r="C8" s="5"/>
      <c r="D8" s="22" t="s">
        <v>50</v>
      </c>
      <c r="E8" s="22"/>
      <c r="F8" s="22"/>
      <c r="G8" s="22" t="s">
        <v>197</v>
      </c>
      <c r="H8" s="22"/>
      <c r="I8" s="22" t="s">
        <v>28</v>
      </c>
    </row>
    <row r="9" spans="1:9" x14ac:dyDescent="0.2">
      <c r="A9" s="5" t="s">
        <v>22</v>
      </c>
      <c r="B9" s="5"/>
      <c r="C9" s="5"/>
      <c r="D9" s="22" t="s">
        <v>187</v>
      </c>
      <c r="E9" s="22" t="s">
        <v>189</v>
      </c>
      <c r="F9" s="22" t="s">
        <v>61</v>
      </c>
      <c r="G9" s="22" t="s">
        <v>2</v>
      </c>
      <c r="H9" s="22" t="s">
        <v>56</v>
      </c>
      <c r="I9" s="22" t="s">
        <v>2</v>
      </c>
    </row>
    <row r="10" spans="1:9" x14ac:dyDescent="0.2">
      <c r="A10" s="23" t="s">
        <v>23</v>
      </c>
      <c r="B10" s="316" t="s">
        <v>45</v>
      </c>
      <c r="C10" s="316"/>
      <c r="D10" s="22" t="s">
        <v>188</v>
      </c>
      <c r="E10" s="6" t="s">
        <v>198</v>
      </c>
      <c r="F10" s="6" t="s">
        <v>2</v>
      </c>
      <c r="G10" s="6" t="s">
        <v>6</v>
      </c>
      <c r="H10" s="6" t="s">
        <v>51</v>
      </c>
      <c r="I10" s="6" t="s">
        <v>6</v>
      </c>
    </row>
    <row r="11" spans="1:9" x14ac:dyDescent="0.2">
      <c r="B11" s="15"/>
      <c r="C11" s="15" t="s">
        <v>18</v>
      </c>
      <c r="D11" s="24" t="s">
        <v>21</v>
      </c>
      <c r="E11" s="15" t="s">
        <v>20</v>
      </c>
      <c r="F11" s="15" t="s">
        <v>21</v>
      </c>
      <c r="G11" s="15" t="s">
        <v>43</v>
      </c>
      <c r="H11" s="15" t="s">
        <v>57</v>
      </c>
      <c r="I11" s="15" t="s">
        <v>58</v>
      </c>
    </row>
    <row r="12" spans="1:9" x14ac:dyDescent="0.2">
      <c r="A12" s="15">
        <v>1</v>
      </c>
      <c r="B12" s="2" t="s">
        <v>60</v>
      </c>
      <c r="D12" s="16"/>
      <c r="E12" s="17"/>
    </row>
    <row r="13" spans="1:9" x14ac:dyDescent="0.2">
      <c r="A13" s="15">
        <f t="shared" ref="A13:A28" si="0">A12+1</f>
        <v>2</v>
      </c>
      <c r="C13" s="2" t="s">
        <v>52</v>
      </c>
      <c r="D13" s="280">
        <f>'Exh JDT-5 (JDT-INTRPL-RD)'!D110</f>
        <v>1512193</v>
      </c>
      <c r="E13" s="281">
        <f>'Exh JDT-5 (JDT-INTRPL-RD)'!H110</f>
        <v>0.20754</v>
      </c>
      <c r="F13" s="18">
        <f t="shared" ref="F13:F18" si="1">ROUND(D13*E13,0)</f>
        <v>313841</v>
      </c>
      <c r="H13" s="20">
        <f t="shared" ref="H13:H16" si="2">($G$19-$I$18)/SUM($F$13:$F$17)</f>
        <v>4.8226655147731697E-3</v>
      </c>
      <c r="I13" s="18">
        <f>F13*H13</f>
        <v>1513.5501678219264</v>
      </c>
    </row>
    <row r="14" spans="1:9" x14ac:dyDescent="0.2">
      <c r="A14" s="15">
        <f t="shared" si="0"/>
        <v>3</v>
      </c>
      <c r="C14" s="2" t="s">
        <v>53</v>
      </c>
      <c r="D14" s="280">
        <f>'Exh JDT-5 (JDT-INTRPL-RD)'!D111</f>
        <v>1398016.115</v>
      </c>
      <c r="E14" s="281">
        <f>'Exh JDT-5 (JDT-INTRPL-RD)'!H111</f>
        <v>0.12540999999999999</v>
      </c>
      <c r="F14" s="18">
        <f t="shared" si="1"/>
        <v>175325</v>
      </c>
      <c r="H14" s="20">
        <f t="shared" si="2"/>
        <v>4.8226655147731697E-3</v>
      </c>
      <c r="I14" s="18">
        <f t="shared" ref="I14:I17" si="3">F14*H14</f>
        <v>845.53383137760602</v>
      </c>
    </row>
    <row r="15" spans="1:9" x14ac:dyDescent="0.2">
      <c r="A15" s="15">
        <f t="shared" si="0"/>
        <v>4</v>
      </c>
      <c r="C15" s="2" t="s">
        <v>54</v>
      </c>
      <c r="D15" s="280">
        <f>'Exh JDT-5 (JDT-INTRPL-RD)'!D112</f>
        <v>2316890.0959999999</v>
      </c>
      <c r="E15" s="281">
        <f>'Exh JDT-5 (JDT-INTRPL-RD)'!H112</f>
        <v>7.9810000000000006E-2</v>
      </c>
      <c r="F15" s="18">
        <f t="shared" si="1"/>
        <v>184911</v>
      </c>
      <c r="H15" s="20">
        <f t="shared" si="2"/>
        <v>4.8226655147731697E-3</v>
      </c>
      <c r="I15" s="18">
        <f t="shared" si="3"/>
        <v>891.76390300222158</v>
      </c>
    </row>
    <row r="16" spans="1:9" x14ac:dyDescent="0.2">
      <c r="A16" s="15">
        <f t="shared" si="0"/>
        <v>5</v>
      </c>
      <c r="C16" s="2" t="s">
        <v>40</v>
      </c>
      <c r="D16" s="280">
        <f>'Exh JDT-5 (JDT-INTRPL-RD)'!D113</f>
        <v>3045256.8779999996</v>
      </c>
      <c r="E16" s="281">
        <f>'Exh JDT-5 (JDT-INTRPL-RD)'!H113</f>
        <v>5.117E-2</v>
      </c>
      <c r="F16" s="18">
        <f t="shared" si="1"/>
        <v>155826</v>
      </c>
      <c r="H16" s="20">
        <f t="shared" si="2"/>
        <v>4.8226655147731697E-3</v>
      </c>
      <c r="I16" s="18">
        <f t="shared" si="3"/>
        <v>751.49667650504398</v>
      </c>
    </row>
    <row r="17" spans="1:9" x14ac:dyDescent="0.2">
      <c r="A17" s="15">
        <f t="shared" si="0"/>
        <v>6</v>
      </c>
      <c r="C17" s="2" t="s">
        <v>41</v>
      </c>
      <c r="D17" s="280">
        <f>'Exh JDT-5 (JDT-INTRPL-RD)'!D114</f>
        <v>3792042.2029999997</v>
      </c>
      <c r="E17" s="281">
        <f>'Exh JDT-5 (JDT-INTRPL-RD)'!H114</f>
        <v>3.6830000000000002E-2</v>
      </c>
      <c r="F17" s="18">
        <f t="shared" si="1"/>
        <v>139661</v>
      </c>
      <c r="H17" s="20">
        <f>($G$19-$I$18)/SUM($F$13:$F$17)</f>
        <v>4.8226655147731697E-3</v>
      </c>
      <c r="I17" s="18">
        <f t="shared" si="3"/>
        <v>673.53828845873568</v>
      </c>
    </row>
    <row r="18" spans="1:9" x14ac:dyDescent="0.2">
      <c r="A18" s="15">
        <f t="shared" si="0"/>
        <v>7</v>
      </c>
      <c r="C18" s="2" t="s">
        <v>55</v>
      </c>
      <c r="D18" s="280">
        <f>'Exh JDT-5 (JDT-INTRPL-RD)'!D115</f>
        <v>9755057.4703552071</v>
      </c>
      <c r="E18" s="281">
        <f>'Exh JDT-5 (JDT-INTRPL-RD)'!H115</f>
        <v>2.4830000000000001E-2</v>
      </c>
      <c r="F18" s="18">
        <f t="shared" si="1"/>
        <v>242218</v>
      </c>
      <c r="H18" s="20">
        <f>H19*0.33</f>
        <v>1.3632913057093677E-3</v>
      </c>
      <c r="I18" s="18">
        <f>F18*H18</f>
        <v>330.21369348631163</v>
      </c>
    </row>
    <row r="19" spans="1:9" x14ac:dyDescent="0.2">
      <c r="A19" s="15">
        <f t="shared" si="0"/>
        <v>8</v>
      </c>
      <c r="C19" s="2" t="s">
        <v>16</v>
      </c>
      <c r="D19" s="76">
        <f>SUM(D13:D18)</f>
        <v>21819455.762355208</v>
      </c>
      <c r="E19" s="17"/>
      <c r="F19" s="19">
        <f>SUM(F13:F18)</f>
        <v>1211782</v>
      </c>
      <c r="G19" s="29">
        <f>'Rate Spread (Sch. 141D)'!H17</f>
        <v>5006.0965606518457</v>
      </c>
      <c r="H19" s="20">
        <f>$G$19/$F$19</f>
        <v>4.1311857748768718E-3</v>
      </c>
      <c r="I19" s="19">
        <f>SUM(I13:I18)</f>
        <v>5006.0965606518457</v>
      </c>
    </row>
    <row r="20" spans="1:9" x14ac:dyDescent="0.2">
      <c r="A20" s="15">
        <f t="shared" si="0"/>
        <v>9</v>
      </c>
      <c r="D20" s="73"/>
      <c r="E20" s="17"/>
      <c r="F20" s="18"/>
      <c r="G20" s="29"/>
      <c r="H20" s="20"/>
      <c r="I20" s="18"/>
    </row>
    <row r="21" spans="1:9" x14ac:dyDescent="0.2">
      <c r="A21" s="15">
        <f t="shared" si="0"/>
        <v>10</v>
      </c>
      <c r="B21" s="2" t="s">
        <v>349</v>
      </c>
      <c r="D21" s="16"/>
      <c r="E21" s="17"/>
    </row>
    <row r="22" spans="1:9" x14ac:dyDescent="0.2">
      <c r="A22" s="15">
        <f t="shared" si="0"/>
        <v>11</v>
      </c>
      <c r="C22" s="2" t="s">
        <v>52</v>
      </c>
      <c r="D22" s="73">
        <f>SUM('Puget LNG'!$AC$12:$AN$12)</f>
        <v>300000</v>
      </c>
      <c r="E22" s="281">
        <f>'Exh JDT-5 (JDT-INTRPL-RD)'!H128</f>
        <v>0.20754</v>
      </c>
      <c r="F22" s="18">
        <f t="shared" ref="F22:F27" si="4">ROUND(D22*E22,0)</f>
        <v>62262</v>
      </c>
      <c r="H22" s="20">
        <f t="shared" ref="H22:H27" si="5">$G$28/$F$28</f>
        <v>1.5805254482810607</v>
      </c>
      <c r="I22" s="18">
        <f>F22*H22</f>
        <v>98406.675460875398</v>
      </c>
    </row>
    <row r="23" spans="1:9" x14ac:dyDescent="0.2">
      <c r="A23" s="15">
        <f t="shared" si="0"/>
        <v>12</v>
      </c>
      <c r="C23" s="2" t="s">
        <v>53</v>
      </c>
      <c r="D23" s="73">
        <f>SUM('Puget LNG'!$AC$13:$AN$13)</f>
        <v>300000</v>
      </c>
      <c r="E23" s="281">
        <f>'Exh JDT-5 (JDT-INTRPL-RD)'!H129</f>
        <v>0.12540999999999999</v>
      </c>
      <c r="F23" s="18">
        <f t="shared" si="4"/>
        <v>37623</v>
      </c>
      <c r="H23" s="20">
        <f t="shared" si="5"/>
        <v>1.5805254482810607</v>
      </c>
      <c r="I23" s="18">
        <f t="shared" ref="I23:I26" si="6">F23*H23</f>
        <v>59464.108940678343</v>
      </c>
    </row>
    <row r="24" spans="1:9" x14ac:dyDescent="0.2">
      <c r="A24" s="15">
        <f t="shared" si="0"/>
        <v>13</v>
      </c>
      <c r="C24" s="2" t="s">
        <v>54</v>
      </c>
      <c r="D24" s="73">
        <f>SUM('Puget LNG'!$AC$14:$AN$14)</f>
        <v>600000</v>
      </c>
      <c r="E24" s="281">
        <f>'Exh JDT-5 (JDT-INTRPL-RD)'!H130</f>
        <v>7.9810000000000006E-2</v>
      </c>
      <c r="F24" s="18">
        <f t="shared" si="4"/>
        <v>47886</v>
      </c>
      <c r="H24" s="20">
        <f t="shared" si="5"/>
        <v>1.5805254482810607</v>
      </c>
      <c r="I24" s="18">
        <f t="shared" si="6"/>
        <v>75685.041616386865</v>
      </c>
    </row>
    <row r="25" spans="1:9" x14ac:dyDescent="0.2">
      <c r="A25" s="15">
        <f t="shared" si="0"/>
        <v>14</v>
      </c>
      <c r="C25" s="2" t="s">
        <v>40</v>
      </c>
      <c r="D25" s="73">
        <f>SUM('Puget LNG'!$AC$15:$AN$15)</f>
        <v>1200000</v>
      </c>
      <c r="E25" s="281">
        <f>'Exh JDT-5 (JDT-INTRPL-RD)'!H131</f>
        <v>5.117E-2</v>
      </c>
      <c r="F25" s="18">
        <f t="shared" si="4"/>
        <v>61404</v>
      </c>
      <c r="H25" s="20">
        <f t="shared" si="5"/>
        <v>1.5805254482810607</v>
      </c>
      <c r="I25" s="18">
        <f t="shared" si="6"/>
        <v>97050.584626250245</v>
      </c>
    </row>
    <row r="26" spans="1:9" x14ac:dyDescent="0.2">
      <c r="A26" s="15">
        <f t="shared" si="0"/>
        <v>15</v>
      </c>
      <c r="C26" s="2" t="s">
        <v>41</v>
      </c>
      <c r="D26" s="73">
        <f>SUM('Puget LNG'!$AC$16:$AN$16)</f>
        <v>3600000</v>
      </c>
      <c r="E26" s="281">
        <f>'Exh JDT-5 (JDT-INTRPL-RD)'!H132</f>
        <v>3.6830000000000002E-2</v>
      </c>
      <c r="F26" s="18">
        <f t="shared" si="4"/>
        <v>132588</v>
      </c>
      <c r="H26" s="20">
        <f t="shared" si="5"/>
        <v>1.5805254482810607</v>
      </c>
      <c r="I26" s="18">
        <f t="shared" si="6"/>
        <v>209558.70813668927</v>
      </c>
    </row>
    <row r="27" spans="1:9" x14ac:dyDescent="0.2">
      <c r="A27" s="15">
        <f t="shared" si="0"/>
        <v>16</v>
      </c>
      <c r="C27" s="2" t="s">
        <v>55</v>
      </c>
      <c r="D27" s="73">
        <f>SUM('Puget LNG'!$AC$17:$AN$17)</f>
        <v>38508541</v>
      </c>
      <c r="E27" s="281">
        <f>'Exh JDT-5 (JDT-INTRPL-RD)'!H133</f>
        <v>2.4830000000000001E-2</v>
      </c>
      <c r="F27" s="18">
        <f t="shared" si="4"/>
        <v>956167</v>
      </c>
      <c r="H27" s="20">
        <f t="shared" si="5"/>
        <v>1.5805254482810607</v>
      </c>
      <c r="I27" s="18">
        <f>F27*H27</f>
        <v>1511246.276306557</v>
      </c>
    </row>
    <row r="28" spans="1:9" x14ac:dyDescent="0.2">
      <c r="A28" s="15">
        <f t="shared" si="0"/>
        <v>17</v>
      </c>
      <c r="C28" s="2" t="s">
        <v>16</v>
      </c>
      <c r="D28" s="76">
        <f>SUM(D22:D27)</f>
        <v>44508541</v>
      </c>
      <c r="E28" s="17"/>
      <c r="F28" s="19">
        <f>SUM(F22:F27)</f>
        <v>1297930</v>
      </c>
      <c r="G28" s="29">
        <f>'Rate Spread (Sch. 141D)'!H19</f>
        <v>2051411.395087437</v>
      </c>
      <c r="H28" s="20">
        <f>$G$28/$F$28</f>
        <v>1.5805254482810607</v>
      </c>
      <c r="I28" s="19">
        <f>SUM(I22:I27)</f>
        <v>2051411.3950874372</v>
      </c>
    </row>
  </sheetData>
  <mergeCells count="1">
    <mergeCell ref="B10:C10"/>
  </mergeCells>
  <printOptions horizontalCentered="1"/>
  <pageMargins left="0.75" right="0.75" top="1" bottom="1" header="0.5" footer="0.5"/>
  <pageSetup scale="78" orientation="portrait" blackAndWhite="1" horizontalDpi="300" verticalDpi="300" r:id="rId1"/>
  <headerFooter alignWithMargins="0">
    <oddFooter>&amp;R&amp;A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1:K25"/>
  <sheetViews>
    <sheetView tabSelected="1" zoomScale="130" zoomScaleNormal="130" workbookViewId="0">
      <selection activeCell="B3" sqref="B3"/>
    </sheetView>
  </sheetViews>
  <sheetFormatPr defaultRowHeight="12.75" x14ac:dyDescent="0.2"/>
  <cols>
    <col min="1" max="1" width="9.140625" style="338"/>
    <col min="2" max="2" width="5" style="338" bestFit="1" customWidth="1"/>
    <col min="3" max="3" width="19.42578125" style="338" bestFit="1" customWidth="1"/>
    <col min="4" max="4" width="8.5703125" style="338" bestFit="1" customWidth="1"/>
    <col min="5" max="5" width="11" style="338" bestFit="1" customWidth="1"/>
    <col min="6" max="6" width="10.5703125" style="338" bestFit="1" customWidth="1"/>
    <col min="7" max="7" width="9.7109375" style="338" bestFit="1" customWidth="1"/>
    <col min="8" max="8" width="12.28515625" style="338" bestFit="1" customWidth="1"/>
    <col min="9" max="9" width="10.7109375" style="338" bestFit="1" customWidth="1"/>
    <col min="10" max="10" width="10" style="338" bestFit="1" customWidth="1"/>
    <col min="11" max="11" width="6.42578125" style="338" bestFit="1" customWidth="1"/>
    <col min="12" max="16384" width="9.140625" style="338"/>
  </cols>
  <sheetData>
    <row r="1" spans="2:11" x14ac:dyDescent="0.2">
      <c r="B1" s="338" t="s">
        <v>366</v>
      </c>
      <c r="G1" s="341" t="s">
        <v>364</v>
      </c>
    </row>
    <row r="2" spans="2:11" x14ac:dyDescent="0.2">
      <c r="B2" s="338" t="s">
        <v>365</v>
      </c>
    </row>
    <row r="5" spans="2:11" x14ac:dyDescent="0.2">
      <c r="B5" s="344"/>
      <c r="C5" s="345"/>
      <c r="D5" s="345"/>
      <c r="E5" s="346" t="s">
        <v>356</v>
      </c>
      <c r="F5" s="346" t="s">
        <v>363</v>
      </c>
      <c r="G5" s="346" t="s">
        <v>358</v>
      </c>
    </row>
    <row r="6" spans="2:11" x14ac:dyDescent="0.2">
      <c r="B6" s="347"/>
      <c r="C6" s="348"/>
      <c r="D6" s="348"/>
      <c r="E6" s="349" t="s">
        <v>1</v>
      </c>
      <c r="F6" s="349" t="s">
        <v>1</v>
      </c>
      <c r="G6" s="350" t="s">
        <v>1</v>
      </c>
    </row>
    <row r="7" spans="2:11" x14ac:dyDescent="0.2">
      <c r="B7" s="351" t="s">
        <v>22</v>
      </c>
      <c r="C7" s="348"/>
      <c r="D7" s="348"/>
      <c r="E7" s="349" t="s">
        <v>197</v>
      </c>
      <c r="F7" s="349" t="s">
        <v>197</v>
      </c>
      <c r="G7" s="350" t="s">
        <v>197</v>
      </c>
    </row>
    <row r="8" spans="2:11" x14ac:dyDescent="0.2">
      <c r="B8" s="352" t="s">
        <v>23</v>
      </c>
      <c r="C8" s="353" t="s">
        <v>4</v>
      </c>
      <c r="D8" s="353" t="s">
        <v>5</v>
      </c>
      <c r="E8" s="353" t="s">
        <v>62</v>
      </c>
      <c r="F8" s="353" t="s">
        <v>62</v>
      </c>
      <c r="G8" s="354" t="s">
        <v>62</v>
      </c>
    </row>
    <row r="9" spans="2:11" x14ac:dyDescent="0.2">
      <c r="B9" s="347"/>
      <c r="C9" s="355" t="s">
        <v>18</v>
      </c>
      <c r="D9" s="355" t="s">
        <v>19</v>
      </c>
      <c r="E9" s="355" t="s">
        <v>20</v>
      </c>
      <c r="F9" s="355" t="s">
        <v>21</v>
      </c>
      <c r="G9" s="356" t="s">
        <v>43</v>
      </c>
    </row>
    <row r="10" spans="2:11" x14ac:dyDescent="0.2">
      <c r="B10" s="357">
        <v>1</v>
      </c>
      <c r="C10" s="348" t="s">
        <v>8</v>
      </c>
      <c r="D10" s="355" t="s">
        <v>9</v>
      </c>
      <c r="E10" s="358">
        <f>'Rate Spread (Sch. 141D)'!H12</f>
        <v>597166.83958798868</v>
      </c>
      <c r="F10" s="358">
        <f>'Rate Spread (Sch. 141D)'!N12</f>
        <v>1244937.6213557837</v>
      </c>
      <c r="G10" s="359">
        <f>+E10-F10</f>
        <v>-647770.78176779498</v>
      </c>
      <c r="H10" s="339"/>
      <c r="I10" s="339"/>
      <c r="J10" s="339"/>
      <c r="K10" s="339"/>
    </row>
    <row r="11" spans="2:11" x14ac:dyDescent="0.2">
      <c r="B11" s="357">
        <f t="shared" ref="B11:B18" si="0">B10+1</f>
        <v>2</v>
      </c>
      <c r="C11" s="348" t="s">
        <v>10</v>
      </c>
      <c r="D11" s="355">
        <v>31</v>
      </c>
      <c r="E11" s="358">
        <f>'Rate Spread (Sch. 141D)'!H13</f>
        <v>210403.6817461813</v>
      </c>
      <c r="F11" s="358">
        <f>'Rate Spread (Sch. 141D)'!N13</f>
        <v>438636.98000765353</v>
      </c>
      <c r="G11" s="359">
        <f>+E11-F11</f>
        <v>-228233.29826147223</v>
      </c>
      <c r="H11" s="339"/>
      <c r="I11" s="339"/>
      <c r="J11" s="339"/>
      <c r="K11" s="339"/>
    </row>
    <row r="12" spans="2:11" x14ac:dyDescent="0.2">
      <c r="B12" s="357">
        <f t="shared" si="0"/>
        <v>3</v>
      </c>
      <c r="C12" s="348" t="s">
        <v>11</v>
      </c>
      <c r="D12" s="355">
        <v>41</v>
      </c>
      <c r="E12" s="358">
        <f>'Rate Spread (Sch. 141D)'!H14</f>
        <v>43659.061747437918</v>
      </c>
      <c r="F12" s="358">
        <f>'Rate Spread (Sch. 141D)'!N14</f>
        <v>91017.794156120595</v>
      </c>
      <c r="G12" s="359">
        <f>+E12-F12</f>
        <v>-47358.732408682677</v>
      </c>
      <c r="H12" s="339"/>
      <c r="I12" s="339"/>
      <c r="J12" s="339"/>
      <c r="K12" s="339"/>
    </row>
    <row r="13" spans="2:11" x14ac:dyDescent="0.2">
      <c r="B13" s="357">
        <f t="shared" si="0"/>
        <v>4</v>
      </c>
      <c r="C13" s="348" t="s">
        <v>12</v>
      </c>
      <c r="D13" s="355">
        <v>85</v>
      </c>
      <c r="E13" s="358">
        <f>'Rate Spread (Sch. 141D)'!H15</f>
        <v>5892.7769552188129</v>
      </c>
      <c r="F13" s="358">
        <f>'Rate Spread (Sch. 141D)'!N15</f>
        <v>12284.908068357927</v>
      </c>
      <c r="G13" s="359">
        <f>+E13-F13</f>
        <v>-6392.1311131391139</v>
      </c>
      <c r="H13" s="339"/>
      <c r="I13" s="339"/>
      <c r="J13" s="339"/>
      <c r="K13" s="339"/>
    </row>
    <row r="14" spans="2:11" x14ac:dyDescent="0.2">
      <c r="B14" s="357">
        <f t="shared" si="0"/>
        <v>5</v>
      </c>
      <c r="C14" s="348" t="s">
        <v>13</v>
      </c>
      <c r="D14" s="355">
        <v>86</v>
      </c>
      <c r="E14" s="358">
        <f>'Rate Spread (Sch. 141D)'!H16</f>
        <v>798.64614136751698</v>
      </c>
      <c r="F14" s="358">
        <f>'Rate Spread (Sch. 141D)'!N16</f>
        <v>1664.9695891102019</v>
      </c>
      <c r="G14" s="359">
        <f>+E14-F14</f>
        <v>-866.32344774268495</v>
      </c>
      <c r="H14" s="339"/>
      <c r="I14" s="339"/>
      <c r="J14" s="339"/>
      <c r="K14" s="339"/>
    </row>
    <row r="15" spans="2:11" x14ac:dyDescent="0.2">
      <c r="B15" s="357">
        <f t="shared" si="0"/>
        <v>6</v>
      </c>
      <c r="C15" s="348" t="s">
        <v>14</v>
      </c>
      <c r="D15" s="355">
        <v>87</v>
      </c>
      <c r="E15" s="358">
        <f>'Rate Spread (Sch. 141D)'!H17</f>
        <v>5006.0965606518457</v>
      </c>
      <c r="F15" s="358">
        <f>'Rate Spread (Sch. 141D)'!N17</f>
        <v>10436.409946666156</v>
      </c>
      <c r="G15" s="359">
        <f>+E15-F15</f>
        <v>-5430.3133860143098</v>
      </c>
      <c r="H15" s="339"/>
      <c r="I15" s="339"/>
      <c r="J15" s="339"/>
      <c r="K15" s="339"/>
    </row>
    <row r="16" spans="2:11" x14ac:dyDescent="0.2">
      <c r="B16" s="357">
        <f t="shared" si="0"/>
        <v>7</v>
      </c>
      <c r="C16" s="348" t="s">
        <v>15</v>
      </c>
      <c r="D16" s="355"/>
      <c r="E16" s="358">
        <f>'Rate Spread (Sch. 141D)'!H18</f>
        <v>426.20107601419159</v>
      </c>
      <c r="F16" s="358">
        <f>'Rate Spread (Sch. 141D)'!N18</f>
        <v>888.51844847658128</v>
      </c>
      <c r="G16" s="359">
        <f>+E16-F16</f>
        <v>-462.3173724623897</v>
      </c>
      <c r="H16" s="339"/>
      <c r="I16" s="339"/>
      <c r="J16" s="339"/>
      <c r="K16" s="339"/>
    </row>
    <row r="17" spans="2:11" x14ac:dyDescent="0.2">
      <c r="B17" s="357">
        <f t="shared" si="0"/>
        <v>8</v>
      </c>
      <c r="C17" s="348" t="s">
        <v>348</v>
      </c>
      <c r="D17" s="355" t="s">
        <v>110</v>
      </c>
      <c r="E17" s="360">
        <f>'Rate Spread (Sch. 141D)'!H19</f>
        <v>2051411.395087437</v>
      </c>
      <c r="F17" s="360">
        <f>'Rate Spread (Sch. 141D)'!N19</f>
        <v>1114897.4973301287</v>
      </c>
      <c r="G17" s="359">
        <f>+E17-F17</f>
        <v>936513.89775730832</v>
      </c>
      <c r="H17" s="339"/>
      <c r="I17" s="339"/>
      <c r="J17" s="339"/>
      <c r="K17" s="339"/>
    </row>
    <row r="18" spans="2:11" x14ac:dyDescent="0.2">
      <c r="B18" s="361">
        <f t="shared" si="0"/>
        <v>9</v>
      </c>
      <c r="C18" s="362" t="s">
        <v>16</v>
      </c>
      <c r="D18" s="362"/>
      <c r="E18" s="363">
        <f>SUM(E10:E17)</f>
        <v>2914764.6989022973</v>
      </c>
      <c r="F18" s="363">
        <f>SUM(F10:F17)</f>
        <v>2914764.6989022978</v>
      </c>
      <c r="G18" s="364">
        <f>SUM(G10:G17)</f>
        <v>0</v>
      </c>
      <c r="H18" s="339"/>
      <c r="I18" s="339"/>
      <c r="J18" s="339"/>
      <c r="K18" s="339"/>
    </row>
    <row r="19" spans="2:11" x14ac:dyDescent="0.2">
      <c r="E19" s="340"/>
      <c r="F19" s="340"/>
      <c r="G19" s="340"/>
    </row>
    <row r="20" spans="2:11" s="340" customFormat="1" x14ac:dyDescent="0.2"/>
    <row r="21" spans="2:11" s="340" customFormat="1" x14ac:dyDescent="0.2"/>
    <row r="22" spans="2:11" s="340" customFormat="1" x14ac:dyDescent="0.2"/>
    <row r="23" spans="2:11" s="340" customFormat="1" x14ac:dyDescent="0.2">
      <c r="E23" s="342"/>
      <c r="F23" s="343"/>
      <c r="G23" s="343"/>
    </row>
    <row r="24" spans="2:11" s="340" customFormat="1" x14ac:dyDescent="0.2"/>
    <row r="25" spans="2:11" s="340" customFormat="1" x14ac:dyDescent="0.2"/>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T23"/>
  <sheetViews>
    <sheetView zoomScale="90" zoomScaleNormal="90" workbookViewId="0">
      <pane xSplit="3" ySplit="10" topLeftCell="D11" activePane="bottomRight" state="frozen"/>
      <selection pane="topRight" activeCell="D1" sqref="D1"/>
      <selection pane="bottomLeft" activeCell="A11" sqref="A11"/>
      <selection pane="bottomRight" activeCell="F19" sqref="F19"/>
    </sheetView>
  </sheetViews>
  <sheetFormatPr defaultColWidth="9.140625" defaultRowHeight="12.75" x14ac:dyDescent="0.2"/>
  <cols>
    <col min="1" max="1" width="4.42578125" style="21" customWidth="1"/>
    <col min="2" max="2" width="31.28515625" style="21" customWidth="1"/>
    <col min="3" max="3" width="11.5703125" style="21" customWidth="1"/>
    <col min="4" max="4" width="15.85546875" style="21" customWidth="1"/>
    <col min="5" max="5" width="14.7109375" style="21" customWidth="1"/>
    <col min="6" max="6" width="17.85546875" style="21" customWidth="1"/>
    <col min="7" max="7" width="12.42578125" style="21" bestFit="1" customWidth="1"/>
    <col min="8" max="8" width="14.140625" style="21" bestFit="1" customWidth="1"/>
    <col min="9" max="9" width="9.140625" style="21"/>
    <col min="10" max="10" width="12.7109375" style="21" bestFit="1" customWidth="1"/>
    <col min="11" max="11" width="11.140625" style="21" bestFit="1" customWidth="1"/>
    <col min="12" max="12" width="12.7109375" style="21" bestFit="1" customWidth="1"/>
    <col min="13" max="13" width="12.42578125" style="21" bestFit="1" customWidth="1"/>
    <col min="14" max="14" width="12.140625" style="21" customWidth="1"/>
    <col min="15" max="15" width="9.140625" style="21"/>
    <col min="16" max="16" width="12.7109375" style="21" bestFit="1" customWidth="1"/>
    <col min="17" max="17" width="11.140625" style="21" bestFit="1" customWidth="1"/>
    <col min="18" max="18" width="12.7109375" style="21" bestFit="1" customWidth="1"/>
    <col min="19" max="19" width="12.42578125" style="21" bestFit="1" customWidth="1"/>
    <col min="20" max="20" width="11.28515625" style="21" bestFit="1" customWidth="1"/>
    <col min="21" max="21" width="9.140625" style="21"/>
    <col min="22" max="23" width="11.28515625" style="21" bestFit="1" customWidth="1"/>
    <col min="24" max="25" width="10.5703125" style="21" bestFit="1" customWidth="1"/>
    <col min="26" max="16384" width="9.140625" style="21"/>
  </cols>
  <sheetData>
    <row r="1" spans="1:20" ht="12.75" customHeight="1" x14ac:dyDescent="0.2">
      <c r="A1" s="25" t="s">
        <v>0</v>
      </c>
    </row>
    <row r="2" spans="1:20" ht="12.75" customHeight="1" x14ac:dyDescent="0.2">
      <c r="A2" s="25" t="s">
        <v>111</v>
      </c>
      <c r="B2" s="3"/>
      <c r="C2" s="3"/>
      <c r="D2" s="3"/>
      <c r="E2" s="3"/>
      <c r="F2" s="3"/>
    </row>
    <row r="3" spans="1:20" ht="12.75" customHeight="1" x14ac:dyDescent="0.2">
      <c r="A3" s="25" t="s">
        <v>59</v>
      </c>
    </row>
    <row r="4" spans="1:20" ht="12.75" customHeight="1" x14ac:dyDescent="0.2">
      <c r="A4" s="25" t="s">
        <v>26</v>
      </c>
    </row>
    <row r="5" spans="1:20" ht="12.75" customHeight="1" x14ac:dyDescent="0.2">
      <c r="A5" s="25"/>
      <c r="D5" s="304" t="s">
        <v>356</v>
      </c>
      <c r="E5" s="305"/>
      <c r="F5" s="305"/>
      <c r="G5" s="305"/>
      <c r="H5" s="306"/>
      <c r="J5" s="304" t="s">
        <v>357</v>
      </c>
      <c r="K5" s="305"/>
      <c r="L5" s="305"/>
      <c r="M5" s="305"/>
      <c r="N5" s="306"/>
      <c r="P5" s="304" t="s">
        <v>358</v>
      </c>
      <c r="Q5" s="305"/>
      <c r="R5" s="305"/>
      <c r="S5" s="305"/>
      <c r="T5" s="306"/>
    </row>
    <row r="6" spans="1:20" ht="12.75" customHeight="1" x14ac:dyDescent="0.2"/>
    <row r="7" spans="1:20" ht="12.75" customHeight="1" x14ac:dyDescent="0.2">
      <c r="A7" s="25"/>
      <c r="B7" s="25"/>
      <c r="C7" s="25"/>
      <c r="D7" s="26" t="s">
        <v>189</v>
      </c>
      <c r="E7" s="26" t="s">
        <v>189</v>
      </c>
      <c r="F7" s="26" t="s">
        <v>28</v>
      </c>
      <c r="J7" s="26" t="s">
        <v>189</v>
      </c>
      <c r="K7" s="26" t="s">
        <v>189</v>
      </c>
      <c r="L7" s="26" t="s">
        <v>28</v>
      </c>
      <c r="P7" s="26" t="s">
        <v>189</v>
      </c>
      <c r="Q7" s="26" t="s">
        <v>189</v>
      </c>
      <c r="R7" s="26" t="s">
        <v>28</v>
      </c>
    </row>
    <row r="8" spans="1:20" ht="12.75" customHeight="1" x14ac:dyDescent="0.2">
      <c r="A8" s="25"/>
      <c r="B8" s="26"/>
      <c r="C8" s="26"/>
      <c r="D8" s="26" t="s">
        <v>197</v>
      </c>
      <c r="E8" s="26" t="s">
        <v>197</v>
      </c>
      <c r="F8" s="26" t="s">
        <v>2</v>
      </c>
      <c r="G8" s="26" t="s">
        <v>195</v>
      </c>
      <c r="H8" s="26" t="s">
        <v>1</v>
      </c>
      <c r="J8" s="26" t="s">
        <v>197</v>
      </c>
      <c r="K8" s="26" t="s">
        <v>197</v>
      </c>
      <c r="L8" s="26" t="s">
        <v>2</v>
      </c>
      <c r="M8" s="26" t="s">
        <v>195</v>
      </c>
      <c r="N8" s="26" t="s">
        <v>1</v>
      </c>
      <c r="P8" s="26" t="s">
        <v>197</v>
      </c>
      <c r="Q8" s="26" t="s">
        <v>197</v>
      </c>
      <c r="R8" s="26" t="s">
        <v>2</v>
      </c>
      <c r="S8" s="26" t="s">
        <v>195</v>
      </c>
      <c r="T8" s="26" t="s">
        <v>1</v>
      </c>
    </row>
    <row r="9" spans="1:20" ht="12.75" customHeight="1" x14ac:dyDescent="0.2">
      <c r="A9" s="26" t="s">
        <v>22</v>
      </c>
      <c r="B9" s="26"/>
      <c r="C9" s="26"/>
      <c r="D9" s="26" t="s">
        <v>2</v>
      </c>
      <c r="E9" s="26" t="s">
        <v>190</v>
      </c>
      <c r="F9" s="26" t="s">
        <v>6</v>
      </c>
      <c r="G9" s="26" t="s">
        <v>191</v>
      </c>
      <c r="H9" s="26" t="s">
        <v>197</v>
      </c>
      <c r="J9" s="26" t="s">
        <v>2</v>
      </c>
      <c r="K9" s="26" t="s">
        <v>190</v>
      </c>
      <c r="L9" s="26" t="s">
        <v>6</v>
      </c>
      <c r="M9" s="26" t="s">
        <v>191</v>
      </c>
      <c r="N9" s="26" t="s">
        <v>197</v>
      </c>
      <c r="P9" s="26" t="s">
        <v>2</v>
      </c>
      <c r="Q9" s="26" t="s">
        <v>190</v>
      </c>
      <c r="R9" s="26" t="s">
        <v>6</v>
      </c>
      <c r="S9" s="26" t="s">
        <v>191</v>
      </c>
      <c r="T9" s="26" t="s">
        <v>197</v>
      </c>
    </row>
    <row r="10" spans="1:20" ht="12.75" customHeight="1" x14ac:dyDescent="0.2">
      <c r="A10" s="27" t="s">
        <v>23</v>
      </c>
      <c r="B10" s="27" t="s">
        <v>4</v>
      </c>
      <c r="C10" s="27" t="s">
        <v>5</v>
      </c>
      <c r="D10" s="27" t="s">
        <v>6</v>
      </c>
      <c r="E10" s="27" t="s">
        <v>192</v>
      </c>
      <c r="F10" s="27" t="s">
        <v>194</v>
      </c>
      <c r="G10" s="27" t="s">
        <v>193</v>
      </c>
      <c r="H10" s="27" t="s">
        <v>62</v>
      </c>
      <c r="J10" s="27" t="s">
        <v>6</v>
      </c>
      <c r="K10" s="27" t="s">
        <v>192</v>
      </c>
      <c r="L10" s="27" t="s">
        <v>194</v>
      </c>
      <c r="M10" s="27" t="s">
        <v>193</v>
      </c>
      <c r="N10" s="27" t="s">
        <v>62</v>
      </c>
      <c r="P10" s="27" t="s">
        <v>6</v>
      </c>
      <c r="Q10" s="27" t="s">
        <v>192</v>
      </c>
      <c r="R10" s="27" t="s">
        <v>194</v>
      </c>
      <c r="S10" s="27" t="s">
        <v>193</v>
      </c>
      <c r="T10" s="27" t="s">
        <v>62</v>
      </c>
    </row>
    <row r="11" spans="1:20" ht="12.75" customHeight="1" x14ac:dyDescent="0.2">
      <c r="B11" s="3" t="s">
        <v>18</v>
      </c>
      <c r="C11" s="3" t="s">
        <v>19</v>
      </c>
      <c r="D11" s="3" t="s">
        <v>20</v>
      </c>
      <c r="E11" s="3" t="s">
        <v>21</v>
      </c>
      <c r="F11" s="3" t="s">
        <v>43</v>
      </c>
      <c r="G11" s="3" t="s">
        <v>57</v>
      </c>
      <c r="H11" s="3" t="s">
        <v>58</v>
      </c>
    </row>
    <row r="12" spans="1:20" x14ac:dyDescent="0.2">
      <c r="A12" s="3">
        <v>1</v>
      </c>
      <c r="B12" s="21" t="s">
        <v>8</v>
      </c>
      <c r="C12" s="3" t="s">
        <v>9</v>
      </c>
      <c r="D12" s="223">
        <f>'Exh JDT-5 (JDT-Rate Spread)'!F87</f>
        <v>2016093.3139364917</v>
      </c>
      <c r="E12" s="117">
        <f>D12/$D$20</f>
        <v>0.69168304209796216</v>
      </c>
      <c r="F12" s="111"/>
      <c r="G12" s="111">
        <f>($D$20-$F$20)*E12</f>
        <v>597166.83958798868</v>
      </c>
      <c r="H12" s="111">
        <f>G12+F12</f>
        <v>597166.83958798868</v>
      </c>
      <c r="J12" s="223">
        <v>2016093.3139364917</v>
      </c>
      <c r="K12" s="117">
        <v>0.69168304209796216</v>
      </c>
      <c r="L12" s="111"/>
      <c r="M12" s="111">
        <v>1244937.6213557837</v>
      </c>
      <c r="N12" s="111">
        <v>1244937.6213557837</v>
      </c>
      <c r="P12" s="223">
        <f>D12-J12</f>
        <v>0</v>
      </c>
      <c r="Q12" s="117">
        <f t="shared" ref="Q12:Q20" si="0">E12-K12</f>
        <v>0</v>
      </c>
      <c r="R12" s="111"/>
      <c r="S12" s="111">
        <f t="shared" ref="S12:S20" si="1">G12-M12</f>
        <v>-647770.78176779498</v>
      </c>
      <c r="T12" s="111">
        <f t="shared" ref="T12:T20" si="2">H12-N12</f>
        <v>-647770.78176779498</v>
      </c>
    </row>
    <row r="13" spans="1:20" x14ac:dyDescent="0.2">
      <c r="A13" s="3">
        <f t="shared" ref="A13:A22" si="3">A12+1</f>
        <v>2</v>
      </c>
      <c r="B13" s="21" t="s">
        <v>10</v>
      </c>
      <c r="C13" s="3">
        <v>31</v>
      </c>
      <c r="D13" s="223">
        <f>'Exh JDT-5 (JDT-Rate Spread)'!G87</f>
        <v>710343.28746178711</v>
      </c>
      <c r="E13" s="117">
        <f t="shared" ref="E13:E18" si="4">D13/$D$20</f>
        <v>0.2437051909299241</v>
      </c>
      <c r="F13" s="111"/>
      <c r="G13" s="111">
        <f t="shared" ref="G13:G18" si="5">($D$20-$F$20)*E13</f>
        <v>210403.6817461813</v>
      </c>
      <c r="H13" s="111">
        <f t="shared" ref="H13:H19" si="6">G13+F13</f>
        <v>210403.6817461813</v>
      </c>
      <c r="J13" s="223">
        <v>710343.28746178711</v>
      </c>
      <c r="K13" s="117">
        <v>0.2437051909299241</v>
      </c>
      <c r="L13" s="111"/>
      <c r="M13" s="111">
        <v>438636.98000765353</v>
      </c>
      <c r="N13" s="111">
        <v>438636.98000765353</v>
      </c>
      <c r="P13" s="223">
        <f t="shared" ref="P13:P20" si="7">D13-J13</f>
        <v>0</v>
      </c>
      <c r="Q13" s="117">
        <f t="shared" si="0"/>
        <v>0</v>
      </c>
      <c r="R13" s="111"/>
      <c r="S13" s="111">
        <f t="shared" si="1"/>
        <v>-228233.29826147223</v>
      </c>
      <c r="T13" s="111">
        <f t="shared" si="2"/>
        <v>-228233.29826147223</v>
      </c>
    </row>
    <row r="14" spans="1:20" x14ac:dyDescent="0.2">
      <c r="A14" s="3">
        <f t="shared" si="3"/>
        <v>3</v>
      </c>
      <c r="B14" s="21" t="s">
        <v>11</v>
      </c>
      <c r="C14" s="3">
        <v>41</v>
      </c>
      <c r="D14" s="223">
        <f>'Exh JDT-5 (JDT-Rate Spread)'!H87</f>
        <v>147397.23749979044</v>
      </c>
      <c r="E14" s="117">
        <f t="shared" si="4"/>
        <v>5.0569172034813085E-2</v>
      </c>
      <c r="F14" s="111"/>
      <c r="G14" s="111">
        <f t="shared" si="5"/>
        <v>43659.061747437918</v>
      </c>
      <c r="H14" s="111">
        <f t="shared" si="6"/>
        <v>43659.061747437918</v>
      </c>
      <c r="J14" s="223">
        <v>147397.23749979044</v>
      </c>
      <c r="K14" s="117">
        <v>5.0569172034813085E-2</v>
      </c>
      <c r="L14" s="111"/>
      <c r="M14" s="111">
        <v>91017.794156120595</v>
      </c>
      <c r="N14" s="111">
        <v>91017.794156120595</v>
      </c>
      <c r="P14" s="223">
        <f t="shared" si="7"/>
        <v>0</v>
      </c>
      <c r="Q14" s="117">
        <f t="shared" si="0"/>
        <v>0</v>
      </c>
      <c r="R14" s="111"/>
      <c r="S14" s="111">
        <f t="shared" si="1"/>
        <v>-47358.732408682677</v>
      </c>
      <c r="T14" s="111">
        <f t="shared" si="2"/>
        <v>-47358.732408682677</v>
      </c>
    </row>
    <row r="15" spans="1:20" x14ac:dyDescent="0.2">
      <c r="A15" s="3">
        <f t="shared" si="3"/>
        <v>4</v>
      </c>
      <c r="B15" s="21" t="s">
        <v>12</v>
      </c>
      <c r="C15" s="3">
        <v>85</v>
      </c>
      <c r="D15" s="223">
        <f>'Exh JDT-5 (JDT-Rate Spread)'!I87</f>
        <v>19894.587964952108</v>
      </c>
      <c r="E15" s="117">
        <f t="shared" si="4"/>
        <v>6.8254524876208448E-3</v>
      </c>
      <c r="F15" s="111"/>
      <c r="G15" s="111">
        <f t="shared" si="5"/>
        <v>5892.7769552188129</v>
      </c>
      <c r="H15" s="111">
        <f t="shared" si="6"/>
        <v>5892.7769552188129</v>
      </c>
      <c r="J15" s="223">
        <v>19894.587964952108</v>
      </c>
      <c r="K15" s="117">
        <v>6.8254524876208448E-3</v>
      </c>
      <c r="L15" s="111"/>
      <c r="M15" s="111">
        <v>12284.908068357927</v>
      </c>
      <c r="N15" s="111">
        <v>12284.908068357927</v>
      </c>
      <c r="P15" s="223">
        <f t="shared" si="7"/>
        <v>0</v>
      </c>
      <c r="Q15" s="117">
        <f t="shared" si="0"/>
        <v>0</v>
      </c>
      <c r="R15" s="111"/>
      <c r="S15" s="111">
        <f t="shared" si="1"/>
        <v>-6392.1311131391139</v>
      </c>
      <c r="T15" s="111">
        <f t="shared" si="2"/>
        <v>-6392.1311131391139</v>
      </c>
    </row>
    <row r="16" spans="1:20" x14ac:dyDescent="0.2">
      <c r="A16" s="3">
        <f t="shared" si="3"/>
        <v>5</v>
      </c>
      <c r="B16" s="21" t="s">
        <v>13</v>
      </c>
      <c r="C16" s="3">
        <v>86</v>
      </c>
      <c r="D16" s="223">
        <f>'Exh JDT-5 (JDT-Rate Spread)'!J87</f>
        <v>2696.3070268991123</v>
      </c>
      <c r="E16" s="117">
        <f t="shared" si="4"/>
        <v>9.2505135248637524E-4</v>
      </c>
      <c r="F16" s="111"/>
      <c r="G16" s="111">
        <f t="shared" si="5"/>
        <v>798.64614136751698</v>
      </c>
      <c r="H16" s="111">
        <f t="shared" si="6"/>
        <v>798.64614136751698</v>
      </c>
      <c r="J16" s="223">
        <v>2696.3070268991123</v>
      </c>
      <c r="K16" s="117">
        <v>9.2505135248637524E-4</v>
      </c>
      <c r="L16" s="111"/>
      <c r="M16" s="111">
        <v>1664.9695891102019</v>
      </c>
      <c r="N16" s="111">
        <v>1664.9695891102019</v>
      </c>
      <c r="P16" s="223">
        <f t="shared" si="7"/>
        <v>0</v>
      </c>
      <c r="Q16" s="117">
        <f t="shared" si="0"/>
        <v>0</v>
      </c>
      <c r="R16" s="111"/>
      <c r="S16" s="111">
        <f t="shared" si="1"/>
        <v>-866.32344774268495</v>
      </c>
      <c r="T16" s="111">
        <f t="shared" si="2"/>
        <v>-866.32344774268495</v>
      </c>
    </row>
    <row r="17" spans="1:20" x14ac:dyDescent="0.2">
      <c r="A17" s="3">
        <f t="shared" si="3"/>
        <v>6</v>
      </c>
      <c r="B17" s="21" t="s">
        <v>14</v>
      </c>
      <c r="C17" s="3">
        <v>87</v>
      </c>
      <c r="D17" s="223">
        <f>'Exh JDT-5 (JDT-Rate Spread)'!K87</f>
        <v>16901.068739540333</v>
      </c>
      <c r="E17" s="117">
        <f t="shared" si="4"/>
        <v>5.7984333163858095E-3</v>
      </c>
      <c r="F17" s="111"/>
      <c r="G17" s="111">
        <f t="shared" si="5"/>
        <v>5006.0965606518457</v>
      </c>
      <c r="H17" s="111">
        <f t="shared" si="6"/>
        <v>5006.0965606518457</v>
      </c>
      <c r="J17" s="223">
        <v>16901.068739540333</v>
      </c>
      <c r="K17" s="117">
        <v>5.7984333163858095E-3</v>
      </c>
      <c r="L17" s="111"/>
      <c r="M17" s="111">
        <v>10436.409946666156</v>
      </c>
      <c r="N17" s="111">
        <v>10436.409946666156</v>
      </c>
      <c r="P17" s="223">
        <f t="shared" si="7"/>
        <v>0</v>
      </c>
      <c r="Q17" s="117">
        <f t="shared" si="0"/>
        <v>0</v>
      </c>
      <c r="R17" s="111"/>
      <c r="S17" s="111">
        <f t="shared" si="1"/>
        <v>-5430.3133860143098</v>
      </c>
      <c r="T17" s="111">
        <f t="shared" si="2"/>
        <v>-5430.3133860143098</v>
      </c>
    </row>
    <row r="18" spans="1:20" x14ac:dyDescent="0.2">
      <c r="A18" s="3">
        <f t="shared" si="3"/>
        <v>7</v>
      </c>
      <c r="B18" s="21" t="s">
        <v>15</v>
      </c>
      <c r="C18" s="3"/>
      <c r="D18" s="223">
        <f>'Exh JDT-5 (JDT-Rate Spread)'!L87</f>
        <v>1438.8962728365686</v>
      </c>
      <c r="E18" s="117">
        <f t="shared" si="4"/>
        <v>4.9365778080764401E-4</v>
      </c>
      <c r="F18" s="111"/>
      <c r="G18" s="111">
        <f t="shared" si="5"/>
        <v>426.20107601419159</v>
      </c>
      <c r="H18" s="111">
        <f t="shared" si="6"/>
        <v>426.20107601419159</v>
      </c>
      <c r="J18" s="223">
        <v>1438.8962728365686</v>
      </c>
      <c r="K18" s="117">
        <v>4.9365778080764401E-4</v>
      </c>
      <c r="L18" s="111"/>
      <c r="M18" s="111">
        <v>888.51844847658128</v>
      </c>
      <c r="N18" s="111">
        <v>888.51844847658128</v>
      </c>
      <c r="P18" s="223">
        <f t="shared" si="7"/>
        <v>0</v>
      </c>
      <c r="Q18" s="117">
        <f t="shared" si="0"/>
        <v>0</v>
      </c>
      <c r="R18" s="111"/>
      <c r="S18" s="111">
        <f t="shared" si="1"/>
        <v>-462.3173724623897</v>
      </c>
      <c r="T18" s="111">
        <f t="shared" si="2"/>
        <v>-462.3173724623897</v>
      </c>
    </row>
    <row r="19" spans="1:20" x14ac:dyDescent="0.2">
      <c r="A19" s="3">
        <f t="shared" si="3"/>
        <v>8</v>
      </c>
      <c r="B19" s="21" t="s">
        <v>348</v>
      </c>
      <c r="C19" s="3" t="s">
        <v>110</v>
      </c>
      <c r="D19" s="112"/>
      <c r="E19" s="118"/>
      <c r="F19" s="113">
        <f>D20*F22</f>
        <v>2051411.395087437</v>
      </c>
      <c r="G19" s="113"/>
      <c r="H19" s="111">
        <f t="shared" si="6"/>
        <v>2051411.395087437</v>
      </c>
      <c r="J19" s="112"/>
      <c r="K19" s="118"/>
      <c r="L19" s="113">
        <v>1114897.4973301287</v>
      </c>
      <c r="M19" s="113"/>
      <c r="N19" s="111">
        <v>1114897.4973301287</v>
      </c>
      <c r="P19" s="112">
        <f t="shared" si="7"/>
        <v>0</v>
      </c>
      <c r="Q19" s="118">
        <f t="shared" si="0"/>
        <v>0</v>
      </c>
      <c r="R19" s="113">
        <f t="shared" ref="R19:R22" si="8">F19-L19</f>
        <v>936513.89775730832</v>
      </c>
      <c r="S19" s="113">
        <f t="shared" si="1"/>
        <v>0</v>
      </c>
      <c r="T19" s="111">
        <f t="shared" si="2"/>
        <v>936513.89775730832</v>
      </c>
    </row>
    <row r="20" spans="1:20" x14ac:dyDescent="0.2">
      <c r="A20" s="3">
        <f t="shared" si="3"/>
        <v>9</v>
      </c>
      <c r="B20" s="21" t="s">
        <v>16</v>
      </c>
      <c r="D20" s="114">
        <f>SUM(D12:D19)</f>
        <v>2914764.6989022973</v>
      </c>
      <c r="E20" s="117">
        <f>SUM(E12:E19)</f>
        <v>1</v>
      </c>
      <c r="F20" s="114">
        <f>SUM(F12:F19)</f>
        <v>2051411.395087437</v>
      </c>
      <c r="G20" s="111">
        <f>SUM(G12:G19)</f>
        <v>863353.30381486041</v>
      </c>
      <c r="H20" s="119">
        <f>SUM(H12:H19)</f>
        <v>2914764.6989022973</v>
      </c>
      <c r="J20" s="114">
        <v>2914764.6989022973</v>
      </c>
      <c r="K20" s="117">
        <v>1</v>
      </c>
      <c r="L20" s="114">
        <v>1114897.4973301287</v>
      </c>
      <c r="M20" s="111">
        <v>1799867.2015721689</v>
      </c>
      <c r="N20" s="119">
        <v>2914764.6989022978</v>
      </c>
      <c r="P20" s="114">
        <f t="shared" si="7"/>
        <v>0</v>
      </c>
      <c r="Q20" s="117">
        <f t="shared" si="0"/>
        <v>0</v>
      </c>
      <c r="R20" s="114">
        <f t="shared" si="8"/>
        <v>936513.89775730832</v>
      </c>
      <c r="S20" s="111">
        <f t="shared" si="1"/>
        <v>-936513.89775730844</v>
      </c>
      <c r="T20" s="119">
        <f t="shared" si="2"/>
        <v>0</v>
      </c>
    </row>
    <row r="21" spans="1:20" x14ac:dyDescent="0.2">
      <c r="A21" s="3">
        <f t="shared" si="3"/>
        <v>10</v>
      </c>
      <c r="F21" s="115"/>
    </row>
    <row r="22" spans="1:20" x14ac:dyDescent="0.2">
      <c r="A22" s="3">
        <f t="shared" si="3"/>
        <v>11</v>
      </c>
      <c r="E22" s="116" t="s">
        <v>196</v>
      </c>
      <c r="F22" s="303">
        <f>'Exh. WJD-3 p. 1'!J18</f>
        <v>0.70380000000000009</v>
      </c>
      <c r="K22" s="116" t="s">
        <v>196</v>
      </c>
      <c r="L22" s="303">
        <v>0.38250000000000001</v>
      </c>
      <c r="Q22" s="116" t="s">
        <v>196</v>
      </c>
      <c r="R22" s="303">
        <f t="shared" si="8"/>
        <v>0.32130000000000009</v>
      </c>
    </row>
    <row r="23" spans="1:20" x14ac:dyDescent="0.2">
      <c r="R23" s="303"/>
    </row>
  </sheetData>
  <printOptions horizontalCentered="1"/>
  <pageMargins left="0.45" right="0.45" top="0.75" bottom="0.75" header="0.3" footer="0.3"/>
  <pageSetup orientation="landscape" blackAndWhite="1" r:id="rId1"/>
  <headerFooter>
    <oddFooter>&amp;R&amp;A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Q20"/>
  <sheetViews>
    <sheetView zoomScale="90" zoomScaleNormal="90" workbookViewId="0">
      <selection activeCell="Q19" sqref="Q19"/>
    </sheetView>
  </sheetViews>
  <sheetFormatPr defaultColWidth="9.140625" defaultRowHeight="12.75" x14ac:dyDescent="0.2"/>
  <cols>
    <col min="1" max="1" width="4.42578125" style="21" customWidth="1"/>
    <col min="2" max="2" width="31.28515625" style="21" customWidth="1"/>
    <col min="3" max="3" width="11.5703125" style="21" customWidth="1"/>
    <col min="4" max="5" width="14.7109375" style="21" customWidth="1"/>
    <col min="6" max="6" width="17.85546875" style="21" customWidth="1"/>
    <col min="7" max="7" width="15.85546875" style="21" bestFit="1" customWidth="1"/>
    <col min="8" max="8" width="9.140625" style="21"/>
    <col min="9" max="9" width="12.7109375" style="21" bestFit="1" customWidth="1"/>
    <col min="10" max="10" width="11.140625" style="21" bestFit="1" customWidth="1"/>
    <col min="11" max="11" width="18.85546875" style="21" bestFit="1" customWidth="1"/>
    <col min="12" max="12" width="15.85546875" style="21" bestFit="1" customWidth="1"/>
    <col min="13" max="13" width="9.140625" style="21"/>
    <col min="14" max="14" width="12.7109375" style="21" bestFit="1" customWidth="1"/>
    <col min="15" max="15" width="11.140625" style="21" bestFit="1" customWidth="1"/>
    <col min="16" max="16" width="18.85546875" style="21" bestFit="1" customWidth="1"/>
    <col min="17" max="17" width="15.85546875" style="21" bestFit="1" customWidth="1"/>
    <col min="18" max="16384" width="9.140625" style="21"/>
  </cols>
  <sheetData>
    <row r="1" spans="1:17" ht="12.75" customHeight="1" x14ac:dyDescent="0.2">
      <c r="A1" s="25" t="s">
        <v>0</v>
      </c>
    </row>
    <row r="2" spans="1:17" ht="12.75" customHeight="1" x14ac:dyDescent="0.2">
      <c r="A2" s="25" t="s">
        <v>111</v>
      </c>
      <c r="B2" s="3"/>
      <c r="C2" s="3"/>
      <c r="D2" s="3"/>
      <c r="E2" s="3"/>
      <c r="F2" s="3"/>
    </row>
    <row r="3" spans="1:17" ht="12.75" customHeight="1" x14ac:dyDescent="0.2">
      <c r="A3" s="25" t="s">
        <v>354</v>
      </c>
    </row>
    <row r="4" spans="1:17" ht="12.75" customHeight="1" x14ac:dyDescent="0.2">
      <c r="A4" s="25" t="s">
        <v>26</v>
      </c>
    </row>
    <row r="5" spans="1:17" ht="12.75" customHeight="1" x14ac:dyDescent="0.2">
      <c r="A5" s="25"/>
      <c r="D5" s="304" t="s">
        <v>356</v>
      </c>
      <c r="E5" s="305"/>
      <c r="F5" s="305"/>
      <c r="G5" s="306"/>
      <c r="I5" s="304" t="s">
        <v>357</v>
      </c>
      <c r="J5" s="305"/>
      <c r="K5" s="305"/>
      <c r="L5" s="306"/>
      <c r="N5" s="304" t="s">
        <v>358</v>
      </c>
      <c r="O5" s="305"/>
      <c r="P5" s="305"/>
      <c r="Q5" s="306"/>
    </row>
    <row r="6" spans="1:17" ht="12.75" customHeight="1" x14ac:dyDescent="0.2"/>
    <row r="7" spans="1:17" ht="12.75" customHeight="1" x14ac:dyDescent="0.2">
      <c r="A7" s="25"/>
      <c r="B7" s="25"/>
      <c r="C7" s="25"/>
      <c r="D7" s="26" t="s">
        <v>189</v>
      </c>
      <c r="E7" s="26" t="s">
        <v>189</v>
      </c>
      <c r="F7" s="26" t="s">
        <v>307</v>
      </c>
      <c r="I7" s="26" t="s">
        <v>189</v>
      </c>
      <c r="J7" s="26" t="s">
        <v>189</v>
      </c>
      <c r="K7" s="26" t="s">
        <v>307</v>
      </c>
      <c r="N7" s="26" t="s">
        <v>189</v>
      </c>
      <c r="O7" s="26" t="s">
        <v>189</v>
      </c>
      <c r="P7" s="26" t="s">
        <v>307</v>
      </c>
    </row>
    <row r="8" spans="1:17" ht="12.75" customHeight="1" x14ac:dyDescent="0.2">
      <c r="A8" s="25"/>
      <c r="B8" s="26"/>
      <c r="C8" s="26"/>
      <c r="D8" s="26" t="s">
        <v>197</v>
      </c>
      <c r="E8" s="26" t="s">
        <v>197</v>
      </c>
      <c r="F8" s="26" t="s">
        <v>209</v>
      </c>
      <c r="G8" s="26" t="s">
        <v>1</v>
      </c>
      <c r="I8" s="26" t="s">
        <v>197</v>
      </c>
      <c r="J8" s="26" t="s">
        <v>197</v>
      </c>
      <c r="K8" s="26" t="s">
        <v>209</v>
      </c>
      <c r="L8" s="26" t="s">
        <v>1</v>
      </c>
      <c r="N8" s="26" t="s">
        <v>197</v>
      </c>
      <c r="O8" s="26" t="s">
        <v>197</v>
      </c>
      <c r="P8" s="26" t="s">
        <v>209</v>
      </c>
      <c r="Q8" s="26" t="s">
        <v>1</v>
      </c>
    </row>
    <row r="9" spans="1:17" ht="12.75" customHeight="1" x14ac:dyDescent="0.2">
      <c r="A9" s="26" t="s">
        <v>22</v>
      </c>
      <c r="B9" s="26"/>
      <c r="C9" s="26"/>
      <c r="D9" s="26" t="s">
        <v>2</v>
      </c>
      <c r="E9" s="26" t="s">
        <v>190</v>
      </c>
      <c r="F9" s="26" t="s">
        <v>308</v>
      </c>
      <c r="G9" s="26" t="s">
        <v>352</v>
      </c>
      <c r="I9" s="26" t="s">
        <v>2</v>
      </c>
      <c r="J9" s="26" t="s">
        <v>190</v>
      </c>
      <c r="K9" s="26" t="s">
        <v>308</v>
      </c>
      <c r="L9" s="26" t="s">
        <v>352</v>
      </c>
      <c r="N9" s="26" t="s">
        <v>2</v>
      </c>
      <c r="O9" s="26" t="s">
        <v>190</v>
      </c>
      <c r="P9" s="26" t="s">
        <v>308</v>
      </c>
      <c r="Q9" s="26" t="s">
        <v>352</v>
      </c>
    </row>
    <row r="10" spans="1:17" ht="12.75" customHeight="1" x14ac:dyDescent="0.2">
      <c r="A10" s="27" t="s">
        <v>23</v>
      </c>
      <c r="B10" s="27" t="s">
        <v>4</v>
      </c>
      <c r="C10" s="27" t="s">
        <v>5</v>
      </c>
      <c r="D10" s="27" t="s">
        <v>6</v>
      </c>
      <c r="E10" s="27" t="s">
        <v>192</v>
      </c>
      <c r="F10" s="27" t="s">
        <v>309</v>
      </c>
      <c r="G10" s="27" t="s">
        <v>62</v>
      </c>
      <c r="I10" s="27" t="s">
        <v>6</v>
      </c>
      <c r="J10" s="27" t="s">
        <v>192</v>
      </c>
      <c r="K10" s="27" t="s">
        <v>309</v>
      </c>
      <c r="L10" s="27" t="s">
        <v>62</v>
      </c>
      <c r="N10" s="27" t="s">
        <v>6</v>
      </c>
      <c r="O10" s="27" t="s">
        <v>192</v>
      </c>
      <c r="P10" s="27" t="s">
        <v>309</v>
      </c>
      <c r="Q10" s="27" t="s">
        <v>62</v>
      </c>
    </row>
    <row r="11" spans="1:17" ht="12.75" customHeight="1" x14ac:dyDescent="0.2">
      <c r="B11" s="3" t="s">
        <v>18</v>
      </c>
      <c r="C11" s="3" t="s">
        <v>19</v>
      </c>
      <c r="D11" s="3" t="s">
        <v>20</v>
      </c>
      <c r="E11" s="3" t="s">
        <v>21</v>
      </c>
      <c r="F11" s="3" t="s">
        <v>43</v>
      </c>
      <c r="G11" s="3" t="s">
        <v>57</v>
      </c>
      <c r="I11" s="3" t="s">
        <v>20</v>
      </c>
      <c r="J11" s="3" t="s">
        <v>21</v>
      </c>
      <c r="K11" s="3" t="s">
        <v>43</v>
      </c>
      <c r="L11" s="3" t="s">
        <v>57</v>
      </c>
      <c r="N11" s="3" t="s">
        <v>20</v>
      </c>
      <c r="O11" s="3" t="s">
        <v>21</v>
      </c>
      <c r="P11" s="3" t="s">
        <v>43</v>
      </c>
      <c r="Q11" s="3" t="s">
        <v>57</v>
      </c>
    </row>
    <row r="12" spans="1:17" x14ac:dyDescent="0.2">
      <c r="A12" s="3">
        <v>1</v>
      </c>
      <c r="B12" s="21" t="s">
        <v>8</v>
      </c>
      <c r="C12" s="3" t="s">
        <v>9</v>
      </c>
      <c r="D12" s="223">
        <f>'Exh JDT-5 (JDT-Rate Spread)'!F87</f>
        <v>2016093.3139364917</v>
      </c>
      <c r="E12" s="117">
        <f>D12/$D$20</f>
        <v>0.69168304209796216</v>
      </c>
      <c r="F12" s="111"/>
      <c r="G12" s="111">
        <f>-$F$19*E12</f>
        <v>1418926.4743485029</v>
      </c>
      <c r="I12" s="223">
        <v>2016093.3139364917</v>
      </c>
      <c r="J12" s="117">
        <v>0.69168304209796216</v>
      </c>
      <c r="K12" s="111"/>
      <c r="L12" s="111">
        <v>771155.69258070807</v>
      </c>
      <c r="N12" s="223">
        <f>D12-I12</f>
        <v>0</v>
      </c>
      <c r="O12" s="117">
        <f t="shared" ref="O12:O19" si="0">E12-J12</f>
        <v>0</v>
      </c>
      <c r="P12" s="111"/>
      <c r="Q12" s="111">
        <f t="shared" ref="Q12:Q19" si="1">G12-L12</f>
        <v>647770.78176779486</v>
      </c>
    </row>
    <row r="13" spans="1:17" x14ac:dyDescent="0.2">
      <c r="A13" s="3">
        <f t="shared" ref="A13:A20" si="2">A12+1</f>
        <v>2</v>
      </c>
      <c r="B13" s="21" t="s">
        <v>10</v>
      </c>
      <c r="C13" s="3">
        <v>31</v>
      </c>
      <c r="D13" s="223">
        <f>'Exh JDT-5 (JDT-Rate Spread)'!G87</f>
        <v>710343.28746178711</v>
      </c>
      <c r="E13" s="117">
        <f t="shared" ref="E13:E17" si="3">D13/$D$20</f>
        <v>0.2437051909299241</v>
      </c>
      <c r="F13" s="111"/>
      <c r="G13" s="111">
        <f t="shared" ref="G13:G18" si="4">-$F$19*E13</f>
        <v>499939.60571560578</v>
      </c>
      <c r="I13" s="223">
        <v>710343.28746178711</v>
      </c>
      <c r="J13" s="117">
        <v>0.2437051909299241</v>
      </c>
      <c r="K13" s="111"/>
      <c r="L13" s="111">
        <v>271706.30745413358</v>
      </c>
      <c r="N13" s="223">
        <f t="shared" ref="N13:N19" si="5">D13-I13</f>
        <v>0</v>
      </c>
      <c r="O13" s="117">
        <f t="shared" si="0"/>
        <v>0</v>
      </c>
      <c r="P13" s="111"/>
      <c r="Q13" s="111">
        <f t="shared" si="1"/>
        <v>228233.2982614722</v>
      </c>
    </row>
    <row r="14" spans="1:17" x14ac:dyDescent="0.2">
      <c r="A14" s="3">
        <f t="shared" si="2"/>
        <v>3</v>
      </c>
      <c r="B14" s="21" t="s">
        <v>11</v>
      </c>
      <c r="C14" s="3">
        <v>41</v>
      </c>
      <c r="D14" s="223">
        <f>'Exh JDT-5 (JDT-Rate Spread)'!H87</f>
        <v>147397.23749979044</v>
      </c>
      <c r="E14" s="117">
        <f t="shared" si="3"/>
        <v>5.0569172034813085E-2</v>
      </c>
      <c r="F14" s="111"/>
      <c r="G14" s="111">
        <f t="shared" si="4"/>
        <v>103738.17575235252</v>
      </c>
      <c r="I14" s="223">
        <v>147397.23749979044</v>
      </c>
      <c r="J14" s="117">
        <v>5.0569172034813085E-2</v>
      </c>
      <c r="K14" s="111"/>
      <c r="L14" s="111">
        <v>56379.443343669838</v>
      </c>
      <c r="N14" s="223">
        <f t="shared" si="5"/>
        <v>0</v>
      </c>
      <c r="O14" s="117">
        <f t="shared" si="0"/>
        <v>0</v>
      </c>
      <c r="P14" s="111"/>
      <c r="Q14" s="111">
        <f t="shared" si="1"/>
        <v>47358.732408682677</v>
      </c>
    </row>
    <row r="15" spans="1:17" x14ac:dyDescent="0.2">
      <c r="A15" s="3">
        <f t="shared" si="2"/>
        <v>4</v>
      </c>
      <c r="B15" s="21" t="s">
        <v>12</v>
      </c>
      <c r="C15" s="3">
        <v>85</v>
      </c>
      <c r="D15" s="223">
        <f>'Exh JDT-5 (JDT-Rate Spread)'!I87</f>
        <v>19894.587964952108</v>
      </c>
      <c r="E15" s="117">
        <f t="shared" si="3"/>
        <v>6.8254524876208448E-3</v>
      </c>
      <c r="F15" s="111"/>
      <c r="G15" s="111">
        <f t="shared" si="4"/>
        <v>14001.811009733294</v>
      </c>
      <c r="I15" s="223">
        <v>19894.587964952108</v>
      </c>
      <c r="J15" s="117">
        <v>6.8254524876208448E-3</v>
      </c>
      <c r="K15" s="111"/>
      <c r="L15" s="111">
        <v>7609.6798965941807</v>
      </c>
      <c r="N15" s="223">
        <f t="shared" si="5"/>
        <v>0</v>
      </c>
      <c r="O15" s="117">
        <f t="shared" si="0"/>
        <v>0</v>
      </c>
      <c r="P15" s="111"/>
      <c r="Q15" s="111">
        <f t="shared" si="1"/>
        <v>6392.131113139113</v>
      </c>
    </row>
    <row r="16" spans="1:17" x14ac:dyDescent="0.2">
      <c r="A16" s="3">
        <f t="shared" si="2"/>
        <v>5</v>
      </c>
      <c r="B16" s="21" t="s">
        <v>13</v>
      </c>
      <c r="C16" s="3">
        <v>86</v>
      </c>
      <c r="D16" s="223">
        <f>'Exh JDT-5 (JDT-Rate Spread)'!J87</f>
        <v>2696.3070268991123</v>
      </c>
      <c r="E16" s="117">
        <f t="shared" si="3"/>
        <v>9.2505135248637524E-4</v>
      </c>
      <c r="F16" s="111"/>
      <c r="G16" s="111">
        <f t="shared" si="4"/>
        <v>1897.6608855315956</v>
      </c>
      <c r="I16" s="223">
        <v>2696.3070268991123</v>
      </c>
      <c r="J16" s="117">
        <v>9.2505135248637524E-4</v>
      </c>
      <c r="K16" s="111"/>
      <c r="L16" s="111">
        <v>1031.3374377889104</v>
      </c>
      <c r="N16" s="223">
        <f t="shared" si="5"/>
        <v>0</v>
      </c>
      <c r="O16" s="117">
        <f t="shared" si="0"/>
        <v>0</v>
      </c>
      <c r="P16" s="111"/>
      <c r="Q16" s="111">
        <f t="shared" si="1"/>
        <v>866.32344774268518</v>
      </c>
    </row>
    <row r="17" spans="1:17" x14ac:dyDescent="0.2">
      <c r="A17" s="3">
        <f t="shared" si="2"/>
        <v>6</v>
      </c>
      <c r="B17" s="21" t="s">
        <v>14</v>
      </c>
      <c r="C17" s="3">
        <v>87</v>
      </c>
      <c r="D17" s="223">
        <f>'Exh JDT-5 (JDT-Rate Spread)'!K87</f>
        <v>16901.068739540333</v>
      </c>
      <c r="E17" s="117">
        <f t="shared" si="3"/>
        <v>5.7984333163858095E-3</v>
      </c>
      <c r="F17" s="111"/>
      <c r="G17" s="111">
        <f t="shared" si="4"/>
        <v>11894.972178888487</v>
      </c>
      <c r="I17" s="223">
        <v>16901.068739540333</v>
      </c>
      <c r="J17" s="117">
        <v>5.7984333163858095E-3</v>
      </c>
      <c r="K17" s="111"/>
      <c r="L17" s="111">
        <v>6464.6587928741774</v>
      </c>
      <c r="N17" s="223">
        <f t="shared" si="5"/>
        <v>0</v>
      </c>
      <c r="O17" s="117">
        <f t="shared" si="0"/>
        <v>0</v>
      </c>
      <c r="P17" s="111"/>
      <c r="Q17" s="111">
        <f t="shared" si="1"/>
        <v>5430.3133860143098</v>
      </c>
    </row>
    <row r="18" spans="1:17" x14ac:dyDescent="0.2">
      <c r="A18" s="3">
        <f t="shared" si="2"/>
        <v>7</v>
      </c>
      <c r="B18" s="21" t="s">
        <v>15</v>
      </c>
      <c r="C18" s="3"/>
      <c r="D18" s="223">
        <f>'Exh JDT-5 (JDT-Rate Spread)'!L87</f>
        <v>1438.8962728365686</v>
      </c>
      <c r="E18" s="117">
        <f>D18/$D$20</f>
        <v>4.9365778080764401E-4</v>
      </c>
      <c r="F18" s="111"/>
      <c r="G18" s="111">
        <f t="shared" si="4"/>
        <v>1012.6951968223772</v>
      </c>
      <c r="I18" s="223">
        <v>1438.8962728365686</v>
      </c>
      <c r="J18" s="117">
        <v>4.9365778080764401E-4</v>
      </c>
      <c r="K18" s="111"/>
      <c r="L18" s="111">
        <v>550.37782435998759</v>
      </c>
      <c r="N18" s="223">
        <f t="shared" si="5"/>
        <v>0</v>
      </c>
      <c r="O18" s="117">
        <f t="shared" si="0"/>
        <v>0</v>
      </c>
      <c r="P18" s="111"/>
      <c r="Q18" s="111">
        <f t="shared" si="1"/>
        <v>462.31737246238959</v>
      </c>
    </row>
    <row r="19" spans="1:17" x14ac:dyDescent="0.2">
      <c r="A19" s="3">
        <f t="shared" si="2"/>
        <v>8</v>
      </c>
      <c r="B19" s="21" t="s">
        <v>348</v>
      </c>
      <c r="C19" s="3" t="s">
        <v>110</v>
      </c>
      <c r="D19" s="112"/>
      <c r="E19" s="118"/>
      <c r="F19" s="113">
        <f>-'Rate Spread (Sch. 141D)'!F19</f>
        <v>-2051411.395087437</v>
      </c>
      <c r="G19" s="111"/>
      <c r="I19" s="112"/>
      <c r="J19" s="118"/>
      <c r="K19" s="113">
        <v>-1114897.4973301287</v>
      </c>
      <c r="L19" s="111"/>
      <c r="N19" s="112">
        <f t="shared" si="5"/>
        <v>0</v>
      </c>
      <c r="O19" s="118">
        <f t="shared" si="0"/>
        <v>0</v>
      </c>
      <c r="P19" s="113">
        <f t="shared" ref="P19" si="6">F19-K19</f>
        <v>-936513.89775730832</v>
      </c>
      <c r="Q19" s="111">
        <f t="shared" si="1"/>
        <v>0</v>
      </c>
    </row>
    <row r="20" spans="1:17" x14ac:dyDescent="0.2">
      <c r="A20" s="3">
        <f t="shared" si="2"/>
        <v>9</v>
      </c>
      <c r="B20" s="21" t="s">
        <v>16</v>
      </c>
      <c r="D20" s="114">
        <f>SUM(D12:D19)</f>
        <v>2914764.6989022973</v>
      </c>
      <c r="E20" s="117">
        <f>SUM(E12:E19)</f>
        <v>1</v>
      </c>
      <c r="F20" s="114">
        <f>SUM(F12:F19)</f>
        <v>-2051411.395087437</v>
      </c>
      <c r="G20" s="119">
        <f>SUM(G12:G19)</f>
        <v>2051411.3950874368</v>
      </c>
      <c r="I20" s="114">
        <v>2914764.6989022973</v>
      </c>
      <c r="J20" s="117">
        <v>1</v>
      </c>
      <c r="K20" s="114">
        <v>-1114897.4973301287</v>
      </c>
      <c r="L20" s="119">
        <v>1114897.4973301289</v>
      </c>
      <c r="N20" s="114">
        <f t="shared" ref="N20" si="7">D20-I20</f>
        <v>0</v>
      </c>
      <c r="O20" s="117">
        <f t="shared" ref="O20" si="8">E20-J20</f>
        <v>0</v>
      </c>
      <c r="P20" s="114">
        <f t="shared" ref="P20" si="9">F20-K20</f>
        <v>-936513.89775730832</v>
      </c>
      <c r="Q20" s="119">
        <f t="shared" ref="Q20" si="10">G20-L20</f>
        <v>936513.89775730786</v>
      </c>
    </row>
  </sheetData>
  <printOptions horizontalCentered="1"/>
  <pageMargins left="0.45" right="0.45" top="0.75" bottom="0.75" header="0.3" footer="0.3"/>
  <pageSetup orientation="landscape" blackAndWhite="1" r:id="rId1"/>
  <headerFooter>
    <oddFooter>&amp;R&amp;A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O54"/>
  <sheetViews>
    <sheetView zoomScale="90" zoomScaleNormal="90" workbookViewId="0">
      <selection activeCell="B15" sqref="B15"/>
    </sheetView>
  </sheetViews>
  <sheetFormatPr defaultRowHeight="15" x14ac:dyDescent="0.25"/>
  <cols>
    <col min="1" max="1" width="48.42578125" customWidth="1"/>
    <col min="2" max="2" width="9.140625" style="33"/>
    <col min="3" max="3" width="9.140625" customWidth="1"/>
    <col min="4" max="6" width="8.42578125" customWidth="1"/>
    <col min="7" max="7" width="3.85546875" customWidth="1"/>
  </cols>
  <sheetData>
    <row r="1" spans="1:15" x14ac:dyDescent="0.25">
      <c r="A1" s="301" t="s">
        <v>339</v>
      </c>
      <c r="B1" s="302"/>
      <c r="C1" s="301"/>
      <c r="D1" s="301"/>
      <c r="E1" s="301"/>
      <c r="F1" s="301"/>
      <c r="G1" s="301"/>
      <c r="H1" s="301"/>
      <c r="I1" s="301" t="s">
        <v>340</v>
      </c>
      <c r="J1" s="301"/>
      <c r="K1" s="301"/>
    </row>
    <row r="2" spans="1:15" ht="21.4" customHeight="1" x14ac:dyDescent="0.35">
      <c r="A2" s="32" t="s">
        <v>63</v>
      </c>
      <c r="I2" s="38"/>
    </row>
    <row r="3" spans="1:15" ht="9.4" customHeight="1" x14ac:dyDescent="0.35">
      <c r="A3" s="32"/>
    </row>
    <row r="4" spans="1:15" ht="20.25" customHeight="1" x14ac:dyDescent="0.25">
      <c r="A4" s="326" t="s">
        <v>64</v>
      </c>
      <c r="B4" s="34" t="s">
        <v>65</v>
      </c>
    </row>
    <row r="5" spans="1:15" x14ac:dyDescent="0.25">
      <c r="A5" s="326"/>
      <c r="B5" s="34" t="s">
        <v>66</v>
      </c>
    </row>
    <row r="6" spans="1:15" x14ac:dyDescent="0.25">
      <c r="A6" s="326"/>
      <c r="B6" s="34"/>
    </row>
    <row r="7" spans="1:15" x14ac:dyDescent="0.25">
      <c r="A7" s="326"/>
      <c r="B7" s="34"/>
    </row>
    <row r="8" spans="1:15" ht="15.75" thickBot="1" x14ac:dyDescent="0.3">
      <c r="A8" s="326"/>
      <c r="B8" s="34"/>
    </row>
    <row r="9" spans="1:15" ht="15.75" thickBot="1" x14ac:dyDescent="0.3">
      <c r="A9" s="35"/>
      <c r="B9" s="34"/>
      <c r="D9" s="327" t="s">
        <v>67</v>
      </c>
      <c r="E9" s="328"/>
      <c r="F9" s="329"/>
      <c r="H9" s="327" t="s">
        <v>67</v>
      </c>
      <c r="I9" s="328"/>
      <c r="J9" s="328"/>
      <c r="K9" s="329"/>
    </row>
    <row r="10" spans="1:15" ht="14.45" customHeight="1" thickBot="1" x14ac:dyDescent="0.3">
      <c r="A10" s="35"/>
      <c r="D10" s="330" t="s">
        <v>68</v>
      </c>
      <c r="E10" s="331"/>
      <c r="F10" s="332"/>
      <c r="H10" s="327" t="s">
        <v>69</v>
      </c>
      <c r="I10" s="328"/>
      <c r="J10" s="328"/>
      <c r="K10" s="329"/>
      <c r="M10" s="307" t="s">
        <v>361</v>
      </c>
      <c r="N10" s="307"/>
      <c r="O10" s="307"/>
    </row>
    <row r="11" spans="1:15" ht="30.75" customHeight="1" x14ac:dyDescent="0.25">
      <c r="A11" s="36" t="s">
        <v>70</v>
      </c>
      <c r="B11" s="37" t="s">
        <v>71</v>
      </c>
      <c r="C11" s="300" t="s">
        <v>72</v>
      </c>
      <c r="D11" s="300" t="s">
        <v>73</v>
      </c>
      <c r="E11" s="300" t="s">
        <v>74</v>
      </c>
      <c r="F11" s="300" t="s">
        <v>75</v>
      </c>
      <c r="H11" s="300" t="s">
        <v>73</v>
      </c>
      <c r="I11" s="300" t="s">
        <v>74</v>
      </c>
      <c r="J11" s="300" t="s">
        <v>75</v>
      </c>
      <c r="K11" s="300" t="s">
        <v>16</v>
      </c>
      <c r="M11" s="307">
        <v>1</v>
      </c>
      <c r="N11" s="307"/>
      <c r="O11" s="307"/>
    </row>
    <row r="12" spans="1:15" x14ac:dyDescent="0.25">
      <c r="A12" s="38" t="s">
        <v>76</v>
      </c>
      <c r="M12">
        <v>1</v>
      </c>
      <c r="N12">
        <v>2</v>
      </c>
    </row>
    <row r="13" spans="1:15" x14ac:dyDescent="0.25">
      <c r="A13" t="s">
        <v>77</v>
      </c>
      <c r="M13" s="1" t="s">
        <v>359</v>
      </c>
      <c r="N13" s="1" t="s">
        <v>360</v>
      </c>
    </row>
    <row r="14" spans="1:15" x14ac:dyDescent="0.25">
      <c r="A14" s="39" t="s">
        <v>78</v>
      </c>
      <c r="B14" s="33">
        <f>0.85*B17*IF(M11=1,M14,N14)</f>
        <v>21.4268</v>
      </c>
      <c r="C14" s="40" t="s">
        <v>79</v>
      </c>
      <c r="D14" s="41">
        <v>0</v>
      </c>
      <c r="E14" s="41">
        <f>0.1*(1-D14)</f>
        <v>0.1</v>
      </c>
      <c r="F14" s="41">
        <f>0.9*(1-D14)</f>
        <v>0.9</v>
      </c>
      <c r="H14" s="42">
        <f>$B14*D14</f>
        <v>0</v>
      </c>
      <c r="I14" s="42">
        <f t="shared" ref="I14:J16" si="0">$B14*E14</f>
        <v>2.1426799999999999</v>
      </c>
      <c r="J14" s="42">
        <f t="shared" si="0"/>
        <v>19.284120000000001</v>
      </c>
      <c r="M14" s="1">
        <v>0.92</v>
      </c>
      <c r="N14" s="1">
        <v>0.5</v>
      </c>
    </row>
    <row r="15" spans="1:15" x14ac:dyDescent="0.25">
      <c r="A15" s="39" t="s">
        <v>80</v>
      </c>
      <c r="B15" s="33">
        <f>0.85*B17*0.5</f>
        <v>11.645</v>
      </c>
      <c r="C15" s="40" t="s">
        <v>79</v>
      </c>
      <c r="D15" s="41">
        <v>0</v>
      </c>
      <c r="E15" s="41">
        <v>1</v>
      </c>
      <c r="F15" s="41">
        <v>0</v>
      </c>
      <c r="H15" s="42">
        <f>$B15*D15</f>
        <v>0</v>
      </c>
      <c r="I15" s="42">
        <f t="shared" si="0"/>
        <v>11.645</v>
      </c>
      <c r="J15" s="42">
        <f t="shared" si="0"/>
        <v>0</v>
      </c>
      <c r="M15" s="1">
        <v>0.08</v>
      </c>
      <c r="N15" s="1">
        <v>0.5</v>
      </c>
    </row>
    <row r="16" spans="1:15" x14ac:dyDescent="0.25">
      <c r="A16" s="39" t="s">
        <v>81</v>
      </c>
      <c r="B16" s="33">
        <f>B17-B14-B15</f>
        <v>-5.6718000000000011</v>
      </c>
      <c r="C16" s="40" t="s">
        <v>79</v>
      </c>
      <c r="D16" s="41">
        <v>0</v>
      </c>
      <c r="E16" s="41">
        <v>1</v>
      </c>
      <c r="F16" s="41">
        <v>0</v>
      </c>
      <c r="H16" s="42">
        <f>$B16*D16</f>
        <v>0</v>
      </c>
      <c r="I16" s="42">
        <f t="shared" si="0"/>
        <v>-5.6718000000000011</v>
      </c>
      <c r="J16" s="42">
        <f t="shared" si="0"/>
        <v>0</v>
      </c>
    </row>
    <row r="17" spans="1:11" ht="15.75" thickBot="1" x14ac:dyDescent="0.3">
      <c r="A17" s="333" t="s">
        <v>82</v>
      </c>
      <c r="B17" s="43">
        <v>27.4</v>
      </c>
      <c r="C17" s="1"/>
      <c r="H17" s="44">
        <f>SUM(H14:H16)</f>
        <v>0</v>
      </c>
      <c r="I17" s="44">
        <f>SUM(I14:I16)</f>
        <v>8.1158799999999989</v>
      </c>
      <c r="J17" s="44">
        <f>SUM(J14:J16)</f>
        <v>19.284120000000001</v>
      </c>
      <c r="K17" s="44">
        <f>SUM(H17:J17)</f>
        <v>27.4</v>
      </c>
    </row>
    <row r="18" spans="1:11" ht="15.75" thickBot="1" x14ac:dyDescent="0.3">
      <c r="A18" s="333"/>
      <c r="B18" s="45"/>
      <c r="C18" s="1"/>
      <c r="H18" s="46">
        <f>H17/K17</f>
        <v>0</v>
      </c>
      <c r="I18" s="47">
        <f>I17/K17</f>
        <v>0.29619999999999996</v>
      </c>
      <c r="J18" s="48">
        <f>J17/K17</f>
        <v>0.70380000000000009</v>
      </c>
      <c r="K18" s="42"/>
    </row>
    <row r="19" spans="1:11" ht="15.75" thickBot="1" x14ac:dyDescent="0.3">
      <c r="A19" s="49"/>
      <c r="B19" s="45"/>
      <c r="C19" s="1"/>
      <c r="H19" s="50" t="s">
        <v>83</v>
      </c>
      <c r="I19" s="51">
        <f>H18+I18</f>
        <v>0.29619999999999996</v>
      </c>
      <c r="J19" s="52"/>
      <c r="K19" s="42"/>
    </row>
    <row r="20" spans="1:11" x14ac:dyDescent="0.25">
      <c r="A20" s="49"/>
      <c r="B20" s="45"/>
      <c r="C20" s="1"/>
      <c r="H20" s="53"/>
      <c r="I20" s="53"/>
      <c r="J20" s="53"/>
      <c r="K20" s="42"/>
    </row>
    <row r="21" spans="1:11" s="38" customFormat="1" x14ac:dyDescent="0.25">
      <c r="A21" s="38" t="s">
        <v>84</v>
      </c>
      <c r="B21" s="54"/>
      <c r="K21" s="55"/>
    </row>
    <row r="22" spans="1:11" s="38" customFormat="1" x14ac:dyDescent="0.25">
      <c r="A22" t="s">
        <v>85</v>
      </c>
      <c r="B22" s="56">
        <f>0.33*B25</f>
        <v>0.69642408</v>
      </c>
      <c r="C22" s="1" t="s">
        <v>86</v>
      </c>
      <c r="D22" s="41">
        <v>0</v>
      </c>
      <c r="E22" s="41">
        <f>0.1*(1-D22)</f>
        <v>0.1</v>
      </c>
      <c r="F22" s="41">
        <f>0.9*(1-D22)</f>
        <v>0.9</v>
      </c>
      <c r="H22" s="42">
        <f t="shared" ref="H22:J24" si="1">$B22*D22</f>
        <v>0</v>
      </c>
      <c r="I22" s="42">
        <f t="shared" si="1"/>
        <v>6.9642408000000003E-2</v>
      </c>
      <c r="J22" s="42">
        <f t="shared" si="1"/>
        <v>0.62678167200000001</v>
      </c>
      <c r="K22" s="42">
        <f>SUM(H22:J22)</f>
        <v>0.69642408</v>
      </c>
    </row>
    <row r="23" spans="1:11" s="38" customFormat="1" x14ac:dyDescent="0.25">
      <c r="A23" t="s">
        <v>87</v>
      </c>
      <c r="B23" s="56">
        <f>0.5*B25</f>
        <v>1.055188</v>
      </c>
      <c r="C23" s="1" t="s">
        <v>86</v>
      </c>
      <c r="D23" s="41">
        <v>0</v>
      </c>
      <c r="E23" s="41">
        <v>1</v>
      </c>
      <c r="F23" s="41">
        <v>0</v>
      </c>
      <c r="H23" s="42">
        <f t="shared" si="1"/>
        <v>0</v>
      </c>
      <c r="I23" s="42">
        <f t="shared" si="1"/>
        <v>1.055188</v>
      </c>
      <c r="J23" s="42">
        <f t="shared" si="1"/>
        <v>0</v>
      </c>
      <c r="K23" s="42">
        <f>SUM(H23:J23)</f>
        <v>1.055188</v>
      </c>
    </row>
    <row r="24" spans="1:11" s="38" customFormat="1" x14ac:dyDescent="0.25">
      <c r="A24" t="s">
        <v>88</v>
      </c>
      <c r="B24" s="45">
        <f>0.17*B25</f>
        <v>0.35876392000000001</v>
      </c>
      <c r="C24" s="1" t="s">
        <v>86</v>
      </c>
      <c r="D24" s="41">
        <v>0</v>
      </c>
      <c r="E24" s="41">
        <f>6.3/8</f>
        <v>0.78749999999999998</v>
      </c>
      <c r="F24" s="41">
        <f>1.7/8</f>
        <v>0.21249999999999999</v>
      </c>
      <c r="H24" s="42">
        <f t="shared" si="1"/>
        <v>0</v>
      </c>
      <c r="I24" s="42">
        <f t="shared" si="1"/>
        <v>0.282526587</v>
      </c>
      <c r="J24" s="42">
        <f t="shared" si="1"/>
        <v>7.6237333000000004E-2</v>
      </c>
      <c r="K24" s="42">
        <f>SUM(H24:J24)</f>
        <v>0.35876392000000001</v>
      </c>
    </row>
    <row r="25" spans="1:11" s="38" customFormat="1" ht="15.75" thickBot="1" x14ac:dyDescent="0.3">
      <c r="A25" s="38" t="s">
        <v>89</v>
      </c>
      <c r="B25" s="43">
        <v>2.110376</v>
      </c>
      <c r="C25" s="1"/>
      <c r="H25" s="44">
        <f>SUM(H22:H24)</f>
        <v>0</v>
      </c>
      <c r="I25" s="44">
        <f>SUM(I22:I24)</f>
        <v>1.407356995</v>
      </c>
      <c r="J25" s="44">
        <f>SUM(J22:J24)</f>
        <v>0.70301900500000003</v>
      </c>
      <c r="K25" s="44">
        <f>SUM(K22:K24)</f>
        <v>2.110376</v>
      </c>
    </row>
    <row r="26" spans="1:11" s="38" customFormat="1" ht="15.75" thickBot="1" x14ac:dyDescent="0.3">
      <c r="A26" s="57" t="s">
        <v>90</v>
      </c>
      <c r="B26" s="54"/>
      <c r="C26" s="1"/>
      <c r="H26" s="46">
        <f>H25/K25</f>
        <v>0</v>
      </c>
      <c r="I26" s="47">
        <f>I25/K25</f>
        <v>0.666875</v>
      </c>
      <c r="J26" s="48">
        <f>J25/K25</f>
        <v>0.333125</v>
      </c>
      <c r="K26" s="55"/>
    </row>
    <row r="27" spans="1:11" s="38" customFormat="1" ht="15.75" thickBot="1" x14ac:dyDescent="0.3">
      <c r="B27" s="54"/>
      <c r="H27" s="58" t="s">
        <v>83</v>
      </c>
      <c r="I27" s="59">
        <f>H26+I26</f>
        <v>0.666875</v>
      </c>
      <c r="J27" s="60"/>
      <c r="K27" s="55"/>
    </row>
    <row r="28" spans="1:11" s="38" customFormat="1" ht="15.75" thickBot="1" x14ac:dyDescent="0.3">
      <c r="A28" s="38" t="s">
        <v>91</v>
      </c>
      <c r="B28" s="54">
        <f>B25+B17</f>
        <v>29.510375999999997</v>
      </c>
      <c r="H28" s="44">
        <f>H17+H25</f>
        <v>0</v>
      </c>
      <c r="I28" s="44">
        <f t="shared" ref="I28:K28" si="2">I17+I25</f>
        <v>9.5232369949999995</v>
      </c>
      <c r="J28" s="44">
        <f t="shared" si="2"/>
        <v>19.987139005000003</v>
      </c>
      <c r="K28" s="44">
        <f t="shared" si="2"/>
        <v>29.510375999999997</v>
      </c>
    </row>
    <row r="29" spans="1:11" s="38" customFormat="1" ht="15.75" thickBot="1" x14ac:dyDescent="0.3">
      <c r="B29" s="54"/>
      <c r="H29" s="46">
        <f>H28/K28</f>
        <v>0</v>
      </c>
      <c r="I29" s="47">
        <f>I28/K28</f>
        <v>0.32270808731816908</v>
      </c>
      <c r="J29" s="48">
        <f>J28/K28</f>
        <v>0.67729191268183109</v>
      </c>
      <c r="K29" s="42"/>
    </row>
    <row r="30" spans="1:11" ht="15.75" thickBot="1" x14ac:dyDescent="0.3">
      <c r="A30" s="38"/>
      <c r="C30" s="1"/>
      <c r="H30" s="50" t="s">
        <v>83</v>
      </c>
      <c r="I30" s="51">
        <f>H29+I29</f>
        <v>0.32270808731816908</v>
      </c>
      <c r="J30" s="52"/>
      <c r="K30" s="42"/>
    </row>
    <row r="31" spans="1:11" x14ac:dyDescent="0.25">
      <c r="A31" s="38"/>
      <c r="C31" s="1"/>
    </row>
    <row r="32" spans="1:11" x14ac:dyDescent="0.25">
      <c r="A32" s="38" t="s">
        <v>92</v>
      </c>
      <c r="C32" s="1"/>
    </row>
    <row r="33" spans="1:11" x14ac:dyDescent="0.25">
      <c r="A33" t="s">
        <v>93</v>
      </c>
      <c r="C33" s="1"/>
    </row>
    <row r="34" spans="1:11" ht="15.75" thickBot="1" x14ac:dyDescent="0.3">
      <c r="A34" s="61" t="s">
        <v>94</v>
      </c>
      <c r="B34" s="62">
        <v>12.800217</v>
      </c>
      <c r="C34" s="1" t="s">
        <v>95</v>
      </c>
      <c r="D34" s="60">
        <v>0.39844424142534673</v>
      </c>
      <c r="E34" s="41">
        <f>(1-D34)*0.1</f>
        <v>6.0155575857465331E-2</v>
      </c>
      <c r="F34" s="41">
        <f>(1-D34)*0.9</f>
        <v>0.54140018271718793</v>
      </c>
      <c r="H34" s="55">
        <f>$B34*D34</f>
        <v>5.1001727526448271</v>
      </c>
      <c r="I34" s="55">
        <f>$B34*E34</f>
        <v>0.77000442473551733</v>
      </c>
      <c r="J34" s="55">
        <f>$B34*F34</f>
        <v>6.9300398226196549</v>
      </c>
      <c r="K34" s="55">
        <f>SUM(H34:J34)</f>
        <v>12.800217</v>
      </c>
    </row>
    <row r="35" spans="1:11" ht="15.75" thickBot="1" x14ac:dyDescent="0.3">
      <c r="A35" s="57" t="s">
        <v>96</v>
      </c>
      <c r="C35" s="1"/>
      <c r="D35" s="63"/>
      <c r="E35" s="41"/>
      <c r="F35" s="41"/>
      <c r="H35" s="46">
        <f>H34/K34</f>
        <v>0.39844424142534668</v>
      </c>
      <c r="I35" s="47">
        <f>I34/K34</f>
        <v>6.0155575857465331E-2</v>
      </c>
      <c r="J35" s="48">
        <f>J34/K34</f>
        <v>0.54140018271718793</v>
      </c>
      <c r="K35" s="42"/>
    </row>
    <row r="36" spans="1:11" ht="15.75" thickBot="1" x14ac:dyDescent="0.3">
      <c r="E36" s="64"/>
      <c r="H36" s="58" t="s">
        <v>83</v>
      </c>
      <c r="I36" s="59">
        <f>H35+I35</f>
        <v>0.45859981728281202</v>
      </c>
      <c r="J36" s="60"/>
    </row>
    <row r="37" spans="1:11" x14ac:dyDescent="0.25">
      <c r="A37" s="38" t="s">
        <v>97</v>
      </c>
      <c r="C37" s="1"/>
      <c r="K37" s="42"/>
    </row>
    <row r="38" spans="1:11" x14ac:dyDescent="0.25">
      <c r="A38" t="s">
        <v>98</v>
      </c>
      <c r="C38" s="1"/>
    </row>
    <row r="39" spans="1:11" x14ac:dyDescent="0.25">
      <c r="A39" t="s">
        <v>99</v>
      </c>
      <c r="C39" s="1"/>
    </row>
    <row r="40" spans="1:11" x14ac:dyDescent="0.25">
      <c r="A40" s="41">
        <f>(21400*1000/24)/(3.644*1000000)</f>
        <v>0.2446944749359678</v>
      </c>
      <c r="C40" s="1"/>
    </row>
    <row r="41" spans="1:11" ht="15.75" thickBot="1" x14ac:dyDescent="0.3">
      <c r="A41" t="s">
        <v>100</v>
      </c>
      <c r="B41" s="65">
        <v>4.0999999999999996</v>
      </c>
      <c r="C41" s="40" t="s">
        <v>101</v>
      </c>
      <c r="D41" s="66">
        <f>(3.644-0.892)/3.644</f>
        <v>0.75521405049396273</v>
      </c>
      <c r="E41" s="66">
        <f>0.1*(1-D41)</f>
        <v>2.4478594950603727E-2</v>
      </c>
      <c r="F41" s="66">
        <f>0.9*(1-D41)</f>
        <v>0.22030735455543354</v>
      </c>
      <c r="H41" s="55">
        <f>$B41*D41</f>
        <v>3.0963776070252469</v>
      </c>
      <c r="I41" s="55">
        <f>$B41*E41</f>
        <v>0.10036223929747527</v>
      </c>
      <c r="J41" s="55">
        <f>$B41*F41</f>
        <v>0.90326015367727741</v>
      </c>
      <c r="K41" s="55">
        <f>SUM(H41:J41)</f>
        <v>4.0999999999999996</v>
      </c>
    </row>
    <row r="42" spans="1:11" ht="15.75" thickBot="1" x14ac:dyDescent="0.3">
      <c r="A42" s="57" t="s">
        <v>102</v>
      </c>
      <c r="C42" s="40"/>
      <c r="D42" s="41"/>
      <c r="E42" s="41"/>
      <c r="F42" s="41"/>
      <c r="H42" s="46">
        <f>H41/K41</f>
        <v>0.75521405049396273</v>
      </c>
      <c r="I42" s="47">
        <f>I41/K41</f>
        <v>2.4478594950603727E-2</v>
      </c>
      <c r="J42" s="48">
        <f>J41/K41</f>
        <v>0.22030735455543354</v>
      </c>
    </row>
    <row r="43" spans="1:11" ht="15.75" thickBot="1" x14ac:dyDescent="0.3">
      <c r="C43" s="40"/>
      <c r="D43" s="41"/>
      <c r="E43" s="41"/>
      <c r="F43" s="41"/>
      <c r="H43" s="58" t="s">
        <v>83</v>
      </c>
      <c r="I43" s="59">
        <f>H42+I42</f>
        <v>0.77969264544456651</v>
      </c>
      <c r="J43" s="60"/>
    </row>
    <row r="44" spans="1:11" x14ac:dyDescent="0.25">
      <c r="C44" s="40"/>
      <c r="D44" s="41"/>
      <c r="E44" s="41"/>
      <c r="F44" s="41"/>
      <c r="G44" s="41"/>
      <c r="H44" s="41"/>
      <c r="I44" s="41"/>
      <c r="J44" s="41"/>
    </row>
    <row r="45" spans="1:11" s="38" customFormat="1" ht="15.75" thickBot="1" x14ac:dyDescent="0.3">
      <c r="A45" s="38" t="s">
        <v>103</v>
      </c>
      <c r="B45" s="67">
        <f>B28+B34+B41</f>
        <v>46.410592999999999</v>
      </c>
      <c r="H45" s="68">
        <f>H28+H34+H41</f>
        <v>8.1965503596700735</v>
      </c>
      <c r="I45" s="68">
        <f t="shared" ref="I45:K45" si="3">I28+I34+I41</f>
        <v>10.393603659032992</v>
      </c>
      <c r="J45" s="68">
        <f t="shared" si="3"/>
        <v>27.820438981296935</v>
      </c>
      <c r="K45" s="68">
        <f t="shared" si="3"/>
        <v>46.410592999999999</v>
      </c>
    </row>
    <row r="46" spans="1:11" s="38" customFormat="1" ht="15.75" thickTop="1" x14ac:dyDescent="0.25">
      <c r="B46" s="54"/>
      <c r="K46" s="55"/>
    </row>
    <row r="47" spans="1:11" s="38" customFormat="1" ht="15.75" thickBot="1" x14ac:dyDescent="0.3">
      <c r="A47" s="38" t="s">
        <v>104</v>
      </c>
      <c r="B47" s="54"/>
      <c r="H47" s="54"/>
      <c r="I47" s="54"/>
      <c r="J47" s="54"/>
      <c r="K47" s="54"/>
    </row>
    <row r="48" spans="1:11" ht="15.75" thickBot="1" x14ac:dyDescent="0.3">
      <c r="E48" t="s">
        <v>105</v>
      </c>
      <c r="H48" s="69">
        <f>H45/K45</f>
        <v>0.17660947274838901</v>
      </c>
      <c r="I48" s="69">
        <f>I45/K45</f>
        <v>0.22394895189193106</v>
      </c>
      <c r="J48" s="48">
        <f>J45/K45</f>
        <v>0.59944157535968001</v>
      </c>
    </row>
    <row r="49" spans="1:11" ht="15.75" thickBot="1" x14ac:dyDescent="0.3">
      <c r="H49" s="58" t="s">
        <v>83</v>
      </c>
      <c r="I49" s="70">
        <f>H48+I48</f>
        <v>0.4005584246403201</v>
      </c>
      <c r="J49" s="60"/>
    </row>
    <row r="50" spans="1:11" ht="15.75" thickBot="1" x14ac:dyDescent="0.3">
      <c r="H50" s="71"/>
      <c r="I50" s="72"/>
    </row>
    <row r="51" spans="1:11" ht="14.45" customHeight="1" x14ac:dyDescent="0.25">
      <c r="A51" s="317" t="s">
        <v>106</v>
      </c>
      <c r="B51" s="318"/>
      <c r="C51" s="318"/>
      <c r="D51" s="318"/>
      <c r="E51" s="318"/>
      <c r="F51" s="318"/>
      <c r="G51" s="318"/>
      <c r="H51" s="318"/>
      <c r="I51" s="318"/>
      <c r="J51" s="318"/>
      <c r="K51" s="319"/>
    </row>
    <row r="52" spans="1:11" x14ac:dyDescent="0.25">
      <c r="A52" s="320"/>
      <c r="B52" s="321"/>
      <c r="C52" s="321"/>
      <c r="D52" s="321"/>
      <c r="E52" s="321"/>
      <c r="F52" s="321"/>
      <c r="G52" s="321"/>
      <c r="H52" s="321"/>
      <c r="I52" s="321"/>
      <c r="J52" s="321"/>
      <c r="K52" s="322"/>
    </row>
    <row r="53" spans="1:11" x14ac:dyDescent="0.25">
      <c r="A53" s="320"/>
      <c r="B53" s="321"/>
      <c r="C53" s="321"/>
      <c r="D53" s="321"/>
      <c r="E53" s="321"/>
      <c r="F53" s="321"/>
      <c r="G53" s="321"/>
      <c r="H53" s="321"/>
      <c r="I53" s="321"/>
      <c r="J53" s="321"/>
      <c r="K53" s="322"/>
    </row>
    <row r="54" spans="1:11" ht="15.75" thickBot="1" x14ac:dyDescent="0.3">
      <c r="A54" s="323"/>
      <c r="B54" s="324"/>
      <c r="C54" s="324"/>
      <c r="D54" s="324"/>
      <c r="E54" s="324"/>
      <c r="F54" s="324"/>
      <c r="G54" s="324"/>
      <c r="H54" s="324"/>
      <c r="I54" s="324"/>
      <c r="J54" s="324"/>
      <c r="K54" s="325"/>
    </row>
  </sheetData>
  <mergeCells count="7">
    <mergeCell ref="A51:K54"/>
    <mergeCell ref="A4:A8"/>
    <mergeCell ref="D9:F9"/>
    <mergeCell ref="H9:K9"/>
    <mergeCell ref="D10:F10"/>
    <mergeCell ref="H10:K10"/>
    <mergeCell ref="A17:A18"/>
  </mergeCells>
  <pageMargins left="0.7" right="0.7" top="0.75" bottom="0.7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B1:AS35"/>
  <sheetViews>
    <sheetView topLeftCell="M1" zoomScale="90" zoomScaleNormal="90" zoomScaleSheetLayoutView="90" workbookViewId="0">
      <selection activeCell="AM31" sqref="AM31"/>
    </sheetView>
  </sheetViews>
  <sheetFormatPr defaultColWidth="9.140625" defaultRowHeight="12.75" x14ac:dyDescent="0.2"/>
  <cols>
    <col min="1" max="1" width="2.42578125" style="2" customWidth="1"/>
    <col min="2" max="2" width="31.7109375" style="2" customWidth="1"/>
    <col min="3" max="3" width="9.7109375" style="2" customWidth="1"/>
    <col min="4" max="4" width="15.140625" style="16" bestFit="1" customWidth="1"/>
    <col min="5" max="5" width="10.42578125" style="130" customWidth="1"/>
    <col min="6" max="6" width="13.5703125" style="131" customWidth="1"/>
    <col min="7" max="7" width="3" style="16" customWidth="1"/>
    <col min="8" max="8" width="10.42578125" style="131" customWidth="1"/>
    <col min="9" max="9" width="14" style="131" bestFit="1" customWidth="1"/>
    <col min="10" max="10" width="2.85546875" style="131" customWidth="1"/>
    <col min="11" max="11" width="13.140625" style="131" customWidth="1"/>
    <col min="12" max="12" width="10.42578125" style="132" customWidth="1"/>
    <col min="13" max="13" width="2.85546875" style="133" customWidth="1"/>
    <col min="14" max="14" width="2.140625" style="132" customWidth="1"/>
    <col min="15" max="15" width="14.5703125" style="2" bestFit="1" customWidth="1"/>
    <col min="16" max="16" width="2.85546875" style="2" customWidth="1"/>
    <col min="17" max="17" width="31.7109375" style="2" customWidth="1"/>
    <col min="18" max="18" width="9.7109375" style="2" customWidth="1"/>
    <col min="19" max="19" width="15.140625" style="16" bestFit="1" customWidth="1"/>
    <col min="20" max="20" width="10.42578125" style="130" customWidth="1"/>
    <col min="21" max="21" width="13.5703125" style="131" customWidth="1"/>
    <col min="22" max="22" width="3" style="16" customWidth="1"/>
    <col min="23" max="23" width="10.42578125" style="131" customWidth="1"/>
    <col min="24" max="24" width="14" style="131" bestFit="1" customWidth="1"/>
    <col min="25" max="25" width="2.85546875" style="131" customWidth="1"/>
    <col min="26" max="26" width="13.140625" style="131" customWidth="1"/>
    <col min="27" max="27" width="10.42578125" style="132" customWidth="1"/>
    <col min="28" max="28" width="2.85546875" style="133" customWidth="1"/>
    <col min="29" max="29" width="2.140625" style="132" customWidth="1"/>
    <col min="30" max="30" width="14.5703125" style="2" bestFit="1" customWidth="1"/>
    <col min="31" max="31" width="9.140625" style="2"/>
    <col min="32" max="32" width="31.7109375" style="2" customWidth="1"/>
    <col min="33" max="33" width="9.7109375" style="2" customWidth="1"/>
    <col min="34" max="34" width="15.140625" style="16" bestFit="1" customWidth="1"/>
    <col min="35" max="35" width="10.42578125" style="130" customWidth="1"/>
    <col min="36" max="36" width="13.5703125" style="131" customWidth="1"/>
    <col min="37" max="37" width="3" style="16" customWidth="1"/>
    <col min="38" max="38" width="10.42578125" style="131" customWidth="1"/>
    <col min="39" max="39" width="14" style="131" bestFit="1" customWidth="1"/>
    <col min="40" max="40" width="2.85546875" style="131" customWidth="1"/>
    <col min="41" max="41" width="13.140625" style="131" customWidth="1"/>
    <col min="42" max="42" width="10.42578125" style="132" customWidth="1"/>
    <col min="43" max="43" width="2.85546875" style="133" customWidth="1"/>
    <col min="44" max="44" width="2.140625" style="132" customWidth="1"/>
    <col min="45" max="45" width="14.5703125" style="2" bestFit="1" customWidth="1"/>
    <col min="46" max="16384" width="9.140625" style="2"/>
  </cols>
  <sheetData>
    <row r="1" spans="2:45" x14ac:dyDescent="0.2">
      <c r="B1" s="5" t="s">
        <v>0</v>
      </c>
      <c r="C1" s="123"/>
      <c r="D1" s="124"/>
      <c r="E1" s="125"/>
      <c r="F1" s="126"/>
      <c r="G1" s="124"/>
      <c r="H1" s="126"/>
      <c r="I1" s="126"/>
      <c r="J1" s="126"/>
      <c r="K1" s="126"/>
      <c r="L1" s="127"/>
      <c r="M1" s="127"/>
      <c r="N1" s="127"/>
      <c r="O1" s="123"/>
      <c r="P1" s="123"/>
      <c r="Q1" s="5"/>
      <c r="R1" s="123"/>
      <c r="S1" s="124"/>
      <c r="T1" s="125"/>
      <c r="U1" s="126"/>
      <c r="V1" s="124"/>
      <c r="W1" s="126"/>
      <c r="X1" s="126"/>
      <c r="Y1" s="126"/>
      <c r="Z1" s="126"/>
      <c r="AA1" s="127"/>
      <c r="AB1" s="127"/>
      <c r="AC1" s="127"/>
      <c r="AD1" s="123"/>
      <c r="AF1" s="5"/>
      <c r="AG1" s="123"/>
      <c r="AH1" s="124"/>
      <c r="AI1" s="125"/>
      <c r="AJ1" s="126"/>
      <c r="AK1" s="124"/>
      <c r="AL1" s="126"/>
      <c r="AM1" s="126"/>
      <c r="AN1" s="126"/>
      <c r="AO1" s="126"/>
      <c r="AP1" s="127"/>
      <c r="AQ1" s="127"/>
      <c r="AR1" s="127"/>
      <c r="AS1" s="123"/>
    </row>
    <row r="2" spans="2:45" x14ac:dyDescent="0.2">
      <c r="B2" s="4" t="s">
        <v>111</v>
      </c>
      <c r="C2" s="128"/>
      <c r="D2" s="126"/>
      <c r="E2" s="126"/>
      <c r="F2" s="126"/>
      <c r="G2" s="126"/>
      <c r="H2" s="126"/>
      <c r="I2" s="126"/>
      <c r="J2" s="126"/>
      <c r="K2" s="126"/>
      <c r="L2" s="126"/>
      <c r="M2" s="127"/>
      <c r="N2" s="127"/>
      <c r="O2" s="123"/>
      <c r="P2" s="123"/>
      <c r="Q2" s="4"/>
      <c r="R2" s="128"/>
      <c r="S2" s="126"/>
      <c r="T2" s="126"/>
      <c r="U2" s="126"/>
      <c r="V2" s="126"/>
      <c r="W2" s="126"/>
      <c r="X2" s="126"/>
      <c r="Y2" s="126"/>
      <c r="Z2" s="126"/>
      <c r="AA2" s="126"/>
      <c r="AB2" s="127"/>
      <c r="AC2" s="127"/>
      <c r="AD2" s="123"/>
      <c r="AF2" s="4"/>
      <c r="AG2" s="128"/>
      <c r="AH2" s="126"/>
      <c r="AI2" s="126"/>
      <c r="AJ2" s="126"/>
      <c r="AK2" s="126"/>
      <c r="AL2" s="126"/>
      <c r="AM2" s="126"/>
      <c r="AN2" s="126"/>
      <c r="AO2" s="126"/>
      <c r="AP2" s="126"/>
      <c r="AQ2" s="127"/>
      <c r="AR2" s="127"/>
      <c r="AS2" s="123"/>
    </row>
    <row r="3" spans="2:45" x14ac:dyDescent="0.2">
      <c r="B3" s="4" t="s">
        <v>306</v>
      </c>
      <c r="C3" s="128"/>
      <c r="D3" s="126"/>
      <c r="E3" s="126"/>
      <c r="F3" s="126"/>
      <c r="G3" s="126"/>
      <c r="H3" s="126"/>
      <c r="I3" s="126"/>
      <c r="J3" s="126"/>
      <c r="K3" s="126"/>
      <c r="L3" s="126"/>
      <c r="M3" s="127"/>
      <c r="N3" s="127"/>
      <c r="O3" s="123"/>
      <c r="P3" s="123"/>
      <c r="Q3" s="4"/>
      <c r="R3" s="128"/>
      <c r="S3" s="126"/>
      <c r="T3" s="126"/>
      <c r="U3" s="126"/>
      <c r="V3" s="126"/>
      <c r="W3" s="126"/>
      <c r="X3" s="126"/>
      <c r="Y3" s="126"/>
      <c r="Z3" s="126"/>
      <c r="AA3" s="126"/>
      <c r="AB3" s="127"/>
      <c r="AC3" s="127"/>
      <c r="AD3" s="123"/>
      <c r="AF3" s="4"/>
      <c r="AG3" s="128"/>
      <c r="AH3" s="126"/>
      <c r="AI3" s="126"/>
      <c r="AJ3" s="126"/>
      <c r="AK3" s="126"/>
      <c r="AL3" s="126"/>
      <c r="AM3" s="126"/>
      <c r="AN3" s="126"/>
      <c r="AO3" s="126"/>
      <c r="AP3" s="126"/>
      <c r="AQ3" s="127"/>
      <c r="AR3" s="127"/>
      <c r="AS3" s="123"/>
    </row>
    <row r="4" spans="2:45" x14ac:dyDescent="0.2">
      <c r="B4" s="4" t="s">
        <v>26</v>
      </c>
      <c r="C4" s="128"/>
      <c r="D4" s="126"/>
      <c r="E4" s="126"/>
      <c r="F4" s="126"/>
      <c r="G4" s="126"/>
      <c r="H4" s="126"/>
      <c r="I4" s="126"/>
      <c r="J4" s="126"/>
      <c r="K4" s="126"/>
      <c r="L4" s="126"/>
      <c r="M4" s="127"/>
      <c r="N4" s="127"/>
      <c r="O4" s="123"/>
      <c r="P4" s="123"/>
      <c r="Q4" s="4"/>
      <c r="R4" s="128"/>
      <c r="S4" s="126"/>
      <c r="T4" s="126"/>
      <c r="U4" s="126"/>
      <c r="V4" s="126"/>
      <c r="W4" s="126"/>
      <c r="X4" s="126"/>
      <c r="Y4" s="126"/>
      <c r="Z4" s="126"/>
      <c r="AA4" s="126"/>
      <c r="AB4" s="127"/>
      <c r="AC4" s="127"/>
      <c r="AD4" s="123"/>
      <c r="AF4" s="4"/>
      <c r="AG4" s="128"/>
      <c r="AH4" s="126"/>
      <c r="AI4" s="126"/>
      <c r="AJ4" s="126"/>
      <c r="AK4" s="126"/>
      <c r="AL4" s="126"/>
      <c r="AM4" s="126"/>
      <c r="AN4" s="126"/>
      <c r="AO4" s="126"/>
      <c r="AP4" s="126"/>
      <c r="AQ4" s="127"/>
      <c r="AR4" s="127"/>
      <c r="AS4" s="123"/>
    </row>
    <row r="5" spans="2:45" x14ac:dyDescent="0.2">
      <c r="B5" s="4"/>
      <c r="C5" s="128"/>
      <c r="D5" s="124"/>
      <c r="E5" s="125"/>
      <c r="F5" s="126"/>
      <c r="G5" s="124"/>
      <c r="H5" s="126"/>
      <c r="I5" s="126"/>
      <c r="J5" s="126"/>
      <c r="K5" s="126"/>
      <c r="L5" s="127"/>
      <c r="M5" s="127"/>
      <c r="N5" s="127"/>
      <c r="O5" s="123"/>
      <c r="P5" s="123"/>
      <c r="Q5" s="4"/>
      <c r="R5" s="128"/>
      <c r="S5" s="124"/>
      <c r="T5" s="125"/>
      <c r="U5" s="126"/>
      <c r="V5" s="124"/>
      <c r="W5" s="126"/>
      <c r="X5" s="126"/>
      <c r="Y5" s="126"/>
      <c r="Z5" s="126"/>
      <c r="AA5" s="127"/>
      <c r="AB5" s="127"/>
      <c r="AC5" s="127"/>
      <c r="AD5" s="123"/>
      <c r="AF5" s="4"/>
      <c r="AG5" s="128"/>
      <c r="AH5" s="124"/>
      <c r="AI5" s="125"/>
      <c r="AJ5" s="126"/>
      <c r="AK5" s="124"/>
      <c r="AL5" s="126"/>
      <c r="AM5" s="126"/>
      <c r="AN5" s="126"/>
      <c r="AO5" s="126"/>
      <c r="AP5" s="127"/>
      <c r="AQ5" s="127"/>
      <c r="AR5" s="127"/>
      <c r="AS5" s="123"/>
    </row>
    <row r="6" spans="2:45" x14ac:dyDescent="0.2">
      <c r="B6" s="129"/>
      <c r="C6" s="123"/>
      <c r="N6" s="133"/>
      <c r="Q6" s="129"/>
      <c r="R6" s="123"/>
      <c r="AC6" s="133"/>
      <c r="AF6" s="129"/>
      <c r="AG6" s="123"/>
      <c r="AR6" s="133"/>
    </row>
    <row r="7" spans="2:45" x14ac:dyDescent="0.2">
      <c r="B7" s="134"/>
      <c r="C7" s="24"/>
      <c r="D7" s="135" t="s">
        <v>201</v>
      </c>
      <c r="E7" s="136" t="s">
        <v>202</v>
      </c>
      <c r="F7" s="137"/>
      <c r="G7" s="24"/>
      <c r="H7" s="136" t="s">
        <v>203</v>
      </c>
      <c r="I7" s="137"/>
      <c r="J7" s="138"/>
      <c r="K7" s="334" t="s">
        <v>204</v>
      </c>
      <c r="L7" s="335"/>
      <c r="N7" s="127"/>
      <c r="O7" s="139" t="s">
        <v>205</v>
      </c>
      <c r="Q7" s="134"/>
      <c r="R7" s="24"/>
      <c r="S7" s="135" t="s">
        <v>201</v>
      </c>
      <c r="T7" s="136" t="s">
        <v>202</v>
      </c>
      <c r="U7" s="137"/>
      <c r="V7" s="24"/>
      <c r="W7" s="136" t="s">
        <v>203</v>
      </c>
      <c r="X7" s="137"/>
      <c r="Y7" s="138"/>
      <c r="Z7" s="334" t="s">
        <v>204</v>
      </c>
      <c r="AA7" s="335"/>
      <c r="AC7" s="127"/>
      <c r="AD7" s="139" t="s">
        <v>205</v>
      </c>
      <c r="AF7" s="134"/>
      <c r="AG7" s="24"/>
      <c r="AH7" s="135" t="s">
        <v>201</v>
      </c>
      <c r="AI7" s="136" t="s">
        <v>202</v>
      </c>
      <c r="AJ7" s="137"/>
      <c r="AK7" s="24"/>
      <c r="AL7" s="136" t="s">
        <v>203</v>
      </c>
      <c r="AM7" s="137"/>
      <c r="AN7" s="138"/>
      <c r="AO7" s="334" t="s">
        <v>204</v>
      </c>
      <c r="AP7" s="335"/>
      <c r="AR7" s="127"/>
      <c r="AS7" s="139" t="s">
        <v>205</v>
      </c>
    </row>
    <row r="8" spans="2:45" x14ac:dyDescent="0.2">
      <c r="B8" s="140" t="s">
        <v>206</v>
      </c>
      <c r="C8" s="141" t="s">
        <v>207</v>
      </c>
      <c r="D8" s="141" t="s">
        <v>208</v>
      </c>
      <c r="E8" s="142" t="s">
        <v>123</v>
      </c>
      <c r="F8" s="143" t="s">
        <v>209</v>
      </c>
      <c r="G8" s="141"/>
      <c r="H8" s="143" t="s">
        <v>123</v>
      </c>
      <c r="I8" s="143" t="s">
        <v>209</v>
      </c>
      <c r="J8" s="143"/>
      <c r="K8" s="143" t="s">
        <v>210</v>
      </c>
      <c r="L8" s="144" t="s">
        <v>211</v>
      </c>
      <c r="N8" s="145"/>
      <c r="O8" s="146" t="s">
        <v>212</v>
      </c>
      <c r="Q8" s="140" t="s">
        <v>206</v>
      </c>
      <c r="R8" s="141" t="s">
        <v>207</v>
      </c>
      <c r="S8" s="141" t="s">
        <v>208</v>
      </c>
      <c r="T8" s="142" t="s">
        <v>123</v>
      </c>
      <c r="U8" s="143" t="s">
        <v>209</v>
      </c>
      <c r="V8" s="141"/>
      <c r="W8" s="143" t="s">
        <v>123</v>
      </c>
      <c r="X8" s="143" t="s">
        <v>209</v>
      </c>
      <c r="Y8" s="143"/>
      <c r="Z8" s="143" t="s">
        <v>210</v>
      </c>
      <c r="AA8" s="144" t="s">
        <v>211</v>
      </c>
      <c r="AC8" s="145"/>
      <c r="AD8" s="146" t="s">
        <v>212</v>
      </c>
      <c r="AF8" s="140" t="s">
        <v>206</v>
      </c>
      <c r="AG8" s="141" t="s">
        <v>207</v>
      </c>
      <c r="AH8" s="141" t="s">
        <v>208</v>
      </c>
      <c r="AI8" s="142" t="s">
        <v>123</v>
      </c>
      <c r="AJ8" s="143" t="s">
        <v>209</v>
      </c>
      <c r="AK8" s="141"/>
      <c r="AL8" s="143" t="s">
        <v>123</v>
      </c>
      <c r="AM8" s="143" t="s">
        <v>209</v>
      </c>
      <c r="AN8" s="143"/>
      <c r="AO8" s="143" t="s">
        <v>210</v>
      </c>
      <c r="AP8" s="144" t="s">
        <v>211</v>
      </c>
      <c r="AR8" s="145"/>
      <c r="AS8" s="146" t="s">
        <v>212</v>
      </c>
    </row>
    <row r="9" spans="2:45" x14ac:dyDescent="0.2">
      <c r="B9" s="147"/>
      <c r="C9" s="148"/>
      <c r="G9" s="149"/>
      <c r="I9" s="150"/>
      <c r="J9" s="150"/>
      <c r="L9" s="151"/>
      <c r="Q9" s="147"/>
      <c r="R9" s="148"/>
      <c r="V9" s="149"/>
      <c r="X9" s="150"/>
      <c r="Y9" s="150"/>
      <c r="AA9" s="151"/>
      <c r="AF9" s="147"/>
      <c r="AG9" s="148"/>
      <c r="AK9" s="149"/>
      <c r="AM9" s="150"/>
      <c r="AN9" s="150"/>
      <c r="AP9" s="151"/>
    </row>
    <row r="10" spans="2:45" x14ac:dyDescent="0.2">
      <c r="B10" s="152"/>
      <c r="F10" s="153"/>
      <c r="I10" s="154"/>
      <c r="J10" s="150"/>
      <c r="K10" s="153"/>
      <c r="L10" s="155"/>
      <c r="N10" s="133"/>
      <c r="Q10" s="152"/>
      <c r="U10" s="153"/>
      <c r="X10" s="154"/>
      <c r="Y10" s="150"/>
      <c r="Z10" s="153"/>
      <c r="AA10" s="155"/>
      <c r="AC10" s="133"/>
      <c r="AF10" s="152"/>
      <c r="AJ10" s="153"/>
      <c r="AM10" s="154"/>
      <c r="AN10" s="150"/>
      <c r="AO10" s="153"/>
      <c r="AP10" s="155"/>
      <c r="AR10" s="133"/>
    </row>
    <row r="11" spans="2:45" x14ac:dyDescent="0.2">
      <c r="B11" s="156" t="s">
        <v>350</v>
      </c>
      <c r="C11" s="157"/>
      <c r="D11" s="158"/>
      <c r="E11" s="159"/>
      <c r="F11" s="160"/>
      <c r="G11" s="158"/>
      <c r="H11" s="161"/>
      <c r="I11" s="162"/>
      <c r="J11" s="163"/>
      <c r="K11" s="160"/>
      <c r="L11" s="164"/>
      <c r="N11" s="133"/>
      <c r="Q11" s="156" t="s">
        <v>350</v>
      </c>
      <c r="R11" s="157"/>
      <c r="S11" s="158"/>
      <c r="T11" s="159"/>
      <c r="U11" s="160"/>
      <c r="V11" s="158"/>
      <c r="W11" s="161"/>
      <c r="X11" s="162"/>
      <c r="Y11" s="163"/>
      <c r="Z11" s="160"/>
      <c r="AA11" s="164"/>
      <c r="AC11" s="133"/>
      <c r="AF11" s="156" t="s">
        <v>350</v>
      </c>
      <c r="AG11" s="157"/>
      <c r="AH11" s="158"/>
      <c r="AI11" s="159"/>
      <c r="AJ11" s="160"/>
      <c r="AK11" s="158"/>
      <c r="AL11" s="161"/>
      <c r="AM11" s="162"/>
      <c r="AN11" s="163"/>
      <c r="AO11" s="160"/>
      <c r="AP11" s="164"/>
      <c r="AR11" s="133"/>
    </row>
    <row r="12" spans="2:45" x14ac:dyDescent="0.2">
      <c r="B12" s="152"/>
      <c r="F12" s="153"/>
      <c r="I12" s="154"/>
      <c r="J12" s="150"/>
      <c r="K12" s="153"/>
      <c r="L12" s="155"/>
      <c r="N12" s="133"/>
      <c r="O12" s="139" t="s">
        <v>213</v>
      </c>
      <c r="Q12" s="152"/>
      <c r="U12" s="153"/>
      <c r="X12" s="154"/>
      <c r="Y12" s="150"/>
      <c r="Z12" s="153"/>
      <c r="AA12" s="155"/>
      <c r="AC12" s="133"/>
      <c r="AD12" s="139" t="s">
        <v>213</v>
      </c>
      <c r="AF12" s="152"/>
      <c r="AJ12" s="153"/>
      <c r="AM12" s="154"/>
      <c r="AN12" s="150"/>
      <c r="AO12" s="153"/>
      <c r="AP12" s="155"/>
      <c r="AR12" s="133"/>
      <c r="AS12" s="139" t="s">
        <v>213</v>
      </c>
    </row>
    <row r="13" spans="2:45" x14ac:dyDescent="0.2">
      <c r="B13" s="147" t="s">
        <v>214</v>
      </c>
      <c r="C13" s="148" t="s">
        <v>137</v>
      </c>
      <c r="D13" s="73">
        <f>SUM('Puget LNG'!AC42:AN42)</f>
        <v>12</v>
      </c>
      <c r="E13" s="282">
        <f>'Exh JDT-5 (JDT-INTRPL-RD)'!H123</f>
        <v>1082.81</v>
      </c>
      <c r="F13" s="153">
        <f>ROUND(D13*E13,2)</f>
        <v>12993.72</v>
      </c>
      <c r="H13" s="165">
        <v>5000</v>
      </c>
      <c r="I13" s="154">
        <f>ROUND(D13*H13,2)</f>
        <v>60000</v>
      </c>
      <c r="J13" s="150"/>
      <c r="K13" s="153">
        <f>I13-F13</f>
        <v>47006.28</v>
      </c>
      <c r="L13" s="155">
        <f t="shared" ref="L13:L14" si="0">IFERROR(K13/F13, )</f>
        <v>3.6176152787654345</v>
      </c>
      <c r="N13" s="133"/>
      <c r="O13" s="189">
        <f>F26-'Rate Spread (Sch. 141D)'!F19</f>
        <v>-740487.60508743697</v>
      </c>
      <c r="Q13" s="147" t="s">
        <v>214</v>
      </c>
      <c r="R13" s="148" t="s">
        <v>137</v>
      </c>
      <c r="S13" s="73">
        <v>12</v>
      </c>
      <c r="T13" s="282">
        <v>1082.81</v>
      </c>
      <c r="U13" s="153">
        <v>12993.72</v>
      </c>
      <c r="W13" s="165">
        <v>5000</v>
      </c>
      <c r="X13" s="154">
        <v>60000</v>
      </c>
      <c r="Y13" s="150"/>
      <c r="Z13" s="153">
        <v>47006.28</v>
      </c>
      <c r="AA13" s="155">
        <v>3.6176152787654345</v>
      </c>
      <c r="AC13" s="133"/>
      <c r="AD13" s="189">
        <v>196026.29266987136</v>
      </c>
      <c r="AF13" s="147" t="s">
        <v>214</v>
      </c>
      <c r="AG13" s="148" t="s">
        <v>137</v>
      </c>
      <c r="AH13" s="73">
        <f>D13-S13</f>
        <v>0</v>
      </c>
      <c r="AI13" s="282">
        <f t="shared" ref="AI13:AI26" si="1">E13-T13</f>
        <v>0</v>
      </c>
      <c r="AJ13" s="153">
        <f t="shared" ref="AJ13:AJ26" si="2">F13-U13</f>
        <v>0</v>
      </c>
      <c r="AK13" s="16">
        <f t="shared" ref="AK13:AK26" si="3">G13-V13</f>
        <v>0</v>
      </c>
      <c r="AL13" s="165">
        <f t="shared" ref="AL13:AL26" si="4">H13-W13</f>
        <v>0</v>
      </c>
      <c r="AM13" s="154">
        <f t="shared" ref="AM13:AM26" si="5">I13-X13</f>
        <v>0</v>
      </c>
      <c r="AN13" s="150"/>
      <c r="AO13" s="153">
        <f t="shared" ref="AO13:AO26" si="6">K13-Z13</f>
        <v>0</v>
      </c>
      <c r="AP13" s="155">
        <f t="shared" ref="AP13:AP26" si="7">L13-AA13</f>
        <v>0</v>
      </c>
      <c r="AR13" s="133"/>
      <c r="AS13" s="189">
        <f t="shared" ref="AS13:AS17" si="8">O13-AD13</f>
        <v>-936513.89775730832</v>
      </c>
    </row>
    <row r="14" spans="2:45" x14ac:dyDescent="0.2">
      <c r="B14" s="152" t="s">
        <v>215</v>
      </c>
      <c r="C14" s="2" t="s">
        <v>27</v>
      </c>
      <c r="D14" s="73">
        <f>SUM('Puget LNG'!AC51:AN51)</f>
        <v>0</v>
      </c>
      <c r="E14" s="282">
        <f>'Exh JDT-5 (JDT-INTRPL-RD)'!H124</f>
        <v>1.45</v>
      </c>
      <c r="F14" s="153">
        <f>ROUND(D14*E14,2)</f>
        <v>0</v>
      </c>
      <c r="H14" s="165"/>
      <c r="I14" s="154">
        <f>ROUND(D14*H14,2)</f>
        <v>0</v>
      </c>
      <c r="J14" s="150"/>
      <c r="K14" s="153">
        <f>I14-F14</f>
        <v>0</v>
      </c>
      <c r="L14" s="155">
        <f t="shared" si="0"/>
        <v>0</v>
      </c>
      <c r="N14" s="133"/>
      <c r="O14" s="167" t="s">
        <v>216</v>
      </c>
      <c r="Q14" s="152" t="s">
        <v>215</v>
      </c>
      <c r="R14" s="2" t="s">
        <v>27</v>
      </c>
      <c r="S14" s="73">
        <v>0</v>
      </c>
      <c r="T14" s="282">
        <v>1.45</v>
      </c>
      <c r="U14" s="153">
        <v>0</v>
      </c>
      <c r="W14" s="165"/>
      <c r="X14" s="154">
        <v>0</v>
      </c>
      <c r="Y14" s="150"/>
      <c r="Z14" s="153">
        <v>0</v>
      </c>
      <c r="AA14" s="155">
        <v>0</v>
      </c>
      <c r="AC14" s="133"/>
      <c r="AD14" s="167" t="s">
        <v>216</v>
      </c>
      <c r="AF14" s="152" t="s">
        <v>215</v>
      </c>
      <c r="AG14" s="2" t="s">
        <v>27</v>
      </c>
      <c r="AH14" s="73">
        <f t="shared" ref="AH14:AH26" si="9">D14-S14</f>
        <v>0</v>
      </c>
      <c r="AI14" s="282">
        <f t="shared" si="1"/>
        <v>0</v>
      </c>
      <c r="AJ14" s="153">
        <f t="shared" si="2"/>
        <v>0</v>
      </c>
      <c r="AK14" s="16">
        <f t="shared" si="3"/>
        <v>0</v>
      </c>
      <c r="AL14" s="165">
        <f t="shared" si="4"/>
        <v>0</v>
      </c>
      <c r="AM14" s="154">
        <f t="shared" si="5"/>
        <v>0</v>
      </c>
      <c r="AN14" s="150"/>
      <c r="AO14" s="153">
        <f t="shared" si="6"/>
        <v>0</v>
      </c>
      <c r="AP14" s="155">
        <f t="shared" si="7"/>
        <v>0</v>
      </c>
      <c r="AR14" s="133"/>
      <c r="AS14" s="167"/>
    </row>
    <row r="15" spans="2:45" x14ac:dyDescent="0.2">
      <c r="B15" s="152" t="s">
        <v>217</v>
      </c>
      <c r="E15" s="131"/>
      <c r="F15" s="154">
        <v>0</v>
      </c>
      <c r="H15" s="165"/>
      <c r="I15" s="154">
        <f>F15</f>
        <v>0</v>
      </c>
      <c r="J15" s="150"/>
      <c r="K15" s="168"/>
      <c r="L15" s="155">
        <f>IFERROR(K15/F15, )</f>
        <v>0</v>
      </c>
      <c r="N15" s="133"/>
      <c r="O15" s="169">
        <f>I26-O13</f>
        <v>156.84508743695915</v>
      </c>
      <c r="Q15" s="152" t="s">
        <v>217</v>
      </c>
      <c r="T15" s="131"/>
      <c r="U15" s="154">
        <v>0</v>
      </c>
      <c r="W15" s="165"/>
      <c r="X15" s="154">
        <v>0</v>
      </c>
      <c r="Y15" s="150"/>
      <c r="Z15" s="168"/>
      <c r="AA15" s="155">
        <v>0</v>
      </c>
      <c r="AC15" s="133"/>
      <c r="AD15" s="169">
        <v>-93.082669871335384</v>
      </c>
      <c r="AF15" s="152" t="s">
        <v>217</v>
      </c>
      <c r="AH15" s="16">
        <f t="shared" si="9"/>
        <v>0</v>
      </c>
      <c r="AI15" s="131">
        <f t="shared" si="1"/>
        <v>0</v>
      </c>
      <c r="AJ15" s="154">
        <f t="shared" si="2"/>
        <v>0</v>
      </c>
      <c r="AK15" s="16">
        <f t="shared" si="3"/>
        <v>0</v>
      </c>
      <c r="AL15" s="165">
        <f t="shared" si="4"/>
        <v>0</v>
      </c>
      <c r="AM15" s="154">
        <f t="shared" si="5"/>
        <v>0</v>
      </c>
      <c r="AN15" s="150"/>
      <c r="AO15" s="168">
        <f t="shared" si="6"/>
        <v>0</v>
      </c>
      <c r="AP15" s="155">
        <f t="shared" si="7"/>
        <v>0</v>
      </c>
      <c r="AR15" s="133"/>
      <c r="AS15" s="169">
        <f t="shared" si="8"/>
        <v>249.92775730829453</v>
      </c>
    </row>
    <row r="16" spans="2:45" x14ac:dyDescent="0.2">
      <c r="B16" s="152"/>
      <c r="F16" s="153"/>
      <c r="H16" s="170"/>
      <c r="I16" s="154"/>
      <c r="J16" s="150"/>
      <c r="K16" s="168"/>
      <c r="L16" s="171"/>
      <c r="N16" s="133"/>
      <c r="O16" s="172"/>
      <c r="Q16" s="152"/>
      <c r="U16" s="153"/>
      <c r="W16" s="170"/>
      <c r="X16" s="154"/>
      <c r="Y16" s="150"/>
      <c r="Z16" s="168"/>
      <c r="AA16" s="171"/>
      <c r="AC16" s="133"/>
      <c r="AD16" s="172"/>
      <c r="AF16" s="152"/>
      <c r="AH16" s="16">
        <f t="shared" si="9"/>
        <v>0</v>
      </c>
      <c r="AI16" s="130">
        <f t="shared" si="1"/>
        <v>0</v>
      </c>
      <c r="AJ16" s="153">
        <f t="shared" si="2"/>
        <v>0</v>
      </c>
      <c r="AK16" s="16">
        <f t="shared" si="3"/>
        <v>0</v>
      </c>
      <c r="AL16" s="170">
        <f t="shared" si="4"/>
        <v>0</v>
      </c>
      <c r="AM16" s="154">
        <f t="shared" si="5"/>
        <v>0</v>
      </c>
      <c r="AN16" s="150"/>
      <c r="AO16" s="168">
        <f t="shared" si="6"/>
        <v>0</v>
      </c>
      <c r="AP16" s="171">
        <f t="shared" si="7"/>
        <v>0</v>
      </c>
      <c r="AR16" s="133"/>
      <c r="AS16" s="172"/>
    </row>
    <row r="17" spans="2:45" x14ac:dyDescent="0.2">
      <c r="B17" s="152" t="s">
        <v>218</v>
      </c>
      <c r="E17" s="131"/>
      <c r="F17" s="153"/>
      <c r="H17" s="170"/>
      <c r="I17" s="154"/>
      <c r="J17" s="150"/>
      <c r="K17" s="168"/>
      <c r="L17" s="171"/>
      <c r="N17" s="133"/>
      <c r="O17" s="173">
        <f>(O13-I13-I14-I15)/SUM(F18:F23)</f>
        <v>-0.61674170557388897</v>
      </c>
      <c r="Q17" s="152" t="s">
        <v>218</v>
      </c>
      <c r="T17" s="131"/>
      <c r="U17" s="153"/>
      <c r="W17" s="170"/>
      <c r="X17" s="154"/>
      <c r="Y17" s="150"/>
      <c r="Z17" s="168"/>
      <c r="AA17" s="171"/>
      <c r="AC17" s="133"/>
      <c r="AD17" s="173">
        <v>0.10480248190094815</v>
      </c>
      <c r="AF17" s="152" t="s">
        <v>218</v>
      </c>
      <c r="AH17" s="16">
        <f t="shared" si="9"/>
        <v>0</v>
      </c>
      <c r="AI17" s="131">
        <f t="shared" si="1"/>
        <v>0</v>
      </c>
      <c r="AJ17" s="153">
        <f t="shared" si="2"/>
        <v>0</v>
      </c>
      <c r="AK17" s="16">
        <f t="shared" si="3"/>
        <v>0</v>
      </c>
      <c r="AL17" s="170">
        <f t="shared" si="4"/>
        <v>0</v>
      </c>
      <c r="AM17" s="154">
        <f t="shared" si="5"/>
        <v>0</v>
      </c>
      <c r="AN17" s="150"/>
      <c r="AO17" s="168">
        <f t="shared" si="6"/>
        <v>0</v>
      </c>
      <c r="AP17" s="171">
        <f t="shared" si="7"/>
        <v>0</v>
      </c>
      <c r="AR17" s="133"/>
      <c r="AS17" s="173">
        <f t="shared" si="8"/>
        <v>-0.72154418747483717</v>
      </c>
    </row>
    <row r="18" spans="2:45" x14ac:dyDescent="0.2">
      <c r="B18" s="152" t="s">
        <v>35</v>
      </c>
      <c r="C18" s="2" t="s">
        <v>50</v>
      </c>
      <c r="D18" s="73">
        <f>SUM('Puget LNG'!$AC$12:$AN$12)</f>
        <v>300000</v>
      </c>
      <c r="E18" s="283">
        <f>'Exh JDT-5 (JDT-INTRPL-RD)'!H128</f>
        <v>0.20754</v>
      </c>
      <c r="F18" s="153">
        <f t="shared" ref="F18:F23" si="10">ROUND(D18*E18,2)</f>
        <v>62262</v>
      </c>
      <c r="H18" s="170">
        <f>ROUND(E18*$O$17,5)</f>
        <v>-0.128</v>
      </c>
      <c r="I18" s="154">
        <f t="shared" ref="I18:I23" si="11">ROUND(D18*H18,2)</f>
        <v>-38400</v>
      </c>
      <c r="J18" s="150"/>
      <c r="K18" s="153">
        <f t="shared" ref="K18:K23" si="12">I18-F18</f>
        <v>-100662</v>
      </c>
      <c r="L18" s="155">
        <f t="shared" ref="L18:L23" si="13">IFERROR(K18/F18, )</f>
        <v>-1.6167485785872602</v>
      </c>
      <c r="N18" s="133"/>
      <c r="O18" s="174"/>
      <c r="Q18" s="152" t="s">
        <v>35</v>
      </c>
      <c r="R18" s="2" t="s">
        <v>50</v>
      </c>
      <c r="S18" s="73">
        <v>300000</v>
      </c>
      <c r="T18" s="283">
        <v>0.20754</v>
      </c>
      <c r="U18" s="153">
        <v>62262</v>
      </c>
      <c r="W18" s="170">
        <v>2.1749999999999999E-2</v>
      </c>
      <c r="X18" s="154">
        <v>6525</v>
      </c>
      <c r="Y18" s="150"/>
      <c r="Z18" s="153">
        <v>-55737</v>
      </c>
      <c r="AA18" s="155">
        <v>-0.89520092512286786</v>
      </c>
      <c r="AC18" s="133"/>
      <c r="AD18" s="174"/>
      <c r="AF18" s="152" t="s">
        <v>35</v>
      </c>
      <c r="AG18" s="2" t="s">
        <v>50</v>
      </c>
      <c r="AH18" s="73">
        <f t="shared" si="9"/>
        <v>0</v>
      </c>
      <c r="AI18" s="283">
        <f t="shared" si="1"/>
        <v>0</v>
      </c>
      <c r="AJ18" s="153">
        <f t="shared" si="2"/>
        <v>0</v>
      </c>
      <c r="AK18" s="16">
        <f t="shared" si="3"/>
        <v>0</v>
      </c>
      <c r="AL18" s="170">
        <f t="shared" si="4"/>
        <v>-0.14974999999999999</v>
      </c>
      <c r="AM18" s="154">
        <f t="shared" si="5"/>
        <v>-44925</v>
      </c>
      <c r="AN18" s="150"/>
      <c r="AO18" s="153">
        <f t="shared" si="6"/>
        <v>-44925</v>
      </c>
      <c r="AP18" s="155">
        <f t="shared" si="7"/>
        <v>-0.72154765346439231</v>
      </c>
      <c r="AR18" s="133"/>
      <c r="AS18" s="174"/>
    </row>
    <row r="19" spans="2:45" x14ac:dyDescent="0.2">
      <c r="B19" s="152" t="s">
        <v>36</v>
      </c>
      <c r="C19" s="2" t="s">
        <v>50</v>
      </c>
      <c r="D19" s="73">
        <f>SUM('Puget LNG'!$AC$13:$AN$13)</f>
        <v>300000</v>
      </c>
      <c r="E19" s="283">
        <f>'Exh JDT-5 (JDT-INTRPL-RD)'!H129</f>
        <v>0.12540999999999999</v>
      </c>
      <c r="F19" s="153">
        <f t="shared" si="10"/>
        <v>37623</v>
      </c>
      <c r="H19" s="170">
        <f t="shared" ref="H19:H23" si="14">ROUND(E19*$O$17,5)</f>
        <v>-7.7350000000000002E-2</v>
      </c>
      <c r="I19" s="154">
        <f>ROUND(D19*H19,2)</f>
        <v>-23205</v>
      </c>
      <c r="J19" s="150"/>
      <c r="K19" s="153">
        <f t="shared" si="12"/>
        <v>-60828</v>
      </c>
      <c r="L19" s="155">
        <f t="shared" si="13"/>
        <v>-1.6167769715333706</v>
      </c>
      <c r="N19" s="133"/>
      <c r="O19" s="174"/>
      <c r="Q19" s="152" t="s">
        <v>36</v>
      </c>
      <c r="R19" s="2" t="s">
        <v>50</v>
      </c>
      <c r="S19" s="73">
        <v>300000</v>
      </c>
      <c r="T19" s="283">
        <v>0.12540999999999999</v>
      </c>
      <c r="U19" s="153">
        <v>37623</v>
      </c>
      <c r="W19" s="170">
        <v>1.3140000000000001E-2</v>
      </c>
      <c r="X19" s="154">
        <v>3942</v>
      </c>
      <c r="Y19" s="150"/>
      <c r="Z19" s="153">
        <v>-33681</v>
      </c>
      <c r="AA19" s="155">
        <v>-0.89522366637429229</v>
      </c>
      <c r="AC19" s="133"/>
      <c r="AD19" s="174"/>
      <c r="AF19" s="152" t="s">
        <v>36</v>
      </c>
      <c r="AG19" s="2" t="s">
        <v>50</v>
      </c>
      <c r="AH19" s="73">
        <f t="shared" si="9"/>
        <v>0</v>
      </c>
      <c r="AI19" s="283">
        <f t="shared" si="1"/>
        <v>0</v>
      </c>
      <c r="AJ19" s="153">
        <f t="shared" si="2"/>
        <v>0</v>
      </c>
      <c r="AK19" s="16">
        <f t="shared" si="3"/>
        <v>0</v>
      </c>
      <c r="AL19" s="170">
        <f t="shared" si="4"/>
        <v>-9.0490000000000001E-2</v>
      </c>
      <c r="AM19" s="154">
        <f t="shared" si="5"/>
        <v>-27147</v>
      </c>
      <c r="AN19" s="150"/>
      <c r="AO19" s="153">
        <f t="shared" si="6"/>
        <v>-27147</v>
      </c>
      <c r="AP19" s="155">
        <f t="shared" si="7"/>
        <v>-0.72155330515907834</v>
      </c>
      <c r="AR19" s="133"/>
      <c r="AS19" s="174"/>
    </row>
    <row r="20" spans="2:45" x14ac:dyDescent="0.2">
      <c r="B20" s="152" t="s">
        <v>37</v>
      </c>
      <c r="C20" s="2" t="s">
        <v>50</v>
      </c>
      <c r="D20" s="73">
        <f>SUM('Puget LNG'!$AC$14:$AN$14)</f>
        <v>600000</v>
      </c>
      <c r="E20" s="283">
        <f>'Exh JDT-5 (JDT-INTRPL-RD)'!H130</f>
        <v>7.9810000000000006E-2</v>
      </c>
      <c r="F20" s="153">
        <f t="shared" si="10"/>
        <v>47886</v>
      </c>
      <c r="H20" s="170">
        <f>ROUND(E20*$O$17,5)</f>
        <v>-4.922E-2</v>
      </c>
      <c r="I20" s="154">
        <f t="shared" si="11"/>
        <v>-29532</v>
      </c>
      <c r="J20" s="150"/>
      <c r="K20" s="153">
        <f t="shared" si="12"/>
        <v>-77418</v>
      </c>
      <c r="L20" s="155">
        <f t="shared" si="13"/>
        <v>-1.61671469740634</v>
      </c>
      <c r="N20" s="133"/>
      <c r="Q20" s="152" t="s">
        <v>37</v>
      </c>
      <c r="R20" s="2" t="s">
        <v>50</v>
      </c>
      <c r="S20" s="73">
        <v>600000</v>
      </c>
      <c r="T20" s="283">
        <v>7.9810000000000006E-2</v>
      </c>
      <c r="U20" s="153">
        <v>47886</v>
      </c>
      <c r="W20" s="170">
        <v>8.3599999999999994E-3</v>
      </c>
      <c r="X20" s="154">
        <v>5016</v>
      </c>
      <c r="Y20" s="150"/>
      <c r="Z20" s="153">
        <v>-42870</v>
      </c>
      <c r="AA20" s="155">
        <v>-0.89525122165142212</v>
      </c>
      <c r="AC20" s="133"/>
      <c r="AF20" s="152" t="s">
        <v>37</v>
      </c>
      <c r="AG20" s="2" t="s">
        <v>50</v>
      </c>
      <c r="AH20" s="73">
        <f t="shared" si="9"/>
        <v>0</v>
      </c>
      <c r="AI20" s="283">
        <f t="shared" si="1"/>
        <v>0</v>
      </c>
      <c r="AJ20" s="153">
        <f t="shared" si="2"/>
        <v>0</v>
      </c>
      <c r="AK20" s="16">
        <f t="shared" si="3"/>
        <v>0</v>
      </c>
      <c r="AL20" s="170">
        <f t="shared" si="4"/>
        <v>-5.7579999999999999E-2</v>
      </c>
      <c r="AM20" s="154">
        <f t="shared" si="5"/>
        <v>-34548</v>
      </c>
      <c r="AN20" s="150"/>
      <c r="AO20" s="153">
        <f t="shared" si="6"/>
        <v>-34548</v>
      </c>
      <c r="AP20" s="155">
        <f t="shared" si="7"/>
        <v>-0.72146347575491787</v>
      </c>
      <c r="AR20" s="133"/>
    </row>
    <row r="21" spans="2:45" x14ac:dyDescent="0.2">
      <c r="B21" s="152" t="s">
        <v>40</v>
      </c>
      <c r="C21" s="2" t="s">
        <v>50</v>
      </c>
      <c r="D21" s="73">
        <f>SUM('Puget LNG'!$AC$15:$AN$15)</f>
        <v>1200000</v>
      </c>
      <c r="E21" s="283">
        <f>'Exh JDT-5 (JDT-INTRPL-RD)'!H131</f>
        <v>5.117E-2</v>
      </c>
      <c r="F21" s="153">
        <f t="shared" si="10"/>
        <v>61404</v>
      </c>
      <c r="H21" s="170">
        <f t="shared" si="14"/>
        <v>-3.1559999999999998E-2</v>
      </c>
      <c r="I21" s="154">
        <f t="shared" si="11"/>
        <v>-37872</v>
      </c>
      <c r="J21" s="150"/>
      <c r="K21" s="153">
        <f t="shared" si="12"/>
        <v>-99276</v>
      </c>
      <c r="L21" s="155">
        <f t="shared" si="13"/>
        <v>-1.6167676372874731</v>
      </c>
      <c r="N21" s="133"/>
      <c r="Q21" s="152" t="s">
        <v>40</v>
      </c>
      <c r="R21" s="2" t="s">
        <v>50</v>
      </c>
      <c r="S21" s="73">
        <v>1200000</v>
      </c>
      <c r="T21" s="283">
        <v>5.117E-2</v>
      </c>
      <c r="U21" s="153">
        <v>61404</v>
      </c>
      <c r="W21" s="170">
        <v>5.3600000000000002E-3</v>
      </c>
      <c r="X21" s="154">
        <v>6432</v>
      </c>
      <c r="Y21" s="150"/>
      <c r="Z21" s="153">
        <v>-54972</v>
      </c>
      <c r="AA21" s="155">
        <v>-0.89525112370529603</v>
      </c>
      <c r="AC21" s="133"/>
      <c r="AF21" s="152" t="s">
        <v>40</v>
      </c>
      <c r="AG21" s="2" t="s">
        <v>50</v>
      </c>
      <c r="AH21" s="73">
        <f t="shared" si="9"/>
        <v>0</v>
      </c>
      <c r="AI21" s="283">
        <f t="shared" si="1"/>
        <v>0</v>
      </c>
      <c r="AJ21" s="153">
        <f t="shared" si="2"/>
        <v>0</v>
      </c>
      <c r="AK21" s="16">
        <f t="shared" si="3"/>
        <v>0</v>
      </c>
      <c r="AL21" s="170">
        <f t="shared" si="4"/>
        <v>-3.6919999999999994E-2</v>
      </c>
      <c r="AM21" s="154">
        <f t="shared" si="5"/>
        <v>-44304</v>
      </c>
      <c r="AN21" s="150"/>
      <c r="AO21" s="153">
        <f t="shared" si="6"/>
        <v>-44304</v>
      </c>
      <c r="AP21" s="155">
        <f t="shared" si="7"/>
        <v>-0.72151651358217705</v>
      </c>
      <c r="AR21" s="133"/>
    </row>
    <row r="22" spans="2:45" x14ac:dyDescent="0.2">
      <c r="B22" s="152" t="s">
        <v>41</v>
      </c>
      <c r="C22" s="2" t="s">
        <v>50</v>
      </c>
      <c r="D22" s="73">
        <f>SUM('Puget LNG'!$AC$16:$AN$16)</f>
        <v>3600000</v>
      </c>
      <c r="E22" s="283">
        <f>'Exh JDT-5 (JDT-INTRPL-RD)'!H132</f>
        <v>3.6830000000000002E-2</v>
      </c>
      <c r="F22" s="153">
        <f t="shared" si="10"/>
        <v>132588</v>
      </c>
      <c r="H22" s="170">
        <f t="shared" si="14"/>
        <v>-2.2710000000000001E-2</v>
      </c>
      <c r="I22" s="154">
        <f t="shared" si="11"/>
        <v>-81756</v>
      </c>
      <c r="J22" s="150"/>
      <c r="K22" s="153">
        <f t="shared" si="12"/>
        <v>-214344</v>
      </c>
      <c r="L22" s="155">
        <f t="shared" si="13"/>
        <v>-1.6166168884061907</v>
      </c>
      <c r="N22" s="133"/>
      <c r="Q22" s="152" t="s">
        <v>41</v>
      </c>
      <c r="R22" s="2" t="s">
        <v>50</v>
      </c>
      <c r="S22" s="73">
        <v>3600000</v>
      </c>
      <c r="T22" s="283">
        <v>3.6830000000000002E-2</v>
      </c>
      <c r="U22" s="153">
        <v>132588</v>
      </c>
      <c r="W22" s="170">
        <v>3.8600000000000001E-3</v>
      </c>
      <c r="X22" s="154">
        <v>13896</v>
      </c>
      <c r="Y22" s="150"/>
      <c r="Z22" s="153">
        <v>-118692</v>
      </c>
      <c r="AA22" s="155">
        <v>-0.89519413521585667</v>
      </c>
      <c r="AC22" s="133"/>
      <c r="AF22" s="152" t="s">
        <v>41</v>
      </c>
      <c r="AG22" s="2" t="s">
        <v>50</v>
      </c>
      <c r="AH22" s="73">
        <f t="shared" si="9"/>
        <v>0</v>
      </c>
      <c r="AI22" s="283">
        <f t="shared" si="1"/>
        <v>0</v>
      </c>
      <c r="AJ22" s="153">
        <f t="shared" si="2"/>
        <v>0</v>
      </c>
      <c r="AK22" s="16">
        <f t="shared" si="3"/>
        <v>0</v>
      </c>
      <c r="AL22" s="170">
        <f t="shared" si="4"/>
        <v>-2.657E-2</v>
      </c>
      <c r="AM22" s="154">
        <f t="shared" si="5"/>
        <v>-95652</v>
      </c>
      <c r="AN22" s="150"/>
      <c r="AO22" s="153">
        <f t="shared" si="6"/>
        <v>-95652</v>
      </c>
      <c r="AP22" s="155">
        <f t="shared" si="7"/>
        <v>-0.721422753190334</v>
      </c>
      <c r="AR22" s="133"/>
    </row>
    <row r="23" spans="2:45" x14ac:dyDescent="0.2">
      <c r="B23" s="152" t="s">
        <v>42</v>
      </c>
      <c r="C23" s="2" t="s">
        <v>50</v>
      </c>
      <c r="D23" s="73">
        <f>SUM('Puget LNG'!$AC$17:$AN$17)</f>
        <v>38508541</v>
      </c>
      <c r="E23" s="283">
        <f>'Exh JDT-5 (JDT-INTRPL-RD)'!H133</f>
        <v>2.4830000000000001E-2</v>
      </c>
      <c r="F23" s="153">
        <f t="shared" si="10"/>
        <v>956167.07</v>
      </c>
      <c r="H23" s="170">
        <f t="shared" si="14"/>
        <v>-1.5310000000000001E-2</v>
      </c>
      <c r="I23" s="154">
        <f t="shared" si="11"/>
        <v>-589565.76</v>
      </c>
      <c r="J23" s="150"/>
      <c r="K23" s="153">
        <f t="shared" si="12"/>
        <v>-1545732.83</v>
      </c>
      <c r="L23" s="155">
        <f t="shared" si="13"/>
        <v>-1.616592830372207</v>
      </c>
      <c r="N23" s="133"/>
      <c r="Q23" s="152" t="s">
        <v>42</v>
      </c>
      <c r="R23" s="2" t="s">
        <v>50</v>
      </c>
      <c r="S23" s="73">
        <v>38508541</v>
      </c>
      <c r="T23" s="283">
        <v>2.4830000000000001E-2</v>
      </c>
      <c r="U23" s="153">
        <v>956167.07</v>
      </c>
      <c r="W23" s="170">
        <v>2.5999999999999999E-3</v>
      </c>
      <c r="X23" s="154">
        <v>100122.21</v>
      </c>
      <c r="Y23" s="150"/>
      <c r="Z23" s="153">
        <v>-856044.86</v>
      </c>
      <c r="AA23" s="155">
        <v>-0.89528795422749707</v>
      </c>
      <c r="AC23" s="133"/>
      <c r="AF23" s="152" t="s">
        <v>42</v>
      </c>
      <c r="AG23" s="2" t="s">
        <v>50</v>
      </c>
      <c r="AH23" s="73">
        <f t="shared" si="9"/>
        <v>0</v>
      </c>
      <c r="AI23" s="283">
        <f t="shared" si="1"/>
        <v>0</v>
      </c>
      <c r="AJ23" s="153">
        <f t="shared" si="2"/>
        <v>0</v>
      </c>
      <c r="AK23" s="16">
        <f t="shared" si="3"/>
        <v>0</v>
      </c>
      <c r="AL23" s="170">
        <f t="shared" si="4"/>
        <v>-1.7910000000000002E-2</v>
      </c>
      <c r="AM23" s="154">
        <f t="shared" si="5"/>
        <v>-689687.97</v>
      </c>
      <c r="AN23" s="150"/>
      <c r="AO23" s="153">
        <f t="shared" si="6"/>
        <v>-689687.97000000009</v>
      </c>
      <c r="AP23" s="155">
        <f t="shared" si="7"/>
        <v>-0.72130487614470995</v>
      </c>
      <c r="AR23" s="133"/>
    </row>
    <row r="24" spans="2:45" x14ac:dyDescent="0.2">
      <c r="B24" s="147" t="s">
        <v>219</v>
      </c>
      <c r="D24" s="175">
        <f>SUM(D18:D23)</f>
        <v>44508541</v>
      </c>
      <c r="F24" s="176">
        <f>SUM(F13:F23)</f>
        <v>1310923.79</v>
      </c>
      <c r="H24" s="130"/>
      <c r="I24" s="176">
        <f>SUM(I13:I23)</f>
        <v>-740330.76</v>
      </c>
      <c r="J24" s="150"/>
      <c r="K24" s="176">
        <f>SUM(K13:K23)</f>
        <v>-2051254.55</v>
      </c>
      <c r="L24" s="177">
        <f>IFERROR(K24/F24, )</f>
        <v>-1.5647397397525298</v>
      </c>
      <c r="N24" s="133"/>
      <c r="Q24" s="147" t="s">
        <v>219</v>
      </c>
      <c r="S24" s="175">
        <v>44508541</v>
      </c>
      <c r="U24" s="176">
        <v>1310923.79</v>
      </c>
      <c r="W24" s="130"/>
      <c r="X24" s="176">
        <v>195933.21000000002</v>
      </c>
      <c r="Y24" s="150"/>
      <c r="Z24" s="176">
        <v>-1114990.58</v>
      </c>
      <c r="AA24" s="177">
        <v>-0.85053806217064687</v>
      </c>
      <c r="AC24" s="133"/>
      <c r="AF24" s="147" t="s">
        <v>219</v>
      </c>
      <c r="AH24" s="175">
        <f t="shared" si="9"/>
        <v>0</v>
      </c>
      <c r="AI24" s="130">
        <f t="shared" si="1"/>
        <v>0</v>
      </c>
      <c r="AJ24" s="176">
        <f t="shared" si="2"/>
        <v>0</v>
      </c>
      <c r="AK24" s="16">
        <f t="shared" si="3"/>
        <v>0</v>
      </c>
      <c r="AL24" s="130">
        <f t="shared" si="4"/>
        <v>0</v>
      </c>
      <c r="AM24" s="176">
        <f t="shared" si="5"/>
        <v>-936263.97</v>
      </c>
      <c r="AN24" s="150"/>
      <c r="AO24" s="176">
        <f t="shared" si="6"/>
        <v>-936263.97</v>
      </c>
      <c r="AP24" s="177">
        <f t="shared" si="7"/>
        <v>-0.71420167758188291</v>
      </c>
      <c r="AR24" s="133"/>
    </row>
    <row r="25" spans="2:45" x14ac:dyDescent="0.2">
      <c r="B25" s="152"/>
      <c r="C25" s="148"/>
      <c r="F25" s="153"/>
      <c r="I25" s="154"/>
      <c r="J25" s="150"/>
      <c r="K25" s="153"/>
      <c r="L25" s="178"/>
      <c r="N25" s="133"/>
      <c r="Q25" s="152"/>
      <c r="R25" s="148"/>
      <c r="U25" s="153"/>
      <c r="X25" s="154"/>
      <c r="Y25" s="150"/>
      <c r="Z25" s="153"/>
      <c r="AA25" s="178"/>
      <c r="AC25" s="133"/>
      <c r="AF25" s="152"/>
      <c r="AG25" s="148"/>
      <c r="AH25" s="16">
        <f t="shared" si="9"/>
        <v>0</v>
      </c>
      <c r="AI25" s="130">
        <f t="shared" si="1"/>
        <v>0</v>
      </c>
      <c r="AJ25" s="153">
        <f t="shared" si="2"/>
        <v>0</v>
      </c>
      <c r="AK25" s="16">
        <f t="shared" si="3"/>
        <v>0</v>
      </c>
      <c r="AL25" s="131">
        <f t="shared" si="4"/>
        <v>0</v>
      </c>
      <c r="AM25" s="154">
        <f t="shared" si="5"/>
        <v>0</v>
      </c>
      <c r="AN25" s="150"/>
      <c r="AO25" s="153">
        <f t="shared" si="6"/>
        <v>0</v>
      </c>
      <c r="AP25" s="178">
        <f t="shared" si="7"/>
        <v>0</v>
      </c>
      <c r="AR25" s="133"/>
    </row>
    <row r="26" spans="2:45" x14ac:dyDescent="0.2">
      <c r="B26" s="152" t="s">
        <v>220</v>
      </c>
      <c r="E26" s="131"/>
      <c r="F26" s="176">
        <f>F24</f>
        <v>1310923.79</v>
      </c>
      <c r="I26" s="176">
        <f>I24</f>
        <v>-740330.76</v>
      </c>
      <c r="J26" s="150"/>
      <c r="K26" s="176">
        <f>K24</f>
        <v>-2051254.55</v>
      </c>
      <c r="L26" s="177">
        <f>IFERROR(K26/F26, )</f>
        <v>-1.5647397397525298</v>
      </c>
      <c r="N26" s="133"/>
      <c r="Q26" s="152" t="s">
        <v>220</v>
      </c>
      <c r="T26" s="131"/>
      <c r="U26" s="176">
        <v>1310923.79</v>
      </c>
      <c r="X26" s="176">
        <v>195933.21000000002</v>
      </c>
      <c r="Y26" s="150"/>
      <c r="Z26" s="176">
        <v>-1114990.58</v>
      </c>
      <c r="AA26" s="177">
        <v>-0.85053806217064687</v>
      </c>
      <c r="AC26" s="133"/>
      <c r="AF26" s="152" t="s">
        <v>220</v>
      </c>
      <c r="AH26" s="16">
        <f t="shared" si="9"/>
        <v>0</v>
      </c>
      <c r="AI26" s="131">
        <f t="shared" si="1"/>
        <v>0</v>
      </c>
      <c r="AJ26" s="176">
        <f t="shared" si="2"/>
        <v>0</v>
      </c>
      <c r="AK26" s="16">
        <f t="shared" si="3"/>
        <v>0</v>
      </c>
      <c r="AL26" s="131">
        <f t="shared" si="4"/>
        <v>0</v>
      </c>
      <c r="AM26" s="176">
        <f t="shared" si="5"/>
        <v>-936263.97</v>
      </c>
      <c r="AN26" s="150"/>
      <c r="AO26" s="176">
        <f t="shared" si="6"/>
        <v>-936263.97</v>
      </c>
      <c r="AP26" s="177">
        <f t="shared" si="7"/>
        <v>-0.71420167758188291</v>
      </c>
      <c r="AR26" s="133"/>
    </row>
    <row r="27" spans="2:45" x14ac:dyDescent="0.2">
      <c r="B27" s="179"/>
      <c r="C27" s="180"/>
      <c r="D27" s="181"/>
      <c r="E27" s="182"/>
      <c r="F27" s="183"/>
      <c r="G27" s="181"/>
      <c r="H27" s="184"/>
      <c r="I27" s="185"/>
      <c r="J27" s="186"/>
      <c r="K27" s="183"/>
      <c r="L27" s="187"/>
      <c r="N27" s="133"/>
      <c r="Q27" s="179"/>
      <c r="R27" s="180"/>
      <c r="S27" s="181"/>
      <c r="T27" s="182"/>
      <c r="U27" s="183"/>
      <c r="V27" s="181"/>
      <c r="W27" s="184"/>
      <c r="X27" s="185"/>
      <c r="Y27" s="186"/>
      <c r="Z27" s="183"/>
      <c r="AA27" s="187"/>
      <c r="AC27" s="133"/>
      <c r="AF27" s="179"/>
      <c r="AG27" s="180"/>
      <c r="AH27" s="181"/>
      <c r="AI27" s="182"/>
      <c r="AJ27" s="183"/>
      <c r="AK27" s="181"/>
      <c r="AL27" s="184"/>
      <c r="AM27" s="185"/>
      <c r="AN27" s="186"/>
      <c r="AO27" s="183"/>
      <c r="AP27" s="187"/>
      <c r="AR27" s="133"/>
    </row>
    <row r="28" spans="2:45" x14ac:dyDescent="0.2">
      <c r="F28" s="153"/>
      <c r="I28" s="154"/>
      <c r="J28" s="150"/>
      <c r="K28" s="153"/>
      <c r="L28" s="188"/>
      <c r="N28" s="133"/>
      <c r="U28" s="153"/>
      <c r="X28" s="154"/>
      <c r="Y28" s="150"/>
      <c r="Z28" s="153"/>
      <c r="AA28" s="188"/>
      <c r="AC28" s="133"/>
      <c r="AJ28" s="153"/>
      <c r="AM28" s="154"/>
      <c r="AN28" s="150"/>
      <c r="AO28" s="153"/>
      <c r="AP28" s="188"/>
      <c r="AR28" s="133"/>
    </row>
    <row r="29" spans="2:45" x14ac:dyDescent="0.2">
      <c r="F29" s="153"/>
      <c r="I29" s="154"/>
      <c r="J29" s="150"/>
      <c r="K29" s="153"/>
      <c r="L29" s="188"/>
      <c r="N29" s="133"/>
      <c r="U29" s="153"/>
      <c r="X29" s="154"/>
      <c r="Y29" s="150"/>
      <c r="Z29" s="153"/>
      <c r="AA29" s="188"/>
      <c r="AC29" s="133"/>
      <c r="AJ29" s="153"/>
      <c r="AM29" s="154"/>
      <c r="AN29" s="150"/>
      <c r="AO29" s="153"/>
      <c r="AP29" s="188"/>
      <c r="AR29" s="133"/>
    </row>
    <row r="30" spans="2:45" x14ac:dyDescent="0.2">
      <c r="F30" s="131" t="s">
        <v>278</v>
      </c>
      <c r="I30" s="154">
        <f>'Rate Spread (Sch. 141D)'!F19</f>
        <v>2051411.395087437</v>
      </c>
      <c r="J30" s="150"/>
      <c r="K30" s="153"/>
      <c r="L30" s="188"/>
      <c r="N30" s="133"/>
      <c r="U30" s="153" t="s">
        <v>278</v>
      </c>
      <c r="X30" s="154">
        <v>1114897.4973301287</v>
      </c>
      <c r="Y30" s="150"/>
      <c r="Z30" s="153"/>
      <c r="AA30" s="188"/>
      <c r="AC30" s="133"/>
      <c r="AJ30" s="153" t="s">
        <v>278</v>
      </c>
      <c r="AM30" s="154">
        <f t="shared" ref="AM30:AM32" si="15">I30-X30</f>
        <v>936513.89775730832</v>
      </c>
      <c r="AN30" s="150"/>
      <c r="AO30" s="153"/>
      <c r="AP30" s="188"/>
      <c r="AR30" s="133"/>
    </row>
    <row r="31" spans="2:45" x14ac:dyDescent="0.2">
      <c r="F31" s="131" t="s">
        <v>198</v>
      </c>
      <c r="I31" s="154">
        <f>I26</f>
        <v>-740330.76</v>
      </c>
      <c r="J31" s="150"/>
      <c r="K31" s="153"/>
      <c r="L31" s="188"/>
      <c r="N31" s="133"/>
      <c r="U31" s="153" t="s">
        <v>198</v>
      </c>
      <c r="X31" s="154">
        <v>195933.21000000002</v>
      </c>
      <c r="Y31" s="150"/>
      <c r="Z31" s="153"/>
      <c r="AA31" s="188"/>
      <c r="AC31" s="133"/>
      <c r="AJ31" s="153" t="s">
        <v>198</v>
      </c>
      <c r="AM31" s="154">
        <f t="shared" si="15"/>
        <v>-936263.97</v>
      </c>
      <c r="AN31" s="150"/>
      <c r="AO31" s="153"/>
      <c r="AP31" s="188"/>
      <c r="AR31" s="133"/>
    </row>
    <row r="32" spans="2:45" x14ac:dyDescent="0.2">
      <c r="F32" s="131" t="s">
        <v>362</v>
      </c>
      <c r="I32" s="154">
        <f>SUM(I30:I31)</f>
        <v>1311080.635087437</v>
      </c>
      <c r="J32" s="150"/>
      <c r="K32" s="153"/>
      <c r="L32" s="188"/>
      <c r="N32" s="133"/>
      <c r="U32" s="153" t="s">
        <v>362</v>
      </c>
      <c r="X32" s="154">
        <v>1310830.7073301286</v>
      </c>
      <c r="Y32" s="150"/>
      <c r="Z32" s="153"/>
      <c r="AA32" s="188"/>
      <c r="AC32" s="133"/>
      <c r="AJ32" s="153" t="s">
        <v>362</v>
      </c>
      <c r="AM32" s="154">
        <f t="shared" si="15"/>
        <v>249.92775730835274</v>
      </c>
      <c r="AN32" s="150"/>
      <c r="AO32" s="153"/>
      <c r="AP32" s="188"/>
      <c r="AR32" s="133"/>
    </row>
    <row r="33" spans="6:44" x14ac:dyDescent="0.2">
      <c r="F33" s="153"/>
      <c r="I33" s="154"/>
      <c r="J33" s="150"/>
      <c r="K33" s="153"/>
      <c r="L33" s="188"/>
      <c r="N33" s="133"/>
      <c r="U33" s="153"/>
      <c r="X33" s="154"/>
      <c r="Y33" s="150"/>
      <c r="Z33" s="153"/>
      <c r="AA33" s="188"/>
      <c r="AC33" s="133"/>
      <c r="AJ33" s="153"/>
      <c r="AM33" s="154"/>
      <c r="AN33" s="150"/>
      <c r="AO33" s="153"/>
      <c r="AP33" s="188"/>
      <c r="AR33" s="133"/>
    </row>
    <row r="34" spans="6:44" x14ac:dyDescent="0.2">
      <c r="F34" s="153"/>
      <c r="I34" s="154"/>
      <c r="J34" s="150"/>
      <c r="K34" s="153"/>
      <c r="L34" s="188"/>
      <c r="N34" s="133"/>
      <c r="U34" s="153"/>
      <c r="X34" s="154"/>
      <c r="Y34" s="150"/>
      <c r="Z34" s="153"/>
      <c r="AA34" s="188"/>
      <c r="AC34" s="133"/>
      <c r="AJ34" s="153"/>
      <c r="AM34" s="154"/>
      <c r="AN34" s="150"/>
      <c r="AO34" s="153"/>
      <c r="AP34" s="188"/>
      <c r="AR34" s="133"/>
    </row>
    <row r="35" spans="6:44" x14ac:dyDescent="0.2">
      <c r="F35" s="153"/>
      <c r="I35" s="154"/>
      <c r="J35" s="150"/>
      <c r="K35" s="153"/>
      <c r="L35" s="188"/>
      <c r="N35" s="133"/>
      <c r="U35" s="153"/>
      <c r="X35" s="154"/>
      <c r="Y35" s="150"/>
      <c r="Z35" s="153"/>
      <c r="AA35" s="188"/>
      <c r="AC35" s="133"/>
      <c r="AJ35" s="153"/>
      <c r="AM35" s="154"/>
      <c r="AN35" s="150"/>
      <c r="AO35" s="153"/>
      <c r="AP35" s="188"/>
      <c r="AR35" s="133"/>
    </row>
  </sheetData>
  <mergeCells count="3">
    <mergeCell ref="K7:L7"/>
    <mergeCell ref="Z7:AA7"/>
    <mergeCell ref="AO7:AP7"/>
  </mergeCells>
  <printOptions horizontalCentered="1"/>
  <pageMargins left="0.5" right="0.5" top="1" bottom="1" header="0.75" footer="0.5"/>
  <pageSetup scale="82" fitToHeight="2" orientation="landscape" blackAndWhite="1" r:id="rId1"/>
  <headerFooter alignWithMargins="0">
    <oddFooter>&amp;R&amp;A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51A869FC564E24E898CF4C8794BB580" ma:contentTypeVersion="24" ma:contentTypeDescription="" ma:contentTypeScope="" ma:versionID="49cba3d21e268f439e5e06a001ee856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2023-05-25T07:00:00+00:00</OpenedDate>
    <SignificantOrder xmlns="dc463f71-b30c-4ab2-9473-d307f9d35888">false</SignificantOrder>
    <Date1 xmlns="dc463f71-b30c-4ab2-9473-d307f9d35888">2023-12-04T22:06:25+00:00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230393</DocketNumber>
    <DelegatedOrder xmlns="dc463f71-b30c-4ab2-9473-d307f9d35888">false</DelegatedOrder>
  </documentManagement>
</p:properties>
</file>

<file path=customXml/itemProps1.xml><?xml version="1.0" encoding="utf-8"?>
<ds:datastoreItem xmlns:ds="http://schemas.openxmlformats.org/officeDocument/2006/customXml" ds:itemID="{EA19D295-26F1-4EE2-9B16-691AF29D8245}"/>
</file>

<file path=customXml/itemProps2.xml><?xml version="1.0" encoding="utf-8"?>
<ds:datastoreItem xmlns:ds="http://schemas.openxmlformats.org/officeDocument/2006/customXml" ds:itemID="{756D23DB-2CAF-47E0-B154-8550F7DB99F7}"/>
</file>

<file path=customXml/itemProps3.xml><?xml version="1.0" encoding="utf-8"?>
<ds:datastoreItem xmlns:ds="http://schemas.openxmlformats.org/officeDocument/2006/customXml" ds:itemID="{012CD69C-5B2E-4EAA-B92E-09A9F5F3CF75}"/>
</file>

<file path=customXml/itemProps4.xml><?xml version="1.0" encoding="utf-8"?>
<ds:datastoreItem xmlns:ds="http://schemas.openxmlformats.org/officeDocument/2006/customXml" ds:itemID="{1E400978-C796-4500-93A1-BA65998FAC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Table of Contents</vt:lpstr>
      <vt:lpstr>Rate Summary</vt:lpstr>
      <vt:lpstr>Rate Design (Sch. 141D)</vt:lpstr>
      <vt:lpstr>Rate Spread (Sch. 141D Blocks)</vt:lpstr>
      <vt:lpstr>BR6 Response-Table 1</vt:lpstr>
      <vt:lpstr>Rate Spread (Sch. 141D)</vt:lpstr>
      <vt:lpstr>Rate Spread (Sch. 141N)</vt:lpstr>
      <vt:lpstr>Exh. WJD-3 p. 1</vt:lpstr>
      <vt:lpstr>Sch. 88T Rate Design</vt:lpstr>
      <vt:lpstr>Rate Design (Sch. 141N)</vt:lpstr>
      <vt:lpstr>Rate Spread (Sch. 141N Blocks)</vt:lpstr>
      <vt:lpstr>Workpapers--&gt;</vt:lpstr>
      <vt:lpstr>Exh JDT-5 (JDT-Rate Spread)</vt:lpstr>
      <vt:lpstr>Exh JDT-5 (JDT-INTRPL-RD)</vt:lpstr>
      <vt:lpstr>RY#2 Therms</vt:lpstr>
      <vt:lpstr>Puget LNG</vt:lpstr>
      <vt:lpstr>'Exh JDT-5 (JDT-Rate Spread)'!Print_Area</vt:lpstr>
      <vt:lpstr>'Rate Design (Sch. 141D)'!Print_Area</vt:lpstr>
      <vt:lpstr>'Rate Design (Sch. 141N)'!Print_Area</vt:lpstr>
      <vt:lpstr>'Rate Spread (Sch. 141D Blocks)'!Print_Area</vt:lpstr>
      <vt:lpstr>'Rate Spread (Sch. 141D)'!Print_Area</vt:lpstr>
      <vt:lpstr>'Rate Spread (Sch. 141N Blocks)'!Print_Area</vt:lpstr>
      <vt:lpstr>'Rate Spread (Sch. 141N)'!Print_Area</vt:lpstr>
      <vt:lpstr>'RY#2 Therms'!Print_Area</vt:lpstr>
      <vt:lpstr>'Sch. 88T Rate Design'!Print_Area</vt:lpstr>
      <vt:lpstr>'Exh JDT-5 (JDT-INTRPL-RD)'!Print_Titles</vt:lpstr>
      <vt:lpstr>'Exh JDT-5 (JDT-Rate Spread)'!Print_Titles</vt:lpstr>
      <vt:lpstr>'Puget LNG'!Print_Titles</vt:lpstr>
      <vt:lpstr>'Rate Summary'!Print_Titles</vt:lpstr>
      <vt:lpstr>'Sch. 88T Rate Design'!Print_Titles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Free, Susan</dc:creator>
  <cp:lastModifiedBy>Erdahl, Betty Ann (UTC)</cp:lastModifiedBy>
  <cp:lastPrinted>1900-01-01T00:00:00Z</cp:lastPrinted>
  <dcterms:created xsi:type="dcterms:W3CDTF">1900-01-01T00:00:00Z</dcterms:created>
  <dcterms:modified xsi:type="dcterms:W3CDTF">2023-12-01T02:42:37Z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0x0101006E56B4D1795A2E4DB2F0B01679ED314A00951A869FC564E24E898CF4C8794BB580</vt:lpwstr>
  </property>
  <property fmtid="{D5CDD505-2E9C-101B-9397-08002B2CF9AE}" pid="3" name="_docset_NoMedatataSyncRequired">
    <vt:lpwstr>False</vt:lpwstr>
  </property>
</Properties>
</file>