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worksheets/sheet22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40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0100" windowHeight="9204"/>
  </bookViews>
  <sheets>
    <sheet name="May 2018 Impacts" sheetId="45" r:id="rId1"/>
    <sheet name="Tax Reform Impacts" sheetId="44" r:id="rId2"/>
    <sheet name="GRC Tax Reform Impacts" sheetId="1" r:id="rId3"/>
    <sheet name="SCHEDULE IMPACTS===&gt;" sheetId="35" r:id="rId4"/>
    <sheet name="Exhibit No.__(JAP-Sch 7 Imp)" sheetId="36" r:id="rId5"/>
    <sheet name="Exhibit No.__(JAP-Sch 24 Imp)" sheetId="37" r:id="rId6"/>
    <sheet name="Exhibit No.__(JAP-Sch 25 Imp)" sheetId="38" r:id="rId7"/>
    <sheet name="Exhibit No.__(JAP-Sch 26 Imp)" sheetId="39" r:id="rId8"/>
    <sheet name="Exhibit No.__(JAP-Sch 29 Imp)" sheetId="40" r:id="rId9"/>
    <sheet name="Exhibit No.__(JAP-Sch 31 Imp)" sheetId="41" r:id="rId10"/>
    <sheet name="Exhibit No.__(JAP-Sch 46 Imp)" sheetId="42" r:id="rId11"/>
    <sheet name="Exhibit No.__(JAP-Sch 49 Imp)" sheetId="43" r:id="rId12"/>
    <sheet name="Revenue Impacts" sheetId="15" r:id="rId13"/>
    <sheet name="Exhibit No.__(JAP-Prof-Prop)" sheetId="2" r:id="rId14"/>
    <sheet name="Sch 95" sheetId="3" r:id="rId15"/>
    <sheet name="Sch 95a" sheetId="4" r:id="rId16"/>
    <sheet name="Sch 120" sheetId="13" r:id="rId17"/>
    <sheet name="Sch 129" sheetId="16" r:id="rId18"/>
    <sheet name="Sch 132" sheetId="17" r:id="rId19"/>
    <sheet name="Sch 137" sheetId="19" r:id="rId20"/>
    <sheet name="Sch 140" sheetId="22" r:id="rId21"/>
    <sheet name="Sch 141" sheetId="23" r:id="rId22"/>
    <sheet name="Sch 142 Deferral &amp; K-Factor" sheetId="24" r:id="rId23"/>
    <sheet name="Sch 142 Rate Plan Lights" sheetId="27" r:id="rId24"/>
    <sheet name="Sch 142 Rate Plan Sch 449" sheetId="26" r:id="rId25"/>
    <sheet name="Sch 194" sheetId="25" r:id="rId26"/>
    <sheet name="Proposed Filings 5-2018" sheetId="46" r:id="rId27"/>
    <sheet name="Proposed Sch 95A" sheetId="12" r:id="rId28"/>
    <sheet name="Proposed Sch 120 " sheetId="49" r:id="rId29"/>
    <sheet name="Proposed Sch 140" sheetId="48" r:id="rId30"/>
    <sheet name="Proposed Sch 142" sheetId="47" r:id="rId31"/>
    <sheet name="Compliance Filings" sheetId="14" r:id="rId32"/>
    <sheet name="Compliance Sch 95" sheetId="5" r:id="rId33"/>
    <sheet name="Compliance Sch 120" sheetId="6" r:id="rId34"/>
    <sheet name="Compliance Sch 129" sheetId="7" r:id="rId35"/>
    <sheet name="Proposed Sch 132" sheetId="18" r:id="rId36"/>
    <sheet name="Proposed Sch 137" sheetId="20" r:id="rId37"/>
    <sheet name="Compliance Sch 140" sheetId="8" r:id="rId38"/>
    <sheet name="Compliance Sch 142" sheetId="9" r:id="rId39"/>
    <sheet name="Compliance Sch 194" sheetId="10" r:id="rId40"/>
  </sheets>
  <externalReferences>
    <externalReference r:id="rId41"/>
    <externalReference r:id="rId42"/>
    <externalReference r:id="rId43"/>
    <externalReference r:id="rId44"/>
  </externalReferences>
  <definedNames>
    <definedName name="_Order1" localSheetId="13">0</definedName>
    <definedName name="_Order1">255</definedName>
    <definedName name="_Order2" localSheetId="13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21">{"'Sheet1'!$A$1:$J$121"}</definedName>
    <definedName name="HTML_Control" localSheetId="2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33">'Compliance Sch 120'!$B$1:$K$36</definedName>
    <definedName name="_xlnm.Print_Area" localSheetId="37">'Compliance Sch 140'!$A$1:$I$35</definedName>
    <definedName name="_xlnm.Print_Area" localSheetId="13">'Exhibit No.__(JAP-Prof-Prop)'!$B$1:$R$49</definedName>
    <definedName name="_xlnm.Print_Area" localSheetId="5">'Exhibit No.__(JAP-Sch 24 Imp)'!$A$1:$Y$46</definedName>
    <definedName name="_xlnm.Print_Area" localSheetId="6">'Exhibit No.__(JAP-Sch 25 Imp)'!$A$1:$Q$55</definedName>
    <definedName name="_xlnm.Print_Area" localSheetId="7">'Exhibit No.__(JAP-Sch 26 Imp)'!$A$1:$Q$43</definedName>
    <definedName name="_xlnm.Print_Area" localSheetId="8">'Exhibit No.__(JAP-Sch 29 Imp)'!$B$1:$Q$62</definedName>
    <definedName name="_xlnm.Print_Area" localSheetId="9">'Exhibit No.__(JAP-Sch 31 Imp)'!$A$1:$Q$43</definedName>
    <definedName name="_xlnm.Print_Area" localSheetId="10">'Exhibit No.__(JAP-Sch 46 Imp)'!$A$1:$P$41</definedName>
    <definedName name="_xlnm.Print_Area" localSheetId="11">'Exhibit No.__(JAP-Sch 49 Imp)'!$A$1:$Q$41</definedName>
    <definedName name="_xlnm.Print_Area" localSheetId="4">'Exhibit No.__(JAP-Sch 7 Imp)'!$A$1:$S$44</definedName>
    <definedName name="_xlnm.Print_Area" localSheetId="2">'GRC Tax Reform Impacts'!$A$1:$AB$37</definedName>
    <definedName name="_xlnm.Print_Area" localSheetId="0">'May 2018 Impacts'!$A$1:$F$37</definedName>
    <definedName name="_xlnm.Print_Area" localSheetId="1">'Tax Reform Impacts'!$A$1:$F$37</definedName>
    <definedName name="_xlnm.Print_Titles" localSheetId="2">'GRC Tax Reform Impacts'!$A:$B</definedName>
    <definedName name="_xlnm.Print_Titles" localSheetId="0">'May 2018 Impacts'!$A:$B</definedName>
    <definedName name="_xlnm.Print_Titles" localSheetId="23">'Sch 142 Rate Plan Lights'!$1:$7</definedName>
    <definedName name="_xlnm.Print_Titles" localSheetId="1">'Tax Reform Impacts'!$A:$B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13">'Exhibit No.__(JAP-Prof-Prop)'!$B$3:$T$49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 iterate="1" iterateDelta="1E-4" calcOnSave="0"/>
</workbook>
</file>

<file path=xl/calcChain.xml><?xml version="1.0" encoding="utf-8"?>
<calcChain xmlns="http://schemas.openxmlformats.org/spreadsheetml/2006/main">
  <c r="P21" i="43" l="1"/>
  <c r="N21" i="43"/>
  <c r="P21" i="42"/>
  <c r="N21" i="42"/>
  <c r="Q29" i="41"/>
  <c r="O29" i="41"/>
  <c r="Q45" i="40"/>
  <c r="O45" i="40"/>
  <c r="Q29" i="39"/>
  <c r="O29" i="39"/>
  <c r="Q40" i="38"/>
  <c r="O40" i="38"/>
  <c r="Y23" i="37"/>
  <c r="V23" i="37"/>
  <c r="Q24" i="36"/>
  <c r="K20" i="4"/>
  <c r="K15" i="4"/>
  <c r="K13" i="4"/>
  <c r="K11" i="4"/>
  <c r="K8" i="4"/>
  <c r="I20" i="4"/>
  <c r="I15" i="4"/>
  <c r="I13" i="4"/>
  <c r="I11" i="4"/>
  <c r="I8" i="4"/>
  <c r="H38" i="4"/>
  <c r="H34" i="4"/>
  <c r="H32" i="4"/>
  <c r="H29" i="4"/>
  <c r="H28" i="4"/>
  <c r="H26" i="4"/>
  <c r="H23" i="4"/>
  <c r="H22" i="4"/>
  <c r="H20" i="4"/>
  <c r="H17" i="4"/>
  <c r="H15" i="4"/>
  <c r="H16" i="4" s="1"/>
  <c r="H11" i="4"/>
  <c r="H8" i="4"/>
  <c r="H7" i="4"/>
  <c r="H21" i="4"/>
  <c r="H13" i="4"/>
  <c r="H14" i="4" s="1"/>
  <c r="H12" i="4"/>
  <c r="E38" i="4"/>
  <c r="E34" i="4"/>
  <c r="E32" i="4"/>
  <c r="E29" i="4"/>
  <c r="E28" i="4"/>
  <c r="E26" i="4"/>
  <c r="E23" i="4"/>
  <c r="E22" i="4"/>
  <c r="E20" i="4"/>
  <c r="E17" i="4"/>
  <c r="E15" i="4"/>
  <c r="E11" i="4"/>
  <c r="E8" i="4"/>
  <c r="E7" i="4"/>
  <c r="N28" i="43" l="1"/>
  <c r="N26" i="43"/>
  <c r="N28" i="42"/>
  <c r="N26" i="42"/>
  <c r="O40" i="41"/>
  <c r="O34" i="41"/>
  <c r="O57" i="40"/>
  <c r="O50" i="40"/>
  <c r="O40" i="39"/>
  <c r="O34" i="39"/>
  <c r="O51" i="38"/>
  <c r="O45" i="38"/>
  <c r="V33" i="37"/>
  <c r="V28" i="37"/>
  <c r="O33" i="36"/>
  <c r="S20" i="24" l="1"/>
  <c r="Q20" i="24"/>
  <c r="P21" i="24"/>
  <c r="Q40" i="41" s="1"/>
  <c r="P16" i="24"/>
  <c r="Q40" i="39" s="1"/>
  <c r="O14" i="24"/>
  <c r="O7" i="24"/>
  <c r="O8" i="24"/>
  <c r="Q8" i="24" s="1"/>
  <c r="S8" i="24" s="1"/>
  <c r="O11" i="24"/>
  <c r="Q11" i="24" s="1"/>
  <c r="S11" i="24" s="1"/>
  <c r="O12" i="24"/>
  <c r="O13" i="24"/>
  <c r="Q13" i="24" s="1"/>
  <c r="S13" i="24" s="1"/>
  <c r="O15" i="24"/>
  <c r="Q15" i="24" s="1"/>
  <c r="S15" i="24" s="1"/>
  <c r="O16" i="24"/>
  <c r="O17" i="24"/>
  <c r="O21" i="24"/>
  <c r="O22" i="24"/>
  <c r="O23" i="24"/>
  <c r="O26" i="24"/>
  <c r="O28" i="24"/>
  <c r="O29" i="24"/>
  <c r="Q33" i="36" l="1"/>
  <c r="Q57" i="40"/>
  <c r="P28" i="43"/>
  <c r="P28" i="42"/>
  <c r="Q39" i="41"/>
  <c r="Y33" i="37"/>
  <c r="Q39" i="39"/>
  <c r="Q51" i="38"/>
  <c r="I15" i="22"/>
  <c r="K15" i="22" s="1"/>
  <c r="H28" i="22"/>
  <c r="P26" i="42" s="1"/>
  <c r="H15" i="22"/>
  <c r="H7" i="22"/>
  <c r="Q29" i="36" s="1"/>
  <c r="H11" i="22"/>
  <c r="H8" i="22"/>
  <c r="H17" i="22"/>
  <c r="Q50" i="40" s="1"/>
  <c r="H20" i="22"/>
  <c r="H21" i="22" s="1"/>
  <c r="H22" i="22"/>
  <c r="H23" i="22"/>
  <c r="H26" i="22"/>
  <c r="H29" i="22"/>
  <c r="P26" i="43" s="1"/>
  <c r="H32" i="22"/>
  <c r="H34" i="22"/>
  <c r="Q34" i="41" l="1"/>
  <c r="H13" i="22"/>
  <c r="I13" i="22" s="1"/>
  <c r="K13" i="22" s="1"/>
  <c r="I8" i="22"/>
  <c r="K8" i="22" s="1"/>
  <c r="H12" i="22"/>
  <c r="Y28" i="37"/>
  <c r="I11" i="22"/>
  <c r="K11" i="22" s="1"/>
  <c r="I20" i="22"/>
  <c r="K20" i="22" s="1"/>
  <c r="H16" i="22"/>
  <c r="Q34" i="39"/>
  <c r="H14" i="22" l="1"/>
  <c r="Q45" i="38" l="1"/>
  <c r="H7" i="13"/>
  <c r="Q25" i="36" s="1"/>
  <c r="H11" i="13"/>
  <c r="H8" i="13"/>
  <c r="I8" i="13" s="1"/>
  <c r="H15" i="13"/>
  <c r="H17" i="13"/>
  <c r="Q46" i="40" s="1"/>
  <c r="H20" i="13"/>
  <c r="I20" i="13" s="1"/>
  <c r="H22" i="13"/>
  <c r="H23" i="13"/>
  <c r="H26" i="13"/>
  <c r="H28" i="13"/>
  <c r="P22" i="42" s="1"/>
  <c r="H29" i="13"/>
  <c r="P22" i="43" s="1"/>
  <c r="H34" i="13"/>
  <c r="H32" i="13"/>
  <c r="Y24" i="37" l="1"/>
  <c r="I11" i="13"/>
  <c r="Q30" i="39"/>
  <c r="I15" i="13"/>
  <c r="H21" i="13"/>
  <c r="H16" i="13"/>
  <c r="H13" i="13"/>
  <c r="I13" i="13" s="1"/>
  <c r="H12" i="13"/>
  <c r="C35" i="45"/>
  <c r="C31" i="45"/>
  <c r="C29" i="45"/>
  <c r="C26" i="45"/>
  <c r="C25" i="45"/>
  <c r="C23" i="45"/>
  <c r="C20" i="45"/>
  <c r="C19" i="45"/>
  <c r="C18" i="45"/>
  <c r="C15" i="45"/>
  <c r="C14" i="45"/>
  <c r="C13" i="45"/>
  <c r="C12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C9" i="45"/>
  <c r="C10" i="45" s="1"/>
  <c r="C21" i="45" l="1"/>
  <c r="C16" i="45"/>
  <c r="C27" i="45"/>
  <c r="Q30" i="41"/>
  <c r="H14" i="13"/>
  <c r="C9" i="44"/>
  <c r="C33" i="45" l="1"/>
  <c r="C37" i="45" s="1"/>
  <c r="Q41" i="38"/>
  <c r="U33" i="2"/>
  <c r="L46" i="2"/>
  <c r="J46" i="2"/>
  <c r="H46" i="2"/>
  <c r="L42" i="2"/>
  <c r="J42" i="2"/>
  <c r="H42" i="2"/>
  <c r="L40" i="2"/>
  <c r="J40" i="2"/>
  <c r="H40" i="2"/>
  <c r="L37" i="2"/>
  <c r="J37" i="2"/>
  <c r="H37" i="2"/>
  <c r="L36" i="2"/>
  <c r="J36" i="2"/>
  <c r="H36" i="2"/>
  <c r="L33" i="2"/>
  <c r="J33" i="2"/>
  <c r="H33" i="2"/>
  <c r="L30" i="2"/>
  <c r="J30" i="2"/>
  <c r="H30" i="2"/>
  <c r="L29" i="2"/>
  <c r="J29" i="2"/>
  <c r="H29" i="2"/>
  <c r="L28" i="2"/>
  <c r="J28" i="2"/>
  <c r="H28" i="2"/>
  <c r="L24" i="2"/>
  <c r="J24" i="2"/>
  <c r="H24" i="2"/>
  <c r="L23" i="2"/>
  <c r="J23" i="2"/>
  <c r="H23" i="2"/>
  <c r="L22" i="2"/>
  <c r="J22" i="2"/>
  <c r="H22" i="2"/>
  <c r="L21" i="2"/>
  <c r="J21" i="2"/>
  <c r="H21" i="2"/>
  <c r="L17" i="2"/>
  <c r="J17" i="2"/>
  <c r="H17" i="2"/>
  <c r="P17" i="43"/>
  <c r="P17" i="42"/>
  <c r="Q38" i="40"/>
  <c r="O38" i="40"/>
  <c r="Q31" i="38"/>
  <c r="Q19" i="36"/>
  <c r="Q18" i="36"/>
  <c r="Q17" i="36"/>
  <c r="O25" i="41"/>
  <c r="O16" i="41" s="1"/>
  <c r="O41" i="40"/>
  <c r="O37" i="40"/>
  <c r="O34" i="40"/>
  <c r="O25" i="39"/>
  <c r="O16" i="39" s="1"/>
  <c r="O35" i="38"/>
  <c r="O30" i="38"/>
  <c r="U20" i="37"/>
  <c r="N18" i="43"/>
  <c r="N17" i="43"/>
  <c r="N18" i="42"/>
  <c r="N17" i="42"/>
  <c r="O26" i="41"/>
  <c r="O24" i="41"/>
  <c r="O15" i="41" s="1"/>
  <c r="O23" i="41"/>
  <c r="O14" i="41" s="1"/>
  <c r="O22" i="41"/>
  <c r="O21" i="41"/>
  <c r="O42" i="40"/>
  <c r="O40" i="40"/>
  <c r="O39" i="40"/>
  <c r="O36" i="40"/>
  <c r="O35" i="40"/>
  <c r="O33" i="40"/>
  <c r="O32" i="40"/>
  <c r="O31" i="40"/>
  <c r="O30" i="40"/>
  <c r="O26" i="39"/>
  <c r="O24" i="39"/>
  <c r="O15" i="39" s="1"/>
  <c r="O23" i="39"/>
  <c r="O14" i="39" s="1"/>
  <c r="O22" i="39"/>
  <c r="O21" i="39"/>
  <c r="O36" i="38"/>
  <c r="O34" i="38"/>
  <c r="O33" i="38"/>
  <c r="O32" i="38"/>
  <c r="O31" i="38"/>
  <c r="O29" i="38"/>
  <c r="O28" i="38"/>
  <c r="O27" i="38"/>
  <c r="U19" i="37"/>
  <c r="U18" i="37"/>
  <c r="V17" i="37"/>
  <c r="U17" i="37"/>
  <c r="O19" i="36"/>
  <c r="O18" i="36"/>
  <c r="O17" i="36"/>
  <c r="C35" i="44"/>
  <c r="C31" i="44"/>
  <c r="C29" i="44"/>
  <c r="C26" i="44"/>
  <c r="C25" i="44"/>
  <c r="C23" i="44"/>
  <c r="C20" i="44"/>
  <c r="C19" i="44"/>
  <c r="C18" i="44"/>
  <c r="C15" i="44"/>
  <c r="C14" i="44"/>
  <c r="C13" i="44"/>
  <c r="C12" i="44"/>
  <c r="E21" i="24"/>
  <c r="E16" i="24"/>
  <c r="L50" i="2"/>
  <c r="J50" i="2"/>
  <c r="C27" i="44" l="1"/>
  <c r="C21" i="44" l="1"/>
  <c r="C16" i="44"/>
  <c r="C10" i="44"/>
  <c r="C33" i="44" l="1"/>
  <c r="C37" i="44" s="1"/>
  <c r="A10" i="44" l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K30" i="24" l="1"/>
  <c r="K24" i="24"/>
  <c r="K18" i="24"/>
  <c r="K9" i="24"/>
  <c r="O35" i="36" l="1"/>
  <c r="Q35" i="36" s="1"/>
  <c r="O26" i="36"/>
  <c r="Q26" i="36" s="1"/>
  <c r="H38" i="2" l="1"/>
  <c r="N13" i="43" l="1"/>
  <c r="M18" i="43"/>
  <c r="M17" i="43"/>
  <c r="N13" i="42"/>
  <c r="M18" i="42"/>
  <c r="M17" i="42"/>
  <c r="O10" i="41"/>
  <c r="O18" i="41"/>
  <c r="N26" i="41"/>
  <c r="N25" i="41"/>
  <c r="N24" i="41"/>
  <c r="N23" i="41"/>
  <c r="N22" i="41"/>
  <c r="N21" i="41"/>
  <c r="O25" i="40" l="1"/>
  <c r="O27" i="40"/>
  <c r="O24" i="40"/>
  <c r="O23" i="40"/>
  <c r="O11" i="40"/>
  <c r="O10" i="40"/>
  <c r="N42" i="40"/>
  <c r="N41" i="40"/>
  <c r="N40" i="40"/>
  <c r="N39" i="40"/>
  <c r="N38" i="40"/>
  <c r="N36" i="40"/>
  <c r="N35" i="40"/>
  <c r="N33" i="40"/>
  <c r="N32" i="40"/>
  <c r="N31" i="40"/>
  <c r="N30" i="40"/>
  <c r="O10" i="39"/>
  <c r="O18" i="39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34" i="13" l="1"/>
  <c r="E29" i="13"/>
  <c r="N22" i="43" s="1"/>
  <c r="E28" i="13"/>
  <c r="N22" i="42" s="1"/>
  <c r="E26" i="13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E11" i="41"/>
  <c r="B12" i="41"/>
  <c r="E12" i="41"/>
  <c r="P12" i="41"/>
  <c r="B14" i="41"/>
  <c r="E14" i="41"/>
  <c r="P14" i="41"/>
  <c r="B15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E25" i="40"/>
  <c r="P25" i="40"/>
  <c r="B26" i="40"/>
  <c r="E26" i="40"/>
  <c r="P27" i="40"/>
  <c r="E28" i="40"/>
  <c r="B29" i="40"/>
  <c r="E29" i="40"/>
  <c r="B30" i="40"/>
  <c r="E30" i="40"/>
  <c r="E32" i="40"/>
  <c r="B33" i="40"/>
  <c r="E33" i="40"/>
  <c r="B34" i="40"/>
  <c r="E34" i="40"/>
  <c r="E36" i="40"/>
  <c r="B37" i="40"/>
  <c r="E37" i="40"/>
  <c r="B38" i="40"/>
  <c r="E38" i="40"/>
  <c r="E10" i="39"/>
  <c r="P10" i="39"/>
  <c r="B11" i="39"/>
  <c r="E11" i="39"/>
  <c r="B12" i="39"/>
  <c r="B14" i="39" s="1"/>
  <c r="E12" i="39"/>
  <c r="P12" i="39"/>
  <c r="P14" i="39"/>
  <c r="P15" i="39"/>
  <c r="P16" i="39"/>
  <c r="P18" i="39"/>
  <c r="E10" i="38"/>
  <c r="P10" i="38"/>
  <c r="B11" i="38"/>
  <c r="E11" i="38"/>
  <c r="B12" i="38"/>
  <c r="E12" i="38"/>
  <c r="P12" i="38"/>
  <c r="P13" i="38"/>
  <c r="E14" i="38"/>
  <c r="P14" i="38"/>
  <c r="B15" i="38"/>
  <c r="E15" i="38"/>
  <c r="B16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E23" i="38"/>
  <c r="B24" i="38"/>
  <c r="E24" i="38"/>
  <c r="P24" i="38"/>
  <c r="E26" i="38"/>
  <c r="B27" i="38"/>
  <c r="B28" i="38" s="1"/>
  <c r="E27" i="38"/>
  <c r="E28" i="38"/>
  <c r="E30" i="38"/>
  <c r="B31" i="38"/>
  <c r="E31" i="38"/>
  <c r="B32" i="38"/>
  <c r="E32" i="38"/>
  <c r="E34" i="38"/>
  <c r="B35" i="38"/>
  <c r="E35" i="38"/>
  <c r="B36" i="38"/>
  <c r="E36" i="38"/>
  <c r="W10" i="37"/>
  <c r="B11" i="37"/>
  <c r="W12" i="37"/>
  <c r="W13" i="37"/>
  <c r="W14" i="37"/>
  <c r="B15" i="37"/>
  <c r="B16" i="37"/>
  <c r="B18" i="37" l="1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A21" i="26"/>
  <c r="A22" i="26" s="1"/>
  <c r="A23" i="26" s="1"/>
  <c r="A24" i="26" s="1"/>
  <c r="H23" i="26"/>
  <c r="G23" i="26"/>
  <c r="F23" i="26"/>
  <c r="E23" i="26"/>
  <c r="H22" i="26"/>
  <c r="G22" i="26"/>
  <c r="F22" i="26"/>
  <c r="E22" i="26"/>
  <c r="H21" i="26"/>
  <c r="G21" i="26"/>
  <c r="F21" i="26"/>
  <c r="E21" i="26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U40" i="2" l="1"/>
  <c r="N40" i="2"/>
  <c r="B30" i="4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H190" i="27" l="1"/>
  <c r="H188" i="27"/>
  <c r="H194" i="27" l="1"/>
  <c r="H191" i="27"/>
  <c r="B191" i="27"/>
  <c r="H189" i="27"/>
  <c r="C189" i="27"/>
  <c r="C190" i="27" s="1"/>
  <c r="C191" i="27" s="1"/>
  <c r="B189" i="27"/>
  <c r="B185" i="27"/>
  <c r="H184" i="27"/>
  <c r="H183" i="27"/>
  <c r="C183" i="27"/>
  <c r="C184" i="27" s="1"/>
  <c r="C185" i="27" s="1"/>
  <c r="B183" i="27"/>
  <c r="H182" i="27"/>
  <c r="H177" i="27"/>
  <c r="H176" i="27"/>
  <c r="H174" i="27"/>
  <c r="H173" i="27"/>
  <c r="H172" i="27"/>
  <c r="H171" i="27"/>
  <c r="H170" i="27"/>
  <c r="H169" i="27"/>
  <c r="H168" i="27"/>
  <c r="H167" i="27"/>
  <c r="H166" i="27"/>
  <c r="H165" i="27"/>
  <c r="H164" i="27"/>
  <c r="H163" i="27"/>
  <c r="H162" i="27"/>
  <c r="H161" i="27"/>
  <c r="H160" i="27"/>
  <c r="H159" i="27"/>
  <c r="B159" i="27"/>
  <c r="B160" i="27" s="1"/>
  <c r="B161" i="27" s="1"/>
  <c r="B162" i="27" s="1"/>
  <c r="B163" i="27" s="1"/>
  <c r="B164" i="27" s="1"/>
  <c r="B165" i="27" s="1"/>
  <c r="B166" i="27" s="1"/>
  <c r="B167" i="27" s="1"/>
  <c r="B168" i="27" s="1"/>
  <c r="B169" i="27" s="1"/>
  <c r="B170" i="27" s="1"/>
  <c r="B171" i="27" s="1"/>
  <c r="B172" i="27" s="1"/>
  <c r="B173" i="27" s="1"/>
  <c r="B174" i="27" s="1"/>
  <c r="B175" i="27" s="1"/>
  <c r="B176" i="27" s="1"/>
  <c r="B177" i="27" s="1"/>
  <c r="H158" i="27"/>
  <c r="H155" i="27"/>
  <c r="H154" i="27"/>
  <c r="H152" i="27"/>
  <c r="H151" i="27"/>
  <c r="H150" i="27"/>
  <c r="H149" i="27"/>
  <c r="H148" i="27"/>
  <c r="H147" i="27"/>
  <c r="B147" i="27"/>
  <c r="B148" i="27" s="1"/>
  <c r="B149" i="27" s="1"/>
  <c r="B150" i="27" s="1"/>
  <c r="B151" i="27" s="1"/>
  <c r="B152" i="27" s="1"/>
  <c r="B153" i="27" s="1"/>
  <c r="B154" i="27" s="1"/>
  <c r="B155" i="27" s="1"/>
  <c r="H146" i="27"/>
  <c r="H143" i="27"/>
  <c r="H142" i="27"/>
  <c r="H141" i="27"/>
  <c r="H140" i="27"/>
  <c r="H139" i="27"/>
  <c r="H138" i="27"/>
  <c r="H137" i="27"/>
  <c r="H136" i="27"/>
  <c r="H135" i="27"/>
  <c r="H134" i="27"/>
  <c r="H133" i="27"/>
  <c r="H132" i="27"/>
  <c r="H131" i="27"/>
  <c r="H130" i="27"/>
  <c r="H129" i="27"/>
  <c r="H128" i="27"/>
  <c r="H127" i="27"/>
  <c r="B127" i="27"/>
  <c r="B128" i="27" s="1"/>
  <c r="B129" i="27" s="1"/>
  <c r="B130" i="27" s="1"/>
  <c r="B131" i="27" s="1"/>
  <c r="B132" i="27" s="1"/>
  <c r="B133" i="27" s="1"/>
  <c r="B134" i="27" s="1"/>
  <c r="B135" i="27" s="1"/>
  <c r="B136" i="27" s="1"/>
  <c r="B137" i="27" s="1"/>
  <c r="B138" i="27" s="1"/>
  <c r="B139" i="27" s="1"/>
  <c r="B140" i="27" s="1"/>
  <c r="B141" i="27" s="1"/>
  <c r="B142" i="27" s="1"/>
  <c r="B143" i="27" s="1"/>
  <c r="H126" i="27"/>
  <c r="H123" i="27"/>
  <c r="H122" i="27"/>
  <c r="H121" i="27"/>
  <c r="H120" i="27"/>
  <c r="H119" i="27"/>
  <c r="H118" i="27"/>
  <c r="H117" i="27"/>
  <c r="H116" i="27"/>
  <c r="H115" i="27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2" i="27"/>
  <c r="H101" i="27"/>
  <c r="H100" i="27"/>
  <c r="H99" i="27"/>
  <c r="H98" i="27"/>
  <c r="H97" i="27"/>
  <c r="H96" i="27"/>
  <c r="H95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B65" i="27"/>
  <c r="B66" i="27" s="1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B78" i="27" s="1"/>
  <c r="B79" i="27" s="1"/>
  <c r="B80" i="27" s="1"/>
  <c r="B81" i="27" s="1"/>
  <c r="B82" i="27" s="1"/>
  <c r="B83" i="27" s="1"/>
  <c r="B84" i="27" s="1"/>
  <c r="B85" i="27" s="1"/>
  <c r="B86" i="27" s="1"/>
  <c r="B87" i="27" s="1"/>
  <c r="B88" i="27" s="1"/>
  <c r="B89" i="27" s="1"/>
  <c r="B90" i="27" s="1"/>
  <c r="B91" i="27" s="1"/>
  <c r="B92" i="27" s="1"/>
  <c r="B93" i="27" s="1"/>
  <c r="B94" i="27" s="1"/>
  <c r="B95" i="27" s="1"/>
  <c r="B96" i="27" s="1"/>
  <c r="B97" i="27" s="1"/>
  <c r="B98" i="27" s="1"/>
  <c r="B99" i="27" s="1"/>
  <c r="B100" i="27" s="1"/>
  <c r="B101" i="27" s="1"/>
  <c r="B102" i="27" s="1"/>
  <c r="B103" i="27" s="1"/>
  <c r="B104" i="27" s="1"/>
  <c r="B105" i="27" s="1"/>
  <c r="B106" i="27" s="1"/>
  <c r="B107" i="27" s="1"/>
  <c r="B108" i="27" s="1"/>
  <c r="B109" i="27" s="1"/>
  <c r="B110" i="27" s="1"/>
  <c r="B111" i="27" s="1"/>
  <c r="B112" i="27" s="1"/>
  <c r="B113" i="27" s="1"/>
  <c r="B114" i="27" s="1"/>
  <c r="B115" i="27" s="1"/>
  <c r="B116" i="27" s="1"/>
  <c r="B117" i="27" s="1"/>
  <c r="B118" i="27" s="1"/>
  <c r="B119" i="27" s="1"/>
  <c r="B120" i="27" s="1"/>
  <c r="B121" i="27" s="1"/>
  <c r="B122" i="27" s="1"/>
  <c r="B123" i="27" s="1"/>
  <c r="H64" i="27"/>
  <c r="H61" i="27"/>
  <c r="H60" i="27"/>
  <c r="H58" i="27"/>
  <c r="H57" i="27"/>
  <c r="H56" i="27"/>
  <c r="H55" i="27"/>
  <c r="H54" i="27"/>
  <c r="H53" i="27"/>
  <c r="H52" i="27"/>
  <c r="H50" i="27"/>
  <c r="H49" i="27"/>
  <c r="B49" i="27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H48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B19" i="27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H18" i="27"/>
  <c r="H15" i="27"/>
  <c r="H14" i="27"/>
  <c r="H13" i="27"/>
  <c r="H12" i="27"/>
  <c r="H11" i="27"/>
  <c r="H10" i="27"/>
  <c r="H9" i="27"/>
  <c r="C9" i="27"/>
  <c r="C10" i="27" s="1"/>
  <c r="C11" i="27" s="1"/>
  <c r="C12" i="27" s="1"/>
  <c r="C13" i="27" s="1"/>
  <c r="C14" i="27" s="1"/>
  <c r="C15" i="27" s="1"/>
  <c r="C18" i="27" s="1"/>
  <c r="C19" i="27" s="1"/>
  <c r="C20" i="27" s="1"/>
  <c r="C21" i="27" s="1"/>
  <c r="C22" i="27" s="1"/>
  <c r="C23" i="27" s="1"/>
  <c r="C24" i="27" s="1"/>
  <c r="C25" i="27" s="1"/>
  <c r="C26" i="27" s="1"/>
  <c r="C27" i="27" s="1"/>
  <c r="C28" i="27" s="1"/>
  <c r="C29" i="27" s="1"/>
  <c r="C30" i="27" s="1"/>
  <c r="C31" i="27" s="1"/>
  <c r="C32" i="27" s="1"/>
  <c r="C33" i="27" s="1"/>
  <c r="C34" i="27" s="1"/>
  <c r="C35" i="27" s="1"/>
  <c r="C36" i="27" s="1"/>
  <c r="C37" i="27" s="1"/>
  <c r="C38" i="27" s="1"/>
  <c r="C39" i="27" s="1"/>
  <c r="C40" i="27" s="1"/>
  <c r="C41" i="27" s="1"/>
  <c r="C42" i="27" s="1"/>
  <c r="C43" i="27" s="1"/>
  <c r="C44" i="27" s="1"/>
  <c r="C45" i="27" s="1"/>
  <c r="C48" i="27" s="1"/>
  <c r="C49" i="27" s="1"/>
  <c r="C50" i="27" s="1"/>
  <c r="C51" i="27" s="1"/>
  <c r="C52" i="27" s="1"/>
  <c r="C53" i="27" s="1"/>
  <c r="C54" i="27" s="1"/>
  <c r="C55" i="27" s="1"/>
  <c r="C56" i="27" s="1"/>
  <c r="C57" i="27" s="1"/>
  <c r="C58" i="27" s="1"/>
  <c r="C59" i="27" s="1"/>
  <c r="C60" i="27" s="1"/>
  <c r="B9" i="27"/>
  <c r="B10" i="27" s="1"/>
  <c r="B11" i="27" s="1"/>
  <c r="B12" i="27" s="1"/>
  <c r="B13" i="27" s="1"/>
  <c r="B14" i="27" s="1"/>
  <c r="B15" i="27" s="1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H8" i="27"/>
  <c r="H192" i="27" l="1"/>
  <c r="H199" i="27" s="1"/>
  <c r="H16" i="27"/>
  <c r="H144" i="27"/>
  <c r="H153" i="27"/>
  <c r="H156" i="27" s="1"/>
  <c r="H185" i="27"/>
  <c r="H186" i="27" s="1"/>
  <c r="H200" i="27" s="1"/>
  <c r="H46" i="27"/>
  <c r="H51" i="27"/>
  <c r="H59" i="27"/>
  <c r="H175" i="27"/>
  <c r="H178" i="27" s="1"/>
  <c r="H124" i="27"/>
  <c r="E62" i="27"/>
  <c r="E186" i="27"/>
  <c r="E16" i="27"/>
  <c r="E156" i="27"/>
  <c r="E192" i="27"/>
  <c r="C64" i="27"/>
  <c r="C65" i="27" s="1"/>
  <c r="C66" i="27" s="1"/>
  <c r="C67" i="27" s="1"/>
  <c r="C68" i="27" s="1"/>
  <c r="C69" i="27" s="1"/>
  <c r="C70" i="27" s="1"/>
  <c r="C71" i="27" s="1"/>
  <c r="C72" i="27" s="1"/>
  <c r="C73" i="27" s="1"/>
  <c r="C74" i="27" s="1"/>
  <c r="C75" i="27" s="1"/>
  <c r="C76" i="27" s="1"/>
  <c r="C77" i="27" s="1"/>
  <c r="C78" i="27" s="1"/>
  <c r="C79" i="27" s="1"/>
  <c r="C80" i="27" s="1"/>
  <c r="C81" i="27" s="1"/>
  <c r="C82" i="27" s="1"/>
  <c r="C83" i="27" s="1"/>
  <c r="C84" i="27" s="1"/>
  <c r="C85" i="27" s="1"/>
  <c r="C86" i="27" s="1"/>
  <c r="C87" i="27" s="1"/>
  <c r="C88" i="27" s="1"/>
  <c r="C89" i="27" s="1"/>
  <c r="C90" i="27" s="1"/>
  <c r="C91" i="27" s="1"/>
  <c r="C92" i="27" s="1"/>
  <c r="C93" i="27" s="1"/>
  <c r="C94" i="27" s="1"/>
  <c r="C95" i="27" s="1"/>
  <c r="C96" i="27" s="1"/>
  <c r="C97" i="27" s="1"/>
  <c r="C98" i="27" s="1"/>
  <c r="C99" i="27" s="1"/>
  <c r="C100" i="27" s="1"/>
  <c r="C101" i="27" s="1"/>
  <c r="C102" i="27" s="1"/>
  <c r="C103" i="27" s="1"/>
  <c r="C104" i="27" s="1"/>
  <c r="C105" i="27" s="1"/>
  <c r="C106" i="27" s="1"/>
  <c r="C107" i="27" s="1"/>
  <c r="C108" i="27" s="1"/>
  <c r="C109" i="27" s="1"/>
  <c r="C110" i="27" s="1"/>
  <c r="C111" i="27" s="1"/>
  <c r="C112" i="27" s="1"/>
  <c r="C113" i="27" s="1"/>
  <c r="C114" i="27" s="1"/>
  <c r="C115" i="27" s="1"/>
  <c r="C116" i="27" s="1"/>
  <c r="C117" i="27" s="1"/>
  <c r="C118" i="27" s="1"/>
  <c r="C119" i="27" s="1"/>
  <c r="C120" i="27" s="1"/>
  <c r="C121" i="27" s="1"/>
  <c r="C122" i="27" s="1"/>
  <c r="C123" i="27" s="1"/>
  <c r="C126" i="27" s="1"/>
  <c r="C127" i="27" s="1"/>
  <c r="C128" i="27" s="1"/>
  <c r="C129" i="27" s="1"/>
  <c r="C130" i="27" s="1"/>
  <c r="C131" i="27" s="1"/>
  <c r="C132" i="27" s="1"/>
  <c r="C133" i="27" s="1"/>
  <c r="C134" i="27" s="1"/>
  <c r="C135" i="27" s="1"/>
  <c r="C136" i="27" s="1"/>
  <c r="C137" i="27" s="1"/>
  <c r="C138" i="27" s="1"/>
  <c r="C139" i="27" s="1"/>
  <c r="C140" i="27" s="1"/>
  <c r="C141" i="27" s="1"/>
  <c r="C142" i="27" s="1"/>
  <c r="C143" i="27" s="1"/>
  <c r="C146" i="27" s="1"/>
  <c r="C147" i="27" s="1"/>
  <c r="C148" i="27" s="1"/>
  <c r="C149" i="27" s="1"/>
  <c r="C150" i="27" s="1"/>
  <c r="C151" i="27" s="1"/>
  <c r="C152" i="27" s="1"/>
  <c r="C153" i="27" s="1"/>
  <c r="C154" i="27" s="1"/>
  <c r="C155" i="27" s="1"/>
  <c r="C158" i="27" s="1"/>
  <c r="C159" i="27" s="1"/>
  <c r="C160" i="27" s="1"/>
  <c r="C161" i="27" s="1"/>
  <c r="C162" i="27" s="1"/>
  <c r="C163" i="27" s="1"/>
  <c r="C164" i="27" s="1"/>
  <c r="C165" i="27" s="1"/>
  <c r="C166" i="27" s="1"/>
  <c r="C167" i="27" s="1"/>
  <c r="C168" i="27" s="1"/>
  <c r="C169" i="27" s="1"/>
  <c r="C170" i="27" s="1"/>
  <c r="C171" i="27" s="1"/>
  <c r="C172" i="27" s="1"/>
  <c r="C173" i="27" s="1"/>
  <c r="C174" i="27" s="1"/>
  <c r="C175" i="27" s="1"/>
  <c r="C176" i="27" s="1"/>
  <c r="C177" i="27" s="1"/>
  <c r="C61" i="27"/>
  <c r="E46" i="27"/>
  <c r="E124" i="27"/>
  <c r="E144" i="27"/>
  <c r="E178" i="27"/>
  <c r="N46" i="2" l="1"/>
  <c r="U46" i="2"/>
  <c r="H62" i="27"/>
  <c r="H180" i="27" s="1"/>
  <c r="H196" i="27" s="1"/>
  <c r="L32" i="24" s="1"/>
  <c r="E180" i="27"/>
  <c r="H198" i="27" l="1"/>
  <c r="H201" i="27" s="1"/>
  <c r="L30" i="24"/>
  <c r="L24" i="24"/>
  <c r="L18" i="24"/>
  <c r="L9" i="24"/>
  <c r="L17" i="26"/>
  <c r="O23" i="26"/>
  <c r="N23" i="26"/>
  <c r="K23" i="26"/>
  <c r="M22" i="26"/>
  <c r="D15" i="26"/>
  <c r="P12" i="26"/>
  <c r="D11" i="26"/>
  <c r="O12" i="26"/>
  <c r="L12" i="26"/>
  <c r="K12" i="26"/>
  <c r="H12" i="26"/>
  <c r="G12" i="26"/>
  <c r="D10" i="26"/>
  <c r="N12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D6" i="26"/>
  <c r="A2" i="26"/>
  <c r="F12" i="26" l="1"/>
  <c r="L22" i="26"/>
  <c r="P22" i="26"/>
  <c r="P17" i="26"/>
  <c r="J12" i="26"/>
  <c r="J21" i="26"/>
  <c r="N21" i="26"/>
  <c r="D16" i="26"/>
  <c r="D17" i="26" s="1"/>
  <c r="J23" i="26"/>
  <c r="H17" i="26"/>
  <c r="K21" i="26"/>
  <c r="O21" i="26"/>
  <c r="E12" i="26"/>
  <c r="I12" i="26"/>
  <c r="M12" i="26"/>
  <c r="I22" i="26"/>
  <c r="E17" i="26"/>
  <c r="I17" i="26"/>
  <c r="M17" i="26"/>
  <c r="L21" i="26"/>
  <c r="P21" i="26"/>
  <c r="D9" i="26"/>
  <c r="D12" i="26" s="1"/>
  <c r="J22" i="26"/>
  <c r="N22" i="26"/>
  <c r="L23" i="26"/>
  <c r="P23" i="26"/>
  <c r="F17" i="26"/>
  <c r="J17" i="26"/>
  <c r="N17" i="26"/>
  <c r="I21" i="26"/>
  <c r="M21" i="26"/>
  <c r="K22" i="26"/>
  <c r="O22" i="26"/>
  <c r="I23" i="26"/>
  <c r="M23" i="26"/>
  <c r="G17" i="26"/>
  <c r="K17" i="26"/>
  <c r="O17" i="26"/>
  <c r="P24" i="26" l="1"/>
  <c r="K24" i="26"/>
  <c r="D22" i="26"/>
  <c r="H24" i="26"/>
  <c r="L24" i="26"/>
  <c r="J24" i="26"/>
  <c r="E24" i="26"/>
  <c r="M24" i="26"/>
  <c r="N24" i="26"/>
  <c r="F24" i="26"/>
  <c r="D23" i="26"/>
  <c r="D21" i="26"/>
  <c r="I24" i="26"/>
  <c r="O24" i="26"/>
  <c r="G24" i="26"/>
  <c r="U42" i="2" l="1"/>
  <c r="U18" i="2"/>
  <c r="U38" i="2"/>
  <c r="D24" i="26"/>
  <c r="L34" i="24" s="1"/>
  <c r="L36" i="24" s="1"/>
  <c r="L40" i="24" s="1"/>
  <c r="U31" i="2" l="1"/>
  <c r="U25" i="2"/>
  <c r="M35" i="1"/>
  <c r="M31" i="1"/>
  <c r="M26" i="1"/>
  <c r="M25" i="1"/>
  <c r="M23" i="1"/>
  <c r="M20" i="1"/>
  <c r="E7" i="25"/>
  <c r="E12" i="25" l="1"/>
  <c r="E16" i="25"/>
  <c r="E22" i="25"/>
  <c r="E13" i="25"/>
  <c r="E17" i="25"/>
  <c r="O59" i="40" s="1"/>
  <c r="Q59" i="40" s="1"/>
  <c r="E32" i="25"/>
  <c r="E20" i="25"/>
  <c r="E14" i="25"/>
  <c r="E11" i="25"/>
  <c r="E15" i="25"/>
  <c r="F15" i="25" s="1"/>
  <c r="E21" i="25"/>
  <c r="F17" i="25"/>
  <c r="M15" i="1" s="1"/>
  <c r="F7" i="25"/>
  <c r="M9" i="1" s="1"/>
  <c r="F22" i="25"/>
  <c r="M19" i="1" s="1"/>
  <c r="F38" i="25"/>
  <c r="F34" i="25"/>
  <c r="F32" i="25"/>
  <c r="M29" i="1" s="1"/>
  <c r="F29" i="25"/>
  <c r="F28" i="25"/>
  <c r="D30" i="25"/>
  <c r="F26" i="25"/>
  <c r="F23" i="25"/>
  <c r="F20" i="25"/>
  <c r="F16" i="25"/>
  <c r="M14" i="1" s="1"/>
  <c r="F13" i="25"/>
  <c r="F11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F8" i="25"/>
  <c r="A8" i="25"/>
  <c r="D6" i="25"/>
  <c r="I20" i="24"/>
  <c r="I15" i="24"/>
  <c r="J13" i="24"/>
  <c r="I13" i="24"/>
  <c r="M13" i="24" s="1"/>
  <c r="J11" i="24"/>
  <c r="I11" i="24"/>
  <c r="M11" i="24" s="1"/>
  <c r="I8" i="24"/>
  <c r="U7" i="1"/>
  <c r="N17" i="2" l="1"/>
  <c r="J15" i="24"/>
  <c r="M15" i="24" s="1"/>
  <c r="J20" i="24"/>
  <c r="M20" i="24" s="1"/>
  <c r="J8" i="24"/>
  <c r="M8" i="24"/>
  <c r="D24" i="25"/>
  <c r="D18" i="25"/>
  <c r="D9" i="25"/>
  <c r="F9" i="25"/>
  <c r="F30" i="25"/>
  <c r="F12" i="25"/>
  <c r="M12" i="1" s="1"/>
  <c r="F21" i="25"/>
  <c r="F14" i="25"/>
  <c r="M13" i="1" s="1"/>
  <c r="A10" i="1"/>
  <c r="A11" i="1" s="1"/>
  <c r="A12" i="1" s="1"/>
  <c r="A13" i="1" s="1"/>
  <c r="A14" i="1" s="1"/>
  <c r="A15" i="1" s="1"/>
  <c r="A16" i="1" s="1"/>
  <c r="A17" i="1" s="1"/>
  <c r="A18" i="1" s="1"/>
  <c r="G22" i="24"/>
  <c r="G23" i="24" s="1"/>
  <c r="G26" i="24" s="1"/>
  <c r="G28" i="24" s="1"/>
  <c r="G29" i="24" s="1"/>
  <c r="F22" i="24"/>
  <c r="F23" i="24" s="1"/>
  <c r="F26" i="24" s="1"/>
  <c r="F28" i="24" s="1"/>
  <c r="G21" i="24"/>
  <c r="F21" i="24"/>
  <c r="G16" i="24"/>
  <c r="F16" i="24"/>
  <c r="G12" i="24"/>
  <c r="F12" i="24"/>
  <c r="G7" i="24"/>
  <c r="F7" i="24"/>
  <c r="P18" i="43" l="1"/>
  <c r="Q26" i="39"/>
  <c r="Q21" i="39"/>
  <c r="Q25" i="41"/>
  <c r="Q16" i="41" s="1"/>
  <c r="H7" i="24"/>
  <c r="H12" i="24"/>
  <c r="F14" i="24"/>
  <c r="F29" i="24"/>
  <c r="D36" i="25"/>
  <c r="D40" i="25" s="1"/>
  <c r="D43" i="25" s="1"/>
  <c r="H21" i="24"/>
  <c r="G14" i="24"/>
  <c r="G17" i="24" s="1"/>
  <c r="H22" i="24"/>
  <c r="F24" i="25"/>
  <c r="M18" i="1"/>
  <c r="F18" i="25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H28" i="24"/>
  <c r="H26" i="24"/>
  <c r="H23" i="24"/>
  <c r="H16" i="24"/>
  <c r="F17" i="24" l="1"/>
  <c r="Q24" i="41"/>
  <c r="Q15" i="41" s="1"/>
  <c r="Q27" i="38"/>
  <c r="Q23" i="41"/>
  <c r="Q14" i="41" s="1"/>
  <c r="X19" i="37"/>
  <c r="X18" i="37"/>
  <c r="Y17" i="37"/>
  <c r="Q22" i="41"/>
  <c r="Q37" i="40"/>
  <c r="X17" i="37"/>
  <c r="N37" i="2"/>
  <c r="Q21" i="41"/>
  <c r="Q26" i="41"/>
  <c r="P18" i="42"/>
  <c r="H29" i="24"/>
  <c r="H14" i="24"/>
  <c r="F36" i="25"/>
  <c r="F40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D6" i="24"/>
  <c r="A3" i="24"/>
  <c r="K13" i="1"/>
  <c r="T13" i="1" s="1"/>
  <c r="K9" i="1"/>
  <c r="T9" i="1" s="1"/>
  <c r="K35" i="1"/>
  <c r="T35" i="1" s="1"/>
  <c r="K31" i="1"/>
  <c r="T31" i="1" s="1"/>
  <c r="K29" i="1"/>
  <c r="T29" i="1" s="1"/>
  <c r="C27" i="23"/>
  <c r="K25" i="1"/>
  <c r="T25" i="1" s="1"/>
  <c r="K23" i="1"/>
  <c r="T23" i="1" s="1"/>
  <c r="K20" i="1"/>
  <c r="T20" i="1" s="1"/>
  <c r="K19" i="1"/>
  <c r="T19" i="1" s="1"/>
  <c r="K18" i="1"/>
  <c r="T18" i="1" s="1"/>
  <c r="K15" i="1"/>
  <c r="T15" i="1" s="1"/>
  <c r="K14" i="1"/>
  <c r="T14" i="1" s="1"/>
  <c r="K12" i="1"/>
  <c r="T12" i="1" s="1"/>
  <c r="H17" i="24" l="1"/>
  <c r="Q31" i="40"/>
  <c r="Q32" i="40"/>
  <c r="Q24" i="39"/>
  <c r="Q15" i="39" s="1"/>
  <c r="Q22" i="39"/>
  <c r="Q41" i="40"/>
  <c r="X20" i="37"/>
  <c r="Q25" i="39"/>
  <c r="Q16" i="39" s="1"/>
  <c r="Q35" i="40"/>
  <c r="Q40" i="40"/>
  <c r="Q39" i="40"/>
  <c r="Q30" i="40"/>
  <c r="Q33" i="40"/>
  <c r="Q36" i="40"/>
  <c r="Q23" i="39"/>
  <c r="Q14" i="39" s="1"/>
  <c r="N36" i="2"/>
  <c r="Q42" i="40"/>
  <c r="Q34" i="40"/>
  <c r="K26" i="1"/>
  <c r="T26" i="1" s="1"/>
  <c r="C9" i="23"/>
  <c r="C16" i="23"/>
  <c r="C21" i="23"/>
  <c r="N21" i="2" l="1"/>
  <c r="N28" i="2"/>
  <c r="C33" i="23"/>
  <c r="C37" i="23" s="1"/>
  <c r="N24" i="2" l="1"/>
  <c r="C39" i="23"/>
  <c r="N30" i="2" l="1"/>
  <c r="N23" i="2"/>
  <c r="T7" i="1"/>
  <c r="S7" i="1"/>
  <c r="E34" i="22"/>
  <c r="E32" i="22"/>
  <c r="E29" i="22"/>
  <c r="E28" i="22"/>
  <c r="E26" i="22"/>
  <c r="E23" i="22"/>
  <c r="E22" i="22"/>
  <c r="E20" i="22"/>
  <c r="E17" i="22"/>
  <c r="E15" i="22"/>
  <c r="E11" i="22"/>
  <c r="E8" i="22"/>
  <c r="E7" i="22"/>
  <c r="O29" i="36" s="1"/>
  <c r="E12" i="2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D6" i="22"/>
  <c r="A3" i="22"/>
  <c r="E38" i="19"/>
  <c r="E34" i="19"/>
  <c r="E32" i="19"/>
  <c r="E29" i="19"/>
  <c r="N25" i="43" s="1"/>
  <c r="P25" i="43" s="1"/>
  <c r="E28" i="19"/>
  <c r="N25" i="42" s="1"/>
  <c r="P25" i="42" s="1"/>
  <c r="E26" i="19"/>
  <c r="E23" i="19"/>
  <c r="E22" i="19"/>
  <c r="E20" i="19"/>
  <c r="F20" i="19" s="1"/>
  <c r="E17" i="19"/>
  <c r="O49" i="40" s="1"/>
  <c r="Q49" i="40" s="1"/>
  <c r="E15" i="19"/>
  <c r="F15" i="19" s="1"/>
  <c r="E11" i="19"/>
  <c r="E8" i="19"/>
  <c r="F8" i="19" s="1"/>
  <c r="E7" i="19"/>
  <c r="E21" i="19"/>
  <c r="O33" i="41" s="1"/>
  <c r="Q33" i="41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6" i="19"/>
  <c r="A3" i="19"/>
  <c r="E34" i="17"/>
  <c r="E32" i="17"/>
  <c r="E28" i="17"/>
  <c r="N24" i="42" s="1"/>
  <c r="P24" i="42" s="1"/>
  <c r="E26" i="17"/>
  <c r="E20" i="17"/>
  <c r="F20" i="17" s="1"/>
  <c r="E15" i="17"/>
  <c r="F15" i="17" s="1"/>
  <c r="E11" i="17"/>
  <c r="E8" i="17"/>
  <c r="E17" i="17" s="1"/>
  <c r="O48" i="40" s="1"/>
  <c r="Q48" i="40" s="1"/>
  <c r="E7" i="17"/>
  <c r="E21" i="17"/>
  <c r="O32" i="41" s="1"/>
  <c r="E12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D6" i="17"/>
  <c r="A3" i="17"/>
  <c r="E34" i="16"/>
  <c r="E32" i="16"/>
  <c r="E29" i="16"/>
  <c r="N23" i="43" s="1"/>
  <c r="P23" i="43" s="1"/>
  <c r="E28" i="16"/>
  <c r="N23" i="42" s="1"/>
  <c r="P23" i="42" s="1"/>
  <c r="E26" i="16"/>
  <c r="E23" i="16"/>
  <c r="E22" i="16"/>
  <c r="E20" i="16"/>
  <c r="F20" i="16" s="1"/>
  <c r="E17" i="16"/>
  <c r="O47" i="40" s="1"/>
  <c r="Q47" i="40" s="1"/>
  <c r="E15" i="16"/>
  <c r="F15" i="16" s="1"/>
  <c r="E11" i="16"/>
  <c r="E8" i="16"/>
  <c r="E7" i="16"/>
  <c r="E16" i="16"/>
  <c r="O31" i="39" s="1"/>
  <c r="Q31" i="39" s="1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D6" i="16"/>
  <c r="A3" i="16"/>
  <c r="E32" i="13"/>
  <c r="E23" i="13"/>
  <c r="E22" i="13"/>
  <c r="E20" i="13"/>
  <c r="F20" i="13" s="1"/>
  <c r="K20" i="13" s="1"/>
  <c r="E17" i="13"/>
  <c r="O46" i="40" s="1"/>
  <c r="E15" i="13"/>
  <c r="O30" i="39" s="1"/>
  <c r="E11" i="13"/>
  <c r="V24" i="37" s="1"/>
  <c r="E8" i="13"/>
  <c r="F8" i="13" s="1"/>
  <c r="K8" i="13" s="1"/>
  <c r="E7" i="13"/>
  <c r="O25" i="36" s="1"/>
  <c r="E16" i="13"/>
  <c r="E12" i="13"/>
  <c r="E13" i="13"/>
  <c r="F13" i="13" s="1"/>
  <c r="K13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D6" i="13"/>
  <c r="A3" i="13"/>
  <c r="E12" i="4"/>
  <c r="F8" i="4"/>
  <c r="D6" i="4"/>
  <c r="E38" i="3"/>
  <c r="E32" i="3"/>
  <c r="E29" i="3"/>
  <c r="E28" i="3"/>
  <c r="E26" i="3"/>
  <c r="E23" i="3"/>
  <c r="E22" i="3"/>
  <c r="E20" i="3"/>
  <c r="F20" i="3" s="1"/>
  <c r="E17" i="3"/>
  <c r="E15" i="3"/>
  <c r="F15" i="3" s="1"/>
  <c r="E13" i="3"/>
  <c r="F13" i="3" s="1"/>
  <c r="E11" i="3"/>
  <c r="E8" i="3"/>
  <c r="F8" i="3" s="1"/>
  <c r="E7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3" i="4"/>
  <c r="A3" i="3"/>
  <c r="E1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F8" i="22" l="1"/>
  <c r="F20" i="22"/>
  <c r="E21" i="22"/>
  <c r="Q29" i="38"/>
  <c r="Q28" i="38"/>
  <c r="Q30" i="38"/>
  <c r="N33" i="2"/>
  <c r="Q33" i="38"/>
  <c r="N29" i="2"/>
  <c r="Q36" i="38"/>
  <c r="Q34" i="38"/>
  <c r="E16" i="19"/>
  <c r="O33" i="39" s="1"/>
  <c r="Q33" i="39" s="1"/>
  <c r="E13" i="4"/>
  <c r="F13" i="4" s="1"/>
  <c r="E16" i="3"/>
  <c r="F11" i="3"/>
  <c r="O24" i="36"/>
  <c r="E21" i="4"/>
  <c r="Q12" i="41" s="1"/>
  <c r="F20" i="4"/>
  <c r="E14" i="4"/>
  <c r="F11" i="4"/>
  <c r="E16" i="4"/>
  <c r="Q12" i="39" s="1"/>
  <c r="F15" i="4"/>
  <c r="O28" i="36"/>
  <c r="Q28" i="36" s="1"/>
  <c r="E12" i="19"/>
  <c r="V27" i="37"/>
  <c r="Y27" i="37" s="1"/>
  <c r="F11" i="19"/>
  <c r="O27" i="36"/>
  <c r="Q27" i="36" s="1"/>
  <c r="Q32" i="41"/>
  <c r="E13" i="17"/>
  <c r="F8" i="17"/>
  <c r="E29" i="17"/>
  <c r="N24" i="43" s="1"/>
  <c r="P24" i="43" s="1"/>
  <c r="E16" i="17"/>
  <c r="O32" i="39" s="1"/>
  <c r="V26" i="37"/>
  <c r="Y26" i="37" s="1"/>
  <c r="F11" i="17"/>
  <c r="E22" i="17"/>
  <c r="E23" i="17" s="1"/>
  <c r="V25" i="37"/>
  <c r="Y25" i="37" s="1"/>
  <c r="F11" i="16"/>
  <c r="E13" i="16"/>
  <c r="F8" i="16"/>
  <c r="E21" i="16"/>
  <c r="O31" i="41" s="1"/>
  <c r="Q31" i="41" s="1"/>
  <c r="F15" i="22"/>
  <c r="F11" i="22"/>
  <c r="F15" i="13"/>
  <c r="K15" i="13" s="1"/>
  <c r="F11" i="13"/>
  <c r="K11" i="13" s="1"/>
  <c r="E13" i="22"/>
  <c r="E16" i="22"/>
  <c r="E13" i="19"/>
  <c r="E21" i="13"/>
  <c r="O30" i="41" s="1"/>
  <c r="E14" i="13"/>
  <c r="O41" i="38" s="1"/>
  <c r="E14" i="3"/>
  <c r="E21" i="3"/>
  <c r="O12" i="41" l="1"/>
  <c r="O12" i="39"/>
  <c r="N14" i="42"/>
  <c r="Q35" i="38"/>
  <c r="E14" i="19"/>
  <c r="O44" i="38" s="1"/>
  <c r="Q44" i="38" s="1"/>
  <c r="F13" i="19"/>
  <c r="Q32" i="39"/>
  <c r="E14" i="17"/>
  <c r="O43" i="38" s="1"/>
  <c r="F13" i="17"/>
  <c r="E14" i="16"/>
  <c r="O42" i="38"/>
  <c r="Q42" i="38" s="1"/>
  <c r="F13" i="16"/>
  <c r="E14" i="22"/>
  <c r="F13" i="22"/>
  <c r="B21" i="2"/>
  <c r="B22" i="2" s="1"/>
  <c r="B18" i="2"/>
  <c r="Q43" i="38" l="1"/>
  <c r="B23" i="2"/>
  <c r="N22" i="2" l="1"/>
  <c r="B24" i="2"/>
  <c r="B25" i="2" l="1"/>
  <c r="B28" i="2" l="1"/>
  <c r="B29" i="2" l="1"/>
  <c r="B30" i="2" l="1"/>
  <c r="B31" i="2" l="1"/>
  <c r="B33" i="2" l="1"/>
  <c r="B36" i="2" l="1"/>
  <c r="B37" i="2" s="1"/>
  <c r="B38" i="2" s="1"/>
  <c r="B40" i="2" s="1"/>
  <c r="B42" i="2" s="1"/>
  <c r="B44" i="2" s="1"/>
  <c r="B46" i="2" s="1"/>
  <c r="B48" i="2" s="1"/>
  <c r="K27" i="1" l="1"/>
  <c r="M27" i="1"/>
  <c r="M21" i="1"/>
  <c r="K16" i="1"/>
  <c r="M10" i="1"/>
  <c r="K10" i="1"/>
  <c r="T21" i="1" l="1"/>
  <c r="T27" i="1"/>
  <c r="T16" i="1"/>
  <c r="M16" i="1"/>
  <c r="M33" i="1" s="1"/>
  <c r="M37" i="1" s="1"/>
  <c r="K21" i="1"/>
  <c r="K33" i="1" s="1"/>
  <c r="K37" i="1" s="1"/>
  <c r="T10" i="1" l="1"/>
  <c r="T33" i="1" s="1"/>
  <c r="T37" i="1" s="1"/>
  <c r="C29" i="1" l="1"/>
  <c r="D32" i="22" l="1"/>
  <c r="D32" i="17"/>
  <c r="F32" i="17" s="1"/>
  <c r="I29" i="1" s="1"/>
  <c r="D32" i="4"/>
  <c r="D32" i="13"/>
  <c r="D32" i="19"/>
  <c r="F32" i="19" s="1"/>
  <c r="D32" i="3"/>
  <c r="F32" i="3" s="1"/>
  <c r="E29" i="1" s="1"/>
  <c r="D32" i="24"/>
  <c r="D32" i="16"/>
  <c r="F32" i="16" s="1"/>
  <c r="H29" i="1" s="1"/>
  <c r="F32" i="4" l="1"/>
  <c r="F29" i="1" s="1"/>
  <c r="I32" i="4"/>
  <c r="K32" i="4" s="1"/>
  <c r="H29" i="45" s="1"/>
  <c r="F32" i="13"/>
  <c r="G29" i="1" s="1"/>
  <c r="I32" i="13"/>
  <c r="I32" i="24"/>
  <c r="Q32" i="24"/>
  <c r="S32" i="24" s="1"/>
  <c r="K29" i="45" s="1"/>
  <c r="F32" i="22"/>
  <c r="J29" i="1" s="1"/>
  <c r="I32" i="22"/>
  <c r="J32" i="24"/>
  <c r="M32" i="24" s="1"/>
  <c r="V29" i="1"/>
  <c r="S29" i="1"/>
  <c r="K32" i="22" l="1"/>
  <c r="J29" i="45" s="1"/>
  <c r="K32" i="13"/>
  <c r="I29" i="45" s="1"/>
  <c r="L29" i="45" s="1"/>
  <c r="L29" i="1"/>
  <c r="U29" i="1" s="1"/>
  <c r="W29" i="1" s="1"/>
  <c r="N29" i="1" l="1"/>
  <c r="R29" i="1" s="1"/>
  <c r="O19" i="40" l="1"/>
  <c r="O15" i="40"/>
  <c r="O18" i="40"/>
  <c r="O17" i="40"/>
  <c r="O14" i="40"/>
  <c r="O13" i="40"/>
  <c r="N14" i="43"/>
  <c r="G35" i="43" s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33" i="40" l="1"/>
  <c r="G26" i="40"/>
  <c r="G25" i="40"/>
  <c r="G11" i="40"/>
  <c r="G16" i="40"/>
  <c r="G24" i="40"/>
  <c r="G38" i="40"/>
  <c r="G29" i="40"/>
  <c r="G12" i="40"/>
  <c r="G19" i="40"/>
  <c r="G17" i="40"/>
  <c r="G34" i="40"/>
  <c r="G37" i="40"/>
  <c r="G30" i="40"/>
  <c r="G13" i="40"/>
  <c r="G21" i="40"/>
  <c r="G36" i="40"/>
  <c r="G32" i="40"/>
  <c r="G28" i="40"/>
  <c r="G15" i="40"/>
  <c r="G20" i="40"/>
  <c r="N42" i="2" l="1"/>
  <c r="G22" i="42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D29" i="1" l="1"/>
  <c r="O29" i="1" s="1"/>
  <c r="O24" i="38" l="1"/>
  <c r="O21" i="38"/>
  <c r="O20" i="38"/>
  <c r="O16" i="38"/>
  <c r="O13" i="38"/>
  <c r="O12" i="38"/>
  <c r="O10" i="38"/>
  <c r="V10" i="37"/>
  <c r="U10" i="37"/>
  <c r="O11" i="36" l="1"/>
  <c r="V18" i="37"/>
  <c r="U12" i="37"/>
  <c r="V12" i="37" s="1"/>
  <c r="O9" i="36"/>
  <c r="O12" i="36"/>
  <c r="V19" i="37"/>
  <c r="U13" i="37"/>
  <c r="V13" i="37" s="1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Q11" i="36" l="1"/>
  <c r="S11" i="36" l="1"/>
  <c r="P13" i="42" l="1"/>
  <c r="R13" i="42" l="1"/>
  <c r="I21" i="24" l="1"/>
  <c r="E24" i="24"/>
  <c r="J21" i="24"/>
  <c r="G36" i="41"/>
  <c r="G20" i="41"/>
  <c r="G12" i="41"/>
  <c r="G11" i="41"/>
  <c r="G31" i="41"/>
  <c r="G27" i="41"/>
  <c r="G10" i="41"/>
  <c r="G30" i="41"/>
  <c r="G34" i="41"/>
  <c r="G22" i="41"/>
  <c r="G23" i="41"/>
  <c r="G32" i="41"/>
  <c r="G14" i="41"/>
  <c r="G15" i="41"/>
  <c r="G28" i="41"/>
  <c r="G35" i="41"/>
  <c r="G19" i="41"/>
  <c r="G26" i="41"/>
  <c r="G18" i="41"/>
  <c r="G24" i="41"/>
  <c r="G16" i="41"/>
  <c r="V18" i="1" l="1"/>
  <c r="M21" i="24"/>
  <c r="L18" i="1" l="1"/>
  <c r="J16" i="24" l="1"/>
  <c r="I16" i="24"/>
  <c r="E18" i="24"/>
  <c r="E36" i="24" s="1"/>
  <c r="U18" i="1"/>
  <c r="G18" i="39"/>
  <c r="G27" i="39"/>
  <c r="G26" i="39"/>
  <c r="G12" i="39"/>
  <c r="G34" i="39"/>
  <c r="G15" i="39"/>
  <c r="G20" i="39"/>
  <c r="G19" i="39"/>
  <c r="G36" i="39"/>
  <c r="G14" i="39"/>
  <c r="G23" i="39"/>
  <c r="G32" i="39"/>
  <c r="G31" i="39"/>
  <c r="G24" i="39"/>
  <c r="G30" i="39"/>
  <c r="G10" i="39"/>
  <c r="G28" i="39"/>
  <c r="G16" i="39"/>
  <c r="G22" i="39"/>
  <c r="G35" i="39"/>
  <c r="G11" i="39"/>
  <c r="M16" i="24" l="1"/>
  <c r="V14" i="1"/>
  <c r="L14" i="1" l="1"/>
  <c r="U14" i="1" s="1"/>
  <c r="O22" i="38"/>
  <c r="O14" i="38"/>
  <c r="G16" i="38" l="1"/>
  <c r="G10" i="38"/>
  <c r="G12" i="38"/>
  <c r="G24" i="38"/>
  <c r="G26" i="38"/>
  <c r="G36" i="38"/>
  <c r="G19" i="38"/>
  <c r="G22" i="38"/>
  <c r="G18" i="38"/>
  <c r="G30" i="38"/>
  <c r="G20" i="38"/>
  <c r="G28" i="38"/>
  <c r="G11" i="38"/>
  <c r="G34" i="38"/>
  <c r="G35" i="38"/>
  <c r="G27" i="38"/>
  <c r="G15" i="38"/>
  <c r="G32" i="38"/>
  <c r="G31" i="38"/>
  <c r="G14" i="38"/>
  <c r="G23" i="38"/>
  <c r="U14" i="37" l="1"/>
  <c r="V20" i="37" l="1"/>
  <c r="D15" i="37"/>
  <c r="D16" i="37"/>
  <c r="D24" i="37"/>
  <c r="D39" i="37"/>
  <c r="D20" i="37"/>
  <c r="D36" i="37"/>
  <c r="D40" i="37"/>
  <c r="D23" i="37"/>
  <c r="D27" i="37"/>
  <c r="V14" i="37"/>
  <c r="D10" i="37"/>
  <c r="D22" i="37"/>
  <c r="D12" i="37"/>
  <c r="D14" i="37"/>
  <c r="D31" i="37"/>
  <c r="D34" i="37"/>
  <c r="D38" i="37"/>
  <c r="D28" i="37"/>
  <c r="D11" i="37"/>
  <c r="D26" i="37"/>
  <c r="D32" i="37"/>
  <c r="D19" i="37"/>
  <c r="D35" i="37"/>
  <c r="D30" i="37"/>
  <c r="D18" i="37"/>
  <c r="F12" i="37" l="1"/>
  <c r="F35" i="37"/>
  <c r="F36" i="37"/>
  <c r="F39" i="37"/>
  <c r="F31" i="37"/>
  <c r="F10" i="37"/>
  <c r="F19" i="37"/>
  <c r="F28" i="37"/>
  <c r="F15" i="37"/>
  <c r="F32" i="37"/>
  <c r="F30" i="37"/>
  <c r="F14" i="37"/>
  <c r="F11" i="37"/>
  <c r="F18" i="37"/>
  <c r="F26" i="37"/>
  <c r="F27" i="37"/>
  <c r="F22" i="37"/>
  <c r="F20" i="37"/>
  <c r="F24" i="37"/>
  <c r="F16" i="37"/>
  <c r="F38" i="37"/>
  <c r="F23" i="37"/>
  <c r="F34" i="37"/>
  <c r="F40" i="37"/>
  <c r="Q9" i="36" l="1"/>
  <c r="S9" i="36" l="1"/>
  <c r="H13" i="36"/>
  <c r="H15" i="36"/>
  <c r="H19" i="36"/>
  <c r="H14" i="36"/>
  <c r="H10" i="36"/>
  <c r="H18" i="36"/>
  <c r="H11" i="36"/>
  <c r="H9" i="36"/>
  <c r="H17" i="36"/>
  <c r="L11" i="36" l="1"/>
  <c r="J11" i="36"/>
  <c r="L18" i="36"/>
  <c r="J18" i="36"/>
  <c r="J15" i="36"/>
  <c r="L15" i="36"/>
  <c r="L19" i="36"/>
  <c r="J19" i="36"/>
  <c r="J17" i="36"/>
  <c r="L17" i="36"/>
  <c r="J10" i="36"/>
  <c r="L10" i="36"/>
  <c r="J13" i="36"/>
  <c r="L13" i="36"/>
  <c r="L9" i="36"/>
  <c r="J9" i="36"/>
  <c r="L14" i="36"/>
  <c r="J14" i="36"/>
  <c r="C35" i="1" l="1"/>
  <c r="C31" i="1"/>
  <c r="D35" i="1"/>
  <c r="D34" i="16" l="1"/>
  <c r="F34" i="16" s="1"/>
  <c r="H31" i="1" s="1"/>
  <c r="D34" i="4"/>
  <c r="D34" i="19"/>
  <c r="F34" i="19" s="1"/>
  <c r="D34" i="22"/>
  <c r="D34" i="24"/>
  <c r="D34" i="3"/>
  <c r="F34" i="3" s="1"/>
  <c r="E31" i="1" s="1"/>
  <c r="D34" i="17"/>
  <c r="F34" i="17" s="1"/>
  <c r="I31" i="1" s="1"/>
  <c r="D34" i="13"/>
  <c r="D38" i="24"/>
  <c r="D38" i="19"/>
  <c r="F38" i="19" s="1"/>
  <c r="D38" i="22"/>
  <c r="D38" i="17"/>
  <c r="F38" i="17" s="1"/>
  <c r="I35" i="1" s="1"/>
  <c r="D38" i="4"/>
  <c r="D38" i="16"/>
  <c r="F38" i="16" s="1"/>
  <c r="H35" i="1" s="1"/>
  <c r="D38" i="3"/>
  <c r="F38" i="3" s="1"/>
  <c r="E35" i="1" s="1"/>
  <c r="D38" i="13"/>
  <c r="D31" i="1"/>
  <c r="F34" i="4" l="1"/>
  <c r="F31" i="1" s="1"/>
  <c r="I34" i="4"/>
  <c r="K34" i="4" s="1"/>
  <c r="H31" i="45" s="1"/>
  <c r="F38" i="4"/>
  <c r="F35" i="1" s="1"/>
  <c r="I38" i="4"/>
  <c r="K38" i="4" s="1"/>
  <c r="H35" i="45" s="1"/>
  <c r="L35" i="45" s="1"/>
  <c r="F34" i="13"/>
  <c r="G31" i="1" s="1"/>
  <c r="I34" i="13"/>
  <c r="F34" i="22"/>
  <c r="J31" i="1" s="1"/>
  <c r="I34" i="22"/>
  <c r="K34" i="22" s="1"/>
  <c r="J31" i="45" s="1"/>
  <c r="F38" i="22"/>
  <c r="J35" i="1" s="1"/>
  <c r="I38" i="22"/>
  <c r="F38" i="13"/>
  <c r="G35" i="1" s="1"/>
  <c r="I38" i="13"/>
  <c r="K38" i="13" s="1"/>
  <c r="I38" i="24"/>
  <c r="V35" i="1" s="1"/>
  <c r="Q38" i="24"/>
  <c r="I34" i="24"/>
  <c r="V31" i="1" s="1"/>
  <c r="Q34" i="24"/>
  <c r="S34" i="24" s="1"/>
  <c r="K31" i="45" s="1"/>
  <c r="S35" i="1"/>
  <c r="S31" i="1"/>
  <c r="J38" i="24"/>
  <c r="M38" i="24" s="1"/>
  <c r="J34" i="24"/>
  <c r="M34" i="24" s="1"/>
  <c r="S38" i="24" l="1"/>
  <c r="K38" i="22"/>
  <c r="K34" i="13"/>
  <c r="I31" i="45" s="1"/>
  <c r="L31" i="45" s="1"/>
  <c r="L35" i="1"/>
  <c r="U35" i="1" s="1"/>
  <c r="W35" i="1" s="1"/>
  <c r="L31" i="1"/>
  <c r="U31" i="1" s="1"/>
  <c r="W31" i="1" s="1"/>
  <c r="N35" i="1"/>
  <c r="N31" i="1" l="1"/>
  <c r="O31" i="1" s="1"/>
  <c r="R35" i="1"/>
  <c r="O35" i="1"/>
  <c r="R31" i="1" l="1"/>
  <c r="J38" i="2"/>
  <c r="C25" i="1"/>
  <c r="C26" i="1"/>
  <c r="D28" i="17" l="1"/>
  <c r="D28" i="24"/>
  <c r="Q28" i="24" s="1"/>
  <c r="D28" i="16"/>
  <c r="D28" i="13"/>
  <c r="I28" i="13" s="1"/>
  <c r="D28" i="19"/>
  <c r="D28" i="3"/>
  <c r="C27" i="1"/>
  <c r="D28" i="4"/>
  <c r="I28" i="4" s="1"/>
  <c r="D28" i="22"/>
  <c r="I28" i="22" s="1"/>
  <c r="D29" i="3"/>
  <c r="F29" i="3" s="1"/>
  <c r="E26" i="1" s="1"/>
  <c r="D29" i="17"/>
  <c r="F29" i="17" s="1"/>
  <c r="I26" i="1" s="1"/>
  <c r="D29" i="13"/>
  <c r="D29" i="22"/>
  <c r="D29" i="16"/>
  <c r="F29" i="16" s="1"/>
  <c r="H26" i="1" s="1"/>
  <c r="D29" i="19"/>
  <c r="F29" i="19" s="1"/>
  <c r="D29" i="24"/>
  <c r="Q29" i="24" s="1"/>
  <c r="D29" i="4"/>
  <c r="D26" i="1"/>
  <c r="F29" i="4" l="1"/>
  <c r="F26" i="1" s="1"/>
  <c r="I29" i="4"/>
  <c r="K29" i="4" s="1"/>
  <c r="F29" i="13"/>
  <c r="G26" i="1" s="1"/>
  <c r="I29" i="13"/>
  <c r="K29" i="13" s="1"/>
  <c r="Q30" i="24"/>
  <c r="F29" i="22"/>
  <c r="J26" i="1" s="1"/>
  <c r="I29" i="22"/>
  <c r="K29" i="22" s="1"/>
  <c r="J26" i="45" s="1"/>
  <c r="I29" i="24"/>
  <c r="S29" i="24" s="1"/>
  <c r="K26" i="45" s="1"/>
  <c r="J29" i="24"/>
  <c r="F28" i="4"/>
  <c r="K28" i="4" s="1"/>
  <c r="H25" i="45" s="1"/>
  <c r="D30" i="4"/>
  <c r="F28" i="13"/>
  <c r="K28" i="13" s="1"/>
  <c r="I25" i="45" s="1"/>
  <c r="D30" i="13"/>
  <c r="F28" i="16"/>
  <c r="D30" i="16"/>
  <c r="S26" i="1"/>
  <c r="F28" i="3"/>
  <c r="D30" i="3"/>
  <c r="D30" i="24"/>
  <c r="I28" i="24"/>
  <c r="S28" i="24" s="1"/>
  <c r="K25" i="45" s="1"/>
  <c r="J28" i="24"/>
  <c r="J30" i="24" s="1"/>
  <c r="F28" i="22"/>
  <c r="K28" i="22" s="1"/>
  <c r="D30" i="22"/>
  <c r="D30" i="19"/>
  <c r="F28" i="19"/>
  <c r="F30" i="19" s="1"/>
  <c r="F28" i="17"/>
  <c r="D30" i="17"/>
  <c r="H18" i="2"/>
  <c r="K30" i="4" l="1"/>
  <c r="H26" i="45"/>
  <c r="I30" i="4"/>
  <c r="K27" i="45"/>
  <c r="I30" i="22"/>
  <c r="J25" i="45"/>
  <c r="J27" i="45" s="1"/>
  <c r="K30" i="22"/>
  <c r="K30" i="13"/>
  <c r="I26" i="45"/>
  <c r="I30" i="13"/>
  <c r="I25" i="1"/>
  <c r="I27" i="1" s="1"/>
  <c r="F30" i="17"/>
  <c r="J25" i="1"/>
  <c r="J27" i="1" s="1"/>
  <c r="F30" i="22"/>
  <c r="E25" i="1"/>
  <c r="F30" i="3"/>
  <c r="H25" i="1"/>
  <c r="H27" i="1" s="1"/>
  <c r="F30" i="16"/>
  <c r="F30" i="4"/>
  <c r="F25" i="1"/>
  <c r="F27" i="1" s="1"/>
  <c r="V25" i="1"/>
  <c r="M28" i="24"/>
  <c r="I30" i="24"/>
  <c r="G25" i="1"/>
  <c r="G27" i="1" s="1"/>
  <c r="F30" i="13"/>
  <c r="M29" i="24"/>
  <c r="V26" i="1"/>
  <c r="H27" i="45" l="1"/>
  <c r="L26" i="45"/>
  <c r="L25" i="45"/>
  <c r="L27" i="45"/>
  <c r="I27" i="45"/>
  <c r="L26" i="1"/>
  <c r="U26" i="1" s="1"/>
  <c r="W26" i="1" s="1"/>
  <c r="S30" i="24"/>
  <c r="V27" i="1"/>
  <c r="C20" i="1"/>
  <c r="E27" i="1"/>
  <c r="S25" i="1"/>
  <c r="C15" i="1"/>
  <c r="N26" i="1"/>
  <c r="M30" i="24"/>
  <c r="L25" i="1"/>
  <c r="C19" i="1"/>
  <c r="D19" i="1"/>
  <c r="D20" i="1"/>
  <c r="U25" i="1" l="1"/>
  <c r="U27" i="1" s="1"/>
  <c r="L27" i="1"/>
  <c r="D23" i="16"/>
  <c r="F23" i="16" s="1"/>
  <c r="H20" i="1" s="1"/>
  <c r="D23" i="19"/>
  <c r="F23" i="19" s="1"/>
  <c r="D23" i="3"/>
  <c r="F23" i="3" s="1"/>
  <c r="E20" i="1" s="1"/>
  <c r="D23" i="13"/>
  <c r="D23" i="17"/>
  <c r="F23" i="17" s="1"/>
  <c r="I20" i="1" s="1"/>
  <c r="D23" i="4"/>
  <c r="D23" i="24"/>
  <c r="Q23" i="24" s="1"/>
  <c r="D23" i="22"/>
  <c r="D17" i="17"/>
  <c r="F17" i="17" s="1"/>
  <c r="I15" i="1" s="1"/>
  <c r="D17" i="22"/>
  <c r="D17" i="19"/>
  <c r="F17" i="19" s="1"/>
  <c r="D17" i="16"/>
  <c r="F17" i="16" s="1"/>
  <c r="H15" i="1" s="1"/>
  <c r="D17" i="4"/>
  <c r="D17" i="13"/>
  <c r="D17" i="3"/>
  <c r="F17" i="3" s="1"/>
  <c r="E15" i="1" s="1"/>
  <c r="D17" i="24"/>
  <c r="Q17" i="24" s="1"/>
  <c r="D22" i="19"/>
  <c r="F22" i="19" s="1"/>
  <c r="D22" i="24"/>
  <c r="Q22" i="24" s="1"/>
  <c r="D22" i="17"/>
  <c r="F22" i="17" s="1"/>
  <c r="I19" i="1" s="1"/>
  <c r="D22" i="16"/>
  <c r="F22" i="16" s="1"/>
  <c r="H19" i="1" s="1"/>
  <c r="D22" i="4"/>
  <c r="D22" i="22"/>
  <c r="D22" i="3"/>
  <c r="F22" i="3" s="1"/>
  <c r="E19" i="1" s="1"/>
  <c r="D22" i="13"/>
  <c r="R26" i="1"/>
  <c r="O26" i="1"/>
  <c r="N25" i="1"/>
  <c r="S27" i="1"/>
  <c r="D15" i="1"/>
  <c r="F23" i="4" l="1"/>
  <c r="F20" i="1" s="1"/>
  <c r="I23" i="4"/>
  <c r="K23" i="4" s="1"/>
  <c r="H20" i="45" s="1"/>
  <c r="F22" i="4"/>
  <c r="F19" i="1" s="1"/>
  <c r="I22" i="4"/>
  <c r="K22" i="4" s="1"/>
  <c r="H19" i="45" s="1"/>
  <c r="F17" i="4"/>
  <c r="F15" i="1" s="1"/>
  <c r="I17" i="4"/>
  <c r="K17" i="4" s="1"/>
  <c r="H15" i="45" s="1"/>
  <c r="F22" i="13"/>
  <c r="G19" i="1" s="1"/>
  <c r="I22" i="13"/>
  <c r="K22" i="13" s="1"/>
  <c r="I19" i="45" s="1"/>
  <c r="F23" i="22"/>
  <c r="J20" i="1" s="1"/>
  <c r="I23" i="22"/>
  <c r="F23" i="13"/>
  <c r="G20" i="1" s="1"/>
  <c r="I23" i="13"/>
  <c r="K23" i="13" s="1"/>
  <c r="F22" i="22"/>
  <c r="J19" i="1" s="1"/>
  <c r="I22" i="22"/>
  <c r="F17" i="13"/>
  <c r="G15" i="1" s="1"/>
  <c r="I17" i="13"/>
  <c r="F17" i="22"/>
  <c r="J15" i="1" s="1"/>
  <c r="I17" i="22"/>
  <c r="S17" i="24"/>
  <c r="K15" i="45" s="1"/>
  <c r="W25" i="1"/>
  <c r="W27" i="1" s="1"/>
  <c r="J22" i="24"/>
  <c r="I22" i="24"/>
  <c r="S22" i="24" s="1"/>
  <c r="K19" i="45" s="1"/>
  <c r="J17" i="24"/>
  <c r="I17" i="24"/>
  <c r="R25" i="1"/>
  <c r="R27" i="1" s="1"/>
  <c r="N27" i="1"/>
  <c r="S19" i="1"/>
  <c r="S15" i="1"/>
  <c r="I23" i="24"/>
  <c r="S23" i="24" s="1"/>
  <c r="K20" i="45" s="1"/>
  <c r="J23" i="24"/>
  <c r="S20" i="1"/>
  <c r="K17" i="22" l="1"/>
  <c r="J15" i="45" s="1"/>
  <c r="K22" i="22"/>
  <c r="J19" i="45" s="1"/>
  <c r="L19" i="45" s="1"/>
  <c r="I20" i="45"/>
  <c r="L20" i="45" s="1"/>
  <c r="K17" i="13"/>
  <c r="I15" i="45" s="1"/>
  <c r="L15" i="45" s="1"/>
  <c r="K23" i="22"/>
  <c r="J20" i="45" s="1"/>
  <c r="M22" i="24"/>
  <c r="V19" i="1"/>
  <c r="I24" i="24"/>
  <c r="M23" i="24"/>
  <c r="V20" i="1"/>
  <c r="V15" i="1"/>
  <c r="M17" i="24"/>
  <c r="J24" i="24"/>
  <c r="L20" i="1" l="1"/>
  <c r="N20" i="1" s="1"/>
  <c r="L15" i="1"/>
  <c r="U15" i="1" s="1"/>
  <c r="W15" i="1" s="1"/>
  <c r="V21" i="1"/>
  <c r="U20" i="1"/>
  <c r="W20" i="1" s="1"/>
  <c r="L19" i="1"/>
  <c r="M24" i="24"/>
  <c r="N15" i="1" l="1"/>
  <c r="R15" i="1" s="1"/>
  <c r="O20" i="1"/>
  <c r="R20" i="1"/>
  <c r="U19" i="1"/>
  <c r="L21" i="1"/>
  <c r="N19" i="1"/>
  <c r="O15" i="1" l="1"/>
  <c r="O19" i="1"/>
  <c r="R19" i="1"/>
  <c r="U21" i="1"/>
  <c r="W19" i="1"/>
  <c r="L38" i="2" l="1"/>
  <c r="D25" i="1"/>
  <c r="D27" i="1" l="1"/>
  <c r="O25" i="1"/>
  <c r="O27" i="1" s="1"/>
  <c r="J18" i="2" l="1"/>
  <c r="C9" i="1"/>
  <c r="D7" i="16" l="1"/>
  <c r="D7" i="13"/>
  <c r="I7" i="13" s="1"/>
  <c r="D7" i="4"/>
  <c r="I7" i="4" s="1"/>
  <c r="D7" i="19"/>
  <c r="C10" i="1"/>
  <c r="D7" i="24"/>
  <c r="Q7" i="24" s="1"/>
  <c r="D7" i="22"/>
  <c r="I7" i="22" s="1"/>
  <c r="D7" i="17"/>
  <c r="D7" i="3"/>
  <c r="I9" i="4" l="1"/>
  <c r="Q9" i="24"/>
  <c r="I9" i="13"/>
  <c r="I9" i="22"/>
  <c r="F7" i="17"/>
  <c r="D9" i="17"/>
  <c r="D9" i="19"/>
  <c r="F7" i="19"/>
  <c r="F9" i="19" s="1"/>
  <c r="F7" i="4"/>
  <c r="K7" i="4" s="1"/>
  <c r="D9" i="4"/>
  <c r="L18" i="2"/>
  <c r="D9" i="1"/>
  <c r="D10" i="1" s="1"/>
  <c r="F7" i="22"/>
  <c r="K7" i="22" s="1"/>
  <c r="D9" i="22"/>
  <c r="J7" i="24"/>
  <c r="J9" i="24" s="1"/>
  <c r="I7" i="24"/>
  <c r="S7" i="24" s="1"/>
  <c r="K9" i="45" s="1"/>
  <c r="K10" i="45" s="1"/>
  <c r="D9" i="24"/>
  <c r="D9" i="13"/>
  <c r="F7" i="13"/>
  <c r="K7" i="13" s="1"/>
  <c r="F7" i="3"/>
  <c r="D9" i="3"/>
  <c r="F7" i="16"/>
  <c r="D9" i="16"/>
  <c r="H9" i="45" l="1"/>
  <c r="K9" i="4"/>
  <c r="K9" i="22"/>
  <c r="J9" i="45"/>
  <c r="J10" i="45" s="1"/>
  <c r="K9" i="13"/>
  <c r="I9" i="45"/>
  <c r="F9" i="3"/>
  <c r="E9" i="1"/>
  <c r="V9" i="1"/>
  <c r="V10" i="1" s="1"/>
  <c r="I9" i="24"/>
  <c r="M7" i="24"/>
  <c r="S9" i="24" s="1"/>
  <c r="F9" i="13"/>
  <c r="G9" i="1"/>
  <c r="G10" i="1" s="1"/>
  <c r="H9" i="1"/>
  <c r="H10" i="1" s="1"/>
  <c r="F9" i="16"/>
  <c r="J9" i="1"/>
  <c r="J10" i="1" s="1"/>
  <c r="F9" i="22"/>
  <c r="F9" i="1"/>
  <c r="F10" i="1" s="1"/>
  <c r="F9" i="4"/>
  <c r="F9" i="17"/>
  <c r="I9" i="1"/>
  <c r="I10" i="1" s="1"/>
  <c r="Q16" i="38"/>
  <c r="S16" i="38" s="1"/>
  <c r="H10" i="45" l="1"/>
  <c r="L9" i="45"/>
  <c r="L10" i="45"/>
  <c r="I10" i="45"/>
  <c r="E10" i="1"/>
  <c r="S9" i="1"/>
  <c r="L9" i="1"/>
  <c r="N9" i="1" s="1"/>
  <c r="M9" i="24"/>
  <c r="P13" i="43"/>
  <c r="R13" i="43" s="1"/>
  <c r="R9" i="1" l="1"/>
  <c r="R10" i="1" s="1"/>
  <c r="O9" i="1"/>
  <c r="O10" i="1" s="1"/>
  <c r="N10" i="1"/>
  <c r="L10" i="1"/>
  <c r="U9" i="1"/>
  <c r="U10" i="1" s="1"/>
  <c r="S10" i="1"/>
  <c r="W9" i="1" l="1"/>
  <c r="W10" i="1" s="1"/>
  <c r="Q12" i="36"/>
  <c r="H32" i="36" l="1"/>
  <c r="H35" i="36"/>
  <c r="H20" i="36"/>
  <c r="S12" i="36"/>
  <c r="H34" i="36"/>
  <c r="H29" i="36"/>
  <c r="H25" i="36"/>
  <c r="H28" i="36"/>
  <c r="H36" i="36"/>
  <c r="H24" i="36"/>
  <c r="H23" i="36"/>
  <c r="H22" i="36"/>
  <c r="H30" i="36"/>
  <c r="H26" i="36"/>
  <c r="H31" i="36"/>
  <c r="L28" i="36" l="1"/>
  <c r="J28" i="36"/>
  <c r="J31" i="36"/>
  <c r="L31" i="36"/>
  <c r="J23" i="36"/>
  <c r="L23" i="36"/>
  <c r="J25" i="36"/>
  <c r="L25" i="36"/>
  <c r="J20" i="36"/>
  <c r="L20" i="36"/>
  <c r="L22" i="36"/>
  <c r="J22" i="36"/>
  <c r="J26" i="36"/>
  <c r="L26" i="36"/>
  <c r="J24" i="36"/>
  <c r="L24" i="36"/>
  <c r="J29" i="36"/>
  <c r="L29" i="36"/>
  <c r="L35" i="36"/>
  <c r="J35" i="36"/>
  <c r="J30" i="36"/>
  <c r="L30" i="36"/>
  <c r="L36" i="36"/>
  <c r="J36" i="36"/>
  <c r="J34" i="36"/>
  <c r="L34" i="36"/>
  <c r="J32" i="36"/>
  <c r="L32" i="36"/>
  <c r="C18" i="1" l="1"/>
  <c r="D21" i="24" s="1"/>
  <c r="J31" i="2"/>
  <c r="Q21" i="24" l="1"/>
  <c r="D24" i="24"/>
  <c r="D21" i="17"/>
  <c r="D21" i="13"/>
  <c r="I21" i="13" s="1"/>
  <c r="D21" i="19"/>
  <c r="C21" i="1"/>
  <c r="D21" i="16"/>
  <c r="D21" i="3"/>
  <c r="D21" i="4"/>
  <c r="I21" i="4" s="1"/>
  <c r="D21" i="22"/>
  <c r="I21" i="22" s="1"/>
  <c r="H31" i="2"/>
  <c r="I24" i="4" l="1"/>
  <c r="I24" i="13"/>
  <c r="I24" i="22"/>
  <c r="S21" i="24"/>
  <c r="Q24" i="24"/>
  <c r="F21" i="22"/>
  <c r="K21" i="22" s="1"/>
  <c r="D24" i="22"/>
  <c r="L31" i="2"/>
  <c r="D18" i="1"/>
  <c r="D21" i="1" s="1"/>
  <c r="F21" i="4"/>
  <c r="K21" i="4" s="1"/>
  <c r="D24" i="4"/>
  <c r="F21" i="19"/>
  <c r="F24" i="19" s="1"/>
  <c r="D24" i="19"/>
  <c r="D24" i="3"/>
  <c r="F21" i="3"/>
  <c r="F21" i="13"/>
  <c r="K21" i="13" s="1"/>
  <c r="D24" i="13"/>
  <c r="F21" i="16"/>
  <c r="D24" i="16"/>
  <c r="F21" i="17"/>
  <c r="D24" i="17"/>
  <c r="H18" i="45" l="1"/>
  <c r="K24" i="4"/>
  <c r="J18" i="45"/>
  <c r="J21" i="45" s="1"/>
  <c r="K24" i="22"/>
  <c r="I18" i="45"/>
  <c r="K24" i="13"/>
  <c r="K18" i="45"/>
  <c r="K21" i="45" s="1"/>
  <c r="S24" i="24"/>
  <c r="G18" i="1"/>
  <c r="G21" i="1" s="1"/>
  <c r="F24" i="13"/>
  <c r="F24" i="17"/>
  <c r="I18" i="1"/>
  <c r="I21" i="1" s="1"/>
  <c r="E18" i="1"/>
  <c r="F24" i="3"/>
  <c r="F24" i="16"/>
  <c r="H18" i="1"/>
  <c r="H21" i="1" s="1"/>
  <c r="F24" i="4"/>
  <c r="F18" i="1"/>
  <c r="F21" i="1" s="1"/>
  <c r="J18" i="1"/>
  <c r="J21" i="1" s="1"/>
  <c r="F24" i="22"/>
  <c r="L18" i="45" l="1"/>
  <c r="L21" i="45" s="1"/>
  <c r="H21" i="45"/>
  <c r="I21" i="45"/>
  <c r="C14" i="1"/>
  <c r="D16" i="24" s="1"/>
  <c r="Q16" i="24" s="1"/>
  <c r="S16" i="24" s="1"/>
  <c r="K14" i="45" s="1"/>
  <c r="S18" i="1"/>
  <c r="E21" i="1"/>
  <c r="N18" i="1"/>
  <c r="D14" i="1"/>
  <c r="S21" i="1" l="1"/>
  <c r="W18" i="1"/>
  <c r="W21" i="1" s="1"/>
  <c r="D16" i="17"/>
  <c r="F16" i="17" s="1"/>
  <c r="I14" i="1" s="1"/>
  <c r="D16" i="4"/>
  <c r="D16" i="22"/>
  <c r="D16" i="16"/>
  <c r="F16" i="16" s="1"/>
  <c r="H14" i="1" s="1"/>
  <c r="D16" i="3"/>
  <c r="F16" i="3" s="1"/>
  <c r="E14" i="1" s="1"/>
  <c r="D16" i="19"/>
  <c r="F16" i="19" s="1"/>
  <c r="D16" i="13"/>
  <c r="R18" i="1"/>
  <c r="R21" i="1" s="1"/>
  <c r="N21" i="1"/>
  <c r="O18" i="1"/>
  <c r="O21" i="1" s="1"/>
  <c r="F16" i="4" l="1"/>
  <c r="F14" i="1" s="1"/>
  <c r="I16" i="4"/>
  <c r="F16" i="13"/>
  <c r="G14" i="1" s="1"/>
  <c r="I16" i="13"/>
  <c r="F16" i="22"/>
  <c r="J14" i="1" s="1"/>
  <c r="N14" i="1" s="1"/>
  <c r="I16" i="22"/>
  <c r="S14" i="1"/>
  <c r="W14" i="1" s="1"/>
  <c r="K16" i="13" l="1"/>
  <c r="I14" i="45" s="1"/>
  <c r="K16" i="22"/>
  <c r="J14" i="45" s="1"/>
  <c r="K16" i="4"/>
  <c r="H14" i="45" s="1"/>
  <c r="L14" i="45" s="1"/>
  <c r="C13" i="1"/>
  <c r="O14" i="1"/>
  <c r="R14" i="1"/>
  <c r="Q35" i="1" l="1"/>
  <c r="P46" i="2"/>
  <c r="S46" i="2"/>
  <c r="D14" i="3"/>
  <c r="F14" i="3" s="1"/>
  <c r="E13" i="1" s="1"/>
  <c r="D14" i="13"/>
  <c r="D14" i="4"/>
  <c r="D14" i="16"/>
  <c r="F14" i="16" s="1"/>
  <c r="H13" i="1" s="1"/>
  <c r="D14" i="24"/>
  <c r="Q14" i="24" s="1"/>
  <c r="D14" i="22"/>
  <c r="D14" i="17"/>
  <c r="F14" i="17" s="1"/>
  <c r="I13" i="1" s="1"/>
  <c r="D14" i="19"/>
  <c r="F14" i="19" s="1"/>
  <c r="F14" i="4" l="1"/>
  <c r="F13" i="1" s="1"/>
  <c r="I14" i="4"/>
  <c r="F14" i="22"/>
  <c r="J13" i="1" s="1"/>
  <c r="I14" i="22"/>
  <c r="F14" i="13"/>
  <c r="G13" i="1" s="1"/>
  <c r="I14" i="13"/>
  <c r="V46" i="2"/>
  <c r="Q46" i="2"/>
  <c r="J14" i="24"/>
  <c r="I14" i="24"/>
  <c r="S14" i="24" s="1"/>
  <c r="K13" i="45" s="1"/>
  <c r="S13" i="1"/>
  <c r="Y35" i="1"/>
  <c r="X35" i="1"/>
  <c r="K14" i="13" l="1"/>
  <c r="I13" i="45" s="1"/>
  <c r="K14" i="4"/>
  <c r="H13" i="45" s="1"/>
  <c r="K14" i="22"/>
  <c r="D35" i="44"/>
  <c r="E35" i="44" s="1"/>
  <c r="F35" i="44" s="1"/>
  <c r="D35" i="45"/>
  <c r="E35" i="45" s="1"/>
  <c r="Z35" i="1"/>
  <c r="H25" i="2"/>
  <c r="H44" i="2" s="1"/>
  <c r="H48" i="2" s="1"/>
  <c r="AA35" i="1"/>
  <c r="M14" i="24"/>
  <c r="V13" i="1"/>
  <c r="L13" i="45" l="1"/>
  <c r="J13" i="45"/>
  <c r="L13" i="1"/>
  <c r="N13" i="1" s="1"/>
  <c r="M35" i="45"/>
  <c r="F35" i="45"/>
  <c r="D13" i="1"/>
  <c r="AB35" i="1"/>
  <c r="U13" i="1" l="1"/>
  <c r="W13" i="1" s="1"/>
  <c r="N35" i="45"/>
  <c r="R13" i="1"/>
  <c r="O13" i="1"/>
  <c r="C23" i="1" l="1"/>
  <c r="D23" i="1"/>
  <c r="D26" i="24" l="1"/>
  <c r="Q26" i="24" s="1"/>
  <c r="D26" i="19"/>
  <c r="F26" i="19" s="1"/>
  <c r="D26" i="3"/>
  <c r="F26" i="3" s="1"/>
  <c r="E23" i="1" s="1"/>
  <c r="D26" i="13"/>
  <c r="D26" i="16"/>
  <c r="F26" i="16" s="1"/>
  <c r="H23" i="1" s="1"/>
  <c r="D26" i="22"/>
  <c r="D26" i="17"/>
  <c r="F26" i="17" s="1"/>
  <c r="I23" i="1" s="1"/>
  <c r="D26" i="4"/>
  <c r="F26" i="4" l="1"/>
  <c r="F23" i="1" s="1"/>
  <c r="I26" i="4"/>
  <c r="F26" i="22"/>
  <c r="J23" i="1" s="1"/>
  <c r="I26" i="22"/>
  <c r="F26" i="13"/>
  <c r="G23" i="1" s="1"/>
  <c r="I26" i="13"/>
  <c r="S23" i="1"/>
  <c r="J25" i="2"/>
  <c r="J44" i="2" s="1"/>
  <c r="J48" i="2" s="1"/>
  <c r="J51" i="2" s="1"/>
  <c r="C12" i="1"/>
  <c r="I26" i="24"/>
  <c r="S26" i="24" s="1"/>
  <c r="K23" i="45" s="1"/>
  <c r="J26" i="24"/>
  <c r="K26" i="22" l="1"/>
  <c r="J23" i="45" s="1"/>
  <c r="K26" i="13"/>
  <c r="I23" i="45" s="1"/>
  <c r="K26" i="4"/>
  <c r="H23" i="45" s="1"/>
  <c r="L25" i="2"/>
  <c r="L44" i="2" s="1"/>
  <c r="L48" i="2" s="1"/>
  <c r="L51" i="2" s="1"/>
  <c r="D12" i="1"/>
  <c r="D16" i="1" s="1"/>
  <c r="D33" i="1" s="1"/>
  <c r="D37" i="1" s="1"/>
  <c r="C16" i="1"/>
  <c r="C33" i="1" s="1"/>
  <c r="C37" i="1" s="1"/>
  <c r="D12" i="17"/>
  <c r="D12" i="22"/>
  <c r="I12" i="22" s="1"/>
  <c r="D12" i="13"/>
  <c r="I12" i="13" s="1"/>
  <c r="D12" i="4"/>
  <c r="I12" i="4" s="1"/>
  <c r="D12" i="19"/>
  <c r="D12" i="24"/>
  <c r="Q12" i="24" s="1"/>
  <c r="D12" i="16"/>
  <c r="D12" i="3"/>
  <c r="L23" i="45" l="1"/>
  <c r="I18" i="4"/>
  <c r="I36" i="4" s="1"/>
  <c r="I40" i="4" s="1"/>
  <c r="Q18" i="24"/>
  <c r="I18" i="22"/>
  <c r="I36" i="22" s="1"/>
  <c r="I40" i="22" s="1"/>
  <c r="I18" i="13"/>
  <c r="I36" i="13" s="1"/>
  <c r="I40" i="13" s="1"/>
  <c r="F12" i="3"/>
  <c r="D18" i="3"/>
  <c r="D36" i="3" s="1"/>
  <c r="D40" i="3" s="1"/>
  <c r="D18" i="4"/>
  <c r="D36" i="4" s="1"/>
  <c r="D40" i="4" s="1"/>
  <c r="F12" i="4"/>
  <c r="K12" i="4" s="1"/>
  <c r="D18" i="16"/>
  <c r="D36" i="16" s="1"/>
  <c r="D40" i="16" s="1"/>
  <c r="F12" i="16"/>
  <c r="F12" i="13"/>
  <c r="K12" i="13" s="1"/>
  <c r="D18" i="13"/>
  <c r="D36" i="13" s="1"/>
  <c r="D40" i="13" s="1"/>
  <c r="I12" i="24"/>
  <c r="S12" i="24" s="1"/>
  <c r="K12" i="45" s="1"/>
  <c r="K16" i="45" s="1"/>
  <c r="K33" i="45" s="1"/>
  <c r="K37" i="45" s="1"/>
  <c r="J12" i="24"/>
  <c r="J18" i="24" s="1"/>
  <c r="J36" i="24" s="1"/>
  <c r="J40" i="24" s="1"/>
  <c r="J43" i="24" s="1"/>
  <c r="D18" i="24"/>
  <c r="D36" i="24" s="1"/>
  <c r="D40" i="24" s="1"/>
  <c r="F12" i="22"/>
  <c r="K12" i="22" s="1"/>
  <c r="D18" i="22"/>
  <c r="D36" i="22" s="1"/>
  <c r="D40" i="22" s="1"/>
  <c r="H40" i="22" s="1"/>
  <c r="F12" i="19"/>
  <c r="F18" i="19" s="1"/>
  <c r="F36" i="19" s="1"/>
  <c r="F40" i="19" s="1"/>
  <c r="D18" i="19"/>
  <c r="D36" i="19" s="1"/>
  <c r="D40" i="19" s="1"/>
  <c r="F12" i="17"/>
  <c r="D18" i="17"/>
  <c r="D36" i="17" s="1"/>
  <c r="D40" i="17" s="1"/>
  <c r="H12" i="45" l="1"/>
  <c r="K18" i="4"/>
  <c r="K36" i="4" s="1"/>
  <c r="K40" i="4" s="1"/>
  <c r="I12" i="45"/>
  <c r="K18" i="13"/>
  <c r="K36" i="13" s="1"/>
  <c r="K40" i="13" s="1"/>
  <c r="J12" i="45"/>
  <c r="J16" i="45" s="1"/>
  <c r="J33" i="45" s="1"/>
  <c r="J37" i="45" s="1"/>
  <c r="K18" i="22"/>
  <c r="K36" i="22" s="1"/>
  <c r="K40" i="22" s="1"/>
  <c r="H40" i="13"/>
  <c r="F18" i="17"/>
  <c r="F36" i="17" s="1"/>
  <c r="F40" i="17" s="1"/>
  <c r="I12" i="1"/>
  <c r="I16" i="1" s="1"/>
  <c r="I33" i="1" s="1"/>
  <c r="I37" i="1" s="1"/>
  <c r="F18" i="22"/>
  <c r="F36" i="22" s="1"/>
  <c r="F40" i="22" s="1"/>
  <c r="J12" i="1"/>
  <c r="J16" i="1" s="1"/>
  <c r="J33" i="1" s="1"/>
  <c r="J37" i="1" s="1"/>
  <c r="F12" i="1"/>
  <c r="F16" i="1" s="1"/>
  <c r="F33" i="1" s="1"/>
  <c r="F37" i="1" s="1"/>
  <c r="F18" i="4"/>
  <c r="F36" i="4" s="1"/>
  <c r="F40" i="4" s="1"/>
  <c r="G12" i="1"/>
  <c r="G16" i="1" s="1"/>
  <c r="G33" i="1" s="1"/>
  <c r="G37" i="1" s="1"/>
  <c r="F18" i="13"/>
  <c r="F36" i="13" s="1"/>
  <c r="F40" i="13" s="1"/>
  <c r="E40" i="13" s="1"/>
  <c r="H12" i="1"/>
  <c r="H16" i="1" s="1"/>
  <c r="H33" i="1" s="1"/>
  <c r="H37" i="1" s="1"/>
  <c r="F18" i="16"/>
  <c r="F36" i="16" s="1"/>
  <c r="F40" i="16" s="1"/>
  <c r="I18" i="24"/>
  <c r="I36" i="24" s="1"/>
  <c r="I40" i="24" s="1"/>
  <c r="I43" i="24" s="1"/>
  <c r="M12" i="24"/>
  <c r="S18" i="24" s="1"/>
  <c r="V12" i="1"/>
  <c r="V16" i="1" s="1"/>
  <c r="F18" i="3"/>
  <c r="F36" i="3" s="1"/>
  <c r="F40" i="3" s="1"/>
  <c r="F43" i="3" s="1"/>
  <c r="E12" i="1"/>
  <c r="L12" i="45" l="1"/>
  <c r="L16" i="45" s="1"/>
  <c r="L33" i="45" s="1"/>
  <c r="L37" i="45" s="1"/>
  <c r="H16" i="45"/>
  <c r="H33" i="45" s="1"/>
  <c r="H37" i="45" s="1"/>
  <c r="I16" i="45"/>
  <c r="I33" i="45" s="1"/>
  <c r="I37" i="45" s="1"/>
  <c r="M18" i="24"/>
  <c r="L12" i="1"/>
  <c r="E16" i="1"/>
  <c r="E33" i="1" s="1"/>
  <c r="E37" i="1" s="1"/>
  <c r="S12" i="1"/>
  <c r="K26" i="24"/>
  <c r="V23" i="1"/>
  <c r="V33" i="1" s="1"/>
  <c r="V37" i="1" s="1"/>
  <c r="Q36" i="24" l="1"/>
  <c r="Q40" i="24" s="1"/>
  <c r="K36" i="24"/>
  <c r="K40" i="24" s="1"/>
  <c r="M26" i="24"/>
  <c r="L23" i="1" s="1"/>
  <c r="S16" i="1"/>
  <c r="S33" i="1" s="1"/>
  <c r="S37" i="1" s="1"/>
  <c r="N12" i="1"/>
  <c r="U12" i="1"/>
  <c r="U16" i="1" s="1"/>
  <c r="L16" i="1"/>
  <c r="L33" i="1" l="1"/>
  <c r="L37" i="1" s="1"/>
  <c r="S36" i="24"/>
  <c r="S40" i="24" s="1"/>
  <c r="W12" i="1"/>
  <c r="W16" i="1" s="1"/>
  <c r="M36" i="24"/>
  <c r="M40" i="24" s="1"/>
  <c r="M43" i="24" s="1"/>
  <c r="N16" i="1"/>
  <c r="R12" i="1"/>
  <c r="R16" i="1" s="1"/>
  <c r="O12" i="1"/>
  <c r="O16" i="1" s="1"/>
  <c r="U23" i="1"/>
  <c r="W23" i="1" s="1"/>
  <c r="N23" i="1"/>
  <c r="W33" i="1" l="1"/>
  <c r="W37" i="1" s="1"/>
  <c r="U33" i="1"/>
  <c r="U37" i="1" s="1"/>
  <c r="N33" i="1"/>
  <c r="N37" i="1" s="1"/>
  <c r="R23" i="1"/>
  <c r="R33" i="1" s="1"/>
  <c r="R37" i="1" s="1"/>
  <c r="O23" i="1"/>
  <c r="O33" i="1" s="1"/>
  <c r="O37" i="1" s="1"/>
  <c r="P40" i="2" l="1"/>
  <c r="Q40" i="2" s="1"/>
  <c r="Q31" i="1"/>
  <c r="S40" i="2"/>
  <c r="V40" i="2" l="1"/>
  <c r="X31" i="1"/>
  <c r="Y31" i="1"/>
  <c r="AA31" i="1" s="1"/>
  <c r="D31" i="44" l="1"/>
  <c r="E31" i="44" s="1"/>
  <c r="F31" i="44" s="1"/>
  <c r="D31" i="45"/>
  <c r="E31" i="45" s="1"/>
  <c r="Z31" i="1"/>
  <c r="AB31" i="1" s="1"/>
  <c r="F31" i="45" l="1"/>
  <c r="M31" i="45"/>
  <c r="N31" i="45" s="1"/>
  <c r="U44" i="2"/>
  <c r="U48" i="2" l="1"/>
  <c r="Q9" i="1" l="1"/>
  <c r="P17" i="2"/>
  <c r="S17" i="2"/>
  <c r="N18" i="2"/>
  <c r="S18" i="2" s="1"/>
  <c r="X10" i="37"/>
  <c r="Y10" i="37"/>
  <c r="X12" i="37" l="1"/>
  <c r="Y18" i="37"/>
  <c r="AA10" i="37"/>
  <c r="X9" i="1"/>
  <c r="Y9" i="1"/>
  <c r="Q10" i="1"/>
  <c r="Y19" i="37"/>
  <c r="X13" i="37"/>
  <c r="AB10" i="37"/>
  <c r="P18" i="2"/>
  <c r="Q17" i="2"/>
  <c r="P14" i="43"/>
  <c r="S14" i="41"/>
  <c r="Q10" i="41"/>
  <c r="Q10" i="39"/>
  <c r="S12" i="41"/>
  <c r="S15" i="41"/>
  <c r="Q10" i="38"/>
  <c r="Q18" i="41"/>
  <c r="S18" i="41" s="1"/>
  <c r="D9" i="44" l="1"/>
  <c r="D10" i="44" s="1"/>
  <c r="D9" i="45"/>
  <c r="R14" i="43"/>
  <c r="I25" i="43"/>
  <c r="K25" i="43" s="1"/>
  <c r="I30" i="43"/>
  <c r="K30" i="43" s="1"/>
  <c r="I17" i="43"/>
  <c r="K17" i="43" s="1"/>
  <c r="I21" i="43"/>
  <c r="K21" i="43" s="1"/>
  <c r="I18" i="43"/>
  <c r="K18" i="43" s="1"/>
  <c r="I23" i="43"/>
  <c r="K23" i="43" s="1"/>
  <c r="I15" i="43"/>
  <c r="K15" i="43" s="1"/>
  <c r="I19" i="43"/>
  <c r="K19" i="43" s="1"/>
  <c r="I26" i="43"/>
  <c r="K26" i="43" s="1"/>
  <c r="I29" i="43"/>
  <c r="K29" i="43" s="1"/>
  <c r="I35" i="43"/>
  <c r="K35" i="43" s="1"/>
  <c r="I33" i="43"/>
  <c r="K33" i="43" s="1"/>
  <c r="I13" i="43"/>
  <c r="K13" i="43" s="1"/>
  <c r="I22" i="43"/>
  <c r="K22" i="43" s="1"/>
  <c r="I31" i="43"/>
  <c r="K31" i="43" s="1"/>
  <c r="I34" i="43"/>
  <c r="K34" i="43" s="1"/>
  <c r="I14" i="43"/>
  <c r="K14" i="43" s="1"/>
  <c r="I27" i="43"/>
  <c r="K27" i="43" s="1"/>
  <c r="Z9" i="1"/>
  <c r="X10" i="1"/>
  <c r="S10" i="39"/>
  <c r="S10" i="41"/>
  <c r="Q18" i="2"/>
  <c r="V18" i="2"/>
  <c r="AA13" i="37"/>
  <c r="Y13" i="37"/>
  <c r="AB13" i="37" s="1"/>
  <c r="Y12" i="37"/>
  <c r="AB12" i="37" s="1"/>
  <c r="AA12" i="37"/>
  <c r="P37" i="2"/>
  <c r="Q37" i="2" s="1"/>
  <c r="Q26" i="1"/>
  <c r="S37" i="2"/>
  <c r="S10" i="38"/>
  <c r="Q18" i="39"/>
  <c r="S18" i="39" s="1"/>
  <c r="AA9" i="1"/>
  <c r="Y10" i="1"/>
  <c r="Q27" i="40"/>
  <c r="S27" i="40" s="1"/>
  <c r="Q23" i="40"/>
  <c r="S23" i="40" s="1"/>
  <c r="Q14" i="40"/>
  <c r="S14" i="40" s="1"/>
  <c r="Q17" i="40"/>
  <c r="S17" i="40" s="1"/>
  <c r="Q18" i="40"/>
  <c r="S18" i="40" s="1"/>
  <c r="Q13" i="40"/>
  <c r="S13" i="40" s="1"/>
  <c r="S16" i="41"/>
  <c r="P14" i="42"/>
  <c r="Q24" i="40"/>
  <c r="S24" i="40" s="1"/>
  <c r="Q11" i="40"/>
  <c r="Q10" i="40"/>
  <c r="S15" i="39"/>
  <c r="S14" i="39"/>
  <c r="E9" i="44" l="1"/>
  <c r="E10" i="44" s="1"/>
  <c r="D10" i="45"/>
  <c r="E9" i="45"/>
  <c r="F9" i="44"/>
  <c r="O37" i="36" s="1"/>
  <c r="F10" i="44"/>
  <c r="I31" i="41"/>
  <c r="K31" i="41" s="1"/>
  <c r="I27" i="41"/>
  <c r="K27" i="41" s="1"/>
  <c r="I10" i="41"/>
  <c r="K10" i="41" s="1"/>
  <c r="I15" i="41"/>
  <c r="K15" i="41" s="1"/>
  <c r="I19" i="41"/>
  <c r="K19" i="41" s="1"/>
  <c r="I20" i="41"/>
  <c r="K20" i="41" s="1"/>
  <c r="I16" i="41"/>
  <c r="K16" i="41" s="1"/>
  <c r="I18" i="41"/>
  <c r="K18" i="41" s="1"/>
  <c r="I28" i="41"/>
  <c r="K28" i="41" s="1"/>
  <c r="I11" i="41"/>
  <c r="K11" i="41" s="1"/>
  <c r="AA10" i="1"/>
  <c r="S10" i="40"/>
  <c r="S11" i="40"/>
  <c r="I12" i="41"/>
  <c r="K12" i="41" s="1"/>
  <c r="I24" i="41"/>
  <c r="K24" i="41" s="1"/>
  <c r="I26" i="41"/>
  <c r="K26" i="41" s="1"/>
  <c r="I30" i="41"/>
  <c r="K30" i="41" s="1"/>
  <c r="I23" i="41"/>
  <c r="K23" i="41" s="1"/>
  <c r="I35" i="41"/>
  <c r="K35" i="41" s="1"/>
  <c r="I15" i="42"/>
  <c r="K15" i="42" s="1"/>
  <c r="I31" i="42"/>
  <c r="K31" i="42" s="1"/>
  <c r="I35" i="42"/>
  <c r="K35" i="42" s="1"/>
  <c r="I21" i="42"/>
  <c r="K21" i="42" s="1"/>
  <c r="I23" i="42"/>
  <c r="K23" i="42" s="1"/>
  <c r="I17" i="42"/>
  <c r="K17" i="42" s="1"/>
  <c r="I34" i="42"/>
  <c r="K34" i="42" s="1"/>
  <c r="I29" i="42"/>
  <c r="K29" i="42" s="1"/>
  <c r="I33" i="42"/>
  <c r="K33" i="42" s="1"/>
  <c r="I25" i="42"/>
  <c r="K25" i="42" s="1"/>
  <c r="I30" i="42"/>
  <c r="K30" i="42" s="1"/>
  <c r="I14" i="42"/>
  <c r="K14" i="42" s="1"/>
  <c r="I18" i="42"/>
  <c r="K18" i="42" s="1"/>
  <c r="I22" i="42"/>
  <c r="K22" i="42" s="1"/>
  <c r="R14" i="42"/>
  <c r="I13" i="42"/>
  <c r="K13" i="42" s="1"/>
  <c r="I27" i="42"/>
  <c r="K27" i="42" s="1"/>
  <c r="I19" i="42"/>
  <c r="K19" i="42" s="1"/>
  <c r="I26" i="42"/>
  <c r="K26" i="42" s="1"/>
  <c r="Z10" i="1"/>
  <c r="AB9" i="1"/>
  <c r="S12" i="39"/>
  <c r="X26" i="1"/>
  <c r="Y26" i="1"/>
  <c r="AA26" i="1" s="1"/>
  <c r="I22" i="41"/>
  <c r="K22" i="41" s="1"/>
  <c r="I32" i="41"/>
  <c r="K32" i="41" s="1"/>
  <c r="I34" i="41"/>
  <c r="K34" i="41" s="1"/>
  <c r="I14" i="41"/>
  <c r="K14" i="41" s="1"/>
  <c r="I36" i="41"/>
  <c r="K36" i="41" s="1"/>
  <c r="Q25" i="40"/>
  <c r="S25" i="40" s="1"/>
  <c r="Q15" i="40"/>
  <c r="S15" i="40" s="1"/>
  <c r="Q19" i="40"/>
  <c r="S19" i="40" s="1"/>
  <c r="M9" i="45" l="1"/>
  <c r="E10" i="45"/>
  <c r="F9" i="45"/>
  <c r="D26" i="44"/>
  <c r="E26" i="44" s="1"/>
  <c r="F26" i="44" s="1"/>
  <c r="N31" i="43" s="1"/>
  <c r="D26" i="45"/>
  <c r="E26" i="45" s="1"/>
  <c r="P21" i="2"/>
  <c r="S21" i="2"/>
  <c r="Q12" i="1"/>
  <c r="I25" i="40"/>
  <c r="K25" i="40" s="1"/>
  <c r="I24" i="40"/>
  <c r="K24" i="40" s="1"/>
  <c r="I26" i="40"/>
  <c r="K26" i="40" s="1"/>
  <c r="I11" i="40"/>
  <c r="K11" i="40" s="1"/>
  <c r="I15" i="40"/>
  <c r="K15" i="40" s="1"/>
  <c r="I21" i="40"/>
  <c r="K21" i="40" s="1"/>
  <c r="I32" i="40"/>
  <c r="K32" i="40" s="1"/>
  <c r="I33" i="40"/>
  <c r="K33" i="40" s="1"/>
  <c r="I34" i="40"/>
  <c r="K34" i="40" s="1"/>
  <c r="I19" i="40"/>
  <c r="K19" i="40" s="1"/>
  <c r="I12" i="40"/>
  <c r="K12" i="40" s="1"/>
  <c r="S36" i="2"/>
  <c r="P36" i="2"/>
  <c r="N38" i="2"/>
  <c r="S38" i="2" s="1"/>
  <c r="Q25" i="1"/>
  <c r="Z26" i="1"/>
  <c r="AB26" i="1" s="1"/>
  <c r="I29" i="40"/>
  <c r="K29" i="40" s="1"/>
  <c r="I38" i="40"/>
  <c r="K38" i="40" s="1"/>
  <c r="I37" i="40"/>
  <c r="K37" i="40" s="1"/>
  <c r="I16" i="40"/>
  <c r="K16" i="40" s="1"/>
  <c r="I20" i="40"/>
  <c r="K20" i="40" s="1"/>
  <c r="X14" i="37"/>
  <c r="Y20" i="37"/>
  <c r="Q18" i="1"/>
  <c r="P28" i="2"/>
  <c r="S28" i="2"/>
  <c r="AB10" i="1"/>
  <c r="I28" i="40"/>
  <c r="K28" i="40" s="1"/>
  <c r="I36" i="40"/>
  <c r="K36" i="40" s="1"/>
  <c r="I30" i="40"/>
  <c r="K30" i="40" s="1"/>
  <c r="I17" i="40"/>
  <c r="K17" i="40" s="1"/>
  <c r="I13" i="40"/>
  <c r="K13" i="40" s="1"/>
  <c r="F10" i="45" l="1"/>
  <c r="F26" i="45"/>
  <c r="M26" i="45"/>
  <c r="N26" i="45" s="1"/>
  <c r="N9" i="45"/>
  <c r="M10" i="45"/>
  <c r="Q28" i="2"/>
  <c r="X18" i="1"/>
  <c r="Y18" i="1"/>
  <c r="X25" i="1"/>
  <c r="Y25" i="1"/>
  <c r="Q27" i="1"/>
  <c r="Y12" i="1"/>
  <c r="X12" i="1"/>
  <c r="S16" i="39"/>
  <c r="I18" i="39"/>
  <c r="K18" i="39" s="1"/>
  <c r="I27" i="39"/>
  <c r="K27" i="39" s="1"/>
  <c r="I26" i="39"/>
  <c r="K26" i="39" s="1"/>
  <c r="I15" i="39"/>
  <c r="K15" i="39" s="1"/>
  <c r="I30" i="39"/>
  <c r="K30" i="39" s="1"/>
  <c r="I16" i="39"/>
  <c r="K16" i="39" s="1"/>
  <c r="I20" i="39"/>
  <c r="K20" i="39" s="1"/>
  <c r="I10" i="39"/>
  <c r="K10" i="39" s="1"/>
  <c r="I19" i="39"/>
  <c r="K19" i="39" s="1"/>
  <c r="I22" i="39"/>
  <c r="K22" i="39" s="1"/>
  <c r="I31" i="39"/>
  <c r="K31" i="39" s="1"/>
  <c r="I14" i="39"/>
  <c r="K14" i="39" s="1"/>
  <c r="I11" i="39"/>
  <c r="K11" i="39" s="1"/>
  <c r="I28" i="39"/>
  <c r="K28" i="39" s="1"/>
  <c r="I23" i="39"/>
  <c r="K23" i="39" s="1"/>
  <c r="I34" i="39"/>
  <c r="K34" i="39" s="1"/>
  <c r="I35" i="39"/>
  <c r="K35" i="39" s="1"/>
  <c r="I36" i="39"/>
  <c r="K36" i="39" s="1"/>
  <c r="I32" i="39"/>
  <c r="K32" i="39" s="1"/>
  <c r="I12" i="39"/>
  <c r="K12" i="39" s="1"/>
  <c r="I24" i="39"/>
  <c r="K24" i="39" s="1"/>
  <c r="AA14" i="37"/>
  <c r="Y14" i="37"/>
  <c r="H19" i="37"/>
  <c r="H18" i="37"/>
  <c r="H15" i="37"/>
  <c r="H40" i="37"/>
  <c r="H28" i="37"/>
  <c r="H12" i="37"/>
  <c r="H32" i="37"/>
  <c r="H11" i="37"/>
  <c r="H39" i="37"/>
  <c r="H38" i="37"/>
  <c r="H31" i="37"/>
  <c r="H27" i="37"/>
  <c r="H26" i="37"/>
  <c r="H23" i="37"/>
  <c r="H10" i="37"/>
  <c r="H36" i="37"/>
  <c r="H30" i="37"/>
  <c r="H22" i="37"/>
  <c r="H34" i="37"/>
  <c r="H35" i="37"/>
  <c r="H20" i="37"/>
  <c r="H16" i="37"/>
  <c r="H14" i="37"/>
  <c r="H24" i="37"/>
  <c r="P38" i="2"/>
  <c r="Q36" i="2"/>
  <c r="Q21" i="2"/>
  <c r="D25" i="44" l="1"/>
  <c r="D27" i="44" s="1"/>
  <c r="D25" i="45"/>
  <c r="D18" i="44"/>
  <c r="E18" i="44" s="1"/>
  <c r="F18" i="44" s="1"/>
  <c r="O42" i="41" s="1"/>
  <c r="D18" i="45"/>
  <c r="E18" i="45" s="1"/>
  <c r="D12" i="44"/>
  <c r="E12" i="44" s="1"/>
  <c r="F12" i="44" s="1"/>
  <c r="U36" i="37" s="1"/>
  <c r="D12" i="45"/>
  <c r="N10" i="45"/>
  <c r="E25" i="44"/>
  <c r="F25" i="44" s="1"/>
  <c r="N36" i="42" s="1"/>
  <c r="L16" i="37"/>
  <c r="P16" i="37"/>
  <c r="L22" i="37"/>
  <c r="P22" i="37"/>
  <c r="L23" i="37"/>
  <c r="P23" i="37"/>
  <c r="L38" i="37"/>
  <c r="P38" i="37"/>
  <c r="L12" i="37"/>
  <c r="P12" i="37"/>
  <c r="P18" i="37"/>
  <c r="L18" i="37"/>
  <c r="AA12" i="1"/>
  <c r="Z25" i="1"/>
  <c r="X27" i="1"/>
  <c r="Z18" i="1"/>
  <c r="Q38" i="2"/>
  <c r="V38" i="2"/>
  <c r="L20" i="37"/>
  <c r="P20" i="37"/>
  <c r="L30" i="37"/>
  <c r="P30" i="37"/>
  <c r="L26" i="37"/>
  <c r="P26" i="37"/>
  <c r="P39" i="37"/>
  <c r="L39" i="37"/>
  <c r="L28" i="37"/>
  <c r="P28" i="37"/>
  <c r="P19" i="37"/>
  <c r="L19" i="37"/>
  <c r="L24" i="37"/>
  <c r="P24" i="37"/>
  <c r="L35" i="37"/>
  <c r="P35" i="37"/>
  <c r="L36" i="37"/>
  <c r="P36" i="37"/>
  <c r="P27" i="37"/>
  <c r="L27" i="37"/>
  <c r="P11" i="37"/>
  <c r="L11" i="37"/>
  <c r="P40" i="37"/>
  <c r="L40" i="37"/>
  <c r="AB14" i="37"/>
  <c r="J16" i="37"/>
  <c r="J10" i="37"/>
  <c r="J27" i="37"/>
  <c r="J35" i="37"/>
  <c r="J24" i="37"/>
  <c r="J20" i="37"/>
  <c r="J30" i="37"/>
  <c r="J32" i="37"/>
  <c r="J12" i="37"/>
  <c r="J11" i="37"/>
  <c r="J19" i="37"/>
  <c r="J36" i="37"/>
  <c r="J34" i="37"/>
  <c r="J15" i="37"/>
  <c r="J28" i="37"/>
  <c r="J39" i="37"/>
  <c r="J26" i="37"/>
  <c r="J31" i="37"/>
  <c r="J23" i="37"/>
  <c r="J18" i="37"/>
  <c r="J22" i="37"/>
  <c r="J40" i="37"/>
  <c r="J14" i="37"/>
  <c r="J38" i="37"/>
  <c r="Q20" i="1"/>
  <c r="S30" i="2"/>
  <c r="P30" i="2"/>
  <c r="Q30" i="2" s="1"/>
  <c r="L14" i="37"/>
  <c r="P14" i="37"/>
  <c r="P34" i="37"/>
  <c r="L34" i="37"/>
  <c r="P10" i="37"/>
  <c r="L10" i="37"/>
  <c r="L31" i="37"/>
  <c r="P31" i="37"/>
  <c r="P32" i="37"/>
  <c r="L32" i="37"/>
  <c r="P15" i="37"/>
  <c r="L15" i="37"/>
  <c r="Z12" i="1"/>
  <c r="AA25" i="1"/>
  <c r="Y27" i="1"/>
  <c r="AA27" i="1" s="1"/>
  <c r="AA18" i="1"/>
  <c r="Q13" i="38"/>
  <c r="S13" i="38" s="1"/>
  <c r="Q21" i="38"/>
  <c r="S21" i="38" s="1"/>
  <c r="Q24" i="38"/>
  <c r="S24" i="38" s="1"/>
  <c r="Q12" i="38"/>
  <c r="S12" i="38" s="1"/>
  <c r="Q20" i="38"/>
  <c r="S20" i="38" s="1"/>
  <c r="E12" i="45" l="1"/>
  <c r="E25" i="45"/>
  <c r="D27" i="45"/>
  <c r="M18" i="45"/>
  <c r="F18" i="45"/>
  <c r="E27" i="44"/>
  <c r="F27" i="44" s="1"/>
  <c r="P23" i="2"/>
  <c r="Q23" i="2" s="1"/>
  <c r="S23" i="2"/>
  <c r="Q14" i="1"/>
  <c r="AB12" i="1"/>
  <c r="X20" i="1"/>
  <c r="Y20" i="1"/>
  <c r="AA20" i="1" s="1"/>
  <c r="R22" i="37"/>
  <c r="N22" i="37"/>
  <c r="R26" i="37"/>
  <c r="N26" i="37"/>
  <c r="N34" i="37"/>
  <c r="R34" i="37"/>
  <c r="N12" i="37"/>
  <c r="R12" i="37"/>
  <c r="N24" i="37"/>
  <c r="R24" i="37"/>
  <c r="R16" i="37"/>
  <c r="N16" i="37"/>
  <c r="AB25" i="1"/>
  <c r="Z27" i="1"/>
  <c r="AB27" i="1" s="1"/>
  <c r="R38" i="37"/>
  <c r="N38" i="37"/>
  <c r="N18" i="37"/>
  <c r="R18" i="37"/>
  <c r="N39" i="37"/>
  <c r="R39" i="37"/>
  <c r="N36" i="37"/>
  <c r="R36" i="37"/>
  <c r="R32" i="37"/>
  <c r="N32" i="37"/>
  <c r="N35" i="37"/>
  <c r="R35" i="37"/>
  <c r="AB18" i="1"/>
  <c r="N14" i="37"/>
  <c r="R14" i="37"/>
  <c r="R23" i="37"/>
  <c r="N23" i="37"/>
  <c r="R28" i="37"/>
  <c r="N28" i="37"/>
  <c r="N19" i="37"/>
  <c r="R19" i="37"/>
  <c r="N30" i="37"/>
  <c r="R30" i="37"/>
  <c r="N27" i="37"/>
  <c r="R27" i="37"/>
  <c r="Q15" i="1"/>
  <c r="P24" i="2"/>
  <c r="Q24" i="2" s="1"/>
  <c r="S24" i="2"/>
  <c r="N40" i="37"/>
  <c r="R40" i="37"/>
  <c r="R31" i="37"/>
  <c r="N31" i="37"/>
  <c r="N15" i="37"/>
  <c r="R15" i="37"/>
  <c r="N11" i="37"/>
  <c r="R11" i="37"/>
  <c r="N20" i="37"/>
  <c r="R20" i="37"/>
  <c r="R10" i="37"/>
  <c r="N10" i="37"/>
  <c r="Q22" i="38"/>
  <c r="S22" i="38" s="1"/>
  <c r="Q14" i="38"/>
  <c r="M25" i="45" l="1"/>
  <c r="E27" i="45"/>
  <c r="F27" i="45" s="1"/>
  <c r="F25" i="45"/>
  <c r="D20" i="44"/>
  <c r="E20" i="44" s="1"/>
  <c r="F20" i="44" s="1"/>
  <c r="D20" i="45"/>
  <c r="E20" i="45" s="1"/>
  <c r="N18" i="45"/>
  <c r="M12" i="45"/>
  <c r="F12" i="45"/>
  <c r="Z20" i="1"/>
  <c r="AB20" i="1" s="1"/>
  <c r="Y14" i="1"/>
  <c r="AA14" i="1" s="1"/>
  <c r="X14" i="1"/>
  <c r="S14" i="38"/>
  <c r="I10" i="38"/>
  <c r="K10" i="38" s="1"/>
  <c r="I20" i="38"/>
  <c r="K20" i="38" s="1"/>
  <c r="I23" i="38"/>
  <c r="K23" i="38" s="1"/>
  <c r="I30" i="38"/>
  <c r="K30" i="38" s="1"/>
  <c r="I15" i="38"/>
  <c r="K15" i="38" s="1"/>
  <c r="I16" i="38"/>
  <c r="K16" i="38" s="1"/>
  <c r="I26" i="38"/>
  <c r="K26" i="38" s="1"/>
  <c r="I11" i="38"/>
  <c r="K11" i="38" s="1"/>
  <c r="I27" i="38"/>
  <c r="K27" i="38" s="1"/>
  <c r="I19" i="38"/>
  <c r="K19" i="38" s="1"/>
  <c r="I12" i="38"/>
  <c r="K12" i="38" s="1"/>
  <c r="I34" i="38"/>
  <c r="K34" i="38" s="1"/>
  <c r="I32" i="38"/>
  <c r="K32" i="38" s="1"/>
  <c r="I14" i="38"/>
  <c r="K14" i="38" s="1"/>
  <c r="I18" i="38"/>
  <c r="K18" i="38" s="1"/>
  <c r="I28" i="38"/>
  <c r="K28" i="38" s="1"/>
  <c r="I35" i="38"/>
  <c r="K35" i="38" s="1"/>
  <c r="I22" i="38"/>
  <c r="K22" i="38" s="1"/>
  <c r="I36" i="38"/>
  <c r="K36" i="38" s="1"/>
  <c r="I31" i="38"/>
  <c r="K31" i="38" s="1"/>
  <c r="I24" i="38"/>
  <c r="K24" i="38" s="1"/>
  <c r="S29" i="2"/>
  <c r="P29" i="2"/>
  <c r="Q19" i="1"/>
  <c r="N31" i="2"/>
  <c r="S31" i="2" s="1"/>
  <c r="X15" i="1"/>
  <c r="Y15" i="1"/>
  <c r="AA15" i="1" s="1"/>
  <c r="D15" i="44" l="1"/>
  <c r="E15" i="44" s="1"/>
  <c r="F15" i="44" s="1"/>
  <c r="O61" i="40" s="1"/>
  <c r="D15" i="45"/>
  <c r="E15" i="45" s="1"/>
  <c r="N12" i="45"/>
  <c r="D14" i="44"/>
  <c r="E14" i="44" s="1"/>
  <c r="F14" i="44" s="1"/>
  <c r="O42" i="39" s="1"/>
  <c r="D14" i="45"/>
  <c r="E14" i="45" s="1"/>
  <c r="F20" i="45"/>
  <c r="M20" i="45"/>
  <c r="N20" i="45" s="1"/>
  <c r="N25" i="45"/>
  <c r="M27" i="45"/>
  <c r="N27" i="45" s="1"/>
  <c r="P22" i="2"/>
  <c r="S22" i="2"/>
  <c r="Q13" i="1"/>
  <c r="N25" i="2"/>
  <c r="S25" i="2" s="1"/>
  <c r="X19" i="1"/>
  <c r="Y19" i="1"/>
  <c r="Q21" i="1"/>
  <c r="Z15" i="1"/>
  <c r="AB15" i="1" s="1"/>
  <c r="Q29" i="2"/>
  <c r="P31" i="2"/>
  <c r="Z14" i="1"/>
  <c r="AB14" i="1" s="1"/>
  <c r="F15" i="45" l="1"/>
  <c r="M15" i="45"/>
  <c r="N15" i="45" s="1"/>
  <c r="D19" i="44"/>
  <c r="D21" i="44" s="1"/>
  <c r="D19" i="45"/>
  <c r="F14" i="45"/>
  <c r="M14" i="45"/>
  <c r="N14" i="45" s="1"/>
  <c r="E19" i="44"/>
  <c r="F19" i="44" s="1"/>
  <c r="AA19" i="1"/>
  <c r="Y21" i="1"/>
  <c r="AA21" i="1" s="1"/>
  <c r="Y13" i="1"/>
  <c r="X13" i="1"/>
  <c r="Q16" i="1"/>
  <c r="Z19" i="1"/>
  <c r="X21" i="1"/>
  <c r="Q31" i="2"/>
  <c r="V31" i="2"/>
  <c r="Q22" i="2"/>
  <c r="P25" i="2"/>
  <c r="D13" i="44" l="1"/>
  <c r="E13" i="44" s="1"/>
  <c r="F13" i="44" s="1"/>
  <c r="O54" i="38" s="1"/>
  <c r="D13" i="45"/>
  <c r="D21" i="45"/>
  <c r="E19" i="45"/>
  <c r="E21" i="44"/>
  <c r="F21" i="44" s="1"/>
  <c r="AB19" i="1"/>
  <c r="Z21" i="1"/>
  <c r="AB21" i="1" s="1"/>
  <c r="AA13" i="1"/>
  <c r="Y16" i="1"/>
  <c r="Q25" i="2"/>
  <c r="V25" i="2"/>
  <c r="Z13" i="1"/>
  <c r="X16" i="1"/>
  <c r="D16" i="44" l="1"/>
  <c r="F19" i="45"/>
  <c r="M19" i="45"/>
  <c r="E21" i="45"/>
  <c r="F21" i="45" s="1"/>
  <c r="E13" i="45"/>
  <c r="D16" i="45"/>
  <c r="E16" i="44"/>
  <c r="F16" i="44" s="1"/>
  <c r="AA16" i="1"/>
  <c r="AB13" i="1"/>
  <c r="Z16" i="1"/>
  <c r="N19" i="45" l="1"/>
  <c r="M21" i="45"/>
  <c r="N21" i="45" s="1"/>
  <c r="F13" i="45"/>
  <c r="M13" i="45"/>
  <c r="E16" i="45"/>
  <c r="AB16" i="1"/>
  <c r="N13" i="45" l="1"/>
  <c r="M16" i="45"/>
  <c r="F16" i="45"/>
  <c r="Q23" i="1"/>
  <c r="S33" i="2"/>
  <c r="P33" i="2"/>
  <c r="N16" i="45" l="1"/>
  <c r="Q33" i="2"/>
  <c r="V33" i="2"/>
  <c r="X23" i="1"/>
  <c r="Y23" i="1"/>
  <c r="D23" i="44" l="1"/>
  <c r="E23" i="44" s="1"/>
  <c r="F23" i="44" s="1"/>
  <c r="D23" i="45"/>
  <c r="Z23" i="1"/>
  <c r="AA23" i="1"/>
  <c r="E23" i="45" l="1"/>
  <c r="AB23" i="1"/>
  <c r="F23" i="45" l="1"/>
  <c r="M23" i="45"/>
  <c r="S42" i="2"/>
  <c r="P42" i="2"/>
  <c r="Q29" i="1"/>
  <c r="N44" i="2"/>
  <c r="N23" i="45" l="1"/>
  <c r="S44" i="2"/>
  <c r="N48" i="2"/>
  <c r="S48" i="2" s="1"/>
  <c r="X29" i="1"/>
  <c r="Y29" i="1"/>
  <c r="Q33" i="1"/>
  <c r="P44" i="2"/>
  <c r="Q42" i="2"/>
  <c r="V42" i="2"/>
  <c r="D29" i="44" l="1"/>
  <c r="D33" i="44" s="1"/>
  <c r="D37" i="44" s="1"/>
  <c r="D29" i="45"/>
  <c r="Z29" i="1"/>
  <c r="X33" i="1"/>
  <c r="Q44" i="2"/>
  <c r="P48" i="2"/>
  <c r="Q48" i="2" s="1"/>
  <c r="V44" i="2"/>
  <c r="V48" i="2" s="1"/>
  <c r="Q37" i="1"/>
  <c r="AA29" i="1"/>
  <c r="Y33" i="1"/>
  <c r="E29" i="44" l="1"/>
  <c r="F29" i="44" s="1"/>
  <c r="E29" i="45"/>
  <c r="D33" i="45"/>
  <c r="D37" i="45" s="1"/>
  <c r="X37" i="1"/>
  <c r="AB29" i="1"/>
  <c r="Z33" i="1"/>
  <c r="AA33" i="1"/>
  <c r="Y37" i="1"/>
  <c r="AA37" i="1" s="1"/>
  <c r="E33" i="44" l="1"/>
  <c r="F33" i="44" s="1"/>
  <c r="F29" i="45"/>
  <c r="M29" i="45"/>
  <c r="E33" i="45"/>
  <c r="AB33" i="1"/>
  <c r="Z37" i="1"/>
  <c r="AB37" i="1" s="1"/>
  <c r="E37" i="44" l="1"/>
  <c r="F37" i="44" s="1"/>
  <c r="F33" i="45"/>
  <c r="E37" i="45"/>
  <c r="F37" i="45" s="1"/>
  <c r="N29" i="45"/>
  <c r="M33" i="45"/>
  <c r="N33" i="45" l="1"/>
  <c r="M37" i="45"/>
  <c r="N37" i="45" s="1"/>
</calcChain>
</file>

<file path=xl/comments1.xml><?xml version="1.0" encoding="utf-8"?>
<comments xmlns="http://schemas.openxmlformats.org/spreadsheetml/2006/main">
  <authors>
    <author>prasan</author>
  </authors>
  <commentList>
    <comment ref="G12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No longer available
</t>
        </r>
      </text>
    </comment>
  </commentList>
</comments>
</file>

<file path=xl/sharedStrings.xml><?xml version="1.0" encoding="utf-8"?>
<sst xmlns="http://schemas.openxmlformats.org/spreadsheetml/2006/main" count="1553" uniqueCount="723">
  <si>
    <t>Puget Sound Energy</t>
  </si>
  <si>
    <t>Remove:</t>
  </si>
  <si>
    <t>Add:</t>
  </si>
  <si>
    <t>Line No.</t>
  </si>
  <si>
    <t>Tariff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</si>
  <si>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</si>
  <si>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</si>
  <si>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</si>
  <si>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</si>
  <si>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</si>
  <si>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</si>
  <si>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140
Property Tax</t>
  </si>
  <si>
    <t>Schedule 141
ERF</t>
  </si>
  <si>
    <t>Schedule 194
BPA Res &amp; Farm Credit</t>
  </si>
  <si>
    <t>Annual Estimated Revenue @ Rates Effective 12/31/2016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</si>
  <si>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</si>
  <si>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</si>
  <si>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</si>
  <si>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</si>
  <si>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</si>
  <si>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</si>
  <si>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</si>
  <si>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</si>
  <si>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</si>
  <si>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</si>
  <si>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</si>
  <si>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</si>
  <si>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</si>
  <si>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ESTIMATED EFFECT OF PROPOSED BASE RATE INCREASE</t>
  </si>
  <si>
    <t>ON REVENUES FROM ELECTRIC SALES</t>
  </si>
  <si>
    <t>12 MONTHS ENDED SEPTEMBER 2016</t>
  </si>
  <si>
    <t>Effective December 2017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</si>
  <si>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</si>
  <si>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</si>
  <si>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</si>
  <si>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</si>
  <si>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</si>
  <si>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</si>
  <si>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</si>
  <si>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</si>
  <si>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</si>
  <si>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</si>
  <si>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</si>
  <si>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</si>
  <si>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</si>
  <si>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</si>
  <si>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</si>
  <si>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</si>
  <si>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</si>
  <si>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</si>
  <si>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</si>
  <si>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</si>
  <si>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</si>
  <si>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</si>
  <si>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</si>
  <si>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</si>
  <si>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</si>
  <si>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</si>
  <si>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</si>
  <si>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</si>
  <si>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</si>
  <si>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</si>
  <si>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</si>
  <si>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</si>
  <si>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</si>
  <si>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</si>
  <si>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</si>
  <si>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</si>
  <si>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</si>
  <si>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</si>
  <si>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</si>
  <si>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</si>
  <si>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</si>
  <si>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</si>
  <si>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</si>
  <si>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</si>
  <si>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</si>
  <si>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</si>
  <si>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</si>
  <si>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</si>
  <si>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</si>
  <si>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</si>
  <si>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</si>
  <si>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</si>
  <si>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</si>
  <si>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</si>
  <si>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</si>
  <si>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</si>
  <si>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</si>
  <si>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</si>
  <si>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</si>
  <si>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Test Year ended September 2016</t>
  </si>
  <si>
    <t>GRC Rate Impacts</t>
  </si>
  <si>
    <t>24 (8)</t>
  </si>
  <si>
    <t>26 (12,26P)</t>
  </si>
  <si>
    <t>31 (10)</t>
  </si>
  <si>
    <t>Schedule 95 - PCORC Impacts</t>
  </si>
  <si>
    <t>Proposed Rates
Eff. 12-1-16</t>
  </si>
  <si>
    <t>Total Retail Sales</t>
  </si>
  <si>
    <t>Firm Resale</t>
  </si>
  <si>
    <t>Total Sales</t>
  </si>
  <si>
    <t>Schedule 95a - Federal Incentive Impacts</t>
  </si>
  <si>
    <t>Proposed Rates
Eff. 1-1-17</t>
  </si>
  <si>
    <t>Statement of Proforma and Proposed Revenues for Schedule 95</t>
  </si>
  <si>
    <t>CUSTOMER CLASS</t>
  </si>
  <si>
    <t>RATE SCHEDULE</t>
  </si>
  <si>
    <t>F2016
Forecast
Year Ending December 2017</t>
  </si>
  <si>
    <t>Estimated Revenue
Year Ending
December 2017
(Note 1)</t>
  </si>
  <si>
    <t>2014 PCORC $ per kWh Effective December 2014</t>
  </si>
  <si>
    <t>Proposed 2016 PCORC $ per kWh Effective December 2016</t>
  </si>
  <si>
    <t>REVENUE
(Including
Sch 95 Revenue Effective December 2014)</t>
  </si>
  <si>
    <t>REVENUE
(Including Proposed
Sch 95 Revenue Effective December 2016)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</si>
  <si>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</si>
  <si>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</si>
  <si>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</si>
  <si>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</si>
  <si>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</si>
  <si>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</si>
  <si>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</si>
  <si>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</si>
  <si>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</si>
  <si>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</si>
  <si>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</si>
  <si>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</si>
  <si>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</si>
  <si>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</si>
  <si>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</si>
  <si>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</si>
  <si>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</si>
  <si>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</si>
  <si>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</si>
  <si>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</si>
  <si>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</si>
  <si>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</si>
  <si>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</si>
  <si>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</si>
  <si>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</si>
  <si>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</si>
  <si>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</si>
  <si>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</si>
  <si>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</si>
  <si>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</si>
  <si>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</si>
  <si>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</si>
  <si>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</si>
  <si>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</si>
  <si>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REVENUE
(Including 5-1-16
Sch 120 revenue)</t>
  </si>
  <si>
    <t>Settlement Methodology</t>
  </si>
  <si>
    <t>Customer Rate Impacts</t>
  </si>
  <si>
    <t>Customer Class</t>
  </si>
  <si>
    <t>Schedule</t>
  </si>
  <si>
    <t>Change In Rates</t>
  </si>
  <si>
    <t>$ Increase (Decrease) Due To Rate Change</t>
  </si>
  <si>
    <t>% Increase (Decrease) Due To Rate Change</t>
  </si>
  <si>
    <t>A</t>
  </si>
  <si>
    <t>B</t>
  </si>
  <si>
    <t>C</t>
  </si>
  <si>
    <t>D</t>
  </si>
  <si>
    <t>E = D - C</t>
  </si>
  <si>
    <t>F=
B+(A*C)</t>
  </si>
  <si>
    <t>G=
B+(A*D)</t>
  </si>
  <si>
    <t>H=
G - F</t>
  </si>
  <si>
    <t>I=
H / F</t>
  </si>
  <si>
    <t>8 / 24</t>
  </si>
  <si>
    <t>11 / 25 / 7A</t>
  </si>
  <si>
    <t>12 / 26 / 26P</t>
  </si>
  <si>
    <t>10 / 31</t>
  </si>
  <si>
    <t>Campus Service</t>
  </si>
  <si>
    <t>3, 50 - 59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</si>
  <si>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</si>
  <si>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</si>
  <si>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</si>
  <si>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</si>
  <si>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</si>
  <si>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</si>
  <si>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</si>
  <si>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</si>
  <si>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</si>
  <si>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</si>
  <si>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</si>
  <si>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</si>
  <si>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</si>
  <si>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</si>
  <si>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</si>
  <si>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</si>
  <si>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</si>
  <si>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</si>
  <si>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</si>
  <si>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</si>
  <si>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</si>
  <si>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</si>
  <si>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</si>
  <si>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</si>
  <si>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</si>
  <si>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</si>
  <si>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</si>
  <si>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</si>
  <si>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12 &amp; 26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</si>
  <si>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</si>
  <si>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</si>
  <si>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</si>
  <si>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</si>
  <si>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</si>
  <si>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</si>
  <si>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</si>
  <si>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</si>
  <si>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</si>
  <si>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</si>
  <si>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</si>
  <si>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</si>
  <si>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</si>
  <si>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</si>
  <si>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</si>
  <si>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Energy Charge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</si>
  <si>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</si>
  <si>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</si>
  <si>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</si>
  <si>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</si>
  <si>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</si>
  <si>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</si>
  <si>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</si>
  <si>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</si>
  <si>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</si>
  <si>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</si>
  <si>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</si>
  <si>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</si>
  <si>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</si>
  <si>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</si>
  <si>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Schedule 132 - Merger Credit</t>
  </si>
  <si>
    <t>Merger Credit
Sch 132
Rider Revenue</t>
  </si>
  <si>
    <t>Electric Merger Credit Tariff Impacts</t>
  </si>
  <si>
    <t>Docket No. UE-072375</t>
  </si>
  <si>
    <t>Schedule 132</t>
  </si>
  <si>
    <t>Rate Schedule</t>
  </si>
  <si>
    <t>Revenue Including Current Sch 132 Credit</t>
  </si>
  <si>
    <t>Revenue Including Proposed Sch 132 Credit</t>
  </si>
  <si>
    <t>$ Change in Schedule 132</t>
  </si>
  <si>
    <t>% Revenue Change</t>
  </si>
  <si>
    <t>e</t>
  </si>
  <si>
    <t>f</t>
  </si>
  <si>
    <t>g</t>
  </si>
  <si>
    <t>h = d * f + e</t>
  </si>
  <si>
    <t>i = d * g + e</t>
  </si>
  <si>
    <t>j = i - h</t>
  </si>
  <si>
    <t>k = j / h</t>
  </si>
  <si>
    <t>Secondary Voltage General Service &lt; 50 kW</t>
  </si>
  <si>
    <t>Secondary Voltage General Service &gt; 50 kW and &lt; 350 kW &amp; Irrigation</t>
  </si>
  <si>
    <t>7A, 11, 25 &amp; 29</t>
  </si>
  <si>
    <t>Secondary Voltage General Service &gt; 350 kW</t>
  </si>
  <si>
    <t>10, 31, 35 &amp; 43</t>
  </si>
  <si>
    <t>Campus</t>
  </si>
  <si>
    <t>46 &amp; 49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</si>
  <si>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</si>
  <si>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</si>
  <si>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</si>
  <si>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</si>
  <si>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</si>
  <si>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</si>
  <si>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</si>
  <si>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</si>
  <si>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</si>
  <si>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Estimated Annual Proposed Base Revenue</t>
  </si>
  <si>
    <t>7A</t>
  </si>
  <si>
    <t>25 (11, 7A)</t>
  </si>
  <si>
    <t>Schedule 142
Decoupling (Deferral)</t>
  </si>
  <si>
    <t>PSE Rider Revenue Estimates</t>
  </si>
  <si>
    <t>2017 GRC</t>
  </si>
  <si>
    <t>TY ended September 2016</t>
  </si>
  <si>
    <t>Line No</t>
  </si>
  <si>
    <t>Schedule 141 ERF Rider</t>
  </si>
  <si>
    <t>11 / 25</t>
  </si>
  <si>
    <t>26P</t>
  </si>
  <si>
    <t>Total Retail Delivered Sales</t>
  </si>
  <si>
    <t>Total Delivered Sales</t>
  </si>
  <si>
    <t>Schedule 142 - Decoupling</t>
  </si>
  <si>
    <t>Annual kW Demand YE 9-2016</t>
  </si>
  <si>
    <t>Total Decoupling Revenue</t>
  </si>
  <si>
    <t>Summary of Proposed Rates</t>
  </si>
  <si>
    <t>Total Proposed</t>
  </si>
  <si>
    <t>Schedule 142 Rate</t>
  </si>
  <si>
    <t>Schedule 142</t>
  </si>
  <si>
    <t>Deferral</t>
  </si>
  <si>
    <t>Units</t>
  </si>
  <si>
    <t>Adjusting Rates</t>
  </si>
  <si>
    <t>Amortization</t>
  </si>
  <si>
    <t>K-Factor</t>
  </si>
  <si>
    <t>Residential:  Schedules 7 &amp; 7A</t>
  </si>
  <si>
    <t>$/kWh</t>
  </si>
  <si>
    <t>Other Non-Residential:  Schedules 8, 11, 24, 25, 29, 35, 40, 43, 46 &amp; 49</t>
  </si>
  <si>
    <t>Schedule 12 &amp; 26</t>
  </si>
  <si>
    <t>Demand Charge</t>
  </si>
  <si>
    <t xml:space="preserve">$/KW </t>
  </si>
  <si>
    <t>Schedule 10 &amp; 31</t>
  </si>
  <si>
    <t>$/KW</t>
  </si>
  <si>
    <t>Decoupling Sch 142 Rider K-Factor Revenue</t>
  </si>
  <si>
    <t>h</t>
  </si>
  <si>
    <t>i</t>
  </si>
  <si>
    <t>j</t>
  </si>
  <si>
    <t>k</t>
  </si>
  <si>
    <t>Total Secondary</t>
  </si>
  <si>
    <t>Total Primary</t>
  </si>
  <si>
    <t>Total 
Proposed
Rates</t>
  </si>
  <si>
    <t>Subtotal
Rider
Rates</t>
  </si>
  <si>
    <t>$ x 1000</t>
  </si>
  <si>
    <t>Annual mWh Delivered Sales YE 9-2016</t>
  </si>
  <si>
    <t>Base Revenue Change</t>
  </si>
  <si>
    <t>Net Revenue Change</t>
  </si>
  <si>
    <t>% Change (Net)</t>
  </si>
  <si>
    <t>% Change (Base)</t>
  </si>
  <si>
    <t>Schedule 194 - BPA Residential Credit</t>
  </si>
  <si>
    <t>Schedule 194
BPA
Residential &amp;
Farm Credit</t>
  </si>
  <si>
    <t>Schedule 142
 Rate Plan, Deferral &amp; 
K-Factor</t>
  </si>
  <si>
    <t>2016 PSE GRC</t>
  </si>
  <si>
    <t>Twelve Months Ended September 2016</t>
  </si>
  <si>
    <t>Proforma Transportation Service</t>
  </si>
  <si>
    <t>Price Amount</t>
  </si>
  <si>
    <t>Total
YE 9-2016</t>
  </si>
  <si>
    <t>Total Basic Charge</t>
  </si>
  <si>
    <t>kWh Usage</t>
  </si>
  <si>
    <t>All kWh</t>
  </si>
  <si>
    <t>Unbilled Revenue</t>
  </si>
  <si>
    <t>Weather Adjustment</t>
  </si>
  <si>
    <t>Total Delivered kWh</t>
  </si>
  <si>
    <t>kVa Usage</t>
  </si>
  <si>
    <t>Decoupling Estimate</t>
  </si>
  <si>
    <t>Total Decoupling Estimate</t>
  </si>
  <si>
    <t>Decoupling Sch 142 Rider Rate Plan Revenue</t>
  </si>
  <si>
    <t>PSE</t>
  </si>
  <si>
    <t>Inventory Summary</t>
  </si>
  <si>
    <t>Intolight Lamps and Poles</t>
  </si>
  <si>
    <t>GRC Test Year Ending September 2016</t>
  </si>
  <si>
    <t>Charge Type</t>
  </si>
  <si>
    <t>Size</t>
  </si>
  <si>
    <t>BW Average YE 9-2016</t>
  </si>
  <si>
    <t>Lamp</t>
  </si>
  <si>
    <t>55-56</t>
  </si>
  <si>
    <t>58-59</t>
  </si>
  <si>
    <t>Grand Total Lamps</t>
  </si>
  <si>
    <t>Pole</t>
  </si>
  <si>
    <t>Facilities Charge</t>
  </si>
  <si>
    <t>All Lighting</t>
  </si>
  <si>
    <t>Lamp Charges</t>
  </si>
  <si>
    <t>Facility Charges</t>
  </si>
  <si>
    <t>Pole Charges</t>
  </si>
  <si>
    <t>Sch 142 
Eff 1-1-17</t>
  </si>
  <si>
    <t>Sch 142 Revenue 
Eff 1-1-17</t>
  </si>
  <si>
    <t>Sch 142 Decoupling Basic Eff 1-17</t>
  </si>
  <si>
    <t>Sch 142 Decoupling PV kVa Eff 1-17</t>
  </si>
  <si>
    <t>Sch 142 Decoupling HV kVa Eff 1-17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</si>
  <si>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</si>
  <si>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</si>
  <si>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</si>
  <si>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</si>
  <si>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</si>
  <si>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</si>
  <si>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</si>
  <si>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</si>
  <si>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</si>
  <si>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</si>
  <si>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</si>
  <si>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</si>
  <si>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</si>
  <si>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</si>
  <si>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</si>
  <si>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</si>
  <si>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</si>
  <si>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</si>
  <si>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</si>
  <si>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</si>
  <si>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</si>
  <si>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</si>
  <si>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</si>
  <si>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</si>
  <si>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</si>
  <si>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</si>
  <si>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</si>
  <si>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</si>
  <si>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</si>
  <si>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</si>
  <si>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</si>
  <si>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</si>
  <si>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</si>
  <si>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</si>
  <si>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</si>
  <si>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</si>
  <si>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</si>
  <si>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</si>
  <si>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</si>
  <si>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</si>
  <si>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</si>
  <si>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</si>
  <si>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</si>
  <si>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</si>
  <si>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</si>
  <si>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</si>
  <si>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</si>
  <si>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</si>
  <si>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Demand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</si>
  <si>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</si>
  <si>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</si>
  <si>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</si>
  <si>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</si>
  <si>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</si>
  <si>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</si>
  <si>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</si>
  <si>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</si>
  <si>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</si>
  <si>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</si>
  <si>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</si>
  <si>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</si>
  <si>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</si>
  <si>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</si>
  <si>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</si>
  <si>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</si>
  <si>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</si>
  <si>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</si>
  <si>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</si>
  <si>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</si>
  <si>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</si>
  <si>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</si>
  <si>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</si>
  <si>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</si>
  <si>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</si>
  <si>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</si>
  <si>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</si>
  <si>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</si>
  <si>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</si>
  <si>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</si>
  <si>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</si>
  <si>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</si>
  <si>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</si>
  <si>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</si>
  <si>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</si>
  <si>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</si>
  <si>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</si>
  <si>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</si>
  <si>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</si>
  <si>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</si>
  <si>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</si>
  <si>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</si>
  <si>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</si>
  <si>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</si>
  <si>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</si>
  <si>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</si>
  <si>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</si>
  <si>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</si>
  <si>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</si>
  <si>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</si>
  <si>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</si>
  <si>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POLE_NEW</t>
  </si>
  <si>
    <t>POLE_OLD</t>
  </si>
  <si>
    <t>Option A (Financed)</t>
  </si>
  <si>
    <t>Option B (Paid up Front)</t>
  </si>
  <si>
    <t>ELUN_TRAFC</t>
  </si>
  <si>
    <t>ELUN_CF22</t>
  </si>
  <si>
    <t>ELUN_MV100</t>
  </si>
  <si>
    <t>ELUN_MV175</t>
  </si>
  <si>
    <t>ELUN_MV400</t>
  </si>
  <si>
    <t>ELUN_MV1K</t>
  </si>
  <si>
    <t>EL_MV100B</t>
  </si>
  <si>
    <t>EL_MV175B</t>
  </si>
  <si>
    <t>EL_MV400B</t>
  </si>
  <si>
    <t>LED_35P</t>
  </si>
  <si>
    <t>LED_40P</t>
  </si>
  <si>
    <t>LED_45P</t>
  </si>
  <si>
    <t>LED_50P</t>
  </si>
  <si>
    <t>LED_55P</t>
  </si>
  <si>
    <t>LED_60P</t>
  </si>
  <si>
    <t>LED_65P</t>
  </si>
  <si>
    <t>LED_70P</t>
  </si>
  <si>
    <t>LED_75P</t>
  </si>
  <si>
    <t>LED_80P</t>
  </si>
  <si>
    <t>LED_90P</t>
  </si>
  <si>
    <t>LED_95P</t>
  </si>
  <si>
    <t>LED_100P</t>
  </si>
  <si>
    <t>LED_105P</t>
  </si>
  <si>
    <t>LED_110P</t>
  </si>
  <si>
    <t>LED_130P</t>
  </si>
  <si>
    <t>LED_135P</t>
  </si>
  <si>
    <t>LED_140P</t>
  </si>
  <si>
    <t>LED_150P</t>
  </si>
  <si>
    <t>LED_155P</t>
  </si>
  <si>
    <t>LED_160P</t>
  </si>
  <si>
    <t>LED_170P</t>
  </si>
  <si>
    <t>LED_180P</t>
  </si>
  <si>
    <t>LED_200P</t>
  </si>
  <si>
    <t>LED_205P</t>
  </si>
  <si>
    <t>LED_210P</t>
  </si>
  <si>
    <t>LED_260P</t>
  </si>
  <si>
    <t>LED_285P</t>
  </si>
  <si>
    <t>ELUNLSV70</t>
  </si>
  <si>
    <t>ELUNLSV100</t>
  </si>
  <si>
    <t>ELUNLSV150</t>
  </si>
  <si>
    <t>ELUNLSV200</t>
  </si>
  <si>
    <t>ELUNLSV250</t>
  </si>
  <si>
    <t>ELUNLSV310</t>
  </si>
  <si>
    <t>ELUNLSV400</t>
  </si>
  <si>
    <t>ELUNLMH70</t>
  </si>
  <si>
    <t>ELUNLMH100</t>
  </si>
  <si>
    <t>ELUNLMH150</t>
  </si>
  <si>
    <t>ELUNLMH175</t>
  </si>
  <si>
    <t>ELUNLMH250</t>
  </si>
  <si>
    <t>ELUNLMH400</t>
  </si>
  <si>
    <t>ELUN_MH1K</t>
  </si>
  <si>
    <t>EL_SV50_P</t>
  </si>
  <si>
    <t>EL_SV70_P</t>
  </si>
  <si>
    <t>EL_SV100_P</t>
  </si>
  <si>
    <t>EL_SV150_P</t>
  </si>
  <si>
    <t>EL_SV200_P</t>
  </si>
  <si>
    <t>EL_SV250_P</t>
  </si>
  <si>
    <t>EL_SV310_P</t>
  </si>
  <si>
    <t>EL_SV400_P</t>
  </si>
  <si>
    <t>LED_85P</t>
  </si>
  <si>
    <t>LED_115P</t>
  </si>
  <si>
    <t>LED_120P</t>
  </si>
  <si>
    <t>LED_125P</t>
  </si>
  <si>
    <t>LED_175P</t>
  </si>
  <si>
    <t>LED_190P</t>
  </si>
  <si>
    <t>LED_195P</t>
  </si>
  <si>
    <t>LED_295P</t>
  </si>
  <si>
    <t>ELUN_SV50</t>
  </si>
  <si>
    <t>ELUN_SV70</t>
  </si>
  <si>
    <t>ELUN_SV100</t>
  </si>
  <si>
    <t>ELUN_SV150</t>
  </si>
  <si>
    <t>ELUN_SV200</t>
  </si>
  <si>
    <t>ELUN_SV250</t>
  </si>
  <si>
    <t>ELUN_SV310</t>
  </si>
  <si>
    <t>ELUN_SV400</t>
  </si>
  <si>
    <t>ELUN_MH175</t>
  </si>
  <si>
    <t>LED_35C</t>
  </si>
  <si>
    <t>LED_40C</t>
  </si>
  <si>
    <t>LED_45C</t>
  </si>
  <si>
    <t>LED_50C</t>
  </si>
  <si>
    <t>LED_55C</t>
  </si>
  <si>
    <t>LED_70C</t>
  </si>
  <si>
    <t>LED_85C</t>
  </si>
  <si>
    <t>LED_95C</t>
  </si>
  <si>
    <t>LED_105C</t>
  </si>
  <si>
    <t>LED_135C</t>
  </si>
  <si>
    <t>LED_140C</t>
  </si>
  <si>
    <t>LED_165C</t>
  </si>
  <si>
    <t>LED_170C</t>
  </si>
  <si>
    <t>LED_200C</t>
  </si>
  <si>
    <t>ELUNLSV50</t>
  </si>
  <si>
    <t>ELUNLSV1K</t>
  </si>
  <si>
    <t>ELUN_DS70</t>
  </si>
  <si>
    <t>ELUN_DS100</t>
  </si>
  <si>
    <t>ELUN_DS150</t>
  </si>
  <si>
    <t>ELUN_DS200</t>
  </si>
  <si>
    <t>ELUN_DS250</t>
  </si>
  <si>
    <t>ELUN_DS400</t>
  </si>
  <si>
    <t>ELUN_DM175</t>
  </si>
  <si>
    <t>ELUN_DM250</t>
  </si>
  <si>
    <t>ELUN_DM400</t>
  </si>
  <si>
    <t>ELUN_DM1K</t>
  </si>
  <si>
    <t>ELUN_HS100</t>
  </si>
  <si>
    <t>ELUN_HS150</t>
  </si>
  <si>
    <t>ELUN_HS200</t>
  </si>
  <si>
    <t>ELUN_HS250</t>
  </si>
  <si>
    <t>ELUN_HS400</t>
  </si>
  <si>
    <t>ELUN_HM250</t>
  </si>
  <si>
    <t>ELUN_HM400</t>
  </si>
  <si>
    <t>LED_265P</t>
  </si>
  <si>
    <t>Proposed Rates
Eff. 5-1-17</t>
  </si>
  <si>
    <t>F2016
Delivered kWh
05/17 to 04/18</t>
  </si>
  <si>
    <t>Projected
Revenue
05/17 to 04/18
(Note 1)</t>
  </si>
  <si>
    <t>Schedule 120
Effective
5-1-16</t>
  </si>
  <si>
    <t>Proposed
Schedule 120
Effective
5-1-17</t>
  </si>
  <si>
    <t>REVENUE
(Including 5-1-17
Sch 120 revenue)</t>
  </si>
  <si>
    <t>8/24</t>
  </si>
  <si>
    <t>7A/11/25</t>
  </si>
  <si>
    <t>12/26</t>
  </si>
  <si>
    <t>10/31</t>
  </si>
  <si>
    <t xml:space="preserve">Transportation </t>
  </si>
  <si>
    <t>Note 1 - Projected Revenue Includes Base Revenue plus Rider Schedules 95, 95A, 120, 129, 132, 137, 140, 141, 142 &amp; 194</t>
  </si>
  <si>
    <t>F2016 kWh 
May 2017
to April 2018</t>
  </si>
  <si>
    <t>Projected
Revenue 
(Based on Rates
Effective
1-1-2017)</t>
  </si>
  <si>
    <t>Current
Schedule 140 Property Tax Effective 5-1-16</t>
  </si>
  <si>
    <t>Proposed Schedule 140 Property Tax Effective 5-1-17</t>
  </si>
  <si>
    <t>Impacts of Rate Change Effective May 1, 2017</t>
  </si>
  <si>
    <t>Proposed Effective May 1, 2017</t>
  </si>
  <si>
    <t>Deferred Rates
Eff. 5-1-17</t>
  </si>
  <si>
    <t>K-Factor Rates
Eff. 5-1-17</t>
  </si>
  <si>
    <t>Total Sch 142 Rate Eff 5-1-17</t>
  </si>
  <si>
    <t>Average kWh - First 20,000</t>
  </si>
  <si>
    <t>2017 Electric Decoupling Filing</t>
  </si>
  <si>
    <t>Decoupling Sch 142 Rider Deferal Revenue</t>
  </si>
  <si>
    <t>l = 
∑ (c…k)</t>
  </si>
  <si>
    <t>m = 
b + l</t>
  </si>
  <si>
    <t>n</t>
  </si>
  <si>
    <t>o = l</t>
  </si>
  <si>
    <t>p = -c</t>
  </si>
  <si>
    <t>q = - i</t>
  </si>
  <si>
    <t>r = -j</t>
  </si>
  <si>
    <t>s</t>
  </si>
  <si>
    <t>v = m - b</t>
  </si>
  <si>
    <t>w = u - m</t>
  </si>
  <si>
    <t>x = v / b</t>
  </si>
  <si>
    <t>y = w / m</t>
  </si>
  <si>
    <t>Proposed Rates
Eff. 9-1-17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</si>
  <si>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</si>
  <si>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</si>
  <si>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</si>
  <si>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</si>
  <si>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</si>
  <si>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</si>
  <si>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</si>
  <si>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</si>
  <si>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</si>
  <si>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Forecast Delivered kWh
Oct 2017 Through
Sept 2018</t>
  </si>
  <si>
    <t>Forecast Delivered Revenue
Oct 2017 Through
Sept 2018
(Note 1)</t>
  </si>
  <si>
    <t>2016
Low Income
Rider Effective
10-1-16</t>
  </si>
  <si>
    <t xml:space="preserve">Proposed
2017
Low Income
Rider </t>
  </si>
  <si>
    <t>$ Including 2016 Low Income Effective
10-1-16</t>
  </si>
  <si>
    <t>$ Including Proposed 2017 Low Income</t>
  </si>
  <si>
    <t>2017 Low Income Customer Charge</t>
  </si>
  <si>
    <t>For the Twelve Months ended September 2018</t>
  </si>
  <si>
    <t>Proposed Rates
Eff. 10-1-17</t>
  </si>
  <si>
    <t>Residential Net Impact: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</si>
  <si>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132, 137, 140, 141, 142, 149 &amp; 194</t>
    </r>
  </si>
  <si>
    <t>Net Impact</t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</si>
  <si>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95A, 95, 120, 129, 132, 137, 140, 141, 142 &amp; 149</t>
    </r>
  </si>
  <si>
    <t>Schedule 142 - Decoupling ($-kW)</t>
  </si>
  <si>
    <t>Average kWh - block 1</t>
  </si>
  <si>
    <t>Average kWh - block 2</t>
  </si>
  <si>
    <t>Proposed Rates
Eff. 1-1-18</t>
  </si>
  <si>
    <t>Sch 132
Current
Rate
Effective
01-01-2017</t>
  </si>
  <si>
    <t>Sch 132
Proposed
Rate
Effective
01-01-2018</t>
  </si>
  <si>
    <t>Annual kWh Delivered Sales (Normalized)
YE Dec 2018</t>
  </si>
  <si>
    <t>Estimated Net Annual Proforma Base Revenue (Excluding Sch 132)
YE Dec 2018</t>
  </si>
  <si>
    <t>kWh
Source: F2017
January 1, 2018 to December 31, 2018</t>
  </si>
  <si>
    <t>Estimated Revenue Based on Rates Effective October 1, 2017</t>
  </si>
  <si>
    <t>Sch 137
Effective
1-1-17
$ per kWh</t>
  </si>
  <si>
    <t>Proposed Sch 137
Effective
1-1-18
$ per kWh</t>
  </si>
  <si>
    <t>Estimated Revenue Including Sch 137 Effective January 1, 2017</t>
  </si>
  <si>
    <t>kWh
Source: F2017 January 2018 to December 2018</t>
  </si>
  <si>
    <t>Estimated Net Revenue @
Rates Effective
10-1-2017
(*Note 1)</t>
  </si>
  <si>
    <t>Sch 40 Settlement Adj</t>
  </si>
  <si>
    <t>t = ∑(p…s)</t>
  </si>
  <si>
    <t>u =
n + o + t</t>
  </si>
  <si>
    <t>Adjustment for Rate Plan &amp; Other Mechanisms</t>
  </si>
  <si>
    <t>Supplemental Filing</t>
  </si>
  <si>
    <t>Difference due to Sch 40 Settlement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</si>
  <si>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</si>
  <si>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</si>
  <si>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12/19/2017</t>
    </r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</si>
  <si>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</si>
  <si>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12/19/2017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</si>
  <si>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5/1/2018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</si>
  <si>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</si>
  <si>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</si>
  <si>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</si>
  <si>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</si>
  <si>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</si>
  <si>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</si>
  <si>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</si>
  <si>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</si>
  <si>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</si>
  <si>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</si>
  <si>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</si>
  <si>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</si>
  <si>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</si>
  <si>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</si>
  <si>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</si>
  <si>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</si>
  <si>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</si>
  <si>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</si>
  <si>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</si>
  <si>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</si>
  <si>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Rate Impacts 5/2018 vs 12/2017</t>
  </si>
  <si>
    <t>Net Proposed Rev @ 5/1/2018</t>
  </si>
  <si>
    <t>c = b - a</t>
  </si>
  <si>
    <t>d = c / a</t>
  </si>
  <si>
    <t>Net Revenue @ 12/19/2017</t>
  </si>
  <si>
    <t>GRC Tax Reform Rate Impacts</t>
  </si>
  <si>
    <t>Proposed Rates
Eff. 5-1-18</t>
  </si>
  <si>
    <t>Change in Sch 120 Revenue</t>
  </si>
  <si>
    <t>Sch 120 Rev Change</t>
  </si>
  <si>
    <t>Sch 140 Rev Change</t>
  </si>
  <si>
    <t>Sch 142 Rev Change</t>
  </si>
  <si>
    <t>Change in Sch 140 Revenue</t>
  </si>
  <si>
    <t>Subtotal
May Rider Change</t>
  </si>
  <si>
    <t>Decoupling
Sch 142
Rider Revenue</t>
  </si>
  <si>
    <t>Proposed kW Rates
Eff. 5-1-18</t>
  </si>
  <si>
    <t>Proposed kWh Rates
Eff. 5-1-18</t>
  </si>
  <si>
    <t>Change in Sch 142 Revenue</t>
  </si>
  <si>
    <t>Schedule 142 - Decoupling ($-kWh)</t>
  </si>
  <si>
    <t>RATE EFFECTS</t>
  </si>
  <si>
    <t>F2017
Delivered kWh
05/18 to 04/19</t>
  </si>
  <si>
    <t>Projected
Revenue
05/18 to 04/19
(Note 1)</t>
  </si>
  <si>
    <t>Schedule 120
Effective
5-1-17</t>
  </si>
  <si>
    <t>Proposed
Schedule 120
Effective
5-1-18</t>
  </si>
  <si>
    <t>REVENUE
(Including 5-1-18
Sch 120 revenue)</t>
  </si>
  <si>
    <t>Note 1 - Projected Revenue Includes Base Revenue plus Rider Schedules 95, 95A, 129, 132, 137, 140, 141, 142 &amp; 194</t>
  </si>
  <si>
    <t>2018 Electric Decoupling Filing</t>
  </si>
  <si>
    <t>Schedule 142 Revenue Change</t>
  </si>
  <si>
    <t>Proposed Effective May 1, 2018</t>
  </si>
  <si>
    <t>F2017 YE April 2019</t>
  </si>
  <si>
    <t>Annual kWh Delivered Sales (Normalized)</t>
  </si>
  <si>
    <t>Annual Demand (kW or kVa)</t>
  </si>
  <si>
    <t>8</t>
  </si>
  <si>
    <t>26</t>
  </si>
  <si>
    <t>Current Rates
Eff. 5-1-17</t>
  </si>
  <si>
    <t>Decoupling
Schedule 142
Revenue 
@ 5-1-17</t>
  </si>
  <si>
    <t>Decoupling
Schedule 142
Revenue 
@ 5-1-18</t>
  </si>
  <si>
    <t>(f) = (a) x (d)
or
(f) = (b) x (d)</t>
  </si>
  <si>
    <t>(f) = (a) x (e)
or
(f) = (b) x (e)</t>
  </si>
  <si>
    <t>Impacts of Rate Change Effective May 1, 2018</t>
  </si>
  <si>
    <t>F2017 kWh 
May 2018
to April 2019</t>
  </si>
  <si>
    <t>Projected
Revenue 
(Based on Rates
Effective
1-1-2018)</t>
  </si>
  <si>
    <t>Current
Schedule 140 Property Tax Effective 5-1-17</t>
  </si>
  <si>
    <t>Proposed Schedule 140 Property Tax Effective 5-1-18</t>
  </si>
  <si>
    <t>Sch 95a Rev Change</t>
  </si>
  <si>
    <t>Sch 95a
Effective
January 1, 2018
$ per kWh</t>
  </si>
  <si>
    <t>Proposed 
Sch 95a
Effective
May 1, 2018
$ per kWh</t>
  </si>
  <si>
    <t>Revenue Including
Sch 95a
Eff 1-1-18</t>
  </si>
  <si>
    <t>Revenue
Including
Proposed
Sch 95a
Effective 5-1-18</t>
  </si>
  <si>
    <t>GRC Tax Reform &amp; Rider Impacts</t>
  </si>
  <si>
    <t>Rates Effective 5-1-2018</t>
  </si>
  <si>
    <t>Rider Impacts 1/2018 vs 5/2018</t>
  </si>
  <si>
    <t>i =
 e + f + g + h</t>
  </si>
  <si>
    <t>j = c + i</t>
  </si>
  <si>
    <t>k = j /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</si>
</sst>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_)"/>
    <numFmt numFmtId="168" formatCode="_(* #,##0.000_);_(* \(#,##0.000\);_(* &quot;-&quot;??_);_(@_)"/>
    <numFmt numFmtId="169" formatCode="&quot;$&quot;#,##0\ ;\(&quot;$&quot;#,##0\)"/>
    <numFmt numFmtId="170" formatCode="0.00_)"/>
    <numFmt numFmtId="171" formatCode="_(&quot;$&quot;* #,##0.000_);_(&quot;$&quot;* \(#,##0.000\);_(&quot;$&quot;* &quot;-&quot;??_);_(@_)"/>
    <numFmt numFmtId="172" formatCode="0.000%"/>
    <numFmt numFmtId="173" formatCode="&quot;$&quot;#,##0"/>
    <numFmt numFmtId="174" formatCode="#,##0.000_);\(#,##0.000\)"/>
    <numFmt numFmtId="175" formatCode="0.00000000000000%"/>
    <numFmt numFmtId="176" formatCode="_(&quot;$&quot;* #,##0.000000_);_(&quot;$&quot;* \(#,##0.000000\);_(&quot;$&quot;* &quot;-&quot;??_);_(@_)"/>
    <numFmt numFmtId="177" formatCode="0.0000\ \¢"/>
    <numFmt numFmtId="178" formatCode="0.00000\ \¢"/>
    <numFmt numFmtId="179" formatCode="_(* #,##0.0000000_);_(* \(#,##0.0000000\);_(* &quot;-&quot;??_);_(@_)"/>
    <numFmt numFmtId="180" formatCode="_(&quot;$&quot;* #,##0.00000_);_(&quot;$&quot;* \(#,##0.00000\);_(&quot;$&quot;* &quot;-&quot;??_);_(@_)"/>
    <numFmt numFmtId="181" formatCode="&quot;$&quot;#,##0.00000_);\(&quot;$&quot;#,##0.00000\)"/>
    <numFmt numFmtId="182" formatCode="0.000"/>
    <numFmt numFmtId="183" formatCode="_(* #,##0.0000_);_(* \(#,##0.0000\);_(* &quot;-&quot;??_);_(@_)"/>
  </numFmts>
  <fonts count="46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10"/>
      <color theme="1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4" fillId="0" borderId="0"/>
  </cellStyleXfs>
  <cellXfs count="653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quotePrefix="1" applyFont="1" applyFill="1" applyAlignment="1">
      <alignment horizontal="center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6" fontId="2" fillId="0" borderId="7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0" fontId="11" fillId="0" borderId="0" xfId="0" quotePrefix="1" applyFont="1" applyFill="1" applyAlignment="1">
      <alignment horizontal="left"/>
    </xf>
    <xf numFmtId="37" fontId="2" fillId="0" borderId="0" xfId="0" applyNumberFormat="1" applyFont="1" applyFill="1" applyProtection="1"/>
    <xf numFmtId="173" fontId="8" fillId="0" borderId="0" xfId="0" applyNumberFormat="1" applyFont="1" applyFill="1" applyProtection="1">
      <protection locked="0"/>
    </xf>
    <xf numFmtId="173" fontId="8" fillId="0" borderId="0" xfId="0" applyNumberFormat="1" applyFont="1" applyFill="1" applyProtection="1">
      <protection locked="0"/>
    </xf>
    <xf numFmtId="10" fontId="8" fillId="0" borderId="0" xfId="0" applyNumberFormat="1" applyFont="1" applyFill="1" applyProtection="1">
      <protection locked="0"/>
    </xf>
    <xf numFmtId="174" fontId="2" fillId="0" borderId="0" xfId="0" applyNumberFormat="1" applyFont="1" applyFill="1" applyProtection="1"/>
    <xf numFmtId="10" fontId="8" fillId="0" borderId="0" xfId="0" applyNumberFormat="1" applyFont="1" applyFill="1" applyBorder="1" applyProtection="1">
      <protection locked="0"/>
    </xf>
    <xf numFmtId="0" fontId="12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left" indent="1"/>
    </xf>
    <xf numFmtId="37" fontId="2" fillId="0" borderId="2" xfId="0" applyNumberFormat="1" applyFont="1" applyFill="1" applyBorder="1" applyProtection="1"/>
    <xf numFmtId="173" fontId="8" fillId="0" borderId="2" xfId="0" applyNumberFormat="1" applyFont="1" applyFill="1" applyBorder="1" applyProtection="1">
      <protection locked="0"/>
    </xf>
    <xf numFmtId="174" fontId="2" fillId="0" borderId="2" xfId="0" applyNumberFormat="1" applyFont="1" applyFill="1" applyBorder="1" applyProtection="1"/>
    <xf numFmtId="173" fontId="2" fillId="0" borderId="0" xfId="0" applyNumberFormat="1" applyFont="1" applyFill="1"/>
    <xf numFmtId="10" fontId="2" fillId="0" borderId="0" xfId="0" applyNumberFormat="1" applyFont="1" applyFill="1"/>
    <xf numFmtId="0" fontId="13" fillId="0" borderId="0" xfId="0" applyFont="1" applyFill="1"/>
    <xf numFmtId="37" fontId="2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2" fillId="0" borderId="0" xfId="0" applyFont="1" applyFill="1"/>
    <xf numFmtId="0" fontId="14" fillId="0" borderId="0" xfId="0" quotePrefix="1" applyFont="1" applyFill="1" applyAlignment="1">
      <alignment horizontal="left"/>
    </xf>
    <xf numFmtId="37" fontId="2" fillId="0" borderId="12" xfId="0" applyNumberFormat="1" applyFont="1" applyFill="1" applyBorder="1"/>
    <xf numFmtId="173" fontId="2" fillId="0" borderId="12" xfId="0" applyNumberFormat="1" applyFont="1" applyFill="1" applyBorder="1"/>
    <xf numFmtId="173" fontId="8" fillId="0" borderId="0" xfId="0" applyNumberFormat="1" applyFont="1" applyFill="1" applyBorder="1" applyProtection="1">
      <protection locked="0"/>
    </xf>
    <xf numFmtId="173" fontId="2" fillId="0" borderId="0" xfId="0" applyNumberFormat="1" applyFont="1" applyFill="1" applyBorder="1"/>
    <xf numFmtId="37" fontId="2" fillId="0" borderId="0" xfId="0" applyNumberFormat="1" applyFont="1" applyFill="1" applyBorder="1"/>
    <xf numFmtId="5" fontId="2" fillId="0" borderId="0" xfId="0" applyNumberFormat="1" applyFont="1" applyFill="1" applyBorder="1"/>
    <xf numFmtId="5" fontId="2" fillId="0" borderId="0" xfId="0" applyNumberFormat="1" applyFont="1" applyFill="1" applyBorder="1"/>
    <xf numFmtId="166" fontId="8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Border="1"/>
    <xf numFmtId="165" fontId="16" fillId="0" borderId="0" xfId="0" applyNumberFormat="1" applyFont="1" applyFill="1"/>
    <xf numFmtId="166" fontId="16" fillId="0" borderId="0" xfId="0" applyNumberFormat="1" applyFont="1" applyFill="1" applyBorder="1" applyProtection="1">
      <protection locked="0"/>
    </xf>
    <xf numFmtId="1" fontId="2" fillId="0" borderId="0" xfId="0" applyNumberFormat="1" applyFont="1" applyFill="1"/>
    <xf numFmtId="166" fontId="2" fillId="0" borderId="0" xfId="0" applyNumberFormat="1" applyFont="1" applyFill="1" applyBorder="1"/>
    <xf numFmtId="1" fontId="16" fillId="0" borderId="0" xfId="0" applyNumberFormat="1" applyFont="1" applyFill="1"/>
    <xf numFmtId="166" fontId="16" fillId="0" borderId="0" xfId="0" applyNumberFormat="1" applyFont="1" applyFill="1"/>
    <xf numFmtId="175" fontId="2" fillId="0" borderId="0" xfId="0" applyNumberFormat="1" applyFont="1" applyFill="1"/>
    <xf numFmtId="166" fontId="2" fillId="0" borderId="0" xfId="0" applyNumberFormat="1" applyFont="1" applyFill="1"/>
    <xf numFmtId="166" fontId="17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5" fillId="0" borderId="4" xfId="0" quotePrefix="1" applyNumberFormat="1" applyFont="1" applyFill="1" applyBorder="1" applyAlignment="1">
      <alignment horizontal="center" wrapText="1"/>
    </xf>
    <xf numFmtId="0" fontId="5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0" xfId="0" applyNumberFormat="1" applyFont="1" applyFill="1" applyBorder="1"/>
    <xf numFmtId="0" fontId="1" fillId="0" borderId="0" xfId="0" applyFont="1" applyBorder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76" fontId="1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164" fontId="4" fillId="0" borderId="0" xfId="0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76" fontId="4" fillId="0" borderId="0" xfId="0" quotePrefix="1" applyNumberFormat="1" applyFont="1" applyFill="1" applyAlignment="1">
      <alignment horizontal="left"/>
    </xf>
    <xf numFmtId="10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76" fontId="4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76" fontId="4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left" indent="1"/>
    </xf>
    <xf numFmtId="0" fontId="4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5" fontId="4" fillId="0" borderId="0" xfId="0" applyNumberFormat="1" applyFont="1" applyFill="1"/>
    <xf numFmtId="176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164" fontId="4" fillId="0" borderId="3" xfId="0" applyNumberFormat="1" applyFont="1" applyFill="1" applyBorder="1"/>
    <xf numFmtId="165" fontId="4" fillId="0" borderId="3" xfId="0" applyNumberFormat="1" applyFont="1" applyFill="1" applyBorder="1"/>
    <xf numFmtId="176" fontId="4" fillId="0" borderId="3" xfId="0" applyNumberFormat="1" applyFont="1" applyFill="1" applyBorder="1"/>
    <xf numFmtId="10" fontId="4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1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9" fontId="1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indent="4"/>
    </xf>
    <xf numFmtId="165" fontId="5" fillId="0" borderId="3" xfId="0" applyNumberFormat="1" applyFont="1" applyFill="1" applyBorder="1"/>
    <xf numFmtId="0" fontId="1" fillId="0" borderId="0" xfId="0" applyFont="1" applyFill="1" applyBorder="1"/>
    <xf numFmtId="176" fontId="5" fillId="0" borderId="3" xfId="0" applyNumberFormat="1" applyFont="1" applyFill="1" applyBorder="1"/>
    <xf numFmtId="0" fontId="21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5" fillId="0" borderId="0" xfId="0" quotePrefix="1" applyFont="1" applyFill="1" applyBorder="1" applyAlignment="1">
      <alignment horizontal="left" indent="1"/>
    </xf>
    <xf numFmtId="0" fontId="3" fillId="0" borderId="0" xfId="0" applyFont="1"/>
    <xf numFmtId="0" fontId="0" fillId="0" borderId="0" xfId="0" quotePrefix="1" applyAlignment="1">
      <alignment horizontal="left"/>
    </xf>
    <xf numFmtId="165" fontId="0" fillId="0" borderId="0" xfId="0" applyNumberFormat="1"/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7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16" xfId="0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quotePrefix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7" xfId="0" quotePrefix="1" applyFont="1" applyFill="1" applyBorder="1" applyAlignment="1">
      <alignment horizontal="center" vertical="top" wrapText="1"/>
    </xf>
    <xf numFmtId="10" fontId="1" fillId="0" borderId="17" xfId="0" applyNumberFormat="1" applyFont="1" applyFill="1" applyBorder="1"/>
    <xf numFmtId="177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/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0" fontId="1" fillId="0" borderId="19" xfId="0" applyFont="1" applyFill="1" applyBorder="1"/>
    <xf numFmtId="176" fontId="1" fillId="0" borderId="0" xfId="0" applyNumberFormat="1" applyFont="1" applyFill="1"/>
    <xf numFmtId="165" fontId="0" fillId="0" borderId="0" xfId="0" applyNumberFormat="1" applyFont="1" applyFill="1"/>
    <xf numFmtId="176" fontId="1" fillId="0" borderId="2" xfId="0" applyNumberFormat="1" applyFont="1" applyFill="1" applyBorder="1"/>
    <xf numFmtId="165" fontId="0" fillId="0" borderId="2" xfId="0" applyNumberFormat="1" applyFont="1" applyFill="1" applyBorder="1"/>
    <xf numFmtId="176" fontId="0" fillId="0" borderId="0" xfId="0" applyNumberFormat="1" applyFill="1"/>
    <xf numFmtId="176" fontId="1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14" xfId="0" applyFill="1" applyBorder="1" applyAlignment="1">
      <alignment horizontal="centerContinuous"/>
    </xf>
    <xf numFmtId="164" fontId="1" fillId="0" borderId="14" xfId="0" applyNumberFormat="1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0" fontId="0" fillId="0" borderId="17" xfId="0" applyFill="1" applyBorder="1" applyAlignment="1">
      <alignment horizontal="centerContinuous"/>
    </xf>
    <xf numFmtId="0" fontId="0" fillId="0" borderId="18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0" fillId="0" borderId="19" xfId="0" quotePrefix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0" fillId="0" borderId="16" xfId="0" applyFill="1" applyBorder="1"/>
    <xf numFmtId="164" fontId="1" fillId="0" borderId="0" xfId="0" applyNumberFormat="1" applyFont="1" applyFill="1" applyBorder="1"/>
    <xf numFmtId="0" fontId="0" fillId="0" borderId="17" xfId="0" applyFill="1" applyBorder="1"/>
    <xf numFmtId="0" fontId="0" fillId="0" borderId="16" xfId="0" applyFill="1" applyBorder="1" applyAlignment="1">
      <alignment horizontal="left"/>
    </xf>
    <xf numFmtId="176" fontId="0" fillId="0" borderId="0" xfId="0" applyNumberFormat="1" applyFont="1" applyFill="1" applyBorder="1"/>
    <xf numFmtId="172" fontId="0" fillId="0" borderId="17" xfId="0" applyNumberFormat="1" applyFill="1" applyBorder="1"/>
    <xf numFmtId="177" fontId="0" fillId="0" borderId="0" xfId="0" applyNumberFormat="1" applyFill="1" applyBorder="1"/>
    <xf numFmtId="0" fontId="0" fillId="0" borderId="16" xfId="0" quotePrefix="1" applyFill="1" applyBorder="1" applyAlignment="1">
      <alignment horizontal="left" indent="1"/>
    </xf>
    <xf numFmtId="16" fontId="0" fillId="0" borderId="0" xfId="0" quotePrefix="1" applyNumberFormat="1" applyFill="1" applyBorder="1" applyAlignment="1">
      <alignment horizontal="center"/>
    </xf>
    <xf numFmtId="0" fontId="0" fillId="0" borderId="16" xfId="0" applyFill="1" applyBorder="1" applyAlignment="1">
      <alignment horizontal="left" indent="1"/>
    </xf>
    <xf numFmtId="0" fontId="0" fillId="0" borderId="0" xfId="0" quotePrefix="1" applyFill="1" applyBorder="1" applyAlignment="1">
      <alignment horizontal="center"/>
    </xf>
    <xf numFmtId="0" fontId="0" fillId="0" borderId="16" xfId="0" quotePrefix="1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/>
    <xf numFmtId="0" fontId="0" fillId="0" borderId="4" xfId="0" applyFill="1" applyBorder="1"/>
    <xf numFmtId="165" fontId="1" fillId="0" borderId="4" xfId="0" applyNumberFormat="1" applyFont="1" applyFill="1" applyBorder="1"/>
    <xf numFmtId="172" fontId="0" fillId="0" borderId="19" xfId="0" applyNumberFormat="1" applyFill="1" applyBorder="1"/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17" xfId="0" applyFont="1" applyFill="1" applyBorder="1"/>
    <xf numFmtId="0" fontId="5" fillId="0" borderId="1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9" xfId="0" quotePrefix="1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7" xfId="0" quotePrefix="1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164" fontId="1" fillId="0" borderId="14" xfId="0" applyNumberFormat="1" applyFont="1" applyFill="1" applyBorder="1"/>
    <xf numFmtId="0" fontId="1" fillId="0" borderId="15" xfId="0" applyFont="1" applyFill="1" applyBorder="1"/>
    <xf numFmtId="176" fontId="1" fillId="0" borderId="0" xfId="0" applyNumberFormat="1" applyFont="1" applyFill="1" applyBorder="1"/>
    <xf numFmtId="172" fontId="1" fillId="0" borderId="17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right"/>
    </xf>
    <xf numFmtId="0" fontId="1" fillId="0" borderId="18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9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76" fontId="0" fillId="0" borderId="0" xfId="0" applyNumberFormat="1" applyFont="1" applyAlignment="1">
      <alignment horizontal="center"/>
    </xf>
    <xf numFmtId="176" fontId="0" fillId="0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42" fontId="0" fillId="0" borderId="0" xfId="0" applyNumberFormat="1" applyAlignment="1">
      <alignment horizontal="center"/>
    </xf>
    <xf numFmtId="42" fontId="0" fillId="0" borderId="0" xfId="0" applyNumberFormat="1" applyFill="1" applyAlignment="1">
      <alignment horizontal="center"/>
    </xf>
    <xf numFmtId="165" fontId="1" fillId="0" borderId="0" xfId="0" applyNumberFormat="1" applyFont="1" applyFill="1" applyBorder="1"/>
    <xf numFmtId="10" fontId="1" fillId="0" borderId="17" xfId="0" applyNumberFormat="1" applyFont="1" applyFill="1" applyBorder="1"/>
    <xf numFmtId="17" fontId="1" fillId="0" borderId="10" xfId="0" quotePrefix="1" applyNumberFormat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Fill="1" applyAlignment="1">
      <alignment horizontal="center"/>
    </xf>
    <xf numFmtId="42" fontId="3" fillId="0" borderId="0" xfId="0" applyNumberFormat="1" applyFont="1"/>
    <xf numFmtId="165" fontId="3" fillId="0" borderId="0" xfId="0" applyNumberFormat="1" applyFont="1"/>
    <xf numFmtId="17" fontId="1" fillId="0" borderId="0" xfId="0" quotePrefix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wrapText="1"/>
    </xf>
    <xf numFmtId="164" fontId="0" fillId="0" borderId="0" xfId="0" applyNumberFormat="1" applyFont="1" applyFill="1"/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171" fontId="0" fillId="0" borderId="0" xfId="0" applyNumberFormat="1" applyFont="1"/>
    <xf numFmtId="165" fontId="0" fillId="0" borderId="0" xfId="0" applyNumberFormat="1" applyFont="1"/>
    <xf numFmtId="44" fontId="0" fillId="0" borderId="0" xfId="0" applyNumberFormat="1" applyFont="1"/>
    <xf numFmtId="165" fontId="0" fillId="0" borderId="0" xfId="0" applyNumberFormat="1" applyFont="1"/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5" fontId="0" fillId="0" borderId="2" xfId="0" applyNumberFormat="1" applyFont="1" applyBorder="1"/>
    <xf numFmtId="44" fontId="3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0" fillId="0" borderId="0" xfId="0" applyNumberFormat="1" applyFont="1" applyFill="1" applyBorder="1"/>
    <xf numFmtId="180" fontId="0" fillId="0" borderId="0" xfId="0" applyNumberFormat="1" applyFont="1"/>
    <xf numFmtId="0" fontId="3" fillId="0" borderId="2" xfId="0" quotePrefix="1" applyFont="1" applyBorder="1" applyAlignment="1">
      <alignment horizontal="left"/>
    </xf>
    <xf numFmtId="166" fontId="0" fillId="0" borderId="2" xfId="0" applyNumberFormat="1" applyFont="1" applyFill="1" applyBorder="1"/>
    <xf numFmtId="166" fontId="0" fillId="0" borderId="3" xfId="0" applyNumberFormat="1" applyFont="1" applyFill="1" applyBorder="1"/>
    <xf numFmtId="166" fontId="0" fillId="0" borderId="0" xfId="0" applyNumberFormat="1" applyFont="1" applyFill="1" applyBorder="1"/>
    <xf numFmtId="176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5" fontId="12" fillId="0" borderId="0" xfId="0" applyNumberFormat="1" applyFont="1" applyFill="1"/>
    <xf numFmtId="0" fontId="4" fillId="0" borderId="0" xfId="0" applyFont="1" applyFill="1"/>
    <xf numFmtId="170" fontId="12" fillId="0" borderId="1" xfId="0" applyNumberFormat="1" applyFont="1" applyFill="1" applyBorder="1" applyProtection="1"/>
    <xf numFmtId="0" fontId="12" fillId="0" borderId="1" xfId="0" applyFont="1" applyFill="1" applyBorder="1"/>
    <xf numFmtId="7" fontId="12" fillId="0" borderId="1" xfId="0" applyNumberFormat="1" applyFont="1" applyFill="1" applyBorder="1" applyProtection="1"/>
    <xf numFmtId="37" fontId="12" fillId="0" borderId="1" xfId="0" applyNumberFormat="1" applyFont="1" applyFill="1" applyBorder="1" applyProtection="1"/>
    <xf numFmtId="10" fontId="12" fillId="0" borderId="0" xfId="0" applyNumberFormat="1" applyFont="1" applyFill="1" applyProtection="1"/>
    <xf numFmtId="7" fontId="12" fillId="0" borderId="0" xfId="0" applyNumberFormat="1" applyFont="1" applyFill="1"/>
    <xf numFmtId="7" fontId="12" fillId="0" borderId="0" xfId="0" applyNumberFormat="1" applyFont="1" applyFill="1"/>
    <xf numFmtId="10" fontId="12" fillId="0" borderId="0" xfId="0" applyNumberFormat="1" applyFont="1" applyFill="1"/>
    <xf numFmtId="37" fontId="12" fillId="0" borderId="0" xfId="0" applyNumberFormat="1" applyFont="1" applyFill="1" applyProtection="1"/>
    <xf numFmtId="10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7" fontId="12" fillId="0" borderId="0" xfId="0" applyNumberFormat="1" applyFont="1" applyFill="1" applyProtection="1"/>
    <xf numFmtId="176" fontId="12" fillId="0" borderId="0" xfId="0" applyNumberFormat="1" applyFont="1" applyFill="1"/>
    <xf numFmtId="0" fontId="28" fillId="0" borderId="0" xfId="0" quotePrefix="1" applyFont="1" applyFill="1" applyAlignment="1">
      <alignment horizontal="left"/>
    </xf>
    <xf numFmtId="176" fontId="28" fillId="0" borderId="0" xfId="0" applyNumberFormat="1" applyFont="1" applyFill="1"/>
    <xf numFmtId="170" fontId="12" fillId="0" borderId="0" xfId="0" applyNumberFormat="1" applyFont="1" applyFill="1" applyProtection="1"/>
    <xf numFmtId="44" fontId="12" fillId="0" borderId="0" xfId="0" applyNumberFormat="1" applyFont="1" applyFill="1"/>
    <xf numFmtId="0" fontId="28" fillId="0" borderId="0" xfId="0" applyFont="1" applyFill="1"/>
    <xf numFmtId="182" fontId="28" fillId="0" borderId="0" xfId="0" applyNumberFormat="1" applyFont="1" applyFill="1"/>
    <xf numFmtId="44" fontId="29" fillId="0" borderId="19" xfId="0" applyNumberFormat="1" applyFont="1" applyFill="1" applyBorder="1"/>
    <xf numFmtId="0" fontId="28" fillId="0" borderId="4" xfId="0" applyFont="1" applyFill="1" applyBorder="1"/>
    <xf numFmtId="44" fontId="29" fillId="0" borderId="4" xfId="0" applyNumberFormat="1" applyFont="1" applyFill="1" applyBorder="1"/>
    <xf numFmtId="0" fontId="28" fillId="0" borderId="18" xfId="0" quotePrefix="1" applyFont="1" applyFill="1" applyBorder="1" applyAlignment="1">
      <alignment horizontal="left"/>
    </xf>
    <xf numFmtId="166" fontId="12" fillId="0" borderId="0" xfId="0" applyNumberFormat="1" applyFont="1" applyFill="1"/>
    <xf numFmtId="0" fontId="12" fillId="0" borderId="0" xfId="0" applyFont="1" applyFill="1" applyBorder="1"/>
    <xf numFmtId="176" fontId="29" fillId="0" borderId="17" xfId="0" applyNumberFormat="1" applyFont="1" applyFill="1" applyBorder="1"/>
    <xf numFmtId="0" fontId="28" fillId="0" borderId="0" xfId="0" applyFont="1" applyFill="1" applyBorder="1"/>
    <xf numFmtId="176" fontId="29" fillId="0" borderId="0" xfId="0" applyNumberFormat="1" applyFont="1" applyFill="1" applyBorder="1"/>
    <xf numFmtId="0" fontId="28" fillId="0" borderId="16" xfId="0" quotePrefix="1" applyFont="1" applyFill="1" applyBorder="1" applyAlignment="1">
      <alignment horizontal="left"/>
    </xf>
    <xf numFmtId="43" fontId="12" fillId="0" borderId="0" xfId="0" applyNumberFormat="1" applyFont="1" applyFill="1"/>
    <xf numFmtId="44" fontId="29" fillId="0" borderId="17" xfId="0" applyNumberFormat="1" applyFont="1" applyFill="1" applyBorder="1"/>
    <xf numFmtId="44" fontId="29" fillId="0" borderId="0" xfId="0" applyNumberFormat="1" applyFont="1" applyFill="1" applyBorder="1"/>
    <xf numFmtId="0" fontId="30" fillId="0" borderId="15" xfId="0" applyFont="1" applyFill="1" applyBorder="1" applyAlignment="1">
      <alignment horizontal="right"/>
    </xf>
    <xf numFmtId="0" fontId="30" fillId="0" borderId="14" xfId="0" quotePrefix="1" applyFont="1" applyFill="1" applyBorder="1" applyAlignment="1">
      <alignment horizontal="left"/>
    </xf>
    <xf numFmtId="0" fontId="30" fillId="0" borderId="14" xfId="0" applyFont="1" applyFill="1" applyBorder="1" applyAlignment="1">
      <alignment horizontal="right"/>
    </xf>
    <xf numFmtId="0" fontId="28" fillId="0" borderId="13" xfId="0" quotePrefix="1" applyFont="1" applyFill="1" applyBorder="1" applyAlignment="1">
      <alignment horizontal="left"/>
    </xf>
    <xf numFmtId="0" fontId="12" fillId="0" borderId="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1" fillId="0" borderId="0" xfId="0" applyFont="1" applyFill="1"/>
    <xf numFmtId="0" fontId="12" fillId="0" borderId="7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44" fontId="12" fillId="0" borderId="0" xfId="0" applyNumberFormat="1" applyFont="1" applyFill="1"/>
    <xf numFmtId="0" fontId="12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83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12" fillId="0" borderId="0" xfId="0" applyNumberFormat="1" applyFont="1" applyFill="1"/>
    <xf numFmtId="0" fontId="28" fillId="0" borderId="19" xfId="0" applyFont="1" applyFill="1" applyBorder="1"/>
    <xf numFmtId="0" fontId="28" fillId="0" borderId="18" xfId="0" applyFont="1" applyFill="1" applyBorder="1"/>
    <xf numFmtId="0" fontId="12" fillId="0" borderId="16" xfId="0" applyFont="1" applyFill="1" applyBorder="1"/>
    <xf numFmtId="0" fontId="12" fillId="0" borderId="16" xfId="0" quotePrefix="1" applyFont="1" applyFill="1" applyBorder="1" applyAlignment="1">
      <alignment horizontal="left"/>
    </xf>
    <xf numFmtId="7" fontId="29" fillId="0" borderId="17" xfId="0" applyNumberFormat="1" applyFont="1" applyFill="1" applyBorder="1"/>
    <xf numFmtId="7" fontId="29" fillId="0" borderId="0" xfId="0" applyNumberFormat="1" applyFont="1" applyFill="1" applyBorder="1"/>
    <xf numFmtId="0" fontId="29" fillId="0" borderId="0" xfId="0" applyFont="1" applyFill="1" applyBorder="1"/>
    <xf numFmtId="0" fontId="12" fillId="0" borderId="17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34" fillId="0" borderId="0" xfId="0" applyFont="1" applyFill="1" applyProtection="1"/>
    <xf numFmtId="0" fontId="2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7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Continuous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180" fontId="29" fillId="0" borderId="17" xfId="0" applyNumberFormat="1" applyFont="1" applyFill="1" applyBorder="1"/>
    <xf numFmtId="44" fontId="29" fillId="0" borderId="17" xfId="0" applyNumberFormat="1" applyFont="1" applyFill="1" applyBorder="1"/>
    <xf numFmtId="0" fontId="2" fillId="0" borderId="1" xfId="0" quotePrefix="1" applyFont="1" applyFill="1" applyBorder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6" fillId="0" borderId="0" xfId="0" applyFont="1" applyFill="1" applyAlignment="1" applyProtection="1">
      <alignment horizontal="centerContinuous"/>
    </xf>
    <xf numFmtId="180" fontId="12" fillId="0" borderId="0" xfId="0" applyNumberFormat="1" applyFont="1" applyFill="1"/>
    <xf numFmtId="5" fontId="12" fillId="0" borderId="0" xfId="0" applyNumberFormat="1" applyFont="1" applyFill="1" applyProtection="1"/>
    <xf numFmtId="0" fontId="39" fillId="0" borderId="0" xfId="0" applyFont="1" applyFill="1"/>
    <xf numFmtId="0" fontId="39" fillId="0" borderId="0" xfId="0" applyFont="1" applyFill="1" applyBorder="1"/>
    <xf numFmtId="0" fontId="39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Continuous"/>
    </xf>
    <xf numFmtId="10" fontId="12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168" fontId="28" fillId="0" borderId="19" xfId="0" applyNumberFormat="1" applyFont="1" applyFill="1" applyBorder="1"/>
    <xf numFmtId="168" fontId="28" fillId="0" borderId="4" xfId="0" applyNumberFormat="1" applyFont="1" applyFill="1" applyBorder="1"/>
    <xf numFmtId="0" fontId="12" fillId="0" borderId="18" xfId="0" applyFont="1" applyFill="1" applyBorder="1"/>
    <xf numFmtId="0" fontId="12" fillId="0" borderId="17" xfId="0" applyFont="1" applyFill="1" applyBorder="1"/>
    <xf numFmtId="0" fontId="12" fillId="0" borderId="14" xfId="0" applyFont="1" applyFill="1" applyBorder="1"/>
    <xf numFmtId="0" fontId="12" fillId="0" borderId="14" xfId="0" applyFont="1" applyFill="1" applyBorder="1" applyAlignment="1"/>
    <xf numFmtId="0" fontId="12" fillId="0" borderId="13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40" fillId="0" borderId="0" xfId="0" applyFont="1" applyFill="1" applyAlignment="1">
      <alignment horizontal="centerContinuous"/>
    </xf>
    <xf numFmtId="0" fontId="12" fillId="0" borderId="15" xfId="0" applyFont="1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Continuous"/>
    </xf>
    <xf numFmtId="164" fontId="1" fillId="0" borderId="14" xfId="0" applyNumberFormat="1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6" xfId="0" applyFont="1" applyBorder="1"/>
    <xf numFmtId="0" fontId="1" fillId="0" borderId="0" xfId="0" applyFont="1" applyBorder="1" applyAlignment="1">
      <alignment horizontal="centerContinuous"/>
    </xf>
    <xf numFmtId="164" fontId="1" fillId="0" borderId="0" xfId="0" applyNumberFormat="1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17" xfId="0" applyFont="1" applyBorder="1"/>
    <xf numFmtId="0" fontId="1" fillId="0" borderId="2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wrapText="1"/>
    </xf>
    <xf numFmtId="0" fontId="1" fillId="0" borderId="22" xfId="0" quotePrefix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1" fillId="0" borderId="0" xfId="0" quotePrefix="1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/>
    <xf numFmtId="176" fontId="1" fillId="0" borderId="0" xfId="0" applyNumberFormat="1" applyFont="1" applyBorder="1"/>
    <xf numFmtId="172" fontId="1" fillId="0" borderId="17" xfId="0" applyNumberFormat="1" applyFont="1" applyBorder="1" applyAlignment="1">
      <alignment horizontal="right"/>
    </xf>
    <xf numFmtId="0" fontId="1" fillId="0" borderId="0" xfId="0" quotePrefix="1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0" xfId="0" quotePrefix="1" applyFont="1" applyBorder="1" applyAlignment="1">
      <alignment horizontal="left"/>
    </xf>
    <xf numFmtId="0" fontId="1" fillId="0" borderId="17" xfId="0" applyFont="1" applyBorder="1" applyAlignment="1">
      <alignment horizontal="right"/>
    </xf>
    <xf numFmtId="0" fontId="1" fillId="0" borderId="1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/>
    <xf numFmtId="178" fontId="1" fillId="0" borderId="4" xfId="0" applyNumberFormat="1" applyFont="1" applyBorder="1"/>
    <xf numFmtId="0" fontId="1" fillId="0" borderId="19" xfId="0" applyFont="1" applyBorder="1"/>
    <xf numFmtId="44" fontId="12" fillId="0" borderId="0" xfId="0" applyNumberFormat="1" applyFont="1" applyFill="1"/>
    <xf numFmtId="0" fontId="28" fillId="3" borderId="0" xfId="0" quotePrefix="1" applyFont="1" applyFill="1" applyAlignment="1">
      <alignment horizontal="left"/>
    </xf>
    <xf numFmtId="176" fontId="28" fillId="3" borderId="0" xfId="0" applyNumberFormat="1" applyFont="1" applyFill="1"/>
    <xf numFmtId="0" fontId="28" fillId="3" borderId="0" xfId="0" applyFont="1" applyFill="1"/>
    <xf numFmtId="176" fontId="12" fillId="3" borderId="0" xfId="0" applyNumberFormat="1" applyFont="1" applyFill="1"/>
    <xf numFmtId="0" fontId="12" fillId="3" borderId="0" xfId="0" applyFont="1" applyFill="1"/>
    <xf numFmtId="0" fontId="28" fillId="4" borderId="0" xfId="0" quotePrefix="1" applyFont="1" applyFill="1" applyAlignment="1">
      <alignment horizontal="left"/>
    </xf>
    <xf numFmtId="176" fontId="28" fillId="4" borderId="0" xfId="0" applyNumberFormat="1" applyFont="1" applyFill="1"/>
    <xf numFmtId="0" fontId="12" fillId="4" borderId="0" xfId="0" applyFont="1" applyFill="1"/>
    <xf numFmtId="0" fontId="28" fillId="4" borderId="0" xfId="0" applyFont="1" applyFill="1"/>
    <xf numFmtId="176" fontId="12" fillId="0" borderId="0" xfId="0" applyNumberFormat="1" applyFont="1" applyFill="1"/>
    <xf numFmtId="176" fontId="12" fillId="4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Border="1" applyAlignment="1">
      <alignment horizontal="centerContinuous"/>
    </xf>
    <xf numFmtId="169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5" fillId="0" borderId="0" xfId="0" applyFont="1" applyFill="1" applyBorder="1" applyProtection="1">
      <protection locked="0"/>
    </xf>
    <xf numFmtId="0" fontId="1" fillId="0" borderId="0" xfId="0" applyFont="1" applyFill="1" applyAlignment="1"/>
    <xf numFmtId="176" fontId="20" fillId="0" borderId="0" xfId="0" applyNumberFormat="1" applyFont="1" applyFill="1" applyAlignment="1"/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/>
    <xf numFmtId="181" fontId="20" fillId="0" borderId="0" xfId="0" applyNumberFormat="1" applyFont="1" applyFill="1" applyAlignment="1"/>
    <xf numFmtId="0" fontId="1" fillId="0" borderId="0" xfId="0" applyFont="1" applyFill="1" applyBorder="1" applyProtection="1">
      <protection locked="0"/>
    </xf>
    <xf numFmtId="44" fontId="20" fillId="0" borderId="0" xfId="0" applyNumberFormat="1" applyFont="1" applyFill="1" applyAlignment="1"/>
    <xf numFmtId="44" fontId="1" fillId="0" borderId="0" xfId="0" applyNumberFormat="1" applyFont="1" applyFill="1" applyAlignment="1"/>
    <xf numFmtId="7" fontId="20" fillId="0" borderId="0" xfId="0" applyNumberFormat="1" applyFont="1" applyFill="1" applyAlignment="1"/>
    <xf numFmtId="171" fontId="1" fillId="0" borderId="0" xfId="0" applyNumberFormat="1" applyFont="1" applyFill="1"/>
    <xf numFmtId="44" fontId="12" fillId="4" borderId="0" xfId="0" applyNumberFormat="1" applyFont="1" applyFill="1"/>
    <xf numFmtId="0" fontId="24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 wrapText="1"/>
    </xf>
    <xf numFmtId="164" fontId="0" fillId="0" borderId="0" xfId="0" applyNumberFormat="1" applyFont="1" applyFill="1"/>
    <xf numFmtId="164" fontId="0" fillId="0" borderId="2" xfId="0" applyNumberFormat="1" applyFont="1" applyFill="1" applyBorder="1"/>
    <xf numFmtId="0" fontId="3" fillId="0" borderId="0" xfId="0" applyFont="1" applyFill="1"/>
    <xf numFmtId="164" fontId="0" fillId="0" borderId="0" xfId="0" applyNumberFormat="1" applyFont="1" applyFill="1" applyBorder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6" fontId="8" fillId="0" borderId="0" xfId="0" applyNumberFormat="1" applyFont="1" applyFill="1" applyProtection="1">
      <protection locked="0"/>
    </xf>
    <xf numFmtId="166" fontId="8" fillId="0" borderId="2" xfId="0" applyNumberFormat="1" applyFont="1" applyFill="1" applyBorder="1" applyProtection="1">
      <protection locked="0"/>
    </xf>
    <xf numFmtId="165" fontId="8" fillId="0" borderId="2" xfId="0" applyNumberFormat="1" applyFont="1" applyFill="1" applyBorder="1" applyProtection="1">
      <protection locked="0"/>
    </xf>
    <xf numFmtId="166" fontId="8" fillId="0" borderId="12" xfId="0" applyNumberFormat="1" applyFont="1" applyFill="1" applyBorder="1" applyProtection="1">
      <protection locked="0"/>
    </xf>
    <xf numFmtId="167" fontId="0" fillId="0" borderId="12" xfId="0" applyNumberFormat="1" applyFill="1" applyBorder="1" applyProtection="1"/>
    <xf numFmtId="10" fontId="5" fillId="0" borderId="3" xfId="0" applyNumberFormat="1" applyFont="1" applyFill="1" applyBorder="1"/>
    <xf numFmtId="0" fontId="0" fillId="0" borderId="13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12" fillId="0" borderId="0" xfId="0" quotePrefix="1" applyFont="1" applyFill="1" applyAlignment="1">
      <alignment horizontal="left"/>
    </xf>
    <xf numFmtId="44" fontId="28" fillId="0" borderId="0" xfId="0" applyNumberFormat="1" applyFont="1" applyFill="1"/>
    <xf numFmtId="172" fontId="1" fillId="0" borderId="0" xfId="0" applyNumberFormat="1" applyFont="1"/>
    <xf numFmtId="172" fontId="0" fillId="0" borderId="0" xfId="0" applyNumberFormat="1"/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0" fillId="0" borderId="0" xfId="0" applyNumberFormat="1" applyFont="1" applyFill="1"/>
    <xf numFmtId="17" fontId="1" fillId="0" borderId="6" xfId="0" quotePrefix="1" applyNumberFormat="1" applyFont="1" applyFill="1" applyBorder="1" applyAlignment="1">
      <alignment horizontal="center" wrapText="1"/>
    </xf>
    <xf numFmtId="0" fontId="0" fillId="0" borderId="0" xfId="0" quotePrefix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0" fontId="1" fillId="0" borderId="17" xfId="0" applyNumberFormat="1" applyFont="1" applyBorder="1" applyAlignment="1">
      <alignment horizontal="right"/>
    </xf>
    <xf numFmtId="165" fontId="0" fillId="0" borderId="0" xfId="0" applyNumberFormat="1" applyFill="1"/>
    <xf numFmtId="17" fontId="1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vertical="top" wrapText="1"/>
    </xf>
    <xf numFmtId="0" fontId="0" fillId="0" borderId="0" xfId="0" quotePrefix="1" applyFill="1" applyAlignment="1">
      <alignment horizontal="center" vertical="top" wrapText="1"/>
    </xf>
    <xf numFmtId="0" fontId="1" fillId="0" borderId="0" xfId="1" quotePrefix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center" wrapText="1"/>
    </xf>
    <xf numFmtId="0" fontId="1" fillId="0" borderId="0" xfId="1" quotePrefix="1" applyFont="1" applyFill="1" applyAlignment="1">
      <alignment horizontal="center" wrapText="1"/>
    </xf>
    <xf numFmtId="0" fontId="1" fillId="0" borderId="1" xfId="1" quotePrefix="1" applyFont="1" applyFill="1" applyBorder="1" applyAlignment="1">
      <alignment horizontal="center" wrapText="1"/>
    </xf>
    <xf numFmtId="17" fontId="1" fillId="0" borderId="1" xfId="1" quotePrefix="1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0" fontId="1" fillId="0" borderId="0" xfId="1" quotePrefix="1" applyFont="1" applyFill="1" applyBorder="1" applyAlignment="1">
      <alignment horizontal="center" wrapText="1"/>
    </xf>
    <xf numFmtId="17" fontId="1" fillId="0" borderId="0" xfId="1" quotePrefix="1" applyNumberFormat="1" applyFont="1" applyFill="1" applyBorder="1" applyAlignment="1">
      <alignment horizontal="center" wrapText="1"/>
    </xf>
    <xf numFmtId="164" fontId="45" fillId="0" borderId="0" xfId="1" applyNumberFormat="1" applyFont="1" applyFill="1"/>
    <xf numFmtId="164" fontId="44" fillId="0" borderId="0" xfId="1" applyNumberFormat="1" applyFont="1" applyFill="1"/>
    <xf numFmtId="165" fontId="45" fillId="0" borderId="0" xfId="1" applyNumberFormat="1" applyFont="1" applyFill="1"/>
    <xf numFmtId="176" fontId="45" fillId="0" borderId="0" xfId="1" applyNumberFormat="1" applyFont="1" applyFill="1" applyBorder="1"/>
    <xf numFmtId="176" fontId="20" fillId="0" borderId="0" xfId="1" applyNumberFormat="1" applyFont="1" applyFill="1" applyBorder="1"/>
    <xf numFmtId="165" fontId="44" fillId="0" borderId="0" xfId="1" applyNumberFormat="1" applyFont="1" applyFill="1"/>
    <xf numFmtId="164" fontId="44" fillId="0" borderId="2" xfId="1" applyNumberFormat="1" applyFont="1" applyFill="1" applyBorder="1"/>
    <xf numFmtId="165" fontId="44" fillId="0" borderId="2" xfId="1" applyNumberFormat="1" applyFont="1" applyFill="1" applyBorder="1"/>
    <xf numFmtId="176" fontId="1" fillId="0" borderId="0" xfId="1" applyNumberFormat="1" applyFont="1" applyFill="1" applyBorder="1"/>
    <xf numFmtId="0" fontId="1" fillId="0" borderId="0" xfId="1" applyFont="1" applyFill="1" applyBorder="1"/>
    <xf numFmtId="44" fontId="45" fillId="0" borderId="0" xfId="1" applyNumberFormat="1" applyFont="1" applyFill="1" applyBorder="1"/>
    <xf numFmtId="44" fontId="20" fillId="0" borderId="0" xfId="1" applyNumberFormat="1" applyFont="1" applyFill="1" applyBorder="1"/>
    <xf numFmtId="0" fontId="1" fillId="0" borderId="0" xfId="1" quotePrefix="1" applyFont="1" applyFill="1" applyAlignment="1">
      <alignment horizontal="left"/>
    </xf>
    <xf numFmtId="0" fontId="45" fillId="0" borderId="0" xfId="1" applyFont="1" applyFill="1"/>
    <xf numFmtId="164" fontId="45" fillId="0" borderId="2" xfId="1" applyNumberFormat="1" applyFont="1" applyFill="1" applyBorder="1"/>
    <xf numFmtId="176" fontId="1" fillId="0" borderId="0" xfId="1" applyNumberFormat="1" applyFont="1" applyFill="1"/>
    <xf numFmtId="164" fontId="44" fillId="0" borderId="3" xfId="1" applyNumberFormat="1" applyFont="1" applyFill="1" applyBorder="1"/>
    <xf numFmtId="165" fontId="44" fillId="0" borderId="3" xfId="1" applyNumberFormat="1" applyFont="1" applyFill="1" applyBorder="1"/>
    <xf numFmtId="0" fontId="1" fillId="0" borderId="23" xfId="0" quotePrefix="1" applyFont="1" applyFill="1" applyBorder="1" applyAlignment="1">
      <alignment horizontal="center"/>
    </xf>
    <xf numFmtId="0" fontId="1" fillId="0" borderId="24" xfId="0" quotePrefix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quotePrefix="1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3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2" fillId="0" borderId="7" xfId="0" quotePrefix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quotePrefix="1" applyFont="1" applyFill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Impacts%20(Electri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_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Impacts"/>
      <sheetName val="Exhibit No.__(JAP-Prof-Prop)"/>
      <sheetName val="Sch 95"/>
      <sheetName val="Sch 95a"/>
      <sheetName val="Sch 120"/>
      <sheetName val="Sch 129"/>
      <sheetName val="Sch 132"/>
      <sheetName val="Sch 137"/>
      <sheetName val="Sch 140"/>
      <sheetName val="Sch 141"/>
      <sheetName val="Sch 142 Deferral &amp; K-Factor"/>
      <sheetName val="Sch 142 Rate Plan Lights"/>
      <sheetName val="Sch 142 Rate Plan Sch 449"/>
      <sheetName val="Sch 194"/>
      <sheetName val="Compliance Filings"/>
      <sheetName val="Compliance Sch 95"/>
      <sheetName val="Proposed Sch 95A"/>
      <sheetName val="Compliance Sch 120"/>
      <sheetName val="Compliance Sch 129"/>
      <sheetName val="Proposed Sch 132"/>
      <sheetName val="Proposed Sch 137"/>
      <sheetName val="Compliance Sch 140"/>
      <sheetName val="Compliance Sch 142"/>
      <sheetName val="Compliance Sch 194"/>
    </sheetNames>
    <sheetDataSet>
      <sheetData sheetId="0">
        <row r="9">
          <cell r="X9">
            <v>1150879</v>
          </cell>
        </row>
        <row r="12">
          <cell r="X12">
            <v>297268</v>
          </cell>
        </row>
        <row r="13">
          <cell r="X13">
            <v>280441</v>
          </cell>
        </row>
        <row r="14">
          <cell r="X14">
            <v>169304.22999999998</v>
          </cell>
        </row>
        <row r="15">
          <cell r="X15">
            <v>1174</v>
          </cell>
        </row>
        <row r="18">
          <cell r="X18">
            <v>113347.895</v>
          </cell>
        </row>
        <row r="19">
          <cell r="X19">
            <v>263</v>
          </cell>
        </row>
        <row r="20">
          <cell r="X20">
            <v>11945</v>
          </cell>
        </row>
        <row r="23">
          <cell r="X23">
            <v>51337.987000000001</v>
          </cell>
        </row>
        <row r="25">
          <cell r="X25">
            <v>4678</v>
          </cell>
        </row>
        <row r="26">
          <cell r="X26">
            <v>40827</v>
          </cell>
        </row>
        <row r="29">
          <cell r="X29">
            <v>19361</v>
          </cell>
        </row>
        <row r="31">
          <cell r="X31">
            <v>10874</v>
          </cell>
        </row>
        <row r="35">
          <cell r="X35">
            <v>693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 refreshError="1"/>
      <sheetData sheetId="1" refreshError="1">
        <row r="8">
          <cell r="F8">
            <v>7.49</v>
          </cell>
        </row>
        <row r="11">
          <cell r="F11">
            <v>9.1361999999999999E-2</v>
          </cell>
        </row>
        <row r="12">
          <cell r="F12">
            <v>0.111197</v>
          </cell>
        </row>
        <row r="15">
          <cell r="F15">
            <v>10.11</v>
          </cell>
        </row>
        <row r="16">
          <cell r="F16">
            <v>25.69</v>
          </cell>
        </row>
        <row r="18">
          <cell r="F18">
            <v>9.3608999999999998E-2</v>
          </cell>
        </row>
        <row r="19">
          <cell r="F19">
            <v>9.0369000000000005E-2</v>
          </cell>
        </row>
        <row r="22">
          <cell r="F22">
            <v>53.75</v>
          </cell>
        </row>
        <row r="24">
          <cell r="F24">
            <v>9.3432000000000001E-2</v>
          </cell>
        </row>
        <row r="25">
          <cell r="F25">
            <v>8.4047999999999998E-2</v>
          </cell>
        </row>
        <row r="26">
          <cell r="F26">
            <v>6.4072000000000004E-2</v>
          </cell>
        </row>
        <row r="28">
          <cell r="F28">
            <v>0</v>
          </cell>
        </row>
        <row r="29">
          <cell r="F29">
            <v>10.37</v>
          </cell>
        </row>
        <row r="30">
          <cell r="F30">
            <v>6.92</v>
          </cell>
        </row>
        <row r="32">
          <cell r="F32">
            <v>3.2599999999999999E-3</v>
          </cell>
        </row>
        <row r="35">
          <cell r="F35">
            <v>108.66</v>
          </cell>
        </row>
        <row r="37">
          <cell r="F37">
            <v>5.8765000000000005E-2</v>
          </cell>
        </row>
        <row r="39">
          <cell r="F39">
            <v>12.24</v>
          </cell>
        </row>
        <row r="40">
          <cell r="F40">
            <v>8.16</v>
          </cell>
        </row>
        <row r="42">
          <cell r="F42">
            <v>1.2899999999999999E-3</v>
          </cell>
        </row>
        <row r="55">
          <cell r="F55">
            <v>9.94</v>
          </cell>
        </row>
        <row r="56">
          <cell r="F56">
            <v>25.26</v>
          </cell>
        </row>
        <row r="58">
          <cell r="F58">
            <v>9.3187999999999993E-2</v>
          </cell>
        </row>
        <row r="59">
          <cell r="F59">
            <v>7.0774000000000004E-2</v>
          </cell>
        </row>
        <row r="60">
          <cell r="F60">
            <v>6.4574000000000006E-2</v>
          </cell>
        </row>
        <row r="61">
          <cell r="F61">
            <v>5.5329000000000003E-2</v>
          </cell>
        </row>
        <row r="64">
          <cell r="F64">
            <v>9.19</v>
          </cell>
        </row>
        <row r="65">
          <cell r="F65">
            <v>4.53</v>
          </cell>
        </row>
        <row r="67">
          <cell r="F67">
            <v>2.9199999999999999E-3</v>
          </cell>
        </row>
        <row r="70">
          <cell r="F70">
            <v>353.17</v>
          </cell>
        </row>
        <row r="72">
          <cell r="F72">
            <v>5.6535000000000002E-2</v>
          </cell>
        </row>
        <row r="74">
          <cell r="F74">
            <v>11.78</v>
          </cell>
        </row>
        <row r="75">
          <cell r="F75">
            <v>7.85</v>
          </cell>
        </row>
        <row r="77">
          <cell r="F77">
            <v>1.1000000000000001E-3</v>
          </cell>
        </row>
        <row r="154">
          <cell r="F154">
            <v>5.2526999999999997E-2</v>
          </cell>
        </row>
        <row r="156">
          <cell r="F156">
            <v>2.95</v>
          </cell>
        </row>
        <row r="162">
          <cell r="F162">
            <v>5.2526999999999997E-2</v>
          </cell>
        </row>
        <row r="164">
          <cell r="F164">
            <v>5.48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7">
          <cell r="G27">
            <v>9.2145000000000005E-2</v>
          </cell>
        </row>
        <row r="59">
          <cell r="G59">
            <v>8.8836999999999999E-2</v>
          </cell>
        </row>
        <row r="60">
          <cell r="G60">
            <v>8.67</v>
          </cell>
        </row>
        <row r="81">
          <cell r="G81">
            <v>10.15</v>
          </cell>
        </row>
        <row r="141">
          <cell r="G141">
            <v>6.8498000000000003E-2</v>
          </cell>
        </row>
        <row r="142">
          <cell r="G142">
            <v>5.6090000000000001E-2</v>
          </cell>
        </row>
        <row r="143">
          <cell r="G143">
            <v>6.21</v>
          </cell>
        </row>
      </sheetData>
      <sheetData sheetId="9" refreshError="1">
        <row r="31">
          <cell r="G31">
            <v>9.76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F8">
            <v>7.49</v>
          </cell>
        </row>
        <row r="11">
          <cell r="F11">
            <v>8.7335999999999997E-2</v>
          </cell>
        </row>
        <row r="12">
          <cell r="F12">
            <v>0.106297</v>
          </cell>
        </row>
        <row r="15">
          <cell r="F15">
            <v>9.8000000000000007</v>
          </cell>
        </row>
        <row r="16">
          <cell r="F16">
            <v>24.9</v>
          </cell>
        </row>
        <row r="18">
          <cell r="F18">
            <v>9.071499999999999E-2</v>
          </cell>
        </row>
        <row r="19">
          <cell r="F19">
            <v>8.7578000000000003E-2</v>
          </cell>
        </row>
        <row r="22">
          <cell r="F22">
            <v>52.3</v>
          </cell>
        </row>
        <row r="24">
          <cell r="F24">
            <v>9.0753E-2</v>
          </cell>
        </row>
        <row r="25">
          <cell r="F25">
            <v>8.2225999999999994E-2</v>
          </cell>
        </row>
        <row r="26">
          <cell r="F26">
            <v>6.4072000000000004E-2</v>
          </cell>
        </row>
        <row r="29">
          <cell r="F29">
            <v>9.42</v>
          </cell>
        </row>
        <row r="30">
          <cell r="F30">
            <v>6.29</v>
          </cell>
        </row>
        <row r="32">
          <cell r="F32">
            <v>2.96E-3</v>
          </cell>
        </row>
        <row r="35">
          <cell r="F35">
            <v>105.74</v>
          </cell>
        </row>
        <row r="37">
          <cell r="F37">
            <v>5.7180999999999996E-2</v>
          </cell>
        </row>
        <row r="39">
          <cell r="F39">
            <v>11.91</v>
          </cell>
        </row>
        <row r="40">
          <cell r="F40">
            <v>7.94</v>
          </cell>
        </row>
        <row r="42">
          <cell r="F42">
            <v>1.2600000000000001E-3</v>
          </cell>
        </row>
        <row r="55">
          <cell r="F55">
            <v>9.68</v>
          </cell>
        </row>
        <row r="56">
          <cell r="F56">
            <v>24.58</v>
          </cell>
        </row>
        <row r="58">
          <cell r="F58">
            <v>9.0677999999999995E-2</v>
          </cell>
        </row>
        <row r="59">
          <cell r="F59">
            <v>6.8867999999999999E-2</v>
          </cell>
        </row>
        <row r="60">
          <cell r="F60">
            <v>6.2835000000000002E-2</v>
          </cell>
        </row>
        <row r="61">
          <cell r="F61">
            <v>5.3838999999999998E-2</v>
          </cell>
        </row>
        <row r="63">
          <cell r="E63">
            <v>0</v>
          </cell>
          <cell r="F63">
            <v>0</v>
          </cell>
        </row>
        <row r="64">
          <cell r="F64">
            <v>8.94</v>
          </cell>
        </row>
        <row r="65">
          <cell r="F65">
            <v>4.4000000000000004</v>
          </cell>
        </row>
        <row r="67">
          <cell r="F67">
            <v>2.8400000000000001E-3</v>
          </cell>
        </row>
        <row r="70">
          <cell r="F70">
            <v>343.66</v>
          </cell>
        </row>
        <row r="72">
          <cell r="F72">
            <v>5.5014E-2</v>
          </cell>
        </row>
        <row r="74">
          <cell r="F74">
            <v>11.46</v>
          </cell>
        </row>
        <row r="75">
          <cell r="F75">
            <v>7.64</v>
          </cell>
        </row>
        <row r="77">
          <cell r="F77">
            <v>1.07E-3</v>
          </cell>
        </row>
        <row r="154">
          <cell r="F154">
            <v>5.0738999999999999E-2</v>
          </cell>
        </row>
        <row r="156">
          <cell r="F156">
            <v>2.95</v>
          </cell>
        </row>
        <row r="162">
          <cell r="F162">
            <v>5.0738999999999999E-2</v>
          </cell>
        </row>
        <row r="164">
          <cell r="F164">
            <v>5.48</v>
          </cell>
        </row>
      </sheetData>
      <sheetData sheetId="2"/>
      <sheetData sheetId="3"/>
      <sheetData sheetId="4">
        <row r="8">
          <cell r="J8">
            <v>20068.76514795914</v>
          </cell>
        </row>
        <row r="14">
          <cell r="J14">
            <v>8751.180587857616</v>
          </cell>
        </row>
        <row r="20">
          <cell r="J20">
            <v>1459.852050042829</v>
          </cell>
        </row>
        <row r="22">
          <cell r="J22">
            <v>1561.8656988013433</v>
          </cell>
        </row>
        <row r="24">
          <cell r="J24">
            <v>493.59819216494742</v>
          </cell>
        </row>
        <row r="26">
          <cell r="J26">
            <v>444.97500000000002</v>
          </cell>
        </row>
        <row r="28">
          <cell r="J28">
            <v>323.00548499447603</v>
          </cell>
        </row>
        <row r="32">
          <cell r="J32">
            <v>368.04583817964465</v>
          </cell>
        </row>
      </sheetData>
      <sheetData sheetId="5"/>
      <sheetData sheetId="6">
        <row r="17">
          <cell r="H17">
            <v>999942</v>
          </cell>
          <cell r="J17">
            <v>10442426</v>
          </cell>
          <cell r="L17">
            <v>1066627</v>
          </cell>
          <cell r="N17">
            <v>1086698</v>
          </cell>
        </row>
        <row r="21">
          <cell r="H21">
            <v>126833.25</v>
          </cell>
          <cell r="J21">
            <v>2787584</v>
          </cell>
          <cell r="L21">
            <v>266957</v>
          </cell>
          <cell r="N21">
            <v>270724</v>
          </cell>
        </row>
        <row r="22">
          <cell r="H22">
            <v>7219.916666666667</v>
          </cell>
          <cell r="J22">
            <v>2839459</v>
          </cell>
          <cell r="L22">
            <v>252529</v>
          </cell>
          <cell r="N22">
            <v>255617</v>
          </cell>
        </row>
        <row r="23">
          <cell r="H23">
            <v>9711</v>
          </cell>
          <cell r="J23">
            <v>1892054.7443816457</v>
          </cell>
          <cell r="L23">
            <v>153864.55600000001</v>
          </cell>
          <cell r="N23">
            <v>155745.5</v>
          </cell>
        </row>
        <row r="24">
          <cell r="H24">
            <v>607.5</v>
          </cell>
          <cell r="J24">
            <v>14327</v>
          </cell>
          <cell r="L24">
            <v>1137.7460000000001</v>
          </cell>
          <cell r="N24">
            <v>1151.671</v>
          </cell>
        </row>
        <row r="28">
          <cell r="H28">
            <v>487.83333333333331</v>
          </cell>
          <cell r="J28">
            <v>1284401.5744586966</v>
          </cell>
          <cell r="L28">
            <v>102890.712</v>
          </cell>
          <cell r="N28">
            <v>104148.59600000001</v>
          </cell>
        </row>
        <row r="29">
          <cell r="H29">
            <v>1</v>
          </cell>
          <cell r="J29">
            <v>4452.6000000000004</v>
          </cell>
          <cell r="L29">
            <v>248.215</v>
          </cell>
          <cell r="N29">
            <v>255.21899999999999</v>
          </cell>
        </row>
        <row r="30">
          <cell r="H30">
            <v>158.66666666666666</v>
          </cell>
          <cell r="J30">
            <v>119660.40146477679</v>
          </cell>
          <cell r="L30">
            <v>10337.824000000001</v>
          </cell>
          <cell r="N30">
            <v>10532.384</v>
          </cell>
        </row>
        <row r="33">
          <cell r="H33">
            <v>142.25</v>
          </cell>
          <cell r="J33">
            <v>621678.72633913101</v>
          </cell>
          <cell r="L33">
            <v>43551.319801261998</v>
          </cell>
          <cell r="N33">
            <v>45113.1855</v>
          </cell>
        </row>
        <row r="36">
          <cell r="H36">
            <v>5</v>
          </cell>
          <cell r="J36">
            <v>64275.357697999993</v>
          </cell>
          <cell r="L36">
            <v>4202.3490000000002</v>
          </cell>
          <cell r="N36">
            <v>4256.2510000000002</v>
          </cell>
        </row>
        <row r="37">
          <cell r="H37">
            <v>20</v>
          </cell>
          <cell r="J37">
            <v>567983.85900000005</v>
          </cell>
          <cell r="L37">
            <v>36157.741000000002</v>
          </cell>
          <cell r="N37">
            <v>36597.635000000002</v>
          </cell>
        </row>
        <row r="40">
          <cell r="H40">
            <v>20</v>
          </cell>
          <cell r="J40">
            <v>2098103.6366259996</v>
          </cell>
          <cell r="L40">
            <v>7513.2849999999999</v>
          </cell>
          <cell r="N40">
            <v>7958.26</v>
          </cell>
        </row>
        <row r="42">
          <cell r="H42">
            <v>7226.5</v>
          </cell>
          <cell r="J42">
            <v>77972.349305999989</v>
          </cell>
          <cell r="L42">
            <v>17167.293000000001</v>
          </cell>
          <cell r="N42">
            <v>17488.471000000001</v>
          </cell>
        </row>
        <row r="46">
          <cell r="H46">
            <v>8</v>
          </cell>
          <cell r="J46">
            <v>6929.8034221808284</v>
          </cell>
          <cell r="L46">
            <v>316.39299999999997</v>
          </cell>
          <cell r="N46">
            <v>684.43883817964468</v>
          </cell>
        </row>
      </sheetData>
      <sheetData sheetId="7"/>
      <sheetData sheetId="8">
        <row r="27">
          <cell r="G27">
            <v>8.9297000000000001E-2</v>
          </cell>
        </row>
        <row r="59">
          <cell r="G59">
            <v>8.6577000000000001E-2</v>
          </cell>
        </row>
        <row r="60">
          <cell r="G60">
            <v>7.88</v>
          </cell>
        </row>
        <row r="81">
          <cell r="G81">
            <v>9.8699999999999992</v>
          </cell>
        </row>
        <row r="141">
          <cell r="G141">
            <v>6.6653000000000004E-2</v>
          </cell>
        </row>
        <row r="142">
          <cell r="G142">
            <v>5.4579000000000003E-2</v>
          </cell>
        </row>
        <row r="143">
          <cell r="G143">
            <v>6.03</v>
          </cell>
        </row>
      </sheetData>
      <sheetData sheetId="9">
        <row r="31">
          <cell r="G31">
            <v>9.5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  <cell r="K39">
            <v>1963503474.8012619</v>
          </cell>
        </row>
      </sheetData>
      <sheetData sheetId="2"/>
      <sheetData sheetId="3"/>
      <sheetData sheetId="4">
        <row r="7">
          <cell r="D7">
            <v>11996380</v>
          </cell>
        </row>
      </sheetData>
      <sheetData sheetId="5">
        <row r="6">
          <cell r="D6">
            <v>48</v>
          </cell>
        </row>
      </sheetData>
      <sheetData sheetId="6">
        <row r="7">
          <cell r="D7">
            <v>1066088</v>
          </cell>
        </row>
      </sheetData>
      <sheetData sheetId="7">
        <row r="8">
          <cell r="D8">
            <v>86591</v>
          </cell>
        </row>
      </sheetData>
      <sheetData sheetId="8">
        <row r="9">
          <cell r="D9">
            <v>9687</v>
          </cell>
        </row>
        <row r="30">
          <cell r="D30">
            <v>4573469</v>
          </cell>
        </row>
      </sheetData>
      <sheetData sheetId="9">
        <row r="6">
          <cell r="D6">
            <v>24</v>
          </cell>
        </row>
        <row r="17">
          <cell r="D17">
            <v>31061</v>
          </cell>
        </row>
      </sheetData>
      <sheetData sheetId="10">
        <row r="7">
          <cell r="D7">
            <v>2248</v>
          </cell>
        </row>
      </sheetData>
      <sheetData sheetId="11">
        <row r="8">
          <cell r="D8">
            <v>5854</v>
          </cell>
        </row>
        <row r="22">
          <cell r="D22">
            <v>3277620</v>
          </cell>
        </row>
      </sheetData>
      <sheetData sheetId="12">
        <row r="6">
          <cell r="D6">
            <v>12</v>
          </cell>
        </row>
      </sheetData>
      <sheetData sheetId="13">
        <row r="6">
          <cell r="D6">
            <v>1904</v>
          </cell>
        </row>
      </sheetData>
      <sheetData sheetId="14">
        <row r="6">
          <cell r="D6">
            <v>483</v>
          </cell>
        </row>
      </sheetData>
      <sheetData sheetId="15">
        <row r="7">
          <cell r="D7">
            <v>57370247</v>
          </cell>
        </row>
      </sheetData>
      <sheetData sheetId="16">
        <row r="7">
          <cell r="D7">
            <v>565213426</v>
          </cell>
        </row>
      </sheetData>
      <sheetData sheetId="17">
        <row r="6">
          <cell r="D6">
            <v>240</v>
          </cell>
        </row>
      </sheetData>
      <sheetData sheetId="18">
        <row r="17">
          <cell r="E17">
            <v>6940542.4285000004</v>
          </cell>
        </row>
      </sheetData>
      <sheetData sheetId="19">
        <row r="7">
          <cell r="D7">
            <v>6797340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</row>
      </sheetData>
      <sheetData sheetId="27"/>
      <sheetData sheetId="28">
        <row r="27">
          <cell r="C27">
            <v>558281.61848886195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="90" zoomScaleNormal="90" workbookViewId="0">
      <pane xSplit="2" ySplit="7" topLeftCell="C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N8" sqref="N8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1.44140625" style="1" bestFit="1" customWidth="1"/>
    <col min="4" max="4" width="11.44140625" style="1" customWidth="1"/>
    <col min="5" max="5" width="12.77734375" style="1" customWidth="1"/>
    <col min="6" max="6" width="8.21875" style="1" bestFit="1" customWidth="1"/>
    <col min="7" max="7" width="6.33203125" style="1"/>
    <col min="8" max="8" width="9.5546875" style="1" bestFit="1" customWidth="1"/>
    <col min="9" max="9" width="9.5546875" style="1" customWidth="1"/>
    <col min="10" max="10" width="8.5546875" style="1" bestFit="1" customWidth="1"/>
    <col min="11" max="11" width="9.5546875" style="1" bestFit="1" customWidth="1"/>
    <col min="12" max="12" width="11.77734375" style="1" bestFit="1" customWidth="1"/>
    <col min="13" max="13" width="10.5546875" style="1" bestFit="1" customWidth="1"/>
    <col min="14" max="14" width="7.33203125" style="1" customWidth="1"/>
    <col min="15" max="16384" width="6.33203125" style="1"/>
  </cols>
  <sheetData>
    <row r="1" spans="1:14">
      <c r="A1" s="597" t="s">
        <v>0</v>
      </c>
      <c r="B1" s="597"/>
    </row>
    <row r="2" spans="1:14">
      <c r="A2" s="598" t="s">
        <v>717</v>
      </c>
      <c r="B2" s="597"/>
    </row>
    <row r="3" spans="1:14">
      <c r="A3" s="597" t="s">
        <v>718</v>
      </c>
      <c r="B3" s="597"/>
    </row>
    <row r="4" spans="1:14">
      <c r="A4" s="597" t="s">
        <v>303</v>
      </c>
      <c r="B4" s="597"/>
    </row>
    <row r="5" spans="1:14" ht="13.8" thickBot="1">
      <c r="A5" s="556"/>
      <c r="B5" s="555"/>
    </row>
    <row r="6" spans="1:14" ht="13.8" thickBot="1">
      <c r="A6" s="556"/>
      <c r="B6" s="555"/>
      <c r="C6" s="593" t="s">
        <v>669</v>
      </c>
      <c r="D6" s="594"/>
      <c r="E6" s="595"/>
      <c r="F6" s="596"/>
      <c r="H6" s="593" t="s">
        <v>719</v>
      </c>
      <c r="I6" s="594"/>
      <c r="J6" s="594"/>
      <c r="K6" s="595"/>
      <c r="L6" s="596"/>
    </row>
    <row r="7" spans="1:14" ht="52.8">
      <c r="A7" s="6" t="s">
        <v>3</v>
      </c>
      <c r="B7" s="6" t="s">
        <v>4</v>
      </c>
      <c r="C7" s="8" t="s">
        <v>673</v>
      </c>
      <c r="D7" s="8" t="s">
        <v>670</v>
      </c>
      <c r="E7" s="8" t="s">
        <v>306</v>
      </c>
      <c r="F7" s="468" t="s">
        <v>307</v>
      </c>
      <c r="H7" s="299" t="s">
        <v>712</v>
      </c>
      <c r="I7" s="562" t="s">
        <v>677</v>
      </c>
      <c r="J7" s="299" t="s">
        <v>678</v>
      </c>
      <c r="K7" s="299" t="s">
        <v>679</v>
      </c>
      <c r="L7" s="299" t="s">
        <v>681</v>
      </c>
      <c r="M7" s="8" t="s">
        <v>306</v>
      </c>
      <c r="N7" s="468" t="s">
        <v>307</v>
      </c>
    </row>
    <row r="8" spans="1:14" s="563" customFormat="1" ht="26.4">
      <c r="A8" s="302"/>
      <c r="B8" s="302"/>
      <c r="C8" s="304" t="s">
        <v>114</v>
      </c>
      <c r="D8" s="304" t="s">
        <v>115</v>
      </c>
      <c r="E8" s="304" t="s">
        <v>671</v>
      </c>
      <c r="F8" s="303" t="s">
        <v>672</v>
      </c>
      <c r="H8" s="563" t="s">
        <v>238</v>
      </c>
      <c r="I8" s="563" t="s">
        <v>239</v>
      </c>
      <c r="J8" s="563" t="s">
        <v>240</v>
      </c>
      <c r="K8" s="563" t="s">
        <v>295</v>
      </c>
      <c r="L8" s="564" t="s">
        <v>720</v>
      </c>
      <c r="M8" s="304" t="s">
        <v>721</v>
      </c>
      <c r="N8" s="303" t="s">
        <v>722</v>
      </c>
    </row>
    <row r="9" spans="1:14">
      <c r="A9" s="555">
        <v>1</v>
      </c>
      <c r="B9" s="555">
        <v>7</v>
      </c>
      <c r="C9" s="535">
        <f>+'[1]GRC Impacts'!X9</f>
        <v>1150879</v>
      </c>
      <c r="D9" s="535">
        <f>+'GRC Tax Reform Impacts'!X9</f>
        <v>1104918</v>
      </c>
      <c r="E9" s="535">
        <f>+D9-C9</f>
        <v>-45961</v>
      </c>
      <c r="F9" s="11">
        <f>+E9/C9</f>
        <v>-3.9935562296297002E-2</v>
      </c>
      <c r="G9" s="335"/>
      <c r="H9" s="535">
        <f>ROUND(+'Sch 95a'!K7,0)</f>
        <v>4375</v>
      </c>
      <c r="I9" s="535">
        <f>ROUND(+'Sch 120'!K7,0)</f>
        <v>-12688</v>
      </c>
      <c r="J9" s="535">
        <f>ROUND('Sch 140'!K7,0)</f>
        <v>-2047</v>
      </c>
      <c r="K9" s="535">
        <f>ROUND('Sch 142 Deferral &amp; K-Factor'!S7,0)</f>
        <v>-24320</v>
      </c>
      <c r="L9" s="535">
        <f>SUM(H9:K9)</f>
        <v>-34680</v>
      </c>
      <c r="M9" s="535">
        <f>+L9+E9</f>
        <v>-80641</v>
      </c>
      <c r="N9" s="11">
        <f>+M9/C9</f>
        <v>-7.0069051568409882E-2</v>
      </c>
    </row>
    <row r="10" spans="1:14">
      <c r="A10" s="555">
        <f>+A9+1</f>
        <v>2</v>
      </c>
      <c r="B10" s="555" t="s">
        <v>16</v>
      </c>
      <c r="C10" s="536">
        <f>SUM(C9:C9)</f>
        <v>1150879</v>
      </c>
      <c r="D10" s="536">
        <f>SUM(D9:D9)</f>
        <v>1104918</v>
      </c>
      <c r="E10" s="536">
        <f t="shared" ref="E10" si="0">SUM(E9:E9)</f>
        <v>-45961</v>
      </c>
      <c r="F10" s="332">
        <f>+E10/C10</f>
        <v>-3.9935562296297002E-2</v>
      </c>
      <c r="G10" s="335"/>
      <c r="H10" s="536">
        <f>SUM(H9:H9)</f>
        <v>4375</v>
      </c>
      <c r="I10" s="536">
        <f>SUM(I9:I9)</f>
        <v>-12688</v>
      </c>
      <c r="J10" s="536">
        <f t="shared" ref="J10:K10" si="1">SUM(J9:J9)</f>
        <v>-2047</v>
      </c>
      <c r="K10" s="536">
        <f t="shared" si="1"/>
        <v>-24320</v>
      </c>
      <c r="L10" s="536">
        <f t="shared" ref="L10:M10" si="2">SUM(L9:L9)</f>
        <v>-34680</v>
      </c>
      <c r="M10" s="536">
        <f t="shared" si="2"/>
        <v>-80641</v>
      </c>
      <c r="N10" s="332">
        <f>+M10/C10</f>
        <v>-7.0069051568409882E-2</v>
      </c>
    </row>
    <row r="11" spans="1:14">
      <c r="A11" s="555">
        <f t="shared" ref="A11:A37" si="3">+A10+1</f>
        <v>3</v>
      </c>
      <c r="B11" s="555"/>
      <c r="C11" s="535"/>
      <c r="D11" s="535"/>
      <c r="E11" s="535"/>
      <c r="F11" s="11"/>
      <c r="G11" s="335"/>
      <c r="H11" s="535"/>
      <c r="I11" s="535"/>
      <c r="J11" s="535"/>
      <c r="K11" s="535"/>
      <c r="L11" s="535"/>
      <c r="M11" s="535"/>
      <c r="N11" s="11"/>
    </row>
    <row r="12" spans="1:14">
      <c r="A12" s="555">
        <f t="shared" si="3"/>
        <v>4</v>
      </c>
      <c r="B12" s="556" t="s">
        <v>93</v>
      </c>
      <c r="C12" s="535">
        <f>+'[1]GRC Impacts'!X12</f>
        <v>297268</v>
      </c>
      <c r="D12" s="535">
        <f>+'GRC Tax Reform Impacts'!X12</f>
        <v>288629</v>
      </c>
      <c r="E12" s="535">
        <f t="shared" ref="E12:E15" si="4">+D12-C12</f>
        <v>-8639</v>
      </c>
      <c r="F12" s="11">
        <f t="shared" ref="F12:F16" si="5">+E12/C12</f>
        <v>-2.9061318406286583E-2</v>
      </c>
      <c r="G12" s="335"/>
      <c r="H12" s="535">
        <f>ROUND(+'Sch 95a'!K12,0)</f>
        <v>943</v>
      </c>
      <c r="I12" s="535">
        <f>ROUND(+'Sch 120'!K12,0)</f>
        <v>-1207</v>
      </c>
      <c r="J12" s="535">
        <f>ROUND('Sch 140'!K12,0)</f>
        <v>92</v>
      </c>
      <c r="K12" s="535">
        <f>ROUND('Sch 142 Deferral &amp; K-Factor'!S12,0)</f>
        <v>95</v>
      </c>
      <c r="L12" s="535">
        <f t="shared" ref="L12:L15" si="6">SUM(H12:K12)</f>
        <v>-77</v>
      </c>
      <c r="M12" s="535">
        <f t="shared" ref="M12:M15" si="7">+L12+E12</f>
        <v>-8716</v>
      </c>
      <c r="N12" s="11">
        <f t="shared" ref="N12:N15" si="8">+M12/C12</f>
        <v>-2.932034393207476E-2</v>
      </c>
    </row>
    <row r="13" spans="1:14">
      <c r="A13" s="555">
        <f t="shared" si="3"/>
        <v>5</v>
      </c>
      <c r="B13" s="556" t="s">
        <v>263</v>
      </c>
      <c r="C13" s="535">
        <f>+'[1]GRC Impacts'!X13</f>
        <v>280441</v>
      </c>
      <c r="D13" s="535">
        <f>+'GRC Tax Reform Impacts'!X13</f>
        <v>273356</v>
      </c>
      <c r="E13" s="535">
        <f t="shared" si="4"/>
        <v>-7085</v>
      </c>
      <c r="F13" s="11">
        <f t="shared" si="5"/>
        <v>-2.5263780973538107E-2</v>
      </c>
      <c r="G13" s="335"/>
      <c r="H13" s="535">
        <f>ROUND(+'Sch 95a'!K14,0)</f>
        <v>982</v>
      </c>
      <c r="I13" s="535">
        <f>ROUND(+'Sch 120'!K14,0)</f>
        <v>-687</v>
      </c>
      <c r="J13" s="535">
        <f>ROUND('Sch 140'!K14,0)</f>
        <v>292</v>
      </c>
      <c r="K13" s="535">
        <f>ROUND('Sch 142 Deferral &amp; K-Factor'!S14,0)</f>
        <v>536</v>
      </c>
      <c r="L13" s="535">
        <f t="shared" si="6"/>
        <v>1123</v>
      </c>
      <c r="M13" s="535">
        <f t="shared" si="7"/>
        <v>-5962</v>
      </c>
      <c r="N13" s="11">
        <f t="shared" si="8"/>
        <v>-2.1259373629390853E-2</v>
      </c>
    </row>
    <row r="14" spans="1:14">
      <c r="A14" s="555">
        <f t="shared" si="3"/>
        <v>6</v>
      </c>
      <c r="B14" s="556" t="s">
        <v>94</v>
      </c>
      <c r="C14" s="535">
        <f>+'[1]GRC Impacts'!X14</f>
        <v>169304.22999999998</v>
      </c>
      <c r="D14" s="535">
        <f>+'GRC Tax Reform Impacts'!X14</f>
        <v>164985.22999999998</v>
      </c>
      <c r="E14" s="535">
        <f t="shared" si="4"/>
        <v>-4319</v>
      </c>
      <c r="F14" s="11">
        <f t="shared" si="5"/>
        <v>-2.5510289967356402E-2</v>
      </c>
      <c r="G14" s="335"/>
      <c r="H14" s="535">
        <f>ROUND(+'Sch 95a'!K16,0)</f>
        <v>683</v>
      </c>
      <c r="I14" s="535">
        <f>ROUND(+'Sch 120'!K16,0)</f>
        <v>-899</v>
      </c>
      <c r="J14" s="535">
        <f>ROUND('Sch 140'!K16,0)</f>
        <v>34</v>
      </c>
      <c r="K14" s="535">
        <f>ROUND('Sch 142 Deferral &amp; K-Factor'!S16,0)</f>
        <v>944</v>
      </c>
      <c r="L14" s="535">
        <f t="shared" si="6"/>
        <v>762</v>
      </c>
      <c r="M14" s="535">
        <f t="shared" si="7"/>
        <v>-3557</v>
      </c>
      <c r="N14" s="11">
        <f t="shared" si="8"/>
        <v>-2.1009516419052261E-2</v>
      </c>
    </row>
    <row r="15" spans="1:14">
      <c r="A15" s="555">
        <f t="shared" si="3"/>
        <v>7</v>
      </c>
      <c r="B15" s="555">
        <v>29</v>
      </c>
      <c r="C15" s="535">
        <f>+'[1]GRC Impacts'!X15</f>
        <v>1174</v>
      </c>
      <c r="D15" s="535">
        <f>+'GRC Tax Reform Impacts'!X15</f>
        <v>1142</v>
      </c>
      <c r="E15" s="535">
        <f t="shared" si="4"/>
        <v>-32</v>
      </c>
      <c r="F15" s="11">
        <f t="shared" si="5"/>
        <v>-2.7257240204429302E-2</v>
      </c>
      <c r="G15" s="335"/>
      <c r="H15" s="535">
        <f>ROUND(+'Sch 95a'!K17,0)</f>
        <v>5</v>
      </c>
      <c r="I15" s="535">
        <f>ROUND(+'Sch 120'!K17,0)</f>
        <v>-20</v>
      </c>
      <c r="J15" s="535">
        <f>ROUND('Sch 140'!K17,0)</f>
        <v>2</v>
      </c>
      <c r="K15" s="535">
        <f>ROUND('Sch 142 Deferral &amp; K-Factor'!S17,0)</f>
        <v>3</v>
      </c>
      <c r="L15" s="535">
        <f t="shared" si="6"/>
        <v>-10</v>
      </c>
      <c r="M15" s="535">
        <f t="shared" si="7"/>
        <v>-42</v>
      </c>
      <c r="N15" s="11">
        <f t="shared" si="8"/>
        <v>-3.5775127768313458E-2</v>
      </c>
    </row>
    <row r="16" spans="1:14">
      <c r="A16" s="555">
        <f t="shared" si="3"/>
        <v>8</v>
      </c>
      <c r="B16" s="556" t="s">
        <v>299</v>
      </c>
      <c r="C16" s="536">
        <f>SUM(C12:C15)</f>
        <v>748187.23</v>
      </c>
      <c r="D16" s="536">
        <f>SUM(D12:D15)</f>
        <v>728112.23</v>
      </c>
      <c r="E16" s="536">
        <f t="shared" ref="E16" si="9">SUM(E12:E15)</f>
        <v>-20075</v>
      </c>
      <c r="F16" s="332">
        <f t="shared" si="5"/>
        <v>-2.6831519163993216E-2</v>
      </c>
      <c r="G16" s="335"/>
      <c r="H16" s="536">
        <f>SUM(H12:H15)</f>
        <v>2613</v>
      </c>
      <c r="I16" s="536">
        <f>SUM(I12:I15)</f>
        <v>-2813</v>
      </c>
      <c r="J16" s="536">
        <f t="shared" ref="J16:K16" si="10">SUM(J12:J15)</f>
        <v>420</v>
      </c>
      <c r="K16" s="536">
        <f t="shared" si="10"/>
        <v>1578</v>
      </c>
      <c r="L16" s="536">
        <f t="shared" ref="L16:M16" si="11">SUM(L12:L15)</f>
        <v>1798</v>
      </c>
      <c r="M16" s="536">
        <f t="shared" si="11"/>
        <v>-18277</v>
      </c>
      <c r="N16" s="332">
        <f>+M16/C16</f>
        <v>-2.442837737286695E-2</v>
      </c>
    </row>
    <row r="17" spans="1:14">
      <c r="A17" s="555">
        <f t="shared" si="3"/>
        <v>9</v>
      </c>
      <c r="B17" s="555"/>
      <c r="C17" s="535"/>
      <c r="D17" s="535"/>
      <c r="E17" s="535"/>
      <c r="F17" s="11"/>
      <c r="G17" s="335"/>
      <c r="H17" s="535"/>
      <c r="I17" s="535"/>
      <c r="J17" s="535"/>
      <c r="K17" s="535"/>
      <c r="L17" s="535"/>
      <c r="M17" s="535"/>
      <c r="N17" s="11"/>
    </row>
    <row r="18" spans="1:14">
      <c r="A18" s="555">
        <f t="shared" si="3"/>
        <v>10</v>
      </c>
      <c r="B18" s="555" t="s">
        <v>95</v>
      </c>
      <c r="C18" s="535">
        <f>+'[1]GRC Impacts'!X18</f>
        <v>113347.895</v>
      </c>
      <c r="D18" s="535">
        <f>+'GRC Tax Reform Impacts'!X18</f>
        <v>110462.895</v>
      </c>
      <c r="E18" s="535">
        <f t="shared" ref="E18:E20" si="12">+D18-C18</f>
        <v>-2885</v>
      </c>
      <c r="F18" s="11">
        <f t="shared" ref="F18:F21" si="13">+E18/C18</f>
        <v>-2.5452612066593737E-2</v>
      </c>
      <c r="G18" s="335"/>
      <c r="H18" s="535">
        <f>ROUND(+'Sch 95a'!K21,0)</f>
        <v>433</v>
      </c>
      <c r="I18" s="535">
        <f>ROUND(+'Sch 120'!K21,0)</f>
        <v>-514</v>
      </c>
      <c r="J18" s="535">
        <f>ROUND('Sch 140'!K21,0)</f>
        <v>19</v>
      </c>
      <c r="K18" s="535">
        <f>ROUND('Sch 142 Deferral &amp; K-Factor'!S21,0)</f>
        <v>-33</v>
      </c>
      <c r="L18" s="535">
        <f t="shared" ref="L18:L20" si="14">SUM(H18:K18)</f>
        <v>-95</v>
      </c>
      <c r="M18" s="535">
        <f t="shared" ref="M18:M20" si="15">+L18+E18</f>
        <v>-2980</v>
      </c>
      <c r="N18" s="11">
        <f t="shared" ref="N18:N20" si="16">+M18/C18</f>
        <v>-2.6290739673639284E-2</v>
      </c>
    </row>
    <row r="19" spans="1:14">
      <c r="A19" s="555">
        <f t="shared" si="3"/>
        <v>11</v>
      </c>
      <c r="B19" s="555">
        <v>35</v>
      </c>
      <c r="C19" s="535">
        <f>+'[1]GRC Impacts'!X19</f>
        <v>263</v>
      </c>
      <c r="D19" s="535">
        <f>+'GRC Tax Reform Impacts'!X19</f>
        <v>247</v>
      </c>
      <c r="E19" s="535">
        <f t="shared" si="12"/>
        <v>-16</v>
      </c>
      <c r="F19" s="11">
        <f t="shared" si="13"/>
        <v>-6.0836501901140684E-2</v>
      </c>
      <c r="G19" s="335"/>
      <c r="H19" s="535">
        <f>ROUND(+'Sch 95a'!K22,0)</f>
        <v>1</v>
      </c>
      <c r="I19" s="535">
        <f>ROUND(+'Sch 120'!K22,0)</f>
        <v>-1</v>
      </c>
      <c r="J19" s="535">
        <f>ROUND('Sch 140'!K22,0)</f>
        <v>0</v>
      </c>
      <c r="K19" s="535">
        <f>ROUND('Sch 142 Deferral &amp; K-Factor'!S22,0)</f>
        <v>1</v>
      </c>
      <c r="L19" s="535">
        <f t="shared" si="14"/>
        <v>1</v>
      </c>
      <c r="M19" s="535">
        <f t="shared" si="15"/>
        <v>-15</v>
      </c>
      <c r="N19" s="11">
        <f t="shared" si="16"/>
        <v>-5.7034220532319393E-2</v>
      </c>
    </row>
    <row r="20" spans="1:14">
      <c r="A20" s="555">
        <f t="shared" si="3"/>
        <v>12</v>
      </c>
      <c r="B20" s="555">
        <v>43</v>
      </c>
      <c r="C20" s="535">
        <f>+'[1]GRC Impacts'!X20</f>
        <v>11945</v>
      </c>
      <c r="D20" s="535">
        <f>+'GRC Tax Reform Impacts'!X20</f>
        <v>11499</v>
      </c>
      <c r="E20" s="535">
        <f t="shared" si="12"/>
        <v>-446</v>
      </c>
      <c r="F20" s="11">
        <f t="shared" si="13"/>
        <v>-3.7337798241942236E-2</v>
      </c>
      <c r="G20" s="335"/>
      <c r="H20" s="535">
        <f>ROUND(+'Sch 95a'!K23,0)</f>
        <v>37</v>
      </c>
      <c r="I20" s="535">
        <f>ROUND(+'Sch 120'!K23,0)</f>
        <v>-114</v>
      </c>
      <c r="J20" s="535">
        <f>ROUND('Sch 140'!K23,0)</f>
        <v>-63</v>
      </c>
      <c r="K20" s="535">
        <f>ROUND('Sch 142 Deferral &amp; K-Factor'!S23,0)</f>
        <v>22</v>
      </c>
      <c r="L20" s="535">
        <f t="shared" si="14"/>
        <v>-118</v>
      </c>
      <c r="M20" s="535">
        <f t="shared" si="15"/>
        <v>-564</v>
      </c>
      <c r="N20" s="11">
        <f t="shared" si="16"/>
        <v>-4.7216408539137715E-2</v>
      </c>
    </row>
    <row r="21" spans="1:14">
      <c r="A21" s="555">
        <f t="shared" si="3"/>
        <v>13</v>
      </c>
      <c r="B21" s="556" t="s">
        <v>300</v>
      </c>
      <c r="C21" s="536">
        <f>SUM(C18:C20)</f>
        <v>125555.895</v>
      </c>
      <c r="D21" s="536">
        <f>SUM(D18:D20)</f>
        <v>122208.895</v>
      </c>
      <c r="E21" s="536">
        <f t="shared" ref="E21" si="17">SUM(E18:E20)</f>
        <v>-3347</v>
      </c>
      <c r="F21" s="332">
        <f t="shared" si="13"/>
        <v>-2.6657450054416002E-2</v>
      </c>
      <c r="G21" s="335"/>
      <c r="H21" s="536">
        <f>SUM(H18:H20)</f>
        <v>471</v>
      </c>
      <c r="I21" s="536">
        <f>SUM(I18:I20)</f>
        <v>-629</v>
      </c>
      <c r="J21" s="536">
        <f t="shared" ref="J21:K21" si="18">SUM(J18:J20)</f>
        <v>-44</v>
      </c>
      <c r="K21" s="536">
        <f t="shared" si="18"/>
        <v>-10</v>
      </c>
      <c r="L21" s="536">
        <f t="shared" ref="L21:M21" si="19">SUM(L18:L20)</f>
        <v>-212</v>
      </c>
      <c r="M21" s="536">
        <f t="shared" si="19"/>
        <v>-3559</v>
      </c>
      <c r="N21" s="332">
        <f>+M21/C21</f>
        <v>-2.8345941064734554E-2</v>
      </c>
    </row>
    <row r="22" spans="1:14">
      <c r="A22" s="555">
        <f t="shared" si="3"/>
        <v>14</v>
      </c>
      <c r="B22" s="555"/>
      <c r="C22" s="535"/>
      <c r="D22" s="535"/>
      <c r="E22" s="535"/>
      <c r="F22" s="11"/>
      <c r="G22" s="335"/>
      <c r="H22" s="535"/>
      <c r="I22" s="535"/>
      <c r="J22" s="535"/>
      <c r="K22" s="535"/>
      <c r="L22" s="535"/>
      <c r="M22" s="535"/>
      <c r="N22" s="11"/>
    </row>
    <row r="23" spans="1:14">
      <c r="A23" s="555">
        <f t="shared" si="3"/>
        <v>15</v>
      </c>
      <c r="B23" s="555">
        <v>40</v>
      </c>
      <c r="C23" s="536">
        <f>+'[1]GRC Impacts'!X23</f>
        <v>51337.987000000001</v>
      </c>
      <c r="D23" s="536">
        <f>+'GRC Tax Reform Impacts'!X23</f>
        <v>49689.987000000001</v>
      </c>
      <c r="E23" s="536">
        <f>+D23-C23</f>
        <v>-1648</v>
      </c>
      <c r="F23" s="332">
        <f>+E23/C23</f>
        <v>-3.210098596191549E-2</v>
      </c>
      <c r="G23" s="335"/>
      <c r="H23" s="536">
        <f>ROUND(+'Sch 95a'!K26,0)</f>
        <v>222</v>
      </c>
      <c r="I23" s="536">
        <f>ROUND(+'Sch 120'!K26,0)</f>
        <v>-841</v>
      </c>
      <c r="J23" s="536">
        <f>ROUND('Sch 140'!K26,0)</f>
        <v>-176</v>
      </c>
      <c r="K23" s="536">
        <f>ROUND('Sch 142 Deferral &amp; K-Factor'!S26,0)</f>
        <v>359</v>
      </c>
      <c r="L23" s="536">
        <f>SUM(H23:K23)</f>
        <v>-436</v>
      </c>
      <c r="M23" s="536">
        <f>+L23+E23</f>
        <v>-2084</v>
      </c>
      <c r="N23" s="332">
        <f>+M23/C23</f>
        <v>-4.0593722539218377E-2</v>
      </c>
    </row>
    <row r="24" spans="1:14">
      <c r="A24" s="555">
        <f t="shared" si="3"/>
        <v>16</v>
      </c>
      <c r="B24" s="555"/>
      <c r="C24" s="535"/>
      <c r="D24" s="535"/>
      <c r="E24" s="535"/>
      <c r="F24" s="11"/>
      <c r="G24" s="335"/>
      <c r="H24" s="535"/>
      <c r="I24" s="535"/>
      <c r="J24" s="535"/>
      <c r="K24" s="535"/>
      <c r="L24" s="535"/>
      <c r="M24" s="535"/>
      <c r="N24" s="11"/>
    </row>
    <row r="25" spans="1:14">
      <c r="A25" s="555">
        <f t="shared" si="3"/>
        <v>17</v>
      </c>
      <c r="B25" s="555">
        <v>46</v>
      </c>
      <c r="C25" s="535">
        <f>+'[1]GRC Impacts'!X25</f>
        <v>4678</v>
      </c>
      <c r="D25" s="535">
        <f>+'GRC Tax Reform Impacts'!X25</f>
        <v>4588</v>
      </c>
      <c r="E25" s="535">
        <f t="shared" ref="E25:E26" si="20">+D25-C25</f>
        <v>-90</v>
      </c>
      <c r="F25" s="11">
        <f t="shared" ref="F25:F27" si="21">+E25/C25</f>
        <v>-1.9238991021804191E-2</v>
      </c>
      <c r="G25" s="335"/>
      <c r="H25" s="535">
        <f>ROUND(+'Sch 95a'!K28,0)</f>
        <v>11</v>
      </c>
      <c r="I25" s="535">
        <f>ROUND(+'Sch 120'!K28,0)</f>
        <v>-19</v>
      </c>
      <c r="J25" s="535">
        <f>ROUND('Sch 140'!K28,0)</f>
        <v>10</v>
      </c>
      <c r="K25" s="535">
        <f>ROUND('Sch 142 Deferral &amp; K-Factor'!S28,0)</f>
        <v>5</v>
      </c>
      <c r="L25" s="535">
        <f t="shared" ref="L25:L26" si="22">SUM(H25:K25)</f>
        <v>7</v>
      </c>
      <c r="M25" s="535">
        <f t="shared" ref="M25:M26" si="23">+L25+E25</f>
        <v>-83</v>
      </c>
      <c r="N25" s="11">
        <f t="shared" ref="N25:N26" si="24">+M25/C25</f>
        <v>-1.7742625053441641E-2</v>
      </c>
    </row>
    <row r="26" spans="1:14">
      <c r="A26" s="555">
        <f t="shared" si="3"/>
        <v>18</v>
      </c>
      <c r="B26" s="555">
        <v>49</v>
      </c>
      <c r="C26" s="535">
        <f>+'[1]GRC Impacts'!X26</f>
        <v>40827</v>
      </c>
      <c r="D26" s="535">
        <f>+'GRC Tax Reform Impacts'!X26</f>
        <v>39810</v>
      </c>
      <c r="E26" s="535">
        <f t="shared" si="20"/>
        <v>-1017</v>
      </c>
      <c r="F26" s="11">
        <f t="shared" si="21"/>
        <v>-2.4909986038650894E-2</v>
      </c>
      <c r="G26" s="335"/>
      <c r="H26" s="535">
        <f>ROUND(+'Sch 95a'!K29,0)</f>
        <v>195</v>
      </c>
      <c r="I26" s="535">
        <f>ROUND(+'Sch 120'!K29,0)</f>
        <v>-297</v>
      </c>
      <c r="J26" s="535">
        <f>ROUND('Sch 140'!K29,0)</f>
        <v>88</v>
      </c>
      <c r="K26" s="535">
        <f>ROUND('Sch 142 Deferral &amp; K-Factor'!S29,0)</f>
        <v>47</v>
      </c>
      <c r="L26" s="535">
        <f t="shared" si="22"/>
        <v>33</v>
      </c>
      <c r="M26" s="535">
        <f t="shared" si="23"/>
        <v>-984</v>
      </c>
      <c r="N26" s="11">
        <f t="shared" si="24"/>
        <v>-2.4101697406128296E-2</v>
      </c>
    </row>
    <row r="27" spans="1:14">
      <c r="A27" s="555">
        <f t="shared" si="3"/>
        <v>19</v>
      </c>
      <c r="B27" s="555" t="s">
        <v>20</v>
      </c>
      <c r="C27" s="536">
        <f>SUM(C25:C26)</f>
        <v>45505</v>
      </c>
      <c r="D27" s="536">
        <f>SUM(D25:D26)</f>
        <v>44398</v>
      </c>
      <c r="E27" s="536">
        <f t="shared" ref="E27" si="25">SUM(E25:E26)</f>
        <v>-1107</v>
      </c>
      <c r="F27" s="332">
        <f t="shared" si="21"/>
        <v>-2.4326997033293045E-2</v>
      </c>
      <c r="G27" s="335"/>
      <c r="H27" s="536">
        <f>SUM(H25:H26)</f>
        <v>206</v>
      </c>
      <c r="I27" s="536">
        <f>SUM(I25:I26)</f>
        <v>-316</v>
      </c>
      <c r="J27" s="536">
        <f t="shared" ref="J27:K27" si="26">SUM(J25:J26)</f>
        <v>98</v>
      </c>
      <c r="K27" s="536">
        <f t="shared" si="26"/>
        <v>52</v>
      </c>
      <c r="L27" s="536">
        <f t="shared" ref="L27:M27" si="27">SUM(L25:L26)</f>
        <v>40</v>
      </c>
      <c r="M27" s="536">
        <f t="shared" si="27"/>
        <v>-1067</v>
      </c>
      <c r="N27" s="332">
        <f>+M27/C27</f>
        <v>-2.3447972750247226E-2</v>
      </c>
    </row>
    <row r="28" spans="1:14">
      <c r="A28" s="555">
        <f t="shared" si="3"/>
        <v>20</v>
      </c>
      <c r="B28" s="555"/>
      <c r="C28" s="535"/>
      <c r="D28" s="535"/>
      <c r="E28" s="535"/>
      <c r="F28" s="11"/>
      <c r="G28" s="335"/>
      <c r="H28" s="535"/>
      <c r="I28" s="535"/>
      <c r="J28" s="535"/>
      <c r="K28" s="535"/>
      <c r="L28" s="535"/>
      <c r="M28" s="535"/>
      <c r="N28" s="11"/>
    </row>
    <row r="29" spans="1:14">
      <c r="A29" s="555">
        <f t="shared" si="3"/>
        <v>21</v>
      </c>
      <c r="B29" s="555" t="s">
        <v>21</v>
      </c>
      <c r="C29" s="536">
        <f>+'[1]GRC Impacts'!X29</f>
        <v>19361</v>
      </c>
      <c r="D29" s="536">
        <f>+'GRC Tax Reform Impacts'!X29</f>
        <v>18621</v>
      </c>
      <c r="E29" s="536">
        <f>+D29-C29</f>
        <v>-740</v>
      </c>
      <c r="F29" s="332">
        <f>+E29/C29</f>
        <v>-3.8221166262073239E-2</v>
      </c>
      <c r="G29" s="335"/>
      <c r="H29" s="536">
        <f>ROUND(+'Sch 95a'!K32,0)</f>
        <v>33</v>
      </c>
      <c r="I29" s="536">
        <f>ROUND(+'Sch 120'!K32,0)</f>
        <v>-133</v>
      </c>
      <c r="J29" s="536">
        <f>ROUND('Sch 140'!K32,0)</f>
        <v>-86</v>
      </c>
      <c r="K29" s="536">
        <f>ROUND('Sch 142 Deferral &amp; K-Factor'!S32,0)</f>
        <v>0</v>
      </c>
      <c r="L29" s="536">
        <f>SUM(H29:K29)</f>
        <v>-186</v>
      </c>
      <c r="M29" s="536">
        <f>+L29+E29</f>
        <v>-926</v>
      </c>
      <c r="N29" s="332">
        <f>+M29/C29</f>
        <v>-4.782810805227003E-2</v>
      </c>
    </row>
    <row r="30" spans="1:14">
      <c r="A30" s="555">
        <f t="shared" si="3"/>
        <v>22</v>
      </c>
      <c r="B30" s="555"/>
      <c r="C30" s="535"/>
      <c r="D30" s="535"/>
      <c r="E30" s="535"/>
      <c r="F30" s="11"/>
      <c r="G30" s="335"/>
      <c r="H30" s="535"/>
      <c r="I30" s="535"/>
      <c r="J30" s="535"/>
      <c r="K30" s="535"/>
      <c r="L30" s="535"/>
      <c r="M30" s="535"/>
      <c r="N30" s="11"/>
    </row>
    <row r="31" spans="1:14">
      <c r="A31" s="555">
        <f t="shared" si="3"/>
        <v>23</v>
      </c>
      <c r="B31" s="555" t="s">
        <v>22</v>
      </c>
      <c r="C31" s="536">
        <f>+'[1]GRC Impacts'!X31</f>
        <v>10874</v>
      </c>
      <c r="D31" s="536">
        <f>+'GRC Tax Reform Impacts'!X31</f>
        <v>10865</v>
      </c>
      <c r="E31" s="536">
        <f>+D31-C31</f>
        <v>-9</v>
      </c>
      <c r="F31" s="332">
        <f>+E31/C31</f>
        <v>-8.2766231377597943E-4</v>
      </c>
      <c r="G31" s="335"/>
      <c r="H31" s="536">
        <f>ROUND(+'Sch 95a'!K34,0)</f>
        <v>0</v>
      </c>
      <c r="I31" s="536">
        <f>ROUND(+'Sch 120'!K34,0)</f>
        <v>-57</v>
      </c>
      <c r="J31" s="536">
        <f>ROUND('Sch 140'!K34,0)</f>
        <v>-566</v>
      </c>
      <c r="K31" s="536">
        <f>ROUND('Sch 142 Deferral &amp; K-Factor'!S34,0)</f>
        <v>0</v>
      </c>
      <c r="L31" s="536">
        <f>SUM(H31:K31)</f>
        <v>-623</v>
      </c>
      <c r="M31" s="536">
        <f>+L31+E31</f>
        <v>-632</v>
      </c>
      <c r="N31" s="332">
        <f>+M31/C31</f>
        <v>-5.8120286922935444E-2</v>
      </c>
    </row>
    <row r="32" spans="1:14">
      <c r="A32" s="555">
        <f t="shared" si="3"/>
        <v>24</v>
      </c>
      <c r="B32" s="555"/>
      <c r="C32" s="535"/>
      <c r="D32" s="535"/>
      <c r="E32" s="535"/>
      <c r="F32" s="11"/>
      <c r="G32" s="335"/>
      <c r="H32" s="535"/>
      <c r="I32" s="535"/>
      <c r="J32" s="535"/>
      <c r="K32" s="535"/>
      <c r="L32" s="535"/>
      <c r="M32" s="535"/>
      <c r="N32" s="11"/>
    </row>
    <row r="33" spans="1:14" ht="13.8" thickBot="1">
      <c r="A33" s="555">
        <f t="shared" si="3"/>
        <v>25</v>
      </c>
      <c r="B33" s="555" t="s">
        <v>23</v>
      </c>
      <c r="C33" s="208">
        <f>SUM(C10,C16,C21,C23,C27,C29,C31)</f>
        <v>2151700.1119999997</v>
      </c>
      <c r="D33" s="208">
        <f>SUM(D10,D16,D21,D23,D27,D29,D31)</f>
        <v>2078813.112</v>
      </c>
      <c r="E33" s="208">
        <f t="shared" ref="E33" si="28">SUM(E10,E16,E21,E23,E27,E29,E31)</f>
        <v>-72887</v>
      </c>
      <c r="F33" s="333">
        <f>+E33/C33</f>
        <v>-3.3874144260861577E-2</v>
      </c>
      <c r="G33" s="335"/>
      <c r="H33" s="208">
        <f>SUM(H10,H16,H21,H23,H27,H29,H31)</f>
        <v>7920</v>
      </c>
      <c r="I33" s="208">
        <f>SUM(I10,I16,I21,I23,I27,I29,I31)</f>
        <v>-17477</v>
      </c>
      <c r="J33" s="208">
        <f t="shared" ref="J33:K33" si="29">SUM(J10,J16,J21,J23,J27,J29,J31)</f>
        <v>-2401</v>
      </c>
      <c r="K33" s="208">
        <f t="shared" si="29"/>
        <v>-22341</v>
      </c>
      <c r="L33" s="208">
        <f t="shared" ref="L33:M33" si="30">SUM(L10,L16,L21,L23,L27,L29,L31)</f>
        <v>-34299</v>
      </c>
      <c r="M33" s="208">
        <f t="shared" si="30"/>
        <v>-107186</v>
      </c>
      <c r="N33" s="333">
        <f>+M33/C33</f>
        <v>-4.9814562634553611E-2</v>
      </c>
    </row>
    <row r="34" spans="1:14" ht="13.8" thickTop="1">
      <c r="A34" s="555">
        <f t="shared" si="3"/>
        <v>26</v>
      </c>
      <c r="B34" s="555"/>
      <c r="C34" s="329"/>
      <c r="D34" s="329"/>
      <c r="E34" s="329"/>
      <c r="F34" s="334"/>
      <c r="G34" s="335"/>
      <c r="H34" s="329"/>
      <c r="I34" s="329"/>
      <c r="J34" s="329"/>
      <c r="K34" s="329"/>
      <c r="L34" s="329"/>
      <c r="M34" s="329"/>
      <c r="N34" s="334"/>
    </row>
    <row r="35" spans="1:14">
      <c r="A35" s="555">
        <f t="shared" si="3"/>
        <v>27</v>
      </c>
      <c r="B35" s="555">
        <v>5</v>
      </c>
      <c r="C35" s="536">
        <f>+'[1]GRC Impacts'!X35</f>
        <v>693</v>
      </c>
      <c r="D35" s="536">
        <f>+'GRC Tax Reform Impacts'!X35</f>
        <v>667</v>
      </c>
      <c r="E35" s="536">
        <f>+D35-C35</f>
        <v>-26</v>
      </c>
      <c r="F35" s="332">
        <f>+E35/C35</f>
        <v>-3.751803751803752E-2</v>
      </c>
      <c r="G35" s="335"/>
      <c r="H35" s="536">
        <f>ROUND(+'Sch 95a'!K38,0)</f>
        <v>3</v>
      </c>
      <c r="I35" s="536">
        <v>0</v>
      </c>
      <c r="J35" s="536">
        <v>0</v>
      </c>
      <c r="K35" s="536">
        <v>0</v>
      </c>
      <c r="L35" s="536">
        <f>SUM(H35:K35)</f>
        <v>3</v>
      </c>
      <c r="M35" s="536">
        <f>+L35+E35</f>
        <v>-23</v>
      </c>
      <c r="N35" s="332">
        <f>+M35/C35</f>
        <v>-3.3189033189033192E-2</v>
      </c>
    </row>
    <row r="36" spans="1:14">
      <c r="A36" s="555">
        <f t="shared" si="3"/>
        <v>28</v>
      </c>
      <c r="B36" s="555"/>
      <c r="C36" s="329"/>
      <c r="D36" s="329"/>
      <c r="E36" s="329"/>
      <c r="F36" s="334"/>
      <c r="G36" s="335"/>
      <c r="H36" s="329"/>
      <c r="I36" s="329"/>
      <c r="J36" s="329"/>
      <c r="K36" s="329"/>
      <c r="L36" s="329"/>
      <c r="M36" s="329"/>
      <c r="N36" s="334"/>
    </row>
    <row r="37" spans="1:14" ht="13.8" thickBot="1">
      <c r="A37" s="555">
        <f t="shared" si="3"/>
        <v>29</v>
      </c>
      <c r="B37" s="555" t="s">
        <v>24</v>
      </c>
      <c r="C37" s="208">
        <f>+C35+C33</f>
        <v>2152393.1119999997</v>
      </c>
      <c r="D37" s="208">
        <f>+D35+D33</f>
        <v>2079480.112</v>
      </c>
      <c r="E37" s="208">
        <f t="shared" ref="E37" si="31">+E35+E33</f>
        <v>-72913</v>
      </c>
      <c r="F37" s="333">
        <f>+E37/C37</f>
        <v>-3.3875317474998501E-2</v>
      </c>
      <c r="G37" s="335"/>
      <c r="H37" s="208">
        <f>+H35+H33</f>
        <v>7923</v>
      </c>
      <c r="I37" s="208">
        <f>+I35+I33</f>
        <v>-17477</v>
      </c>
      <c r="J37" s="208">
        <f t="shared" ref="J37:K37" si="32">+J35+J33</f>
        <v>-2401</v>
      </c>
      <c r="K37" s="208">
        <f t="shared" si="32"/>
        <v>-22341</v>
      </c>
      <c r="L37" s="208">
        <f t="shared" ref="L37:M37" si="33">+L35+L33</f>
        <v>-34296</v>
      </c>
      <c r="M37" s="208">
        <f t="shared" si="33"/>
        <v>-107209</v>
      </c>
      <c r="N37" s="333">
        <f>+M37/C37</f>
        <v>-4.9809209759262604E-2</v>
      </c>
    </row>
    <row r="38" spans="1:14" ht="13.8" thickTop="1">
      <c r="G38" s="335"/>
    </row>
    <row r="39" spans="1:14">
      <c r="G39" s="335"/>
    </row>
    <row r="40" spans="1:14">
      <c r="G40" s="335"/>
    </row>
    <row r="41" spans="1:14">
      <c r="G41" s="335"/>
    </row>
  </sheetData>
  <mergeCells count="6">
    <mergeCell ref="H6:L6"/>
    <mergeCell ref="A1:B1"/>
    <mergeCell ref="A2:B2"/>
    <mergeCell ref="A3:B3"/>
    <mergeCell ref="A4:B4"/>
    <mergeCell ref="C6:F6"/>
  </mergeCells>
  <printOptions horizontalCentered="1"/>
  <pageMargins left="0.25" right="0.25" top="0.75" bottom="0.75" header="0.3" footer="0.3"/>
  <pageSetup scale="80" orientation="landscape" r:id="rId1"/>
  <headerFooter>
    <oddFooter>&amp;L&amp;"Times New Roman,Regular"&amp;F
&amp;A&amp;R&amp;"Times New Roman,Regular"Page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topLeftCell="A8" zoomScale="90" zoomScaleNormal="90" zoomScaleSheetLayoutView="75" workbookViewId="0">
      <selection activeCell="Q29" sqref="Q29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34.44140625" style="337" customWidth="1"/>
    <col min="15" max="17" width="14.33203125" style="337" bestFit="1" customWidth="1"/>
    <col min="18" max="18" width="2.44140625" style="337" customWidth="1"/>
    <col min="19" max="19" width="7.5546875" style="337" customWidth="1"/>
    <col min="20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437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438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661</v>
      </c>
      <c r="H8" s="422"/>
      <c r="I8" s="422" t="s">
        <v>662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350</v>
      </c>
      <c r="C10" s="390"/>
      <c r="D10" s="390">
        <v>300</v>
      </c>
      <c r="E10" s="393">
        <f>ROUND((B$10*D10),0)</f>
        <v>105000</v>
      </c>
      <c r="F10" s="390"/>
      <c r="G10" s="391">
        <f>+O$10+$B10*O$16+$E10*O$12</f>
        <v>10234.720000000001</v>
      </c>
      <c r="H10" s="391"/>
      <c r="I10" s="391">
        <f>+Q$10+$B10*Q$16+$E10*Q$12</f>
        <v>9961.0299999999988</v>
      </c>
      <c r="J10" s="390"/>
      <c r="K10" s="388">
        <f>ROUND((+I10-G10)/G10,3)</f>
        <v>-2.7E-2</v>
      </c>
      <c r="L10" s="386"/>
      <c r="M10" s="386"/>
      <c r="N10" s="400" t="s">
        <v>381</v>
      </c>
      <c r="O10" s="370">
        <f>SUM(O21,O35)</f>
        <v>353.17</v>
      </c>
      <c r="P10" s="400" t="str">
        <f>+N10</f>
        <v>Basic Charge</v>
      </c>
      <c r="Q10" s="370">
        <f>SUM(Q21,Q35)</f>
        <v>343.66</v>
      </c>
      <c r="R10" s="397"/>
      <c r="S10" s="363">
        <f>(Q10-O10)/O10</f>
        <v>-2.6927541976951581E-2</v>
      </c>
    </row>
    <row r="11" spans="1:19" ht="15.6">
      <c r="A11" s="386"/>
      <c r="B11" s="390">
        <f>+B10</f>
        <v>350</v>
      </c>
      <c r="C11" s="390"/>
      <c r="D11" s="390">
        <v>500</v>
      </c>
      <c r="E11" s="393">
        <f>ROUND((B$10*D11),0)</f>
        <v>175000</v>
      </c>
      <c r="F11" s="390"/>
      <c r="G11" s="391">
        <f>+O$10+$B11*O$16+$E11*O$12</f>
        <v>14554.42</v>
      </c>
      <c r="H11" s="391"/>
      <c r="I11" s="391">
        <f>+Q$10+$B11*Q$16+$E11*Q$12</f>
        <v>14181.61</v>
      </c>
      <c r="J11" s="390"/>
      <c r="K11" s="388">
        <f>ROUND((+I11-G11)/G11,3)</f>
        <v>-2.5999999999999999E-2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350</v>
      </c>
      <c r="C12" s="390"/>
      <c r="D12" s="390">
        <v>700</v>
      </c>
      <c r="E12" s="393">
        <f>ROUND((B$10*D12),0)</f>
        <v>245000</v>
      </c>
      <c r="F12" s="390"/>
      <c r="G12" s="391">
        <f>+O$10+$B12*O$16+$E12*O$12</f>
        <v>18874.120000000003</v>
      </c>
      <c r="H12" s="391"/>
      <c r="I12" s="391">
        <f>+Q$10+$B12*Q$16+$E12*Q$12</f>
        <v>18402.190000000002</v>
      </c>
      <c r="J12" s="390"/>
      <c r="K12" s="388">
        <f>ROUND((+I12-G12)/G12,3)</f>
        <v>-2.5000000000000001E-2</v>
      </c>
      <c r="N12" s="401" t="s">
        <v>423</v>
      </c>
      <c r="O12" s="365">
        <f>SUM(O22,O28:O34,O39)</f>
        <v>6.1710000000000001E-2</v>
      </c>
      <c r="P12" s="400" t="str">
        <f>+N12</f>
        <v>kWh - All</v>
      </c>
      <c r="Q12" s="365">
        <f>SUM(Q22,Q28:Q34,Q39)</f>
        <v>6.0294E-2</v>
      </c>
      <c r="R12" s="385"/>
      <c r="S12" s="363">
        <f>(Q12-O12)/O12</f>
        <v>-2.2946037919299962E-2</v>
      </c>
    </row>
    <row r="13" spans="1:19">
      <c r="A13" s="386"/>
      <c r="L13" s="386"/>
      <c r="M13" s="386"/>
      <c r="N13" s="401"/>
      <c r="O13" s="365"/>
      <c r="P13" s="401"/>
      <c r="Q13" s="365"/>
      <c r="R13" s="385"/>
      <c r="S13" s="369"/>
    </row>
    <row r="14" spans="1:19" ht="15.6">
      <c r="A14" s="386"/>
      <c r="B14" s="390">
        <f>+B12+50</f>
        <v>400</v>
      </c>
      <c r="C14" s="390"/>
      <c r="D14" s="390">
        <v>300</v>
      </c>
      <c r="E14" s="393">
        <f>ROUND((B$14*D14),0)</f>
        <v>120000</v>
      </c>
      <c r="F14" s="390"/>
      <c r="G14" s="391">
        <f>+O$10+$B14*O$16+$E14*O$12</f>
        <v>11646.369999999999</v>
      </c>
      <c r="H14" s="391"/>
      <c r="I14" s="391">
        <f>+Q$10+$B14*Q$16+$E14*Q$12</f>
        <v>11334.939999999999</v>
      </c>
      <c r="J14" s="390"/>
      <c r="K14" s="388">
        <f>ROUND((+I14-G14)/G14,3)</f>
        <v>-2.7E-2</v>
      </c>
      <c r="L14" s="386"/>
      <c r="M14" s="386"/>
      <c r="N14" s="401" t="s">
        <v>422</v>
      </c>
      <c r="O14" s="421">
        <f>SUM(O23,O36,O40)</f>
        <v>11.74</v>
      </c>
      <c r="P14" s="400" t="str">
        <f>+N14</f>
        <v>Winter kW</v>
      </c>
      <c r="Q14" s="421">
        <f>SUM(Q23,Q36,Q40)</f>
        <v>11.350000000000001</v>
      </c>
      <c r="R14" s="385"/>
      <c r="S14" s="363">
        <f>(Q14-O14)/O14</f>
        <v>-3.3219761499148105E-2</v>
      </c>
    </row>
    <row r="15" spans="1:19" ht="15.6">
      <c r="A15" s="386"/>
      <c r="B15" s="390">
        <f>+B14</f>
        <v>400</v>
      </c>
      <c r="C15" s="390"/>
      <c r="D15" s="390">
        <v>500</v>
      </c>
      <c r="E15" s="393">
        <f>ROUND((B$14*D15),0)</f>
        <v>200000</v>
      </c>
      <c r="F15" s="390"/>
      <c r="G15" s="391">
        <f>+O$10+$B15*O$16+$E15*O$12</f>
        <v>16583.169999999998</v>
      </c>
      <c r="H15" s="391"/>
      <c r="I15" s="391">
        <f>+Q$10+$B15*Q$16+$E15*Q$12</f>
        <v>16158.46</v>
      </c>
      <c r="J15" s="390"/>
      <c r="K15" s="388">
        <f>ROUND((+I15-G15)/G15,3)</f>
        <v>-2.5999999999999999E-2</v>
      </c>
      <c r="L15" s="386"/>
      <c r="M15" s="386"/>
      <c r="N15" s="401" t="s">
        <v>421</v>
      </c>
      <c r="O15" s="421">
        <f>SUM(O24,O37,O40)</f>
        <v>7.81</v>
      </c>
      <c r="P15" s="400" t="str">
        <f>+N15</f>
        <v>Summer kW</v>
      </c>
      <c r="Q15" s="421">
        <f>SUM(Q24,Q37,Q40)</f>
        <v>7.5299999999999994</v>
      </c>
      <c r="R15" s="385"/>
      <c r="S15" s="363">
        <f>(Q15-O15)/O15</f>
        <v>-3.5851472471190818E-2</v>
      </c>
    </row>
    <row r="16" spans="1:19" ht="15.6">
      <c r="A16" s="386"/>
      <c r="B16" s="390">
        <f>+B15</f>
        <v>400</v>
      </c>
      <c r="C16" s="390"/>
      <c r="D16" s="390">
        <v>700</v>
      </c>
      <c r="E16" s="393">
        <f>ROUND((B$14*D16),0)</f>
        <v>280000</v>
      </c>
      <c r="F16" s="390"/>
      <c r="G16" s="391">
        <f>+O$10+$B16*O$16+$E16*O$12</f>
        <v>21519.97</v>
      </c>
      <c r="H16" s="391"/>
      <c r="I16" s="391">
        <f>+Q$10+$B16*Q$16+$E16*Q$12</f>
        <v>20981.98</v>
      </c>
      <c r="J16" s="390"/>
      <c r="K16" s="388">
        <f>ROUND((+I16-G16)/G16,3)</f>
        <v>-2.5000000000000001E-2</v>
      </c>
      <c r="N16" s="401" t="s">
        <v>420</v>
      </c>
      <c r="O16" s="421">
        <f>ROUND(SUM(O25,O40)+AVERAGE(O36:O37),2)</f>
        <v>9.7200000000000006</v>
      </c>
      <c r="P16" s="400" t="str">
        <f>+N16</f>
        <v>Average kW</v>
      </c>
      <c r="Q16" s="421">
        <f>ROUND(SUM(Q25,Q40)+AVERAGE(Q36:Q37),2)</f>
        <v>9.39</v>
      </c>
      <c r="R16" s="385"/>
      <c r="S16" s="363">
        <f>(Q16-O16)/O16</f>
        <v>-3.3950617283950622E-2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0"/>
      <c r="O17" s="365"/>
      <c r="P17" s="400"/>
      <c r="Q17" s="365"/>
      <c r="R17" s="385"/>
    </row>
    <row r="18" spans="1:19" ht="15.6">
      <c r="A18" s="386"/>
      <c r="B18" s="390">
        <f>+B16+100</f>
        <v>500</v>
      </c>
      <c r="C18" s="390"/>
      <c r="D18" s="390">
        <v>300</v>
      </c>
      <c r="E18" s="393">
        <f>ROUND((B$18*D18),0)</f>
        <v>150000</v>
      </c>
      <c r="F18" s="390"/>
      <c r="G18" s="391">
        <f>+O$10+$B18*O$16+$E18*O$12</f>
        <v>14469.67</v>
      </c>
      <c r="H18" s="391"/>
      <c r="I18" s="391">
        <f>+Q$10+$B18*Q$16+$E18*Q$12</f>
        <v>14082.76</v>
      </c>
      <c r="J18" s="390"/>
      <c r="K18" s="388">
        <f>ROUND((+I18-G18)/G18,3)</f>
        <v>-2.7E-2</v>
      </c>
      <c r="L18" s="386"/>
      <c r="M18" s="386"/>
      <c r="N18" s="400" t="s">
        <v>399</v>
      </c>
      <c r="O18" s="420">
        <f>SUM(O26,O38)</f>
        <v>1.1000000000000001E-3</v>
      </c>
      <c r="P18" s="400" t="str">
        <f>+N18</f>
        <v>kVarh</v>
      </c>
      <c r="Q18" s="420">
        <f>SUM(Q26,Q38)</f>
        <v>1.07E-3</v>
      </c>
      <c r="R18" s="385"/>
      <c r="S18" s="363">
        <f>(Q18-O18)/O18</f>
        <v>-2.7272727272727344E-2</v>
      </c>
    </row>
    <row r="19" spans="1:19" ht="16.2" thickBot="1">
      <c r="A19" s="386"/>
      <c r="B19" s="390">
        <f>+B18</f>
        <v>500</v>
      </c>
      <c r="C19" s="390"/>
      <c r="D19" s="390">
        <v>500</v>
      </c>
      <c r="E19" s="393">
        <f>ROUND((B$18*D19),0)</f>
        <v>250000</v>
      </c>
      <c r="F19" s="390"/>
      <c r="G19" s="391">
        <f>+O$10+$B19*O$16+$E19*O$12</f>
        <v>20640.669999999998</v>
      </c>
      <c r="H19" s="391"/>
      <c r="I19" s="391">
        <f>+Q$10+$B19*Q$16+$E19*Q$12</f>
        <v>20112.16</v>
      </c>
      <c r="J19" s="390"/>
      <c r="K19" s="388">
        <f>ROUND((+I19-G19)/G19,3)</f>
        <v>-2.5999999999999999E-2</v>
      </c>
      <c r="L19" s="386"/>
      <c r="M19" s="386"/>
      <c r="N19" s="399" t="s">
        <v>25</v>
      </c>
      <c r="O19" s="398" t="s">
        <v>25</v>
      </c>
      <c r="P19" s="399" t="s">
        <v>25</v>
      </c>
      <c r="Q19" s="398" t="s">
        <v>25</v>
      </c>
      <c r="R19" s="385"/>
    </row>
    <row r="20" spans="1:19" ht="15.6">
      <c r="A20" s="386"/>
      <c r="B20" s="390">
        <f>+B19</f>
        <v>500</v>
      </c>
      <c r="C20" s="390"/>
      <c r="D20" s="390">
        <v>700</v>
      </c>
      <c r="E20" s="393">
        <f>ROUND((B$18*D20),0)</f>
        <v>350000</v>
      </c>
      <c r="F20" s="390"/>
      <c r="G20" s="391">
        <f>+O$10+$B20*O$16+$E20*O$12</f>
        <v>26811.67</v>
      </c>
      <c r="H20" s="391"/>
      <c r="I20" s="391">
        <f>+Q$10+$B20*Q$16+$E20*Q$12</f>
        <v>26141.56</v>
      </c>
      <c r="J20" s="390"/>
      <c r="K20" s="388">
        <f>ROUND((+I20-G20)/G20,3)</f>
        <v>-2.5000000000000001E-2</v>
      </c>
      <c r="R20" s="385"/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337" t="str">
        <f>+N10</f>
        <v>Basic Charge</v>
      </c>
      <c r="O21" s="502">
        <f>+'[2]Exhibit No.__(JAP-Tariff)'!$F$70</f>
        <v>353.17</v>
      </c>
      <c r="P21" s="502"/>
      <c r="Q21" s="502">
        <f>+'[3]Exhibit No.__(JAP-Tariff)'!$F$70</f>
        <v>343.66</v>
      </c>
      <c r="R21" s="385"/>
    </row>
    <row r="22" spans="1:19" ht="15.6">
      <c r="A22" s="386"/>
      <c r="B22" s="390">
        <f>+B20+100</f>
        <v>600</v>
      </c>
      <c r="C22" s="390"/>
      <c r="D22" s="390">
        <v>300</v>
      </c>
      <c r="E22" s="393">
        <f>ROUND((B$22*D22),0)</f>
        <v>180000</v>
      </c>
      <c r="F22" s="390"/>
      <c r="G22" s="391">
        <f>+O$10+$B22*O$16+$E22*O$12</f>
        <v>17292.97</v>
      </c>
      <c r="H22" s="391"/>
      <c r="I22" s="391">
        <f>+Q$10+$B22*Q$16+$E22*Q$12</f>
        <v>16830.580000000002</v>
      </c>
      <c r="J22" s="390"/>
      <c r="K22" s="388">
        <f>ROUND((+I22-G22)/G22,3)</f>
        <v>-2.7E-2</v>
      </c>
      <c r="L22" s="386"/>
      <c r="M22" s="386"/>
      <c r="N22" s="337" t="str">
        <f>+N12</f>
        <v>kWh - All</v>
      </c>
      <c r="O22" s="502">
        <f>+'[2]Exhibit No.__(JAP-Tariff)'!$F$72</f>
        <v>5.6535000000000002E-2</v>
      </c>
      <c r="P22" s="502"/>
      <c r="Q22" s="502">
        <f>+'[3]Exhibit No.__(JAP-Tariff)'!$F$72</f>
        <v>5.5014E-2</v>
      </c>
      <c r="R22" s="385"/>
    </row>
    <row r="23" spans="1:19" ht="15.6">
      <c r="A23" s="386"/>
      <c r="B23" s="390">
        <f>+B22</f>
        <v>600</v>
      </c>
      <c r="C23" s="390"/>
      <c r="D23" s="390">
        <v>500</v>
      </c>
      <c r="E23" s="393">
        <f>ROUND((B$22*D23),0)</f>
        <v>300000</v>
      </c>
      <c r="F23" s="390"/>
      <c r="G23" s="391">
        <f>+O$10+$B23*O$16+$E23*O$12</f>
        <v>24698.17</v>
      </c>
      <c r="H23" s="391"/>
      <c r="I23" s="391">
        <f>+Q$10+$B23*Q$16+$E23*Q$12</f>
        <v>24065.86</v>
      </c>
      <c r="J23" s="390"/>
      <c r="K23" s="388">
        <f>ROUND((+I23-G23)/G23,3)</f>
        <v>-2.5999999999999999E-2</v>
      </c>
      <c r="L23" s="386"/>
      <c r="M23" s="386"/>
      <c r="N23" s="337" t="str">
        <f>+N14</f>
        <v>Winter kW</v>
      </c>
      <c r="O23" s="502">
        <f>+'[2]Exhibit No.__(JAP-Tariff)'!$F$74</f>
        <v>11.78</v>
      </c>
      <c r="P23" s="502"/>
      <c r="Q23" s="502">
        <f>+'[3]Exhibit No.__(JAP-Tariff)'!$F$74</f>
        <v>11.46</v>
      </c>
      <c r="R23" s="385"/>
    </row>
    <row r="24" spans="1:19" ht="15.6">
      <c r="A24" s="386"/>
      <c r="B24" s="390">
        <f>+B23</f>
        <v>600</v>
      </c>
      <c r="C24" s="390"/>
      <c r="D24" s="390">
        <v>700</v>
      </c>
      <c r="E24" s="393">
        <f>ROUND((B$22*D24),0)</f>
        <v>420000</v>
      </c>
      <c r="F24" s="390"/>
      <c r="G24" s="391">
        <f>+O$10+$B24*O$16+$E24*O$12</f>
        <v>32103.370000000003</v>
      </c>
      <c r="H24" s="391"/>
      <c r="I24" s="391">
        <f>+Q$10+$B24*Q$16+$E24*Q$12</f>
        <v>31301.14</v>
      </c>
      <c r="J24" s="390"/>
      <c r="K24" s="388">
        <f>ROUND((+I24-G24)/G24,3)</f>
        <v>-2.5000000000000001E-2</v>
      </c>
      <c r="N24" s="337" t="str">
        <f t="shared" ref="N24:N25" si="0">+N15</f>
        <v>Summer kW</v>
      </c>
      <c r="O24" s="502">
        <f>+'[2]Exhibit No.__(JAP-Tariff)'!$F$75</f>
        <v>7.85</v>
      </c>
      <c r="P24" s="502"/>
      <c r="Q24" s="502">
        <f>+'[3]Exhibit No.__(JAP-Tariff)'!$F$75</f>
        <v>7.64</v>
      </c>
      <c r="R24" s="385"/>
    </row>
    <row r="25" spans="1:19" ht="15.6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37" t="str">
        <f t="shared" si="0"/>
        <v>Average kW</v>
      </c>
      <c r="O25" s="502">
        <f>+'[2]Exhibit No.__(JAP-PV RD)'!$G$31</f>
        <v>9.76</v>
      </c>
      <c r="P25" s="502"/>
      <c r="Q25" s="502">
        <f>+'[3]Exhibit No.__(JAP-PV RD)'!$G$31</f>
        <v>9.5</v>
      </c>
      <c r="R25" s="385"/>
    </row>
    <row r="26" spans="1:19" ht="15.6">
      <c r="A26" s="386"/>
      <c r="B26" s="390">
        <f>+B24+100</f>
        <v>700</v>
      </c>
      <c r="C26" s="390"/>
      <c r="D26" s="390">
        <v>300</v>
      </c>
      <c r="E26" s="393">
        <f>ROUND((B$26*D26),0)</f>
        <v>210000</v>
      </c>
      <c r="F26" s="390"/>
      <c r="G26" s="391">
        <f>+O$10+$B26*O$16+$E26*O$12</f>
        <v>20116.27</v>
      </c>
      <c r="H26" s="391"/>
      <c r="I26" s="391">
        <f>+Q$10+$B26*Q$16+$E26*Q$12</f>
        <v>19578.400000000001</v>
      </c>
      <c r="J26" s="390"/>
      <c r="K26" s="388">
        <f>ROUND((+I26-G26)/G26,3)</f>
        <v>-2.7E-2</v>
      </c>
      <c r="L26" s="386"/>
      <c r="M26" s="386"/>
      <c r="N26" s="337" t="str">
        <f>+N18</f>
        <v>kVarh</v>
      </c>
      <c r="O26" s="502">
        <f>+'[2]Exhibit No.__(JAP-Tariff)'!$F$77</f>
        <v>1.1000000000000001E-3</v>
      </c>
      <c r="P26" s="502"/>
      <c r="Q26" s="502">
        <f>+'[3]Exhibit No.__(JAP-Tariff)'!$F$77</f>
        <v>1.07E-3</v>
      </c>
      <c r="R26" s="385"/>
    </row>
    <row r="27" spans="1:19" ht="15.6">
      <c r="A27" s="386"/>
      <c r="B27" s="390">
        <f>+B26</f>
        <v>700</v>
      </c>
      <c r="C27" s="390"/>
      <c r="D27" s="390">
        <v>500</v>
      </c>
      <c r="E27" s="393">
        <f>ROUND((B$26*D27),0)</f>
        <v>350000</v>
      </c>
      <c r="F27" s="390"/>
      <c r="G27" s="391">
        <f>+O$10+$B27*O$16+$E27*O$12</f>
        <v>28755.67</v>
      </c>
      <c r="H27" s="391"/>
      <c r="I27" s="391">
        <f>+Q$10+$B27*Q$16+$E27*Q$12</f>
        <v>28019.56</v>
      </c>
      <c r="J27" s="390"/>
      <c r="K27" s="388">
        <f>ROUND((+I27-G27)/G27,3)</f>
        <v>-2.5999999999999999E-2</v>
      </c>
      <c r="L27" s="386"/>
      <c r="M27" s="386"/>
    </row>
    <row r="28" spans="1:19" ht="15.6">
      <c r="A28" s="386"/>
      <c r="B28" s="390">
        <f>+B27</f>
        <v>700</v>
      </c>
      <c r="C28" s="390"/>
      <c r="D28" s="390">
        <v>700</v>
      </c>
      <c r="E28" s="393">
        <f>ROUND((B$26*D28),0)</f>
        <v>490000</v>
      </c>
      <c r="F28" s="390"/>
      <c r="G28" s="391">
        <f>+O$10+$B28*O$16+$E28*O$12</f>
        <v>37395.07</v>
      </c>
      <c r="H28" s="391"/>
      <c r="I28" s="391">
        <f>+Q$10+$B28*Q$16+$E28*Q$12</f>
        <v>36460.720000000001</v>
      </c>
      <c r="J28" s="390"/>
      <c r="K28" s="388">
        <f>ROUND((+I28-G28)/G28,3)</f>
        <v>-2.5000000000000001E-2</v>
      </c>
      <c r="N28" s="353" t="s">
        <v>360</v>
      </c>
      <c r="O28" s="354">
        <v>0</v>
      </c>
      <c r="Q28" s="354">
        <v>0</v>
      </c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498" t="s">
        <v>359</v>
      </c>
      <c r="O29" s="499">
        <f>+'Sch 95a'!$E$21</f>
        <v>-2.0049999999999998E-3</v>
      </c>
      <c r="P29" s="500"/>
      <c r="Q29" s="499">
        <f>+'Sch 95a'!$H$21</f>
        <v>-1.668E-3</v>
      </c>
    </row>
    <row r="30" spans="1:19" ht="15.6">
      <c r="A30" s="386"/>
      <c r="B30" s="390">
        <f>+B28+100</f>
        <v>800</v>
      </c>
      <c r="C30" s="390"/>
      <c r="D30" s="390">
        <v>300</v>
      </c>
      <c r="E30" s="393">
        <f>ROUND((B$30*D30),0)</f>
        <v>240000</v>
      </c>
      <c r="F30" s="390"/>
      <c r="G30" s="391">
        <f>+O$10+$B30*O$16+$E30*O$12</f>
        <v>22939.57</v>
      </c>
      <c r="H30" s="391"/>
      <c r="I30" s="391">
        <f>+Q$10+$B30*Q$16+$E30*Q$12</f>
        <v>22326.22</v>
      </c>
      <c r="J30" s="390"/>
      <c r="K30" s="388">
        <f>ROUND((+I30-G30)/G30,3)</f>
        <v>-2.7E-2</v>
      </c>
      <c r="L30" s="386"/>
      <c r="M30" s="386"/>
      <c r="N30" s="498" t="s">
        <v>358</v>
      </c>
      <c r="O30" s="499">
        <f>+'Sch 120'!$E$21</f>
        <v>4.5519999999999996E-3</v>
      </c>
      <c r="P30" s="500"/>
      <c r="Q30" s="499">
        <f>+'Sch 120'!$H$21</f>
        <v>4.1520000000000003E-3</v>
      </c>
    </row>
    <row r="31" spans="1:19" ht="15.6">
      <c r="A31" s="386"/>
      <c r="B31" s="390">
        <f>+B30</f>
        <v>800</v>
      </c>
      <c r="C31" s="390"/>
      <c r="D31" s="390">
        <v>500</v>
      </c>
      <c r="E31" s="393">
        <f>ROUND((B$30*D31),0)</f>
        <v>400000</v>
      </c>
      <c r="F31" s="390"/>
      <c r="G31" s="391">
        <f>+O$10+$B31*O$16+$E31*O$12</f>
        <v>32813.17</v>
      </c>
      <c r="H31" s="391"/>
      <c r="I31" s="391">
        <f>+Q$10+$B31*Q$16+$E31*Q$12</f>
        <v>31973.26</v>
      </c>
      <c r="J31" s="390"/>
      <c r="K31" s="388">
        <f>ROUND((+I31-G31)/G31,3)</f>
        <v>-2.5999999999999999E-2</v>
      </c>
      <c r="L31" s="386"/>
      <c r="M31" s="386"/>
      <c r="N31" s="353" t="s">
        <v>227</v>
      </c>
      <c r="O31" s="354">
        <f>+'Sch 129'!E21</f>
        <v>6.96E-4</v>
      </c>
      <c r="Q31" s="354">
        <f t="shared" ref="Q31:Q33" si="1">+O31</f>
        <v>6.96E-4</v>
      </c>
    </row>
    <row r="32" spans="1:19" ht="15.6">
      <c r="A32" s="386"/>
      <c r="B32" s="390">
        <f>+B31</f>
        <v>800</v>
      </c>
      <c r="C32" s="390"/>
      <c r="D32" s="390">
        <v>700</v>
      </c>
      <c r="E32" s="393">
        <f>ROUND((B$30*D32),0)</f>
        <v>560000</v>
      </c>
      <c r="F32" s="390"/>
      <c r="G32" s="391">
        <f>+O$10+$B32*O$16+$E32*O$12</f>
        <v>42686.77</v>
      </c>
      <c r="H32" s="391"/>
      <c r="I32" s="391">
        <f>+Q$10+$B32*Q$16+$E32*Q$12</f>
        <v>41620.300000000003</v>
      </c>
      <c r="J32" s="390"/>
      <c r="K32" s="388">
        <f>ROUND((+I32-G32)/G32,3)</f>
        <v>-2.5000000000000001E-2</v>
      </c>
      <c r="N32" s="357" t="s">
        <v>228</v>
      </c>
      <c r="O32" s="352">
        <f>+'Sch 132'!E21</f>
        <v>-2.3800000000000001E-4</v>
      </c>
      <c r="Q32" s="352">
        <f t="shared" si="1"/>
        <v>-2.3800000000000001E-4</v>
      </c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57" t="s">
        <v>356</v>
      </c>
      <c r="O33" s="352">
        <f>+'Sch 137'!E21</f>
        <v>-2.8E-5</v>
      </c>
      <c r="Q33" s="352">
        <f t="shared" si="1"/>
        <v>-2.8E-5</v>
      </c>
    </row>
    <row r="34" spans="1:17" ht="15.6">
      <c r="A34" s="386"/>
      <c r="B34" s="390">
        <f>+B32+200</f>
        <v>1000</v>
      </c>
      <c r="C34" s="390"/>
      <c r="D34" s="390">
        <v>300</v>
      </c>
      <c r="E34" s="393">
        <f>ROUND((B$34*D34),0)</f>
        <v>300000</v>
      </c>
      <c r="F34" s="390"/>
      <c r="G34" s="391">
        <f>+O$10+$B34*O$16+$E34*O$12</f>
        <v>28586.17</v>
      </c>
      <c r="H34" s="391"/>
      <c r="I34" s="391">
        <f>+Q$10+$B34*Q$16+$E34*Q$12</f>
        <v>27821.86</v>
      </c>
      <c r="J34" s="390"/>
      <c r="K34" s="388">
        <f>ROUND((+I34-G34)/G34,3)</f>
        <v>-2.7E-2</v>
      </c>
      <c r="L34" s="386"/>
      <c r="M34" s="386"/>
      <c r="N34" s="501" t="s">
        <v>259</v>
      </c>
      <c r="O34" s="503">
        <f>+'Sch 140'!$E$21</f>
        <v>2.1980000000000003E-3</v>
      </c>
      <c r="P34" s="500"/>
      <c r="Q34" s="503">
        <f>+'Sch 140'!$H$21</f>
        <v>2.2130000000000001E-3</v>
      </c>
    </row>
    <row r="35" spans="1:17" ht="15.6">
      <c r="A35" s="386"/>
      <c r="B35" s="390">
        <f>+B34</f>
        <v>1000</v>
      </c>
      <c r="C35" s="390"/>
      <c r="D35" s="390">
        <v>500</v>
      </c>
      <c r="E35" s="393">
        <f>ROUND((B$34*D35),0)</f>
        <v>500000</v>
      </c>
      <c r="F35" s="390"/>
      <c r="G35" s="391">
        <f>+O$10+$B35*O$16+$E35*O$12</f>
        <v>40928.17</v>
      </c>
      <c r="H35" s="391"/>
      <c r="I35" s="391">
        <f>+Q$10+$B35*Q$16+$E35*Q$12</f>
        <v>39880.660000000003</v>
      </c>
      <c r="J35" s="390"/>
      <c r="K35" s="388">
        <f>ROUND((+I35-G35)/G35,3)</f>
        <v>-2.5999999999999999E-2</v>
      </c>
      <c r="L35" s="386"/>
      <c r="M35" s="386"/>
      <c r="N35" s="353" t="s">
        <v>398</v>
      </c>
      <c r="O35" s="356">
        <v>0</v>
      </c>
      <c r="Q35" s="356">
        <v>0</v>
      </c>
    </row>
    <row r="36" spans="1:17" ht="15.6">
      <c r="A36" s="386"/>
      <c r="B36" s="390">
        <f>+B35</f>
        <v>1000</v>
      </c>
      <c r="C36" s="390"/>
      <c r="D36" s="390">
        <v>700</v>
      </c>
      <c r="E36" s="393">
        <f>ROUND((B$34*D36),0)</f>
        <v>700000</v>
      </c>
      <c r="F36" s="390"/>
      <c r="G36" s="391">
        <f>+O$10+$B36*O$16+$E36*O$12</f>
        <v>53270.17</v>
      </c>
      <c r="H36" s="391"/>
      <c r="I36" s="391">
        <f>+Q$10+$B36*Q$16+$E36*Q$12</f>
        <v>51939.460000000006</v>
      </c>
      <c r="J36" s="390"/>
      <c r="K36" s="388">
        <f>ROUND((+I36-G36)/G36,3)</f>
        <v>-2.5000000000000001E-2</v>
      </c>
      <c r="N36" s="353" t="s">
        <v>419</v>
      </c>
      <c r="O36" s="356">
        <v>0</v>
      </c>
      <c r="Q36" s="356">
        <v>0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  <c r="N37" s="353" t="s">
        <v>418</v>
      </c>
      <c r="O37" s="356">
        <v>0</v>
      </c>
      <c r="Q37" s="352">
        <v>0</v>
      </c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N38" s="353" t="s">
        <v>417</v>
      </c>
      <c r="O38" s="430">
        <v>0</v>
      </c>
      <c r="Q38" s="352">
        <v>0</v>
      </c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498" t="s">
        <v>439</v>
      </c>
      <c r="O39" s="503">
        <v>0</v>
      </c>
      <c r="P39" s="503"/>
      <c r="Q39" s="503">
        <f>+'Sch 142 Deferral &amp; K-Factor'!$O$21</f>
        <v>1.5300000000000001E-4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501" t="s">
        <v>416</v>
      </c>
      <c r="O40" s="528">
        <f>+'Sch 142 Deferral &amp; K-Factor'!$F$21</f>
        <v>-0.04</v>
      </c>
      <c r="P40" s="528"/>
      <c r="Q40" s="528">
        <f>+'Sch 142 Deferral &amp; K-Factor'!$P$21</f>
        <v>-0.11</v>
      </c>
    </row>
    <row r="41" spans="1:17" ht="15.6">
      <c r="A41" s="386"/>
      <c r="B41" s="554" t="s">
        <v>658</v>
      </c>
    </row>
    <row r="42" spans="1:17" ht="15.6">
      <c r="A42" s="386"/>
      <c r="B42" s="554" t="s">
        <v>654</v>
      </c>
      <c r="N42" s="350" t="s">
        <v>620</v>
      </c>
      <c r="O42" s="349">
        <f>+'Tax Reform Impacts'!F18</f>
        <v>-2.5452612066593737E-2</v>
      </c>
    </row>
    <row r="43" spans="1:17" ht="15.6">
      <c r="A43" s="386"/>
      <c r="B43" s="554" t="s">
        <v>655</v>
      </c>
      <c r="N43" s="350"/>
      <c r="O43" s="349"/>
    </row>
    <row r="44" spans="1:17">
      <c r="A44" s="386"/>
    </row>
    <row r="45" spans="1:17">
      <c r="A45" s="386"/>
    </row>
    <row r="46" spans="1:17">
      <c r="A46" s="386"/>
    </row>
    <row r="47" spans="1:17">
      <c r="A47" s="386"/>
    </row>
    <row r="48" spans="1:17">
      <c r="A48" s="386"/>
    </row>
    <row r="49" spans="1:1">
      <c r="A49" s="386"/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Normal="100" workbookViewId="0">
      <selection activeCell="P21" sqref="P21"/>
    </sheetView>
  </sheetViews>
  <sheetFormatPr defaultColWidth="9.44140625" defaultRowHeight="13.8"/>
  <cols>
    <col min="1" max="1" width="2.21875" style="337" customWidth="1"/>
    <col min="2" max="2" width="11.77734375" style="337" customWidth="1"/>
    <col min="3" max="3" width="12.44140625" style="337" bestFit="1" customWidth="1"/>
    <col min="4" max="4" width="3.5546875" style="337" customWidth="1"/>
    <col min="5" max="5" width="9.77734375" style="337" bestFit="1" customWidth="1"/>
    <col min="6" max="6" width="4.109375" style="337" customWidth="1"/>
    <col min="7" max="7" width="15.5546875" style="337" bestFit="1" customWidth="1"/>
    <col min="8" max="8" width="3.88671875" style="337" customWidth="1"/>
    <col min="9" max="9" width="15.5546875" style="337" bestFit="1" customWidth="1"/>
    <col min="10" max="10" width="3.21875" style="337" customWidth="1"/>
    <col min="11" max="11" width="9.44140625" style="337" bestFit="1" customWidth="1"/>
    <col min="12" max="12" width="3.88671875" style="439" customWidth="1"/>
    <col min="13" max="13" width="27.33203125" style="337" bestFit="1" customWidth="1"/>
    <col min="14" max="14" width="15.21875" style="337" bestFit="1" customWidth="1"/>
    <col min="15" max="15" width="9" style="337" bestFit="1" customWidth="1"/>
    <col min="16" max="16" width="16.77734375" style="337" bestFit="1" customWidth="1"/>
    <col min="17" max="17" width="3.44140625" style="337" customWidth="1"/>
    <col min="18" max="18" width="7.6640625" style="337" bestFit="1" customWidth="1"/>
    <col min="19" max="16384" width="9.44140625" style="337"/>
  </cols>
  <sheetData>
    <row r="1" spans="1:18" ht="17.399999999999999">
      <c r="B1" s="438" t="s">
        <v>0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1:18" ht="17.399999999999999">
      <c r="B2" s="438" t="s">
        <v>372</v>
      </c>
      <c r="C2" s="438"/>
      <c r="D2" s="438"/>
      <c r="E2" s="438"/>
      <c r="F2" s="438"/>
      <c r="G2" s="438"/>
      <c r="H2" s="438"/>
      <c r="I2" s="438"/>
      <c r="J2" s="438"/>
      <c r="K2" s="438"/>
    </row>
    <row r="3" spans="1:18" ht="17.399999999999999">
      <c r="B3" s="438" t="s">
        <v>447</v>
      </c>
      <c r="C3" s="438"/>
      <c r="D3" s="438"/>
      <c r="E3" s="438"/>
      <c r="F3" s="438"/>
      <c r="G3" s="438"/>
      <c r="H3" s="438"/>
      <c r="I3" s="438"/>
      <c r="J3" s="438"/>
      <c r="K3" s="438"/>
    </row>
    <row r="4" spans="1:18" ht="17.399999999999999"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8" ht="17.399999999999999">
      <c r="B5" s="438"/>
      <c r="C5" s="438"/>
      <c r="D5" s="438"/>
      <c r="E5" s="438"/>
      <c r="F5" s="438"/>
      <c r="G5" s="438"/>
      <c r="H5" s="438"/>
      <c r="I5" s="438"/>
      <c r="J5" s="438"/>
      <c r="K5" s="438"/>
    </row>
    <row r="6" spans="1:18" ht="18">
      <c r="A6" s="451"/>
      <c r="B6" s="384"/>
      <c r="C6" s="384"/>
      <c r="D6" s="384"/>
      <c r="E6" s="384"/>
      <c r="F6" s="384"/>
      <c r="G6" s="384"/>
      <c r="H6" s="384"/>
      <c r="I6" s="384"/>
      <c r="J6" s="384"/>
    </row>
    <row r="7" spans="1:18" ht="18">
      <c r="A7" s="451"/>
      <c r="B7" s="384"/>
      <c r="C7" s="384"/>
      <c r="D7" s="384"/>
      <c r="E7" s="384"/>
      <c r="F7" s="384"/>
      <c r="G7" s="384"/>
      <c r="H7" s="384"/>
      <c r="I7" s="384"/>
      <c r="J7" s="384"/>
    </row>
    <row r="9" spans="1:18" ht="15.6">
      <c r="B9" s="450" t="s">
        <v>446</v>
      </c>
      <c r="G9" s="612" t="s">
        <v>445</v>
      </c>
      <c r="H9" s="613"/>
      <c r="I9" s="613"/>
    </row>
    <row r="10" spans="1:18" ht="14.4" thickBot="1">
      <c r="B10" s="436" t="s">
        <v>412</v>
      </c>
      <c r="C10" s="449" t="s">
        <v>444</v>
      </c>
      <c r="G10" s="384" t="s">
        <v>32</v>
      </c>
      <c r="I10" s="384" t="s">
        <v>443</v>
      </c>
      <c r="K10" s="384" t="s">
        <v>388</v>
      </c>
    </row>
    <row r="11" spans="1:18" ht="15.6">
      <c r="B11" s="435" t="s">
        <v>409</v>
      </c>
      <c r="C11" s="434" t="s">
        <v>408</v>
      </c>
      <c r="D11" s="432"/>
      <c r="E11" s="377" t="s">
        <v>368</v>
      </c>
      <c r="F11" s="432"/>
      <c r="G11" s="422" t="s">
        <v>664</v>
      </c>
      <c r="H11" s="422"/>
      <c r="I11" s="422" t="s">
        <v>663</v>
      </c>
      <c r="K11" s="448" t="s">
        <v>37</v>
      </c>
      <c r="M11" s="447"/>
      <c r="N11" s="446" t="s">
        <v>385</v>
      </c>
      <c r="O11" s="445"/>
      <c r="P11" s="452" t="s">
        <v>384</v>
      </c>
    </row>
    <row r="12" spans="1:18">
      <c r="G12" s="434"/>
      <c r="H12" s="432"/>
      <c r="I12" s="434"/>
      <c r="M12" s="400"/>
      <c r="N12" s="364"/>
      <c r="O12" s="364"/>
      <c r="P12" s="444"/>
    </row>
    <row r="13" spans="1:18">
      <c r="B13" s="348">
        <v>1000</v>
      </c>
      <c r="C13" s="337">
        <v>300</v>
      </c>
      <c r="E13" s="348">
        <f>ROUND((B$13*C13),0)</f>
        <v>300000</v>
      </c>
      <c r="F13" s="348"/>
      <c r="G13" s="431">
        <f>ROUND(IF($B$13&gt;4400,$B$13*N$13,4400*$N$13)+$E13*N$14,0)</f>
        <v>30288</v>
      </c>
      <c r="H13" s="431"/>
      <c r="I13" s="431">
        <f>ROUND(IF($B$13&gt;4400,$B$13*P$13,4400*$N$13)+$E13*P$14,0)</f>
        <v>29785</v>
      </c>
      <c r="K13" s="344">
        <f>(I13-G13)/G13</f>
        <v>-1.6607237189646063E-2</v>
      </c>
      <c r="M13" s="401" t="s">
        <v>442</v>
      </c>
      <c r="N13" s="371">
        <f>SUM(N17)</f>
        <v>2.95</v>
      </c>
      <c r="O13" s="404"/>
      <c r="P13" s="370">
        <f>SUM(P17)</f>
        <v>2.95</v>
      </c>
      <c r="R13" s="363">
        <f>(P13-N13)/N13</f>
        <v>0</v>
      </c>
    </row>
    <row r="14" spans="1:18">
      <c r="C14" s="337">
        <v>500</v>
      </c>
      <c r="E14" s="348">
        <f>ROUND((B$13*C14),0)</f>
        <v>500000</v>
      </c>
      <c r="F14" s="348"/>
      <c r="G14" s="431">
        <f>ROUND(IF($B$13&gt;4400,$B$13*N$13,4400*$N$13)+$E14*N$14,0)</f>
        <v>41827</v>
      </c>
      <c r="H14" s="431"/>
      <c r="I14" s="431">
        <f>ROUND(IF($B$13&gt;4400,$B$13*P$13,4400*$N$13)+$E14*P$14,0)</f>
        <v>40988</v>
      </c>
      <c r="K14" s="344">
        <f>(I14-G14)/G14</f>
        <v>-2.0058813684940349E-2</v>
      </c>
      <c r="M14" s="401" t="s">
        <v>441</v>
      </c>
      <c r="N14" s="367">
        <f>SUM(N18,N20:N28)</f>
        <v>5.7694000000000009E-2</v>
      </c>
      <c r="O14" s="404"/>
      <c r="P14" s="365">
        <f>SUM(P18,P20:P28)</f>
        <v>5.6015000000000002E-2</v>
      </c>
      <c r="R14" s="363">
        <f>(P14-N14)/N14</f>
        <v>-2.9101813013485054E-2</v>
      </c>
    </row>
    <row r="15" spans="1:18" ht="14.4" thickBot="1">
      <c r="C15" s="337">
        <v>700</v>
      </c>
      <c r="E15" s="348">
        <f>ROUND((B$13*C15),0)</f>
        <v>700000</v>
      </c>
      <c r="F15" s="348"/>
      <c r="G15" s="431">
        <f>ROUND(IF($B$13&gt;4400,$B$13*N$13,4400*$N$13)+$E15*N$14,0)</f>
        <v>53366</v>
      </c>
      <c r="H15" s="431"/>
      <c r="I15" s="431">
        <f>ROUND(IF($B$13&gt;4400,$B$13*P$13,4400*$N$13)+$E15*P$14,0)</f>
        <v>52191</v>
      </c>
      <c r="K15" s="344">
        <f>(I15-G15)/G15</f>
        <v>-2.2017764119476819E-2</v>
      </c>
      <c r="M15" s="443" t="s">
        <v>25</v>
      </c>
      <c r="N15" s="442" t="s">
        <v>25</v>
      </c>
      <c r="O15" s="360"/>
      <c r="P15" s="441" t="s">
        <v>25</v>
      </c>
    </row>
    <row r="16" spans="1:18">
      <c r="G16" s="431"/>
      <c r="H16" s="431"/>
      <c r="I16" s="431"/>
      <c r="K16" s="344"/>
    </row>
    <row r="17" spans="2:16">
      <c r="B17" s="348">
        <v>2000</v>
      </c>
      <c r="C17" s="337">
        <v>300</v>
      </c>
      <c r="E17" s="348">
        <f>ROUND((B$17*C17),0)</f>
        <v>600000</v>
      </c>
      <c r="F17" s="348"/>
      <c r="G17" s="431">
        <f>ROUND(IF($B$17&gt;4400,$B$17*N$13,4400*$N$13)+$E17*N$14,0)</f>
        <v>47596</v>
      </c>
      <c r="H17" s="431"/>
      <c r="I17" s="431">
        <f>ROUND(IF($B$17&gt;4400,$B$17*P$13,4400*$N$13)+$E17*P$14,0)</f>
        <v>46589</v>
      </c>
      <c r="K17" s="344">
        <f>(I17-G17)/G17</f>
        <v>-2.1157240104210436E-2</v>
      </c>
      <c r="M17" s="337" t="str">
        <f>+M13</f>
        <v>Demand ($ per kVa)</v>
      </c>
      <c r="N17" s="492">
        <f>+'[2]Exhibit No.__(JAP-Tariff)'!$F$156</f>
        <v>2.95</v>
      </c>
      <c r="P17" s="385">
        <f>+'[3]Exhibit No.__(JAP-Tariff)'!$F$156</f>
        <v>2.95</v>
      </c>
    </row>
    <row r="18" spans="2:16">
      <c r="C18" s="337">
        <v>500</v>
      </c>
      <c r="E18" s="348">
        <f>ROUND((B$17*C18),0)</f>
        <v>1000000</v>
      </c>
      <c r="F18" s="348"/>
      <c r="G18" s="431">
        <f>ROUND(IF($B$17&gt;4400,$B$17*N$13,4400*$N$13)+$E18*N$14,0)</f>
        <v>70674</v>
      </c>
      <c r="H18" s="431"/>
      <c r="I18" s="431">
        <f>ROUND(IF($B$17&gt;4400,$B$17*P$13,4400*$N$13)+$E18*P$14,0)</f>
        <v>68995</v>
      </c>
      <c r="K18" s="344">
        <f>(I18-G18)/G18</f>
        <v>-2.3756968616464331E-2</v>
      </c>
      <c r="M18" s="337" t="str">
        <f>+M14</f>
        <v>Energy ($ per kWh)</v>
      </c>
      <c r="N18" s="337">
        <f>+'[2]Exhibit No.__(JAP-Tariff)'!$F$154</f>
        <v>5.2526999999999997E-2</v>
      </c>
      <c r="P18" s="337">
        <f>+'[3]Exhibit No.__(JAP-Tariff)'!$F$154</f>
        <v>5.0738999999999999E-2</v>
      </c>
    </row>
    <row r="19" spans="2:16">
      <c r="C19" s="337">
        <v>700</v>
      </c>
      <c r="E19" s="348">
        <f>ROUND((B$17*C19),0)</f>
        <v>1400000</v>
      </c>
      <c r="F19" s="348"/>
      <c r="G19" s="431">
        <f>ROUND(IF($B$17&gt;4400,$B$17*N$13,4400*$N$13)+$E19*N$14,0)</f>
        <v>93752</v>
      </c>
      <c r="H19" s="431"/>
      <c r="I19" s="431">
        <f>ROUND(IF($B$17&gt;4400,$B$17*P$13,4400*$N$13)+$E19*P$14,0)</f>
        <v>91401</v>
      </c>
      <c r="K19" s="344">
        <f>(I19-G19)/G19</f>
        <v>-2.5076798361634952E-2</v>
      </c>
    </row>
    <row r="20" spans="2:16">
      <c r="G20" s="431"/>
      <c r="H20" s="431"/>
      <c r="I20" s="431"/>
      <c r="K20" s="344"/>
      <c r="M20" s="353" t="s">
        <v>360</v>
      </c>
      <c r="N20" s="354">
        <v>0</v>
      </c>
      <c r="P20" s="354">
        <v>0</v>
      </c>
    </row>
    <row r="21" spans="2:16">
      <c r="B21" s="348">
        <v>4000</v>
      </c>
      <c r="C21" s="337">
        <v>300</v>
      </c>
      <c r="E21" s="348">
        <f>ROUND((B$21*C21),0)</f>
        <v>1200000</v>
      </c>
      <c r="F21" s="348"/>
      <c r="G21" s="431">
        <f>ROUND(IF($B$21&gt;4400,$B$21*N$13,4400*$N$13)+$E21*N$14,0)</f>
        <v>82213</v>
      </c>
      <c r="H21" s="431"/>
      <c r="I21" s="431">
        <f>ROUND(IF($B$21&gt;4400,$B$21*P$13,4400*$N$13)+$E21*P$14,0)</f>
        <v>80198</v>
      </c>
      <c r="K21" s="344">
        <f>(I21-G21)/G21</f>
        <v>-2.4509505795920355E-2</v>
      </c>
      <c r="M21" s="498" t="s">
        <v>359</v>
      </c>
      <c r="N21" s="499">
        <f>+'Sch 95a'!$E$28</f>
        <v>-1.0250000000000001E-3</v>
      </c>
      <c r="O21" s="500"/>
      <c r="P21" s="499">
        <f>+'Sch 95a'!$H$28</f>
        <v>-8.5300000000000003E-4</v>
      </c>
    </row>
    <row r="22" spans="2:16">
      <c r="C22" s="337">
        <v>500</v>
      </c>
      <c r="E22" s="348">
        <f>ROUND((B$21*C22),0)</f>
        <v>2000000</v>
      </c>
      <c r="F22" s="348"/>
      <c r="G22" s="431">
        <f>ROUND(IF($B$21&gt;4400,$B$21*N$13,4400*$N$13)+$E22*N$14,0)</f>
        <v>128368</v>
      </c>
      <c r="H22" s="431"/>
      <c r="I22" s="431">
        <f>ROUND(IF($B$21&gt;4400,$B$21*P$13,4400*$N$13)+$E22*P$14,0)</f>
        <v>125010</v>
      </c>
      <c r="K22" s="344">
        <f>(I22-G22)/G22</f>
        <v>-2.615916739374299E-2</v>
      </c>
      <c r="M22" s="498" t="s">
        <v>358</v>
      </c>
      <c r="N22" s="499">
        <f>+'Sch 120'!$E$28</f>
        <v>2.9169999999999999E-3</v>
      </c>
      <c r="O22" s="500"/>
      <c r="P22" s="499">
        <f>+'Sch 120'!$H$28</f>
        <v>2.6159999999999998E-3</v>
      </c>
    </row>
    <row r="23" spans="2:16">
      <c r="C23" s="337">
        <v>700</v>
      </c>
      <c r="E23" s="348">
        <f>ROUND((B$21*C23),0)</f>
        <v>2800000</v>
      </c>
      <c r="F23" s="348"/>
      <c r="G23" s="431">
        <f>ROUND(IF($B$21&gt;4400,$B$21*N$13,4400*$N$13)+$E23*N$14,0)</f>
        <v>174523</v>
      </c>
      <c r="H23" s="431"/>
      <c r="I23" s="431">
        <f>ROUND(IF($B$21&gt;4400,$B$21*P$13,4400*$N$13)+$E23*P$14,0)</f>
        <v>169822</v>
      </c>
      <c r="K23" s="344">
        <f>(I23-G23)/G23</f>
        <v>-2.6936277739896746E-2</v>
      </c>
      <c r="M23" s="353" t="s">
        <v>227</v>
      </c>
      <c r="N23" s="354">
        <f>+'Sch 129'!E28</f>
        <v>5.9800000000000001E-4</v>
      </c>
      <c r="P23" s="354">
        <f t="shared" ref="P23:P25" si="0">+N23</f>
        <v>5.9800000000000001E-4</v>
      </c>
    </row>
    <row r="24" spans="2:16">
      <c r="G24" s="431"/>
      <c r="H24" s="431"/>
      <c r="I24" s="431"/>
      <c r="K24" s="344"/>
      <c r="M24" s="357" t="s">
        <v>228</v>
      </c>
      <c r="N24" s="352">
        <f>+'Sch 132'!E28</f>
        <v>-1.1E-4</v>
      </c>
      <c r="P24" s="354">
        <f t="shared" si="0"/>
        <v>-1.1E-4</v>
      </c>
    </row>
    <row r="25" spans="2:16">
      <c r="B25" s="348">
        <v>6000</v>
      </c>
      <c r="C25" s="337">
        <v>300</v>
      </c>
      <c r="E25" s="348">
        <f>ROUND((B$25*C25),0)</f>
        <v>1800000</v>
      </c>
      <c r="F25" s="348"/>
      <c r="G25" s="431">
        <f>ROUND(IF($B$25&gt;4400,$B$25*N$13,4400*$N$13)+$E25*N$14,0)</f>
        <v>121549</v>
      </c>
      <c r="H25" s="431"/>
      <c r="I25" s="431">
        <f>ROUND(IF($B$25&gt;4400,$B$25*P$13,4400*$N$13)+$E25*P$14,0)</f>
        <v>118527</v>
      </c>
      <c r="K25" s="344">
        <f>(I25-G25)/G25</f>
        <v>-2.4862401171543987E-2</v>
      </c>
      <c r="M25" s="357" t="s">
        <v>356</v>
      </c>
      <c r="N25" s="352">
        <f>+'Sch 137'!E28</f>
        <v>-1.4E-5</v>
      </c>
      <c r="P25" s="354">
        <f t="shared" si="0"/>
        <v>-1.4E-5</v>
      </c>
    </row>
    <row r="26" spans="2:16">
      <c r="C26" s="337">
        <v>500</v>
      </c>
      <c r="E26" s="348">
        <f>ROUND((B$25*C26),0)</f>
        <v>3000000</v>
      </c>
      <c r="F26" s="348"/>
      <c r="G26" s="431">
        <f>ROUND(IF($B$25&gt;4400,$B$25*N$13,4400*$N$13)+$E26*N$14,0)</f>
        <v>190782</v>
      </c>
      <c r="H26" s="431"/>
      <c r="I26" s="431">
        <f>ROUND(IF($B$25&gt;4400,$B$25*P$13,4400*$N$13)+$E26*P$14,0)</f>
        <v>185745</v>
      </c>
      <c r="K26" s="344">
        <f>(I26-G26)/G26</f>
        <v>-2.640186181086266E-2</v>
      </c>
      <c r="M26" s="501" t="s">
        <v>259</v>
      </c>
      <c r="N26" s="503">
        <f>+'Sch 140'!$E$28</f>
        <v>1.4659999999999999E-3</v>
      </c>
      <c r="O26" s="500"/>
      <c r="P26" s="503">
        <f>+'Sch 140'!$H$28</f>
        <v>1.621E-3</v>
      </c>
    </row>
    <row r="27" spans="2:16">
      <c r="C27" s="337">
        <v>700</v>
      </c>
      <c r="E27" s="348">
        <f>ROUND((B$25*C27),0)</f>
        <v>4200000</v>
      </c>
      <c r="F27" s="348"/>
      <c r="G27" s="431">
        <f>ROUND(IF($B$25&gt;4400,$B$25*N$13,4400*$N$13)+$E27*N$14,0)</f>
        <v>260015</v>
      </c>
      <c r="H27" s="431"/>
      <c r="I27" s="431">
        <f>ROUND(IF($B$25&gt;4400,$B$25*P$13,4400*$N$13)+$E27*P$14,0)</f>
        <v>252963</v>
      </c>
      <c r="K27" s="344">
        <f>(I27-G27)/G27</f>
        <v>-2.7121512220448819E-2</v>
      </c>
      <c r="M27" s="353" t="s">
        <v>440</v>
      </c>
      <c r="N27" s="352">
        <v>0</v>
      </c>
      <c r="P27" s="354">
        <v>0</v>
      </c>
    </row>
    <row r="28" spans="2:16">
      <c r="E28" s="348"/>
      <c r="F28" s="348"/>
      <c r="G28" s="431"/>
      <c r="H28" s="431"/>
      <c r="I28" s="431"/>
      <c r="K28" s="344"/>
      <c r="M28" s="501" t="s">
        <v>439</v>
      </c>
      <c r="N28" s="499">
        <f>+'Sch 142 Deferral &amp; K-Factor'!$F$28</f>
        <v>1.335E-3</v>
      </c>
      <c r="O28" s="500"/>
      <c r="P28" s="499">
        <f>+'Sch 142 Deferral &amp; K-Factor'!$O$28</f>
        <v>1.418E-3</v>
      </c>
    </row>
    <row r="29" spans="2:16">
      <c r="B29" s="348">
        <v>8000</v>
      </c>
      <c r="C29" s="337">
        <v>300</v>
      </c>
      <c r="E29" s="348">
        <f>ROUND((B$29*C29),0)</f>
        <v>2400000</v>
      </c>
      <c r="F29" s="348"/>
      <c r="G29" s="431">
        <f>ROUND(IF($B$29&gt;4400,$B$29*N$13,4400*$N$13)+$E29*N$14,0)</f>
        <v>162066</v>
      </c>
      <c r="H29" s="431"/>
      <c r="I29" s="431">
        <f>ROUND(IF($B$29&gt;4400,$B$29*P$13,4400*$N$13)+$E29*P$14,0)</f>
        <v>158036</v>
      </c>
      <c r="K29" s="344">
        <f>(I29-G29)/G29</f>
        <v>-2.4866412449249073E-2</v>
      </c>
    </row>
    <row r="30" spans="2:16">
      <c r="C30" s="337">
        <v>500</v>
      </c>
      <c r="E30" s="348">
        <f>ROUND((B$29*C30),0)</f>
        <v>4000000</v>
      </c>
      <c r="F30" s="348"/>
      <c r="G30" s="431">
        <f>ROUND(IF($B$29&gt;4400,$B$29*N$13,4400*$N$13)+$E30*N$14,0)</f>
        <v>254376</v>
      </c>
      <c r="H30" s="431"/>
      <c r="I30" s="431">
        <f>ROUND(IF($B$29&gt;4400,$B$29*P$13,4400*$N$13)+$E30*P$14,0)</f>
        <v>247660</v>
      </c>
      <c r="K30" s="344">
        <f>(I30-G30)/G30</f>
        <v>-2.640186181086266E-2</v>
      </c>
    </row>
    <row r="31" spans="2:16">
      <c r="C31" s="337">
        <v>700</v>
      </c>
      <c r="E31" s="348">
        <f>ROUND((B$29*C31),0)</f>
        <v>5600000</v>
      </c>
      <c r="F31" s="348"/>
      <c r="G31" s="431">
        <f>ROUND(IF($B$29&gt;4400,$B$29*N$13,4400*$N$13)+$E31*N$14,0)</f>
        <v>346686</v>
      </c>
      <c r="H31" s="431"/>
      <c r="I31" s="431">
        <f>ROUND(IF($B$29&gt;4400,$B$29*P$13,4400*$N$13)+$E31*P$14,0)</f>
        <v>337284</v>
      </c>
      <c r="K31" s="344">
        <f>(I31-G31)/G31</f>
        <v>-2.7119641404613974E-2</v>
      </c>
    </row>
    <row r="32" spans="2:16">
      <c r="E32" s="348"/>
      <c r="F32" s="348"/>
      <c r="G32" s="431"/>
      <c r="H32" s="431"/>
      <c r="I32" s="431"/>
      <c r="K32" s="344"/>
    </row>
    <row r="33" spans="2:14">
      <c r="B33" s="348">
        <v>10000</v>
      </c>
      <c r="C33" s="337">
        <v>300</v>
      </c>
      <c r="E33" s="348">
        <f>ROUND((B$33*C33),0)</f>
        <v>3000000</v>
      </c>
      <c r="F33" s="348"/>
      <c r="G33" s="431">
        <f>ROUND(IF($B$33&gt;4400,$B$33*N$13,4400*$N$13)+$E33*N$14,0)</f>
        <v>202582</v>
      </c>
      <c r="H33" s="431"/>
      <c r="I33" s="431">
        <f>ROUND(IF($B$33&gt;4400,$B$33*P$13,4400*$N$13)+$E33*P$14,0)</f>
        <v>197545</v>
      </c>
      <c r="K33" s="344">
        <f>(I33-G33)/G33</f>
        <v>-2.4864005686586171E-2</v>
      </c>
    </row>
    <row r="34" spans="2:14">
      <c r="C34" s="337">
        <v>500</v>
      </c>
      <c r="E34" s="348">
        <f>ROUND((B$33*C34),0)</f>
        <v>5000000</v>
      </c>
      <c r="F34" s="348"/>
      <c r="G34" s="431">
        <f>ROUND(IF($B$33&gt;4400,$B$33*N$13,4400*$N$13)+$E34*N$14,0)</f>
        <v>317970</v>
      </c>
      <c r="H34" s="431"/>
      <c r="I34" s="431">
        <f>ROUND(IF($B$33&gt;4400,$B$33*P$13,4400*$N$13)+$E34*P$14,0)</f>
        <v>309575</v>
      </c>
      <c r="K34" s="344">
        <f>(I34-G34)/G34</f>
        <v>-2.640186181086266E-2</v>
      </c>
    </row>
    <row r="35" spans="2:14">
      <c r="C35" s="337">
        <v>700</v>
      </c>
      <c r="E35" s="348">
        <f>ROUND((B$33*C35),0)</f>
        <v>7000000</v>
      </c>
      <c r="F35" s="348"/>
      <c r="G35" s="431">
        <f>ROUND(IF($B$33&gt;4400,$B$33*N$13,4400*$N$13)+$E35*N$14,0)</f>
        <v>433358</v>
      </c>
      <c r="H35" s="431"/>
      <c r="I35" s="431">
        <f>ROUND(IF($B$33&gt;4400,$B$33*P$13,4400*$N$13)+$E35*P$14,0)</f>
        <v>421605</v>
      </c>
      <c r="K35" s="344">
        <f>(I35-G35)/G35</f>
        <v>-2.7120763894978285E-2</v>
      </c>
    </row>
    <row r="36" spans="2:14"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M36" s="350" t="s">
        <v>620</v>
      </c>
      <c r="N36" s="349">
        <f>+'Tax Reform Impacts'!F25</f>
        <v>-1.9238991021804191E-2</v>
      </c>
    </row>
    <row r="37" spans="2:14">
      <c r="M37" s="350"/>
      <c r="N37" s="349"/>
    </row>
    <row r="39" spans="2:14" ht="15.6">
      <c r="B39" s="554" t="s">
        <v>653</v>
      </c>
    </row>
    <row r="40" spans="2:14" ht="15.6">
      <c r="B40" s="554" t="s">
        <v>665</v>
      </c>
    </row>
    <row r="41" spans="2:14" ht="15.6">
      <c r="B41" s="554" t="s">
        <v>666</v>
      </c>
    </row>
    <row r="42" spans="2:14">
      <c r="B42" s="554"/>
    </row>
    <row r="43" spans="2:14">
      <c r="B43" s="339"/>
    </row>
    <row r="44" spans="2:14">
      <c r="B44" s="339"/>
    </row>
    <row r="45" spans="2:14">
      <c r="B45" s="339"/>
    </row>
    <row r="46" spans="2:14">
      <c r="B46" s="339"/>
    </row>
    <row r="47" spans="2:14">
      <c r="B47" s="339"/>
    </row>
    <row r="48" spans="2:14">
      <c r="B48" s="339"/>
    </row>
    <row r="49" spans="2:15">
      <c r="B49" s="339"/>
    </row>
    <row r="50" spans="2:15">
      <c r="B50" s="339"/>
    </row>
    <row r="51" spans="2:15">
      <c r="B51" s="339"/>
    </row>
    <row r="52" spans="2:15">
      <c r="B52" s="339"/>
    </row>
    <row r="54" spans="2:15">
      <c r="O54" s="338"/>
    </row>
  </sheetData>
  <mergeCells count="1">
    <mergeCell ref="G9:I9"/>
  </mergeCells>
  <printOptions horizontalCentered="1"/>
  <pageMargins left="0.7" right="0.7" top="0.75" bottom="0.71" header="0.3" footer="0.3"/>
  <pageSetup scale="76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Normal="100" workbookViewId="0">
      <selection activeCell="P21" sqref="P21"/>
    </sheetView>
  </sheetViews>
  <sheetFormatPr defaultColWidth="9.44140625" defaultRowHeight="13.8"/>
  <cols>
    <col min="1" max="1" width="2.21875" style="337" customWidth="1"/>
    <col min="2" max="2" width="11.77734375" style="337" customWidth="1"/>
    <col min="3" max="3" width="12.44140625" style="337" bestFit="1" customWidth="1"/>
    <col min="4" max="4" width="3.5546875" style="337" customWidth="1"/>
    <col min="5" max="5" width="9.77734375" style="337" bestFit="1" customWidth="1"/>
    <col min="6" max="6" width="4.109375" style="337" customWidth="1"/>
    <col min="7" max="7" width="15.5546875" style="337" bestFit="1" customWidth="1"/>
    <col min="8" max="8" width="3.88671875" style="337" customWidth="1"/>
    <col min="9" max="9" width="15.5546875" style="337" bestFit="1" customWidth="1"/>
    <col min="10" max="10" width="3.21875" style="337" customWidth="1"/>
    <col min="11" max="11" width="9.44140625" style="337" bestFit="1" customWidth="1"/>
    <col min="12" max="12" width="3.88671875" style="439" customWidth="1"/>
    <col min="13" max="13" width="27.33203125" style="337" bestFit="1" customWidth="1"/>
    <col min="14" max="14" width="16.5546875" style="337" bestFit="1" customWidth="1"/>
    <col min="15" max="15" width="2.44140625" style="337" customWidth="1"/>
    <col min="16" max="16" width="16.77734375" style="337" bestFit="1" customWidth="1"/>
    <col min="17" max="17" width="3.44140625" style="337" customWidth="1"/>
    <col min="18" max="18" width="6.21875" style="337" bestFit="1" customWidth="1"/>
    <col min="19" max="16384" width="9.44140625" style="337"/>
  </cols>
  <sheetData>
    <row r="1" spans="1:18" ht="17.399999999999999">
      <c r="B1" s="438" t="s">
        <v>0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1:18" ht="17.399999999999999">
      <c r="B2" s="438" t="s">
        <v>372</v>
      </c>
      <c r="C2" s="438"/>
      <c r="D2" s="438"/>
      <c r="E2" s="438"/>
      <c r="F2" s="438"/>
      <c r="G2" s="438"/>
      <c r="H2" s="438"/>
      <c r="I2" s="438"/>
      <c r="J2" s="438"/>
      <c r="K2" s="438"/>
    </row>
    <row r="3" spans="1:18" ht="17.399999999999999">
      <c r="B3" s="438" t="s">
        <v>448</v>
      </c>
      <c r="C3" s="438"/>
      <c r="D3" s="438"/>
      <c r="E3" s="438"/>
      <c r="F3" s="438"/>
      <c r="G3" s="438"/>
      <c r="H3" s="438"/>
      <c r="I3" s="438"/>
      <c r="J3" s="438"/>
      <c r="K3" s="438"/>
    </row>
    <row r="4" spans="1:18" ht="17.399999999999999"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8" ht="17.399999999999999">
      <c r="B5" s="438"/>
      <c r="C5" s="438"/>
      <c r="D5" s="438"/>
      <c r="E5" s="438"/>
      <c r="F5" s="438"/>
      <c r="G5" s="438"/>
      <c r="H5" s="438"/>
      <c r="I5" s="438"/>
      <c r="J5" s="438"/>
      <c r="K5" s="438"/>
    </row>
    <row r="6" spans="1:18" ht="18">
      <c r="A6" s="451"/>
      <c r="B6" s="384"/>
      <c r="C6" s="384"/>
      <c r="D6" s="384"/>
      <c r="E6" s="384"/>
      <c r="F6" s="384"/>
      <c r="G6" s="384"/>
      <c r="H6" s="384"/>
      <c r="I6" s="384"/>
      <c r="J6" s="384"/>
    </row>
    <row r="7" spans="1:18" ht="18">
      <c r="A7" s="451"/>
      <c r="B7" s="384"/>
      <c r="C7" s="384"/>
      <c r="D7" s="384"/>
      <c r="E7" s="384"/>
      <c r="F7" s="384"/>
      <c r="G7" s="384"/>
      <c r="H7" s="384"/>
      <c r="I7" s="384"/>
      <c r="J7" s="384"/>
    </row>
    <row r="9" spans="1:18" ht="15.6">
      <c r="B9" s="450" t="s">
        <v>446</v>
      </c>
      <c r="G9" s="612" t="s">
        <v>445</v>
      </c>
      <c r="H9" s="613"/>
      <c r="I9" s="613"/>
    </row>
    <row r="10" spans="1:18" ht="14.4" thickBot="1">
      <c r="B10" s="436" t="s">
        <v>412</v>
      </c>
      <c r="C10" s="449" t="s">
        <v>444</v>
      </c>
      <c r="G10" s="384" t="s">
        <v>32</v>
      </c>
      <c r="I10" s="384" t="s">
        <v>443</v>
      </c>
      <c r="K10" s="384" t="s">
        <v>388</v>
      </c>
    </row>
    <row r="11" spans="1:18" ht="15.6">
      <c r="B11" s="435" t="s">
        <v>409</v>
      </c>
      <c r="C11" s="434" t="s">
        <v>408</v>
      </c>
      <c r="D11" s="432"/>
      <c r="E11" s="377" t="s">
        <v>368</v>
      </c>
      <c r="F11" s="432"/>
      <c r="G11" s="422" t="s">
        <v>667</v>
      </c>
      <c r="H11" s="422"/>
      <c r="I11" s="422" t="s">
        <v>668</v>
      </c>
      <c r="K11" s="448" t="s">
        <v>37</v>
      </c>
      <c r="M11" s="447"/>
      <c r="N11" s="446" t="s">
        <v>385</v>
      </c>
      <c r="O11" s="445"/>
      <c r="P11" s="452" t="s">
        <v>384</v>
      </c>
    </row>
    <row r="12" spans="1:18">
      <c r="G12" s="434"/>
      <c r="H12" s="432"/>
      <c r="I12" s="434"/>
      <c r="M12" s="400"/>
      <c r="N12" s="364"/>
      <c r="O12" s="364"/>
      <c r="P12" s="444"/>
    </row>
    <row r="13" spans="1:18">
      <c r="B13" s="348">
        <v>1000</v>
      </c>
      <c r="C13" s="337">
        <v>300</v>
      </c>
      <c r="E13" s="348">
        <f>ROUND((B$13*C13),0)</f>
        <v>300000</v>
      </c>
      <c r="F13" s="348"/>
      <c r="G13" s="431">
        <f>ROUND(IF($B$13&gt;4400,$B$13*N$13,4400*$N$13)+$E13*N$14,0)</f>
        <v>41558</v>
      </c>
      <c r="H13" s="431"/>
      <c r="I13" s="431">
        <f>ROUND(IF($B$13&gt;4400,$B$13*P$13,4400*$N$13)+$E13*P$14,0)</f>
        <v>41040</v>
      </c>
      <c r="K13" s="344">
        <f>(I13-G13)/G13</f>
        <v>-1.24645074353915E-2</v>
      </c>
      <c r="M13" s="401" t="s">
        <v>442</v>
      </c>
      <c r="N13" s="371">
        <f>SUM(N17)</f>
        <v>5.48</v>
      </c>
      <c r="O13" s="404"/>
      <c r="P13" s="370">
        <f>SUM(P17)</f>
        <v>5.48</v>
      </c>
      <c r="R13" s="363">
        <f>(P13-N13)/N13</f>
        <v>0</v>
      </c>
    </row>
    <row r="14" spans="1:18">
      <c r="C14" s="337">
        <v>500</v>
      </c>
      <c r="E14" s="348">
        <f>ROUND((B$13*C14),0)</f>
        <v>500000</v>
      </c>
      <c r="F14" s="348"/>
      <c r="G14" s="431">
        <f>ROUND(IF($B$13&gt;4400,$B$13*N$13,4400*$N$13)+$E14*N$14,0)</f>
        <v>53189</v>
      </c>
      <c r="H14" s="431"/>
      <c r="I14" s="431">
        <f>ROUND(IF($B$13&gt;4400,$B$13*P$13,4400*$N$13)+$E14*P$14,0)</f>
        <v>52325</v>
      </c>
      <c r="K14" s="344">
        <f>(I14-G14)/G14</f>
        <v>-1.624396021733817E-2</v>
      </c>
      <c r="M14" s="401" t="s">
        <v>441</v>
      </c>
      <c r="N14" s="367">
        <f>SUM(N18,N20:N28)</f>
        <v>5.8154000000000004E-2</v>
      </c>
      <c r="O14" s="404"/>
      <c r="P14" s="365">
        <f>SUM(P18,P20:P28)</f>
        <v>5.6424999999999996E-2</v>
      </c>
      <c r="R14" s="363">
        <f>(P14-N14)/N14</f>
        <v>-2.973140282697679E-2</v>
      </c>
    </row>
    <row r="15" spans="1:18" ht="14.4" thickBot="1">
      <c r="C15" s="337">
        <v>700</v>
      </c>
      <c r="E15" s="348">
        <f>ROUND((B$13*C15),0)</f>
        <v>700000</v>
      </c>
      <c r="F15" s="348"/>
      <c r="G15" s="431">
        <f>ROUND(IF($B$13&gt;4400,$B$13*N$13,4400*$N$13)+$E15*N$14,0)</f>
        <v>64820</v>
      </c>
      <c r="H15" s="431"/>
      <c r="I15" s="431">
        <f>ROUND(IF($B$13&gt;4400,$B$13*P$13,4400*$N$13)+$E15*P$14,0)</f>
        <v>63610</v>
      </c>
      <c r="K15" s="344">
        <f>(I15-G15)/G15</f>
        <v>-1.8667078062326443E-2</v>
      </c>
      <c r="M15" s="443" t="s">
        <v>25</v>
      </c>
      <c r="N15" s="442" t="s">
        <v>25</v>
      </c>
      <c r="O15" s="360"/>
      <c r="P15" s="441" t="s">
        <v>25</v>
      </c>
    </row>
    <row r="16" spans="1:18">
      <c r="G16" s="431"/>
      <c r="H16" s="431"/>
      <c r="I16" s="431"/>
      <c r="K16" s="344"/>
    </row>
    <row r="17" spans="2:16">
      <c r="B17" s="348">
        <v>2000</v>
      </c>
      <c r="C17" s="337">
        <v>300</v>
      </c>
      <c r="E17" s="348">
        <f>ROUND((B$17*C17),0)</f>
        <v>600000</v>
      </c>
      <c r="F17" s="348"/>
      <c r="G17" s="431">
        <f>ROUND(IF($B$17&gt;4400,$B$17*N$13,4400*$N$13)+$E17*N$14,0)</f>
        <v>59004</v>
      </c>
      <c r="H17" s="431"/>
      <c r="I17" s="431">
        <f>ROUND(IF($B$17&gt;4400,$B$17*P$13,4400*$N$13)+$E17*P$14,0)</f>
        <v>57967</v>
      </c>
      <c r="K17" s="344">
        <f>(I17-G17)/G17</f>
        <v>-1.7575079655616568E-2</v>
      </c>
      <c r="M17" s="337" t="str">
        <f>+M13</f>
        <v>Demand ($ per kVa)</v>
      </c>
      <c r="N17" s="492">
        <f>+'[2]Exhibit No.__(JAP-Tariff)'!$F$164</f>
        <v>5.48</v>
      </c>
      <c r="P17" s="385">
        <f>+'[3]Exhibit No.__(JAP-Tariff)'!$F$164</f>
        <v>5.48</v>
      </c>
    </row>
    <row r="18" spans="2:16">
      <c r="C18" s="337">
        <v>500</v>
      </c>
      <c r="E18" s="348">
        <f>ROUND((B$17*C18),0)</f>
        <v>1000000</v>
      </c>
      <c r="F18" s="348"/>
      <c r="G18" s="431">
        <f>ROUND(IF($B$17&gt;4400,$B$17*N$13,4400*$N$13)+$E18*N$14,0)</f>
        <v>82266</v>
      </c>
      <c r="H18" s="431"/>
      <c r="I18" s="431">
        <f>ROUND(IF($B$17&gt;4400,$B$17*P$13,4400*$N$13)+$E18*P$14,0)</f>
        <v>80537</v>
      </c>
      <c r="K18" s="344">
        <f>(I18-G18)/G18</f>
        <v>-2.1017188145771037E-2</v>
      </c>
      <c r="M18" s="337" t="str">
        <f>+M14</f>
        <v>Energy ($ per kWh)</v>
      </c>
      <c r="N18" s="354">
        <f>+'[2]Exhibit No.__(JAP-Tariff)'!$F$162</f>
        <v>5.2526999999999997E-2</v>
      </c>
      <c r="P18" s="354">
        <f>+'[3]Exhibit No.__(JAP-Tariff)'!$F$162</f>
        <v>5.0738999999999999E-2</v>
      </c>
    </row>
    <row r="19" spans="2:16">
      <c r="C19" s="337">
        <v>700</v>
      </c>
      <c r="E19" s="348">
        <f>ROUND((B$17*C19),0)</f>
        <v>1400000</v>
      </c>
      <c r="F19" s="348"/>
      <c r="G19" s="431">
        <f>ROUND(IF($B$17&gt;4400,$B$17*N$13,4400*$N$13)+$E19*N$14,0)</f>
        <v>105528</v>
      </c>
      <c r="H19" s="431"/>
      <c r="I19" s="431">
        <f>ROUND(IF($B$17&gt;4400,$B$17*P$13,4400*$N$13)+$E19*P$14,0)</f>
        <v>103107</v>
      </c>
      <c r="K19" s="344">
        <f>(I19-G19)/G19</f>
        <v>-2.2941778485330907E-2</v>
      </c>
    </row>
    <row r="20" spans="2:16">
      <c r="G20" s="431"/>
      <c r="H20" s="431"/>
      <c r="I20" s="431"/>
      <c r="K20" s="344"/>
      <c r="M20" s="353" t="s">
        <v>360</v>
      </c>
      <c r="N20" s="354">
        <v>0</v>
      </c>
      <c r="P20" s="354">
        <v>0</v>
      </c>
    </row>
    <row r="21" spans="2:16">
      <c r="B21" s="348">
        <v>4000</v>
      </c>
      <c r="C21" s="337">
        <v>300</v>
      </c>
      <c r="E21" s="348">
        <f>ROUND((B$21*C21),0)</f>
        <v>1200000</v>
      </c>
      <c r="F21" s="348"/>
      <c r="G21" s="431">
        <f>ROUND(IF($B$21&gt;4400,$B$21*N$13,4400*$N$13)+$E21*N$14,0)</f>
        <v>93897</v>
      </c>
      <c r="H21" s="431"/>
      <c r="I21" s="431">
        <f>ROUND(IF($B$21&gt;4400,$B$21*P$13,4400*$N$13)+$E21*P$14,0)</f>
        <v>91822</v>
      </c>
      <c r="K21" s="344">
        <f>(I21-G21)/G21</f>
        <v>-2.2098682599018073E-2</v>
      </c>
      <c r="M21" s="498" t="s">
        <v>359</v>
      </c>
      <c r="N21" s="499">
        <f>+'Sch 95a'!$E$29</f>
        <v>-2.0379999999999999E-3</v>
      </c>
      <c r="O21" s="500"/>
      <c r="P21" s="499">
        <f>+'Sch 95a'!$H$29</f>
        <v>-1.6949999999999999E-3</v>
      </c>
    </row>
    <row r="22" spans="2:16">
      <c r="C22" s="337">
        <v>500</v>
      </c>
      <c r="E22" s="348">
        <f>ROUND((B$21*C22),0)</f>
        <v>2000000</v>
      </c>
      <c r="F22" s="348"/>
      <c r="G22" s="431">
        <f>ROUND(IF($B$21&gt;4400,$B$21*N$13,4400*$N$13)+$E22*N$14,0)</f>
        <v>140420</v>
      </c>
      <c r="H22" s="431"/>
      <c r="I22" s="431">
        <f>ROUND(IF($B$21&gt;4400,$B$21*P$13,4400*$N$13)+$E22*P$14,0)</f>
        <v>136962</v>
      </c>
      <c r="K22" s="344">
        <f>(I22-G22)/G22</f>
        <v>-2.4626121635094717E-2</v>
      </c>
      <c r="M22" s="498" t="s">
        <v>358</v>
      </c>
      <c r="N22" s="499">
        <f>+'Sch 120'!$E$29</f>
        <v>4.4260000000000002E-3</v>
      </c>
      <c r="O22" s="500"/>
      <c r="P22" s="499">
        <f>+'Sch 120'!$H$29</f>
        <v>3.9039999999999999E-3</v>
      </c>
    </row>
    <row r="23" spans="2:16">
      <c r="C23" s="337">
        <v>700</v>
      </c>
      <c r="E23" s="348">
        <f>ROUND((B$21*C23),0)</f>
        <v>2800000</v>
      </c>
      <c r="F23" s="348"/>
      <c r="G23" s="431">
        <f>ROUND(IF($B$21&gt;4400,$B$21*N$13,4400*$N$13)+$E23*N$14,0)</f>
        <v>186943</v>
      </c>
      <c r="H23" s="431"/>
      <c r="I23" s="431">
        <f>ROUND(IF($B$21&gt;4400,$B$21*P$13,4400*$N$13)+$E23*P$14,0)</f>
        <v>182102</v>
      </c>
      <c r="K23" s="344">
        <f>(I23-G23)/G23</f>
        <v>-2.5895593844112913E-2</v>
      </c>
      <c r="M23" s="353" t="s">
        <v>227</v>
      </c>
      <c r="N23" s="354">
        <f>+'Sch 129'!E29</f>
        <v>5.7600000000000001E-4</v>
      </c>
      <c r="P23" s="354">
        <f t="shared" ref="P23:P25" si="0">+N23</f>
        <v>5.7600000000000001E-4</v>
      </c>
    </row>
    <row r="24" spans="2:16">
      <c r="G24" s="431"/>
      <c r="H24" s="431"/>
      <c r="I24" s="431"/>
      <c r="K24" s="344"/>
      <c r="M24" s="357" t="s">
        <v>228</v>
      </c>
      <c r="N24" s="352">
        <f>+'Sch 132'!E29</f>
        <v>-1.1E-4</v>
      </c>
      <c r="P24" s="354">
        <f t="shared" si="0"/>
        <v>-1.1E-4</v>
      </c>
    </row>
    <row r="25" spans="2:16">
      <c r="B25" s="348">
        <v>6000</v>
      </c>
      <c r="C25" s="337">
        <v>300</v>
      </c>
      <c r="E25" s="348">
        <f>ROUND((B$25*C25),0)</f>
        <v>1800000</v>
      </c>
      <c r="F25" s="348"/>
      <c r="G25" s="431">
        <f>ROUND(IF($B$25&gt;4400,$B$25*N$13,4400*$N$13)+$E25*N$14,0)</f>
        <v>137557</v>
      </c>
      <c r="H25" s="431"/>
      <c r="I25" s="431">
        <f>ROUND(IF($B$25&gt;4400,$B$25*P$13,4400*$N$13)+$E25*P$14,0)</f>
        <v>134445</v>
      </c>
      <c r="K25" s="344">
        <f>(I25-G25)/G25</f>
        <v>-2.2623348866288157E-2</v>
      </c>
      <c r="M25" s="357" t="s">
        <v>356</v>
      </c>
      <c r="N25" s="352">
        <f>+'Sch 137'!E29</f>
        <v>-2.8E-5</v>
      </c>
      <c r="P25" s="354">
        <f t="shared" si="0"/>
        <v>-2.8E-5</v>
      </c>
    </row>
    <row r="26" spans="2:16">
      <c r="C26" s="337">
        <v>500</v>
      </c>
      <c r="E26" s="348">
        <f>ROUND((B$25*C26),0)</f>
        <v>3000000</v>
      </c>
      <c r="F26" s="348"/>
      <c r="G26" s="431">
        <f>ROUND(IF($B$25&gt;4400,$B$25*N$13,4400*$N$13)+$E26*N$14,0)</f>
        <v>207342</v>
      </c>
      <c r="H26" s="431"/>
      <c r="I26" s="431">
        <f>ROUND(IF($B$25&gt;4400,$B$25*P$13,4400*$N$13)+$E26*P$14,0)</f>
        <v>202155</v>
      </c>
      <c r="K26" s="344">
        <f>(I26-G26)/G26</f>
        <v>-2.5016639175854387E-2</v>
      </c>
      <c r="M26" s="501" t="s">
        <v>259</v>
      </c>
      <c r="N26" s="503">
        <f>+'Sch 140'!$E$29</f>
        <v>1.4659999999999999E-3</v>
      </c>
      <c r="O26" s="500"/>
      <c r="P26" s="503">
        <f>+'Sch 140'!$H$29</f>
        <v>1.621E-3</v>
      </c>
    </row>
    <row r="27" spans="2:16">
      <c r="C27" s="337">
        <v>700</v>
      </c>
      <c r="E27" s="348">
        <f>ROUND((B$25*C27),0)</f>
        <v>4200000</v>
      </c>
      <c r="F27" s="348"/>
      <c r="G27" s="431">
        <f>ROUND(IF($B$25&gt;4400,$B$25*N$13,4400*$N$13)+$E27*N$14,0)</f>
        <v>277127</v>
      </c>
      <c r="H27" s="431"/>
      <c r="I27" s="431">
        <f>ROUND(IF($B$25&gt;4400,$B$25*P$13,4400*$N$13)+$E27*P$14,0)</f>
        <v>269865</v>
      </c>
      <c r="K27" s="344">
        <f>(I27-G27)/G27</f>
        <v>-2.6204592118415023E-2</v>
      </c>
      <c r="M27" s="353" t="s">
        <v>440</v>
      </c>
      <c r="N27" s="352">
        <v>0</v>
      </c>
      <c r="P27" s="354">
        <v>0</v>
      </c>
    </row>
    <row r="28" spans="2:16">
      <c r="E28" s="348"/>
      <c r="F28" s="348"/>
      <c r="G28" s="431"/>
      <c r="H28" s="431"/>
      <c r="I28" s="431"/>
      <c r="K28" s="344"/>
      <c r="M28" s="501" t="s">
        <v>439</v>
      </c>
      <c r="N28" s="499">
        <f>+'Sch 142 Deferral &amp; K-Factor'!$F$29</f>
        <v>1.335E-3</v>
      </c>
      <c r="O28" s="500"/>
      <c r="P28" s="499">
        <f>+'Sch 142 Deferral &amp; K-Factor'!$O$29</f>
        <v>1.418E-3</v>
      </c>
    </row>
    <row r="29" spans="2:16">
      <c r="B29" s="348">
        <v>8000</v>
      </c>
      <c r="C29" s="337">
        <v>300</v>
      </c>
      <c r="E29" s="348">
        <f>ROUND((B$29*C29),0)</f>
        <v>2400000</v>
      </c>
      <c r="F29" s="348"/>
      <c r="G29" s="431">
        <f>ROUND(IF($B$29&gt;4400,$B$29*N$13,4400*$N$13)+$E29*N$14,0)</f>
        <v>183410</v>
      </c>
      <c r="H29" s="431"/>
      <c r="I29" s="431">
        <f>ROUND(IF($B$29&gt;4400,$B$29*P$13,4400*$N$13)+$E29*P$14,0)</f>
        <v>179260</v>
      </c>
      <c r="K29" s="344">
        <f>(I29-G29)/G29</f>
        <v>-2.2626901477563927E-2</v>
      </c>
      <c r="P29" s="354"/>
    </row>
    <row r="30" spans="2:16">
      <c r="C30" s="337">
        <v>500</v>
      </c>
      <c r="E30" s="348">
        <f>ROUND((B$29*C30),0)</f>
        <v>4000000</v>
      </c>
      <c r="F30" s="348"/>
      <c r="G30" s="431">
        <f>ROUND(IF($B$29&gt;4400,$B$29*N$13,4400*$N$13)+$E30*N$14,0)</f>
        <v>276456</v>
      </c>
      <c r="H30" s="431"/>
      <c r="I30" s="431">
        <f>ROUND(IF($B$29&gt;4400,$B$29*P$13,4400*$N$13)+$E30*P$14,0)</f>
        <v>269540</v>
      </c>
      <c r="K30" s="344">
        <f>(I30-G30)/G30</f>
        <v>-2.5016639175854387E-2</v>
      </c>
      <c r="P30" s="354"/>
    </row>
    <row r="31" spans="2:16">
      <c r="C31" s="337">
        <v>700</v>
      </c>
      <c r="E31" s="348">
        <f>ROUND((B$29*C31),0)</f>
        <v>5600000</v>
      </c>
      <c r="F31" s="348"/>
      <c r="G31" s="431">
        <f>ROUND(IF($B$29&gt;4400,$B$29*N$13,4400*$N$13)+$E31*N$14,0)</f>
        <v>369502</v>
      </c>
      <c r="H31" s="431"/>
      <c r="I31" s="431">
        <f>ROUND(IF($B$29&gt;4400,$B$29*P$13,4400*$N$13)+$E31*P$14,0)</f>
        <v>359820</v>
      </c>
      <c r="K31" s="344">
        <f>(I31-G31)/G31</f>
        <v>-2.6202835167333328E-2</v>
      </c>
      <c r="M31" s="350" t="s">
        <v>620</v>
      </c>
      <c r="N31" s="349">
        <f>+'Tax Reform Impacts'!F26</f>
        <v>-2.4909986038650894E-2</v>
      </c>
      <c r="P31" s="354"/>
    </row>
    <row r="32" spans="2:16">
      <c r="E32" s="348"/>
      <c r="F32" s="348"/>
      <c r="G32" s="431"/>
      <c r="H32" s="431"/>
      <c r="I32" s="431"/>
      <c r="K32" s="344"/>
      <c r="M32" s="350"/>
      <c r="N32" s="349"/>
    </row>
    <row r="33" spans="2:16">
      <c r="B33" s="348">
        <v>10000</v>
      </c>
      <c r="C33" s="337">
        <v>300</v>
      </c>
      <c r="E33" s="348">
        <f>ROUND((B$33*C33),0)</f>
        <v>3000000</v>
      </c>
      <c r="F33" s="348"/>
      <c r="G33" s="431">
        <f>ROUND(IF($B$33&gt;4400,$B$33*N$13,4400*$N$13)+$E33*N$14,0)</f>
        <v>229262</v>
      </c>
      <c r="H33" s="431"/>
      <c r="I33" s="431">
        <f>ROUND(IF($B$33&gt;4400,$B$33*P$13,4400*$N$13)+$E33*P$14,0)</f>
        <v>224075</v>
      </c>
      <c r="K33" s="344">
        <f>(I33-G33)/G33</f>
        <v>-2.2624769913897638E-2</v>
      </c>
      <c r="P33" s="354"/>
    </row>
    <row r="34" spans="2:16">
      <c r="C34" s="337">
        <v>500</v>
      </c>
      <c r="E34" s="348">
        <f>ROUND((B$33*C34),0)</f>
        <v>5000000</v>
      </c>
      <c r="F34" s="348"/>
      <c r="G34" s="431">
        <f>ROUND(IF($B$33&gt;4400,$B$33*N$13,4400*$N$13)+$E34*N$14,0)</f>
        <v>345570</v>
      </c>
      <c r="H34" s="431"/>
      <c r="I34" s="431">
        <f>ROUND(IF($B$33&gt;4400,$B$33*P$13,4400*$N$13)+$E34*P$14,0)</f>
        <v>336925</v>
      </c>
      <c r="K34" s="344">
        <f>(I34-G34)/G34</f>
        <v>-2.5016639175854387E-2</v>
      </c>
      <c r="P34" s="354"/>
    </row>
    <row r="35" spans="2:16">
      <c r="C35" s="337">
        <v>700</v>
      </c>
      <c r="E35" s="348">
        <f>ROUND((B$33*C35),0)</f>
        <v>7000000</v>
      </c>
      <c r="F35" s="348"/>
      <c r="G35" s="431">
        <f>ROUND(IF($B$33&gt;4400,$B$33*N$13,4400*$N$13)+$E35*N$14,0)</f>
        <v>461878</v>
      </c>
      <c r="H35" s="431"/>
      <c r="I35" s="431">
        <f>ROUND(IF($B$33&gt;4400,$B$33*P$13,4400*$N$13)+$E35*P$14,0)</f>
        <v>449775</v>
      </c>
      <c r="K35" s="344">
        <f>(I35-G35)/G35</f>
        <v>-2.6203889338743132E-2</v>
      </c>
      <c r="P35" s="354"/>
    </row>
    <row r="36" spans="2:16"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M36" s="353"/>
      <c r="N36" s="430"/>
      <c r="P36" s="352"/>
    </row>
    <row r="39" spans="2:16" ht="15.6">
      <c r="B39" s="554" t="s">
        <v>653</v>
      </c>
    </row>
    <row r="40" spans="2:16" ht="15.6">
      <c r="B40" s="554" t="s">
        <v>665</v>
      </c>
    </row>
    <row r="41" spans="2:16" ht="15.6">
      <c r="B41" s="554" t="s">
        <v>666</v>
      </c>
    </row>
    <row r="42" spans="2:16">
      <c r="B42" s="339"/>
    </row>
    <row r="43" spans="2:16">
      <c r="B43" s="339"/>
    </row>
    <row r="44" spans="2:16">
      <c r="B44" s="339"/>
    </row>
    <row r="45" spans="2:16">
      <c r="B45" s="339"/>
    </row>
    <row r="46" spans="2:16">
      <c r="B46" s="339"/>
    </row>
    <row r="47" spans="2:16">
      <c r="B47" s="339"/>
    </row>
    <row r="48" spans="2:16">
      <c r="B48" s="339"/>
    </row>
    <row r="49" spans="2:15">
      <c r="B49" s="339"/>
    </row>
    <row r="50" spans="2:15">
      <c r="B50" s="339"/>
    </row>
    <row r="51" spans="2:15">
      <c r="B51" s="339"/>
    </row>
    <row r="52" spans="2:15">
      <c r="B52" s="339"/>
    </row>
    <row r="54" spans="2:15">
      <c r="O54" s="338"/>
    </row>
  </sheetData>
  <mergeCells count="1">
    <mergeCell ref="G9:I9"/>
  </mergeCells>
  <printOptions horizontalCentered="1"/>
  <pageMargins left="0.7" right="0.7" top="0.75" bottom="0.71" header="0.3" footer="0.3"/>
  <pageSetup scale="7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B1:Y59"/>
  <sheetViews>
    <sheetView zoomScale="70" zoomScaleNormal="70" zoomScaleSheetLayoutView="70" workbookViewId="0">
      <pane xSplit="7" ySplit="14" topLeftCell="H15" activePane="bottomRight" state="frozen"/>
      <selection pane="topRight"/>
      <selection pane="bottomLeft"/>
      <selection pane="bottomRight" activeCell="N17" sqref="N17"/>
    </sheetView>
  </sheetViews>
  <sheetFormatPr defaultColWidth="11.33203125" defaultRowHeight="15.6"/>
  <cols>
    <col min="1" max="1" width="0" style="16" hidden="1" customWidth="1"/>
    <col min="2" max="2" width="5.109375" style="16" customWidth="1"/>
    <col min="3" max="3" width="2.33203125" style="16" customWidth="1"/>
    <col min="4" max="4" width="39.88671875" style="19" customWidth="1"/>
    <col min="5" max="5" width="2.33203125" style="19" customWidth="1"/>
    <col min="6" max="6" width="12.21875" style="19" bestFit="1" customWidth="1"/>
    <col min="7" max="7" width="2.33203125" style="19" customWidth="1"/>
    <col min="8" max="8" width="13" style="16" bestFit="1" customWidth="1"/>
    <col min="9" max="9" width="2.21875" style="16" customWidth="1"/>
    <col min="10" max="10" width="15.44140625" style="16" bestFit="1" customWidth="1"/>
    <col min="11" max="11" width="3.21875" style="16" customWidth="1"/>
    <col min="12" max="12" width="15.5546875" style="16" bestFit="1" customWidth="1"/>
    <col min="13" max="13" width="3" style="16" customWidth="1"/>
    <col min="14" max="14" width="13.77734375" style="16" bestFit="1" customWidth="1"/>
    <col min="15" max="15" width="2.88671875" style="16" customWidth="1"/>
    <col min="16" max="16" width="11.88671875" style="16" customWidth="1"/>
    <col min="17" max="17" width="10.33203125" style="16" bestFit="1" customWidth="1"/>
    <col min="18" max="18" width="2.109375" style="16" customWidth="1"/>
    <col min="19" max="19" width="13" style="16" bestFit="1" customWidth="1"/>
    <col min="20" max="20" width="6.77734375" style="16" bestFit="1" customWidth="1"/>
    <col min="21" max="21" width="9.77734375" style="16" bestFit="1" customWidth="1"/>
    <col min="22" max="22" width="13.33203125" style="16" customWidth="1"/>
    <col min="23" max="23" width="11.33203125" style="16"/>
    <col min="24" max="24" width="12.33203125" style="16" bestFit="1" customWidth="1"/>
    <col min="25" max="16384" width="11.33203125" style="16"/>
  </cols>
  <sheetData>
    <row r="1" spans="2:22" ht="17.399999999999999">
      <c r="C1" s="17"/>
      <c r="D1" s="18"/>
      <c r="N1" s="20" t="s">
        <v>25</v>
      </c>
    </row>
    <row r="2" spans="2:22">
      <c r="B2" s="614" t="s">
        <v>26</v>
      </c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21"/>
    </row>
    <row r="3" spans="2:22">
      <c r="B3" s="615" t="s">
        <v>27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22"/>
      <c r="T3" s="22"/>
    </row>
    <row r="4" spans="2:22">
      <c r="B4" s="615" t="s">
        <v>28</v>
      </c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22"/>
      <c r="T4" s="22"/>
    </row>
    <row r="5" spans="2:22">
      <c r="B5" s="614" t="s">
        <v>29</v>
      </c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22"/>
      <c r="T5" s="22"/>
    </row>
    <row r="6" spans="2:22">
      <c r="B6" s="614" t="s">
        <v>30</v>
      </c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22"/>
      <c r="T6" s="22"/>
    </row>
    <row r="7" spans="2:22"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21"/>
      <c r="T7" s="21"/>
    </row>
    <row r="8" spans="2:22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1"/>
      <c r="S8" s="21"/>
      <c r="T8" s="21"/>
    </row>
    <row r="9" spans="2:22">
      <c r="K9" s="24"/>
      <c r="L9" s="25"/>
      <c r="M9" s="26"/>
      <c r="N9" s="616" t="s">
        <v>31</v>
      </c>
      <c r="O9" s="617"/>
      <c r="P9" s="617"/>
      <c r="Q9" s="618"/>
      <c r="R9" s="26"/>
      <c r="S9" s="27"/>
      <c r="T9" s="26"/>
    </row>
    <row r="10" spans="2:22">
      <c r="L10" s="28" t="s">
        <v>32</v>
      </c>
      <c r="M10" s="29"/>
      <c r="N10" s="619" t="s">
        <v>33</v>
      </c>
      <c r="O10" s="620"/>
      <c r="P10" s="620"/>
      <c r="Q10" s="621"/>
      <c r="R10" s="29"/>
      <c r="S10" s="30"/>
      <c r="T10" s="29"/>
    </row>
    <row r="11" spans="2:22">
      <c r="F11" s="31" t="s">
        <v>34</v>
      </c>
      <c r="G11" s="32"/>
      <c r="L11" s="30" t="s">
        <v>35</v>
      </c>
      <c r="M11" s="33"/>
      <c r="N11" s="30" t="s">
        <v>35</v>
      </c>
      <c r="O11" s="30"/>
      <c r="P11" s="34" t="s">
        <v>25</v>
      </c>
      <c r="Q11" s="34"/>
      <c r="R11" s="34"/>
      <c r="S11" s="30" t="s">
        <v>33</v>
      </c>
      <c r="T11" s="35"/>
      <c r="U11" s="622" t="s">
        <v>36</v>
      </c>
      <c r="V11" s="623" t="s">
        <v>37</v>
      </c>
    </row>
    <row r="12" spans="2:22">
      <c r="B12" s="35" t="s">
        <v>38</v>
      </c>
      <c r="F12" s="32" t="s">
        <v>39</v>
      </c>
      <c r="G12" s="32"/>
      <c r="H12" s="28" t="s">
        <v>40</v>
      </c>
      <c r="L12" s="28" t="s">
        <v>41</v>
      </c>
      <c r="M12" s="35"/>
      <c r="N12" s="267" t="s">
        <v>41</v>
      </c>
      <c r="O12" s="28"/>
      <c r="P12" s="36" t="s">
        <v>42</v>
      </c>
      <c r="Q12" s="28" t="s">
        <v>35</v>
      </c>
      <c r="R12" s="35"/>
      <c r="S12" s="28" t="s">
        <v>43</v>
      </c>
      <c r="T12" s="37"/>
      <c r="U12" s="623"/>
      <c r="V12" s="623"/>
    </row>
    <row r="13" spans="2:22">
      <c r="B13" s="38" t="s">
        <v>44</v>
      </c>
      <c r="D13" s="39" t="s">
        <v>45</v>
      </c>
      <c r="F13" s="39" t="s">
        <v>44</v>
      </c>
      <c r="G13" s="40"/>
      <c r="H13" s="41" t="s">
        <v>46</v>
      </c>
      <c r="J13" s="41" t="s">
        <v>47</v>
      </c>
      <c r="L13" s="42" t="s">
        <v>48</v>
      </c>
      <c r="M13" s="30"/>
      <c r="N13" s="268" t="s">
        <v>48</v>
      </c>
      <c r="O13" s="43"/>
      <c r="P13" s="44" t="s">
        <v>48</v>
      </c>
      <c r="Q13" s="41" t="s">
        <v>49</v>
      </c>
      <c r="R13" s="37"/>
      <c r="S13" s="42" t="s">
        <v>50</v>
      </c>
      <c r="T13" s="37"/>
      <c r="U13" s="623"/>
      <c r="V13" s="623"/>
    </row>
    <row r="14" spans="2:22">
      <c r="B14" s="45"/>
      <c r="D14" s="36" t="s">
        <v>51</v>
      </c>
      <c r="F14" s="36" t="s">
        <v>52</v>
      </c>
      <c r="G14" s="32"/>
      <c r="H14" s="36" t="s">
        <v>53</v>
      </c>
      <c r="J14" s="36" t="s">
        <v>54</v>
      </c>
      <c r="L14" s="36" t="s">
        <v>55</v>
      </c>
      <c r="M14" s="36"/>
      <c r="N14" s="36" t="s">
        <v>56</v>
      </c>
      <c r="O14" s="36"/>
      <c r="P14" s="36" t="s">
        <v>57</v>
      </c>
      <c r="Q14" s="36" t="s">
        <v>58</v>
      </c>
      <c r="R14" s="36"/>
      <c r="S14" s="36" t="s">
        <v>59</v>
      </c>
      <c r="T14" s="33"/>
    </row>
    <row r="15" spans="2:22">
      <c r="M15" s="36"/>
      <c r="N15" s="36" t="s">
        <v>25</v>
      </c>
      <c r="P15" s="36" t="s">
        <v>60</v>
      </c>
      <c r="Q15" s="36" t="s">
        <v>61</v>
      </c>
      <c r="S15" s="36" t="s">
        <v>62</v>
      </c>
      <c r="T15" s="24"/>
    </row>
    <row r="16" spans="2:22">
      <c r="D16" s="46" t="s">
        <v>63</v>
      </c>
      <c r="T16" s="24"/>
    </row>
    <row r="17" spans="2:25">
      <c r="B17" s="35">
        <v>1</v>
      </c>
      <c r="D17" s="19" t="s">
        <v>63</v>
      </c>
      <c r="F17" s="31">
        <v>7</v>
      </c>
      <c r="G17" s="31"/>
      <c r="H17" s="47">
        <f>'[3]Exhibit No.__(JAP-Prof-Prop)'!H17</f>
        <v>999942</v>
      </c>
      <c r="I17" s="20"/>
      <c r="J17" s="47">
        <f>'[3]Exhibit No.__(JAP-Prof-Prop)'!J17</f>
        <v>10442426</v>
      </c>
      <c r="L17" s="48">
        <f>'[3]Exhibit No.__(JAP-Prof-Prop)'!L17</f>
        <v>1066627</v>
      </c>
      <c r="M17" s="49"/>
      <c r="N17" s="48">
        <f>'[3]Exhibit No.__(JAP-Prof-Prop)'!N17</f>
        <v>1086698</v>
      </c>
      <c r="O17" s="48"/>
      <c r="P17" s="48">
        <f>N17-L17</f>
        <v>20071</v>
      </c>
      <c r="Q17" s="537">
        <f>P17/L17</f>
        <v>1.8817262266940551E-2</v>
      </c>
      <c r="R17" s="50"/>
      <c r="S17" s="51">
        <f>N17/J17*100</f>
        <v>10.406566443468213</v>
      </c>
      <c r="T17" s="52"/>
      <c r="U17" s="48"/>
      <c r="V17" s="48"/>
    </row>
    <row r="18" spans="2:25">
      <c r="B18" s="53">
        <f>MAX(B$14:B17)+1</f>
        <v>2</v>
      </c>
      <c r="D18" s="54" t="s">
        <v>64</v>
      </c>
      <c r="H18" s="55">
        <f>SUM(H17:H17)</f>
        <v>999942</v>
      </c>
      <c r="J18" s="55">
        <f>SUM(J17:J17)</f>
        <v>10442426</v>
      </c>
      <c r="L18" s="56">
        <f>SUM(L17:L17)</f>
        <v>1066627</v>
      </c>
      <c r="M18" s="49"/>
      <c r="N18" s="56">
        <f>SUM(N17:N17)</f>
        <v>1086698</v>
      </c>
      <c r="O18" s="48"/>
      <c r="P18" s="56">
        <f>SUM(P17)</f>
        <v>20071</v>
      </c>
      <c r="Q18" s="538">
        <f>P18/L18</f>
        <v>1.8817262266940551E-2</v>
      </c>
      <c r="R18" s="50"/>
      <c r="S18" s="57">
        <f>N18/J18*100</f>
        <v>10.406566443468213</v>
      </c>
      <c r="T18" s="52"/>
      <c r="U18" s="56">
        <f>'[3]Exhibit No.__(JAP-Rate Spread)'!$J$8</f>
        <v>20068.76514795914</v>
      </c>
      <c r="V18" s="539">
        <f>U18-P18</f>
        <v>-2.2348520408595505</v>
      </c>
      <c r="Y18" s="58"/>
    </row>
    <row r="19" spans="2:25">
      <c r="J19" s="20" t="s">
        <v>25</v>
      </c>
      <c r="L19" s="58"/>
      <c r="M19" s="58"/>
      <c r="N19" s="58"/>
      <c r="O19" s="58"/>
      <c r="P19" s="58"/>
      <c r="Q19" s="59"/>
      <c r="T19" s="24"/>
      <c r="U19" s="58"/>
      <c r="V19" s="58"/>
    </row>
    <row r="20" spans="2:25">
      <c r="D20" s="60" t="s">
        <v>65</v>
      </c>
      <c r="H20" s="61"/>
      <c r="L20" s="58"/>
      <c r="M20" s="58"/>
      <c r="N20" s="58"/>
      <c r="O20" s="58"/>
      <c r="P20" s="58"/>
      <c r="Q20" s="59"/>
      <c r="T20" s="24"/>
      <c r="U20" s="58"/>
      <c r="V20" s="58"/>
    </row>
    <row r="21" spans="2:25">
      <c r="B21" s="53">
        <f>MAX(B$14:B20)+1</f>
        <v>3</v>
      </c>
      <c r="D21" s="62" t="s">
        <v>66</v>
      </c>
      <c r="F21" s="31" t="s">
        <v>67</v>
      </c>
      <c r="G21" s="32"/>
      <c r="H21" s="47">
        <f>'[3]Exhibit No.__(JAP-Prof-Prop)'!H21</f>
        <v>126833.25</v>
      </c>
      <c r="I21" s="20"/>
      <c r="J21" s="47">
        <f>'[3]Exhibit No.__(JAP-Prof-Prop)'!J21</f>
        <v>2787584</v>
      </c>
      <c r="L21" s="48">
        <f>'[3]Exhibit No.__(JAP-Prof-Prop)'!L21</f>
        <v>266957</v>
      </c>
      <c r="M21" s="49"/>
      <c r="N21" s="48">
        <f>'[3]Exhibit No.__(JAP-Prof-Prop)'!N21</f>
        <v>270724</v>
      </c>
      <c r="O21" s="48"/>
      <c r="P21" s="48">
        <f t="shared" ref="P21:P24" si="0">N21-L21</f>
        <v>3767</v>
      </c>
      <c r="Q21" s="537">
        <f t="shared" ref="Q21:Q24" si="1">P21/L21</f>
        <v>1.4110886772026956E-2</v>
      </c>
      <c r="R21" s="50"/>
      <c r="S21" s="51">
        <f t="shared" ref="S21:S24" si="2">N21/J21*100</f>
        <v>9.7117790889888873</v>
      </c>
      <c r="T21" s="52"/>
      <c r="U21" s="48"/>
      <c r="V21" s="48"/>
      <c r="Y21" s="58"/>
    </row>
    <row r="22" spans="2:25">
      <c r="B22" s="53">
        <f>MAX(B$14:B21)+1</f>
        <v>4</v>
      </c>
      <c r="D22" s="62" t="s">
        <v>68</v>
      </c>
      <c r="E22" s="63"/>
      <c r="F22" s="31" t="s">
        <v>69</v>
      </c>
      <c r="G22" s="32"/>
      <c r="H22" s="47">
        <f>'[3]Exhibit No.__(JAP-Prof-Prop)'!H22</f>
        <v>7219.916666666667</v>
      </c>
      <c r="I22" s="20"/>
      <c r="J22" s="47">
        <f>'[3]Exhibit No.__(JAP-Prof-Prop)'!J22</f>
        <v>2839459</v>
      </c>
      <c r="L22" s="48">
        <f>'[3]Exhibit No.__(JAP-Prof-Prop)'!L22</f>
        <v>252529</v>
      </c>
      <c r="M22" s="49"/>
      <c r="N22" s="48">
        <f>'[3]Exhibit No.__(JAP-Prof-Prop)'!N22</f>
        <v>255617</v>
      </c>
      <c r="O22" s="48"/>
      <c r="P22" s="48">
        <f t="shared" si="0"/>
        <v>3088</v>
      </c>
      <c r="Q22" s="537">
        <f t="shared" si="1"/>
        <v>1.2228298532049785E-2</v>
      </c>
      <c r="R22" s="50"/>
      <c r="S22" s="51">
        <f t="shared" si="2"/>
        <v>9.0023134688685413</v>
      </c>
      <c r="T22" s="52"/>
      <c r="U22" s="48"/>
      <c r="V22" s="48"/>
      <c r="Y22" s="58"/>
    </row>
    <row r="23" spans="2:25">
      <c r="B23" s="53">
        <f>MAX(B$14:B22)+1</f>
        <v>5</v>
      </c>
      <c r="D23" s="62" t="s">
        <v>70</v>
      </c>
      <c r="F23" s="31" t="s">
        <v>71</v>
      </c>
      <c r="G23" s="32"/>
      <c r="H23" s="47">
        <f>'[3]Exhibit No.__(JAP-Prof-Prop)'!H23</f>
        <v>9711</v>
      </c>
      <c r="I23" s="20"/>
      <c r="J23" s="47">
        <f>'[3]Exhibit No.__(JAP-Prof-Prop)'!J23</f>
        <v>1892054.7443816457</v>
      </c>
      <c r="L23" s="48">
        <f>'[3]Exhibit No.__(JAP-Prof-Prop)'!L23</f>
        <v>153864.55600000001</v>
      </c>
      <c r="M23" s="49"/>
      <c r="N23" s="48">
        <f>'[3]Exhibit No.__(JAP-Prof-Prop)'!N23</f>
        <v>155745.5</v>
      </c>
      <c r="O23" s="48"/>
      <c r="P23" s="48">
        <f t="shared" si="0"/>
        <v>1880.9439999999886</v>
      </c>
      <c r="Q23" s="537">
        <f t="shared" si="1"/>
        <v>1.2224673757873051E-2</v>
      </c>
      <c r="R23" s="50"/>
      <c r="S23" s="51">
        <f t="shared" si="2"/>
        <v>8.2315535775314039</v>
      </c>
      <c r="T23" s="52"/>
      <c r="U23" s="48"/>
      <c r="V23" s="48"/>
      <c r="Y23" s="58"/>
    </row>
    <row r="24" spans="2:25">
      <c r="B24" s="53">
        <f>MAX(B$14:B23)+1</f>
        <v>6</v>
      </c>
      <c r="D24" s="62" t="s">
        <v>72</v>
      </c>
      <c r="F24" s="32">
        <v>29</v>
      </c>
      <c r="G24" s="32"/>
      <c r="H24" s="47">
        <f>'[3]Exhibit No.__(JAP-Prof-Prop)'!H24</f>
        <v>607.5</v>
      </c>
      <c r="I24" s="20"/>
      <c r="J24" s="47">
        <f>'[3]Exhibit No.__(JAP-Prof-Prop)'!J24</f>
        <v>14327</v>
      </c>
      <c r="L24" s="48">
        <f>'[3]Exhibit No.__(JAP-Prof-Prop)'!L24</f>
        <v>1137.7460000000001</v>
      </c>
      <c r="M24" s="49"/>
      <c r="N24" s="48">
        <f>'[3]Exhibit No.__(JAP-Prof-Prop)'!N24</f>
        <v>1151.671</v>
      </c>
      <c r="O24" s="48"/>
      <c r="P24" s="48">
        <f t="shared" si="0"/>
        <v>13.924999999999955</v>
      </c>
      <c r="Q24" s="537">
        <f t="shared" si="1"/>
        <v>1.2239111365805683E-2</v>
      </c>
      <c r="R24" s="50"/>
      <c r="S24" s="51">
        <f t="shared" si="2"/>
        <v>8.0384658337404904</v>
      </c>
      <c r="T24" s="52"/>
      <c r="U24" s="48"/>
      <c r="V24" s="48"/>
      <c r="Y24" s="58"/>
    </row>
    <row r="25" spans="2:25">
      <c r="B25" s="53">
        <f>MAX(B$14:B24)+1</f>
        <v>7</v>
      </c>
      <c r="D25" s="54" t="s">
        <v>73</v>
      </c>
      <c r="F25" s="32"/>
      <c r="G25" s="32"/>
      <c r="H25" s="55">
        <f>SUM(H21:H24)</f>
        <v>144371.66666666666</v>
      </c>
      <c r="J25" s="55">
        <f>SUM(J21:J24)</f>
        <v>7533424.7443816457</v>
      </c>
      <c r="L25" s="56">
        <f>SUM(L21:L24)</f>
        <v>674488.30200000003</v>
      </c>
      <c r="M25" s="49"/>
      <c r="N25" s="56">
        <f>SUM(N21:N24)</f>
        <v>683238.17099999997</v>
      </c>
      <c r="O25" s="48"/>
      <c r="P25" s="56">
        <f>SUM(P21:P24)</f>
        <v>8749.8689999999879</v>
      </c>
      <c r="Q25" s="538">
        <f t="shared" ref="Q25" si="3">P25/L25</f>
        <v>1.2972603044492813E-2</v>
      </c>
      <c r="R25" s="50"/>
      <c r="S25" s="57">
        <f>N25/J25*100</f>
        <v>9.0694231930776539</v>
      </c>
      <c r="T25" s="52"/>
      <c r="U25" s="56">
        <f>'[3]Exhibit No.__(JAP-Rate Spread)'!$J$14</f>
        <v>8751.180587857616</v>
      </c>
      <c r="V25" s="56">
        <f>U25-P25</f>
        <v>1.311587857628183</v>
      </c>
      <c r="Y25" s="58"/>
    </row>
    <row r="26" spans="2:25">
      <c r="B26" s="53"/>
      <c r="D26" s="62"/>
      <c r="F26" s="32"/>
      <c r="G26" s="32"/>
      <c r="H26" s="47"/>
      <c r="J26" s="47"/>
      <c r="L26" s="48"/>
      <c r="M26" s="49"/>
      <c r="N26" s="48"/>
      <c r="O26" s="48"/>
      <c r="P26" s="48"/>
      <c r="Q26" s="50"/>
      <c r="R26" s="50"/>
      <c r="S26" s="51"/>
      <c r="T26" s="52"/>
      <c r="U26" s="48"/>
      <c r="V26" s="48"/>
    </row>
    <row r="27" spans="2:25">
      <c r="B27" s="53"/>
      <c r="D27" s="60" t="s">
        <v>74</v>
      </c>
      <c r="F27" s="32"/>
      <c r="G27" s="32"/>
      <c r="H27" s="47"/>
      <c r="J27" s="47"/>
      <c r="L27" s="48"/>
      <c r="M27" s="49"/>
      <c r="N27" s="48"/>
      <c r="O27" s="48"/>
      <c r="P27" s="48"/>
      <c r="Q27" s="50"/>
      <c r="R27" s="50"/>
      <c r="S27" s="51"/>
      <c r="T27" s="52"/>
      <c r="U27" s="48"/>
      <c r="V27" s="48"/>
    </row>
    <row r="28" spans="2:25">
      <c r="B28" s="53">
        <f>MAX(B$14:B26)+1</f>
        <v>8</v>
      </c>
      <c r="D28" s="62" t="s">
        <v>75</v>
      </c>
      <c r="F28" s="31" t="s">
        <v>76</v>
      </c>
      <c r="G28" s="32"/>
      <c r="H28" s="47">
        <f>'[3]Exhibit No.__(JAP-Prof-Prop)'!H28</f>
        <v>487.83333333333331</v>
      </c>
      <c r="I28" s="20"/>
      <c r="J28" s="47">
        <f>'[3]Exhibit No.__(JAP-Prof-Prop)'!J28</f>
        <v>1284401.5744586966</v>
      </c>
      <c r="L28" s="48">
        <f>'[3]Exhibit No.__(JAP-Prof-Prop)'!L28</f>
        <v>102890.712</v>
      </c>
      <c r="M28" s="49"/>
      <c r="N28" s="48">
        <f>'[3]Exhibit No.__(JAP-Prof-Prop)'!N28</f>
        <v>104148.59600000001</v>
      </c>
      <c r="O28" s="48"/>
      <c r="P28" s="48">
        <f t="shared" ref="P28:P30" si="4">N28-L28</f>
        <v>1257.8840000000055</v>
      </c>
      <c r="Q28" s="537">
        <f t="shared" ref="Q28:Q31" si="5">P28/L28</f>
        <v>1.2225437802393723E-2</v>
      </c>
      <c r="R28" s="50"/>
      <c r="S28" s="51">
        <f t="shared" ref="S28:S30" si="6">N28/J28*100</f>
        <v>8.1087253450224708</v>
      </c>
      <c r="T28" s="52"/>
      <c r="U28" s="48"/>
      <c r="V28" s="48"/>
      <c r="Y28" s="58"/>
    </row>
    <row r="29" spans="2:25">
      <c r="B29" s="53">
        <f>MAX(B$14:B28)+1</f>
        <v>9</v>
      </c>
      <c r="D29" s="62" t="s">
        <v>77</v>
      </c>
      <c r="F29" s="32">
        <v>35</v>
      </c>
      <c r="G29" s="32"/>
      <c r="H29" s="47">
        <f>'[3]Exhibit No.__(JAP-Prof-Prop)'!H29</f>
        <v>1</v>
      </c>
      <c r="I29" s="20"/>
      <c r="J29" s="47">
        <f>'[3]Exhibit No.__(JAP-Prof-Prop)'!J29</f>
        <v>4452.6000000000004</v>
      </c>
      <c r="L29" s="48">
        <f>'[3]Exhibit No.__(JAP-Prof-Prop)'!L29</f>
        <v>248.215</v>
      </c>
      <c r="M29" s="49"/>
      <c r="N29" s="48">
        <f>'[3]Exhibit No.__(JAP-Prof-Prop)'!N29</f>
        <v>255.21899999999999</v>
      </c>
      <c r="O29" s="48"/>
      <c r="P29" s="48">
        <f t="shared" si="4"/>
        <v>7.0039999999999907</v>
      </c>
      <c r="Q29" s="537">
        <f t="shared" si="5"/>
        <v>2.8217472755474048E-2</v>
      </c>
      <c r="R29" s="50"/>
      <c r="S29" s="51">
        <f t="shared" si="6"/>
        <v>5.7319094461662843</v>
      </c>
      <c r="T29" s="52"/>
      <c r="U29" s="48"/>
      <c r="V29" s="48"/>
      <c r="Y29" s="58"/>
    </row>
    <row r="30" spans="2:25">
      <c r="B30" s="53">
        <f>MAX(B$14:B29)+1</f>
        <v>10</v>
      </c>
      <c r="D30" s="19" t="s">
        <v>78</v>
      </c>
      <c r="F30" s="31">
        <v>43</v>
      </c>
      <c r="G30" s="32"/>
      <c r="H30" s="47">
        <f>'[3]Exhibit No.__(JAP-Prof-Prop)'!H30</f>
        <v>158.66666666666666</v>
      </c>
      <c r="I30" s="20"/>
      <c r="J30" s="47">
        <f>'[3]Exhibit No.__(JAP-Prof-Prop)'!J30</f>
        <v>119660.40146477679</v>
      </c>
      <c r="L30" s="48">
        <f>'[3]Exhibit No.__(JAP-Prof-Prop)'!L30</f>
        <v>10337.824000000001</v>
      </c>
      <c r="M30" s="49"/>
      <c r="N30" s="48">
        <f>'[3]Exhibit No.__(JAP-Prof-Prop)'!N30</f>
        <v>10532.384</v>
      </c>
      <c r="O30" s="48"/>
      <c r="P30" s="48">
        <f t="shared" si="4"/>
        <v>194.55999999999949</v>
      </c>
      <c r="Q30" s="537">
        <f t="shared" si="5"/>
        <v>1.8820208198553148E-2</v>
      </c>
      <c r="R30" s="50"/>
      <c r="S30" s="51">
        <f t="shared" si="6"/>
        <v>8.8018959246934418</v>
      </c>
      <c r="T30" s="52"/>
      <c r="U30" s="48"/>
      <c r="V30" s="48"/>
      <c r="Y30" s="58"/>
    </row>
    <row r="31" spans="2:25">
      <c r="B31" s="53">
        <f>MAX(B$14:B30)+1</f>
        <v>11</v>
      </c>
      <c r="D31" s="54" t="s">
        <v>79</v>
      </c>
      <c r="F31" s="32"/>
      <c r="G31" s="32"/>
      <c r="H31" s="55">
        <f>SUM(H28:H30)</f>
        <v>647.5</v>
      </c>
      <c r="J31" s="55">
        <f>SUM(J28:J30)</f>
        <v>1408514.5759234736</v>
      </c>
      <c r="L31" s="56">
        <f>SUM(L28:L30)</f>
        <v>113476.75099999999</v>
      </c>
      <c r="M31" s="49"/>
      <c r="N31" s="56">
        <f>SUM(N28:N30)</f>
        <v>114936.19900000001</v>
      </c>
      <c r="O31" s="48"/>
      <c r="P31" s="56">
        <f>SUM(P28:P30)</f>
        <v>1459.4480000000049</v>
      </c>
      <c r="Q31" s="538">
        <f t="shared" si="5"/>
        <v>1.2861207138367973E-2</v>
      </c>
      <c r="R31" s="50"/>
      <c r="S31" s="57">
        <f>N31/J31*100</f>
        <v>8.1601000773913626</v>
      </c>
      <c r="T31" s="52"/>
      <c r="U31" s="56">
        <f>'[3]Exhibit No.__(JAP-Rate Spread)'!$J$20</f>
        <v>1459.852050042829</v>
      </c>
      <c r="V31" s="56">
        <f>U31-P31</f>
        <v>0.40405004282411028</v>
      </c>
      <c r="Y31" s="58"/>
    </row>
    <row r="32" spans="2:25">
      <c r="B32" s="53"/>
      <c r="F32" s="31"/>
      <c r="G32" s="32"/>
      <c r="H32" s="47"/>
      <c r="J32" s="47"/>
      <c r="L32" s="48"/>
      <c r="M32" s="49"/>
      <c r="N32" s="48"/>
      <c r="O32" s="48"/>
      <c r="P32" s="48"/>
      <c r="Q32" s="50"/>
      <c r="R32" s="50"/>
      <c r="S32" s="51"/>
      <c r="T32" s="52"/>
      <c r="U32" s="48"/>
      <c r="V32" s="48"/>
      <c r="Y32" s="58"/>
    </row>
    <row r="33" spans="2:25">
      <c r="B33" s="53">
        <f>MAX(B$14:B32)+1</f>
        <v>12</v>
      </c>
      <c r="D33" s="19" t="s">
        <v>80</v>
      </c>
      <c r="F33" s="31">
        <v>40</v>
      </c>
      <c r="G33" s="32"/>
      <c r="H33" s="55">
        <f>'[3]Exhibit No.__(JAP-Prof-Prop)'!H33</f>
        <v>142.25</v>
      </c>
      <c r="J33" s="55">
        <f>'[3]Exhibit No.__(JAP-Prof-Prop)'!J33</f>
        <v>621678.72633913101</v>
      </c>
      <c r="L33" s="56">
        <f>'[3]Exhibit No.__(JAP-Prof-Prop)'!L33</f>
        <v>43551.319801261998</v>
      </c>
      <c r="M33" s="49"/>
      <c r="N33" s="56">
        <f>'[3]Exhibit No.__(JAP-Prof-Prop)'!N33</f>
        <v>45113.1855</v>
      </c>
      <c r="O33" s="48"/>
      <c r="P33" s="56">
        <f>N33-L33</f>
        <v>1561.8656987380018</v>
      </c>
      <c r="Q33" s="538">
        <f t="shared" ref="Q33" si="7">P33/L33</f>
        <v>3.5862649073903456E-2</v>
      </c>
      <c r="R33" s="50"/>
      <c r="S33" s="57">
        <f>N33/J33*100</f>
        <v>7.2566719092443863</v>
      </c>
      <c r="T33" s="52"/>
      <c r="U33" s="56">
        <f>'[3]Exhibit No.__(JAP-Rate Spread)'!$J$22</f>
        <v>1561.8656988013433</v>
      </c>
      <c r="V33" s="56">
        <f>U33-P33</f>
        <v>6.3341531131300144E-8</v>
      </c>
      <c r="Y33" s="58"/>
    </row>
    <row r="34" spans="2:25">
      <c r="B34" s="53"/>
      <c r="F34" s="31"/>
      <c r="G34" s="32"/>
      <c r="H34" s="47"/>
      <c r="J34" s="47"/>
      <c r="L34" s="48"/>
      <c r="M34" s="49"/>
      <c r="N34" s="48"/>
      <c r="O34" s="48"/>
      <c r="P34" s="48"/>
      <c r="Q34" s="50"/>
      <c r="R34" s="50"/>
      <c r="S34" s="51"/>
      <c r="T34" s="52"/>
      <c r="U34" s="48"/>
      <c r="V34" s="48"/>
      <c r="Y34" s="58"/>
    </row>
    <row r="35" spans="2:25">
      <c r="B35" s="53"/>
      <c r="D35" s="60" t="s">
        <v>81</v>
      </c>
      <c r="F35" s="31"/>
      <c r="G35" s="32"/>
      <c r="H35" s="47"/>
      <c r="J35" s="47"/>
      <c r="L35" s="48"/>
      <c r="M35" s="49"/>
      <c r="N35" s="48"/>
      <c r="O35" s="48"/>
      <c r="P35" s="48"/>
      <c r="Q35" s="50"/>
      <c r="R35" s="50"/>
      <c r="S35" s="51"/>
      <c r="T35" s="52"/>
      <c r="U35" s="48"/>
      <c r="V35" s="48"/>
    </row>
    <row r="36" spans="2:25">
      <c r="B36" s="53">
        <f>MAX(B$14:B34)+1</f>
        <v>13</v>
      </c>
      <c r="D36" s="62" t="s">
        <v>82</v>
      </c>
      <c r="F36" s="31">
        <v>46</v>
      </c>
      <c r="G36" s="32"/>
      <c r="H36" s="47">
        <f>'[3]Exhibit No.__(JAP-Prof-Prop)'!H36</f>
        <v>5</v>
      </c>
      <c r="I36" s="20"/>
      <c r="J36" s="47">
        <f>'[3]Exhibit No.__(JAP-Prof-Prop)'!J36</f>
        <v>64275.357697999993</v>
      </c>
      <c r="L36" s="48">
        <f>'[3]Exhibit No.__(JAP-Prof-Prop)'!L36</f>
        <v>4202.3490000000002</v>
      </c>
      <c r="M36" s="49"/>
      <c r="N36" s="48">
        <f>'[3]Exhibit No.__(JAP-Prof-Prop)'!N36</f>
        <v>4256.2510000000002</v>
      </c>
      <c r="O36" s="48"/>
      <c r="P36" s="48">
        <f t="shared" ref="P36:P37" si="8">N36-L36</f>
        <v>53.902000000000044</v>
      </c>
      <c r="Q36" s="537">
        <f t="shared" ref="Q36:Q38" si="9">P36/L36</f>
        <v>1.2826635769661216E-2</v>
      </c>
      <c r="R36" s="50"/>
      <c r="S36" s="51">
        <f t="shared" ref="S36:S37" si="10">N36/J36*100</f>
        <v>6.621901693644622</v>
      </c>
      <c r="T36" s="52"/>
      <c r="U36" s="48"/>
      <c r="V36" s="48"/>
      <c r="Y36" s="58"/>
    </row>
    <row r="37" spans="2:25">
      <c r="B37" s="53">
        <f>MAX(B$14:B36)+1</f>
        <v>14</v>
      </c>
      <c r="D37" s="19" t="s">
        <v>83</v>
      </c>
      <c r="F37" s="31">
        <v>49</v>
      </c>
      <c r="G37" s="32"/>
      <c r="H37" s="47">
        <f>'[3]Exhibit No.__(JAP-Prof-Prop)'!H37</f>
        <v>20</v>
      </c>
      <c r="I37" s="20"/>
      <c r="J37" s="47">
        <f>'[3]Exhibit No.__(JAP-Prof-Prop)'!J37</f>
        <v>567983.85900000005</v>
      </c>
      <c r="L37" s="48">
        <f>'[3]Exhibit No.__(JAP-Prof-Prop)'!L37</f>
        <v>36157.741000000002</v>
      </c>
      <c r="M37" s="49"/>
      <c r="N37" s="48">
        <f>'[3]Exhibit No.__(JAP-Prof-Prop)'!N37</f>
        <v>36597.635000000002</v>
      </c>
      <c r="O37" s="48"/>
      <c r="P37" s="48">
        <f t="shared" si="8"/>
        <v>439.89400000000023</v>
      </c>
      <c r="Q37" s="537">
        <f t="shared" si="9"/>
        <v>1.216597021368122E-2</v>
      </c>
      <c r="R37" s="50"/>
      <c r="S37" s="51">
        <f t="shared" si="10"/>
        <v>6.4434287031385509</v>
      </c>
      <c r="T37" s="52"/>
      <c r="U37" s="48"/>
      <c r="V37" s="48"/>
      <c r="Y37" s="58"/>
    </row>
    <row r="38" spans="2:25">
      <c r="B38" s="53">
        <f>MAX(B$14:B37)+1</f>
        <v>15</v>
      </c>
      <c r="D38" s="54" t="s">
        <v>81</v>
      </c>
      <c r="F38" s="32"/>
      <c r="G38" s="32"/>
      <c r="H38" s="55">
        <f>SUM(H36:H37)</f>
        <v>25</v>
      </c>
      <c r="J38" s="55">
        <f>SUM(J36:J37)</f>
        <v>632259.21669800009</v>
      </c>
      <c r="L38" s="56">
        <f>SUM(L36:L37)</f>
        <v>40360.090000000004</v>
      </c>
      <c r="M38" s="49"/>
      <c r="N38" s="56">
        <f>SUM(N36:N37)</f>
        <v>40853.885999999999</v>
      </c>
      <c r="O38" s="48"/>
      <c r="P38" s="56">
        <f>SUM(P36:P37)</f>
        <v>493.79600000000028</v>
      </c>
      <c r="Q38" s="538">
        <f t="shared" si="9"/>
        <v>1.223475963507515E-2</v>
      </c>
      <c r="R38" s="50"/>
      <c r="S38" s="57">
        <f>N38/J38*100</f>
        <v>6.461572235097039</v>
      </c>
      <c r="T38" s="52"/>
      <c r="U38" s="56">
        <f>'[3]Exhibit No.__(JAP-Rate Spread)'!$J$24</f>
        <v>493.59819216494742</v>
      </c>
      <c r="V38" s="56">
        <f>U38-P38</f>
        <v>-0.19780783505285626</v>
      </c>
      <c r="Y38" s="58"/>
    </row>
    <row r="39" spans="2:25">
      <c r="B39" s="53"/>
      <c r="F39" s="31"/>
      <c r="G39" s="32"/>
      <c r="H39" s="47"/>
      <c r="J39" s="47"/>
      <c r="L39" s="48"/>
      <c r="M39" s="49"/>
      <c r="N39" s="48"/>
      <c r="O39" s="48"/>
      <c r="P39" s="48"/>
      <c r="Q39" s="50"/>
      <c r="R39" s="50"/>
      <c r="S39" s="51"/>
      <c r="T39" s="52"/>
      <c r="U39" s="48"/>
      <c r="V39" s="48"/>
      <c r="Y39" s="58"/>
    </row>
    <row r="40" spans="2:25">
      <c r="B40" s="53">
        <f>MAX(B$14:B39)+1</f>
        <v>16</v>
      </c>
      <c r="D40" s="19" t="s">
        <v>84</v>
      </c>
      <c r="F40" s="31" t="s">
        <v>85</v>
      </c>
      <c r="G40" s="32"/>
      <c r="H40" s="55">
        <f>'[3]Exhibit No.__(JAP-Prof-Prop)'!H40</f>
        <v>20</v>
      </c>
      <c r="J40" s="55">
        <f>'[3]Exhibit No.__(JAP-Prof-Prop)'!J40</f>
        <v>2098103.6366259996</v>
      </c>
      <c r="L40" s="56">
        <f>'[3]Exhibit No.__(JAP-Prof-Prop)'!L40</f>
        <v>7513.2849999999999</v>
      </c>
      <c r="M40" s="49"/>
      <c r="N40" s="56">
        <f>'[3]Exhibit No.__(JAP-Prof-Prop)'!N40</f>
        <v>7958.26</v>
      </c>
      <c r="O40" s="48"/>
      <c r="P40" s="56">
        <f>N40-L40</f>
        <v>444.97500000000036</v>
      </c>
      <c r="Q40" s="538">
        <f t="shared" ref="Q40" si="11">P40/L40</f>
        <v>5.9225092619273778E-2</v>
      </c>
      <c r="R40" s="50"/>
      <c r="S40" s="57">
        <f>N40/J40*100</f>
        <v>0.37930728783244616</v>
      </c>
      <c r="T40" s="52"/>
      <c r="U40" s="56">
        <f>'[3]Exhibit No.__(JAP-Rate Spread)'!$J$26</f>
        <v>444.97500000000002</v>
      </c>
      <c r="V40" s="56">
        <f>U40-P40</f>
        <v>0</v>
      </c>
      <c r="Y40" s="58"/>
    </row>
    <row r="41" spans="2:25">
      <c r="B41" s="53"/>
      <c r="F41" s="31"/>
      <c r="G41" s="32"/>
      <c r="H41" s="47"/>
      <c r="J41" s="47"/>
      <c r="L41" s="48"/>
      <c r="M41" s="49"/>
      <c r="N41" s="48"/>
      <c r="O41" s="48"/>
      <c r="P41" s="48"/>
      <c r="Q41" s="50"/>
      <c r="R41" s="50"/>
      <c r="S41" s="51"/>
      <c r="T41" s="52"/>
      <c r="U41" s="48"/>
      <c r="V41" s="48"/>
      <c r="Y41" s="58"/>
    </row>
    <row r="42" spans="2:25">
      <c r="B42" s="53">
        <f>MAX(B$14:B41)+1</f>
        <v>17</v>
      </c>
      <c r="D42" s="19" t="s">
        <v>86</v>
      </c>
      <c r="F42" s="31" t="s">
        <v>21</v>
      </c>
      <c r="G42" s="32"/>
      <c r="H42" s="55">
        <f>'[3]Exhibit No.__(JAP-Prof-Prop)'!H42</f>
        <v>7226.5</v>
      </c>
      <c r="J42" s="55">
        <f>'[3]Exhibit No.__(JAP-Prof-Prop)'!J42</f>
        <v>77972.349305999989</v>
      </c>
      <c r="L42" s="56">
        <f>'[3]Exhibit No.__(JAP-Prof-Prop)'!L42</f>
        <v>17167.293000000001</v>
      </c>
      <c r="M42" s="49"/>
      <c r="N42" s="56">
        <f>'[3]Exhibit No.__(JAP-Prof-Prop)'!N42</f>
        <v>17488.471000000001</v>
      </c>
      <c r="O42" s="48"/>
      <c r="P42" s="56">
        <f>N42-L42</f>
        <v>321.17799999999988</v>
      </c>
      <c r="Q42" s="538">
        <f t="shared" ref="Q42" si="12">P42/L42</f>
        <v>1.8708715462595057E-2</v>
      </c>
      <c r="R42" s="50"/>
      <c r="S42" s="57">
        <f>N42/J42*100</f>
        <v>22.4290676831694</v>
      </c>
      <c r="T42" s="52"/>
      <c r="U42" s="56">
        <f>'[3]Exhibit No.__(JAP-Rate Spread)'!$J$28</f>
        <v>323.00548499447603</v>
      </c>
      <c r="V42" s="56">
        <f>U42-P42</f>
        <v>1.8274849944761513</v>
      </c>
      <c r="Y42" s="58"/>
    </row>
    <row r="43" spans="2:25">
      <c r="B43" s="53"/>
      <c r="F43" s="31"/>
      <c r="G43" s="32"/>
      <c r="H43" s="47"/>
      <c r="J43" s="47"/>
      <c r="L43" s="48"/>
      <c r="M43" s="49"/>
      <c r="N43" s="48"/>
      <c r="O43" s="48"/>
      <c r="P43" s="48"/>
      <c r="Q43" s="50"/>
      <c r="R43" s="50"/>
      <c r="S43" s="51"/>
      <c r="T43" s="52"/>
      <c r="U43" s="48"/>
      <c r="V43" s="48"/>
      <c r="Y43" s="58"/>
    </row>
    <row r="44" spans="2:25">
      <c r="B44" s="53">
        <f>MAX(B$14:B43)+1</f>
        <v>18</v>
      </c>
      <c r="D44" s="54" t="s">
        <v>87</v>
      </c>
      <c r="H44" s="55">
        <f>SUM(H42,H40,H38,H33,H31,H25,H18)</f>
        <v>1152374.9166666667</v>
      </c>
      <c r="J44" s="55">
        <f>SUM(J42,J40,J38,J33,J31,J25,J18)</f>
        <v>22814379.24927425</v>
      </c>
      <c r="L44" s="56">
        <f>SUM(L42,L40,L38,L33,L31,L25,L18)</f>
        <v>1963184.040801262</v>
      </c>
      <c r="M44" s="49"/>
      <c r="N44" s="56">
        <f>SUM(N42,N40,N38,N33,N31,N25,N18)</f>
        <v>1996286.1724999999</v>
      </c>
      <c r="O44" s="48"/>
      <c r="P44" s="56">
        <f>SUM(P42,P40,P38,P33,P31,P25,P18)</f>
        <v>33102.131698737998</v>
      </c>
      <c r="Q44" s="538">
        <f>P44/L44</f>
        <v>1.6861451097181675E-2</v>
      </c>
      <c r="R44" s="50"/>
      <c r="S44" s="57">
        <f>N44/J44*100</f>
        <v>8.7501226778436401</v>
      </c>
      <c r="T44" s="52"/>
      <c r="U44" s="56">
        <f>SUM(U42,U40,U38,U33,U31,U25,U18)</f>
        <v>33103.242161820352</v>
      </c>
      <c r="V44" s="56">
        <f>U44-P44</f>
        <v>1.1104630823538173</v>
      </c>
      <c r="Y44" s="58"/>
    </row>
    <row r="45" spans="2:25">
      <c r="B45" s="35"/>
      <c r="L45" s="58"/>
      <c r="M45" s="58"/>
      <c r="N45" s="58"/>
      <c r="O45" s="58"/>
      <c r="P45" s="58"/>
      <c r="Q45" s="59"/>
      <c r="T45" s="24"/>
      <c r="U45" s="58"/>
      <c r="V45" s="58"/>
      <c r="Y45" s="58"/>
    </row>
    <row r="46" spans="2:25">
      <c r="B46" s="53">
        <f>MAX(B$14:B45)+1</f>
        <v>19</v>
      </c>
      <c r="D46" s="19" t="s">
        <v>88</v>
      </c>
      <c r="F46" s="31" t="s">
        <v>21</v>
      </c>
      <c r="G46" s="32"/>
      <c r="H46" s="55">
        <f>'[3]Exhibit No.__(JAP-Prof-Prop)'!H46</f>
        <v>8</v>
      </c>
      <c r="J46" s="55">
        <f>'[3]Exhibit No.__(JAP-Prof-Prop)'!J46</f>
        <v>6929.8034221808284</v>
      </c>
      <c r="L46" s="56">
        <f>'[3]Exhibit No.__(JAP-Prof-Prop)'!L46</f>
        <v>316.39299999999997</v>
      </c>
      <c r="M46" s="49"/>
      <c r="N46" s="56">
        <f>'[3]Exhibit No.__(JAP-Prof-Prop)'!N46</f>
        <v>684.43883817964468</v>
      </c>
      <c r="O46" s="48"/>
      <c r="P46" s="56">
        <f>N46-L46</f>
        <v>368.0458381796447</v>
      </c>
      <c r="Q46" s="538">
        <f t="shared" ref="Q46" si="13">P46/L46</f>
        <v>1.1632553127902474</v>
      </c>
      <c r="R46" s="50"/>
      <c r="S46" s="57">
        <f>N46/J46*100</f>
        <v>9.8767424771228196</v>
      </c>
      <c r="T46" s="52"/>
      <c r="U46" s="56">
        <f>'[3]Exhibit No.__(JAP-Rate Spread)'!$J$32</f>
        <v>368.04583817964465</v>
      </c>
      <c r="V46" s="56">
        <f>U46-P46</f>
        <v>0</v>
      </c>
      <c r="Y46" s="58"/>
    </row>
    <row r="47" spans="2:25">
      <c r="B47" s="35"/>
      <c r="L47" s="58"/>
      <c r="M47" s="58"/>
      <c r="N47" s="58"/>
      <c r="O47" s="58"/>
      <c r="P47" s="58"/>
      <c r="Q47" s="59"/>
      <c r="S47" s="59"/>
      <c r="T47" s="24"/>
      <c r="U47" s="58"/>
      <c r="V47" s="58"/>
      <c r="Y47" s="58"/>
    </row>
    <row r="48" spans="2:25" ht="16.2" thickBot="1">
      <c r="B48" s="53">
        <f>MAX(B$14:B47)+1</f>
        <v>20</v>
      </c>
      <c r="D48" s="64" t="s">
        <v>89</v>
      </c>
      <c r="H48" s="65">
        <f>H46+H44</f>
        <v>1152382.9166666667</v>
      </c>
      <c r="J48" s="65">
        <f>J46+J44</f>
        <v>22821309.052696429</v>
      </c>
      <c r="L48" s="66">
        <f>L46+L44</f>
        <v>1963500.4338012619</v>
      </c>
      <c r="M48" s="67"/>
      <c r="N48" s="66">
        <f>N46+N44</f>
        <v>1996970.6113381796</v>
      </c>
      <c r="O48" s="68"/>
      <c r="P48" s="66">
        <f>P46+P44</f>
        <v>33470.177536917639</v>
      </c>
      <c r="Q48" s="540">
        <f>P48/L48</f>
        <v>1.7046177816279189E-2</v>
      </c>
      <c r="R48" s="52"/>
      <c r="S48" s="541">
        <f>N48/J48*100</f>
        <v>8.7504647815206269</v>
      </c>
      <c r="T48" s="52"/>
      <c r="U48" s="66">
        <f t="shared" ref="U48:V48" si="14">U46+U44</f>
        <v>33471.287999999993</v>
      </c>
      <c r="V48" s="66">
        <f t="shared" si="14"/>
        <v>1.1104630823538173</v>
      </c>
      <c r="Y48" s="58"/>
    </row>
    <row r="49" spans="2:25" ht="16.2" thickTop="1">
      <c r="B49" s="624" t="s">
        <v>25</v>
      </c>
      <c r="C49" s="625"/>
      <c r="D49" s="625"/>
      <c r="H49" s="69"/>
      <c r="J49" s="69"/>
      <c r="L49" s="70"/>
      <c r="M49" s="52"/>
      <c r="N49" s="70"/>
      <c r="O49" s="70"/>
      <c r="P49" s="70"/>
      <c r="Q49" s="59"/>
      <c r="R49" s="52"/>
      <c r="S49" s="52"/>
      <c r="T49" s="52"/>
      <c r="Y49" s="58"/>
    </row>
    <row r="50" spans="2:25" ht="18.75" customHeight="1" thickBot="1">
      <c r="D50" s="19" t="s">
        <v>90</v>
      </c>
      <c r="J50" s="65">
        <f>ROUND('[4]Proforma Revenue'!$D$39,-3)/1000</f>
        <v>22821309</v>
      </c>
      <c r="L50" s="66">
        <f>ROUND('[4]Proforma Revenue'!$K$39,-3)/1000</f>
        <v>1963503</v>
      </c>
      <c r="P50" s="71" t="s">
        <v>25</v>
      </c>
      <c r="Q50" s="72" t="s">
        <v>25</v>
      </c>
      <c r="Y50" s="58"/>
    </row>
    <row r="51" spans="2:25" ht="16.8" thickTop="1" thickBot="1">
      <c r="D51" s="19" t="s">
        <v>90</v>
      </c>
      <c r="J51" s="65">
        <f>J50-J48</f>
        <v>-5.2696429193019867E-2</v>
      </c>
      <c r="L51" s="66">
        <f>L50-L48</f>
        <v>2.566198738059029</v>
      </c>
      <c r="M51" s="24"/>
      <c r="N51" s="73"/>
      <c r="P51" s="73"/>
      <c r="Q51" s="74"/>
      <c r="R51" s="24"/>
      <c r="S51" s="24"/>
      <c r="T51" s="24"/>
      <c r="Y51" s="58"/>
    </row>
    <row r="52" spans="2:25" ht="16.2" thickTop="1">
      <c r="J52" s="61"/>
      <c r="L52" s="75"/>
      <c r="M52" s="24"/>
      <c r="N52" s="75"/>
      <c r="P52" s="75"/>
      <c r="R52" s="24"/>
      <c r="S52" s="70"/>
      <c r="T52" s="24"/>
    </row>
    <row r="53" spans="2:25">
      <c r="N53" s="76"/>
      <c r="P53" s="77"/>
      <c r="Q53" s="78"/>
    </row>
    <row r="54" spans="2:25">
      <c r="N54" s="24"/>
      <c r="P54" s="79"/>
      <c r="Q54" s="80"/>
    </row>
    <row r="55" spans="2:25">
      <c r="N55" s="45"/>
      <c r="P55" s="81"/>
      <c r="Q55" s="82"/>
    </row>
    <row r="56" spans="2:25">
      <c r="N56" s="83"/>
      <c r="Q56" s="84"/>
    </row>
    <row r="57" spans="2:25">
      <c r="N57" s="20"/>
      <c r="Q57" s="85"/>
    </row>
    <row r="59" spans="2:25">
      <c r="N59" s="45"/>
    </row>
  </sheetData>
  <mergeCells count="11">
    <mergeCell ref="N9:Q9"/>
    <mergeCell ref="N10:Q10"/>
    <mergeCell ref="U11:U13"/>
    <mergeCell ref="V11:V13"/>
    <mergeCell ref="B49:D49"/>
    <mergeCell ref="B7:R7"/>
    <mergeCell ref="B2:R2"/>
    <mergeCell ref="B3:R3"/>
    <mergeCell ref="B4:R4"/>
    <mergeCell ref="B5:R5"/>
    <mergeCell ref="B6:R6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4"/>
  <sheetViews>
    <sheetView workbookViewId="0">
      <selection activeCell="E6" sqref="E6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1.5546875" style="1" bestFit="1" customWidth="1"/>
    <col min="6" max="6" width="13.21875" style="1" bestFit="1" customWidth="1"/>
    <col min="7" max="16384" width="8.88671875" style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96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/>
    </row>
    <row r="6" spans="1:6" ht="39.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97</v>
      </c>
      <c r="F6" s="7" t="s">
        <v>225</v>
      </c>
    </row>
    <row r="7" spans="1:6">
      <c r="A7" s="3">
        <v>1</v>
      </c>
      <c r="B7" s="3">
        <v>7</v>
      </c>
      <c r="C7" s="4"/>
      <c r="D7" s="9">
        <f>+'GRC Tax Reform Impacts'!C9</f>
        <v>10442426</v>
      </c>
      <c r="E7" s="202">
        <f>+'Compliance Sch 95'!G7</f>
        <v>-3.3327342336791918E-3</v>
      </c>
      <c r="F7" s="203">
        <f>ROUND(D7*E7,0)</f>
        <v>-34802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95'!G10</f>
        <v>-3.0626334564223842E-3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>SUM(D7:D8)</f>
        <v>10442426</v>
      </c>
      <c r="E9" s="204"/>
      <c r="F9" s="205">
        <f t="shared" ref="F9" si="1">SUM(F7:F8)</f>
        <v>-34802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+'Compliance Sch 95'!G9</f>
        <v>-3.0738526317848651E-3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Tax Reform Impacts'!C12</f>
        <v>2787584</v>
      </c>
      <c r="E12" s="206">
        <f>+E11</f>
        <v>-3.0738526317848651E-3</v>
      </c>
      <c r="F12" s="203">
        <f t="shared" si="2"/>
        <v>-8569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+'Compliance Sch 95'!G10</f>
        <v>-3.0626334564223842E-3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D14" s="9">
        <f>+'GRC Tax Reform Impacts'!C13</f>
        <v>2839459</v>
      </c>
      <c r="E14" s="206">
        <f>+E13</f>
        <v>-3.0626334564223842E-3</v>
      </c>
      <c r="F14" s="203">
        <f t="shared" si="2"/>
        <v>-8696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+'Compliance Sch 95'!G11</f>
        <v>-3.1589483585196991E-3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D16" s="9">
        <f>+'GRC Tax Reform Impacts'!C14</f>
        <v>1892055</v>
      </c>
      <c r="E16" s="206">
        <f>+E15</f>
        <v>-3.1589483585196991E-3</v>
      </c>
      <c r="F16" s="203">
        <f t="shared" si="2"/>
        <v>-5977</v>
      </c>
    </row>
    <row r="17" spans="1:6">
      <c r="A17" s="3">
        <f t="shared" si="0"/>
        <v>11</v>
      </c>
      <c r="B17" s="3">
        <v>29</v>
      </c>
      <c r="C17" s="4"/>
      <c r="D17" s="9">
        <f>+'GRC Tax Reform Impacts'!C15</f>
        <v>14327</v>
      </c>
      <c r="E17" s="202">
        <f>+'Compliance Sch 95'!G12</f>
        <v>-2.8826631053284735E-3</v>
      </c>
      <c r="F17" s="203">
        <f t="shared" si="2"/>
        <v>-41</v>
      </c>
    </row>
    <row r="18" spans="1:6">
      <c r="A18" s="3">
        <f t="shared" si="0"/>
        <v>12</v>
      </c>
      <c r="B18" s="3"/>
      <c r="C18" s="12" t="s">
        <v>18</v>
      </c>
      <c r="D18" s="13">
        <f>SUM(D11:D17)</f>
        <v>7533425</v>
      </c>
      <c r="E18" s="204"/>
      <c r="F18" s="205">
        <f t="shared" ref="F18" si="3">SUM(F11:F17)</f>
        <v>-23283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D20" s="9">
        <v>0</v>
      </c>
      <c r="E20" s="202">
        <f>+'Compliance Sch 95'!G16</f>
        <v>-2.8609039791175355E-3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Tax Reform Impacts'!C18</f>
        <v>1284402</v>
      </c>
      <c r="E21" s="206">
        <f>+E20</f>
        <v>-2.8609039791175355E-3</v>
      </c>
      <c r="F21" s="203">
        <f>ROUND(D21*E21,0)</f>
        <v>-3675</v>
      </c>
    </row>
    <row r="22" spans="1:6">
      <c r="A22" s="3">
        <f t="shared" si="0"/>
        <v>16</v>
      </c>
      <c r="B22" s="3">
        <v>35</v>
      </c>
      <c r="C22" s="4"/>
      <c r="D22" s="9">
        <f>+'GRC Tax Reform Impacts'!C19</f>
        <v>4453</v>
      </c>
      <c r="E22" s="202">
        <f>+'Compliance Sch 95'!G17</f>
        <v>-2.4881177069489314E-3</v>
      </c>
      <c r="F22" s="203">
        <f>ROUND(D22*E22,0)</f>
        <v>-11</v>
      </c>
    </row>
    <row r="23" spans="1:6">
      <c r="A23" s="3">
        <f t="shared" si="0"/>
        <v>17</v>
      </c>
      <c r="B23" s="3">
        <v>43</v>
      </c>
      <c r="C23" s="4"/>
      <c r="D23" s="9">
        <f>+'GRC Tax Reform Impacts'!C20</f>
        <v>119660</v>
      </c>
      <c r="E23" s="202">
        <f>+'Compliance Sch 95'!G18</f>
        <v>-2.806462520197148E-3</v>
      </c>
      <c r="F23" s="203">
        <f>ROUND(D23*E23,0)</f>
        <v>-336</v>
      </c>
    </row>
    <row r="24" spans="1:6">
      <c r="A24" s="3">
        <f t="shared" si="0"/>
        <v>18</v>
      </c>
      <c r="B24" s="3"/>
      <c r="C24" s="4" t="s">
        <v>19</v>
      </c>
      <c r="D24" s="13">
        <f>SUM(D20:D23)</f>
        <v>1408515</v>
      </c>
      <c r="E24" s="204"/>
      <c r="F24" s="205">
        <f t="shared" ref="F24" si="4">SUM(F20:F23)</f>
        <v>-4022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>+'GRC Tax Reform Impacts'!C23</f>
        <v>621679</v>
      </c>
      <c r="E26" s="204">
        <f>+'Compliance Sch 95'!G22</f>
        <v>-3.1676940132121037E-3</v>
      </c>
      <c r="F26" s="205">
        <f>ROUND(D26*E26,0)-7</f>
        <v>-1976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>+'GRC Tax Reform Impacts'!C25</f>
        <v>64275</v>
      </c>
      <c r="E28" s="202">
        <f>+'Compliance Sch 95'!G24</f>
        <v>-2.6768836928625197E-3</v>
      </c>
      <c r="F28" s="203">
        <f>ROUND(D28*E28,0)</f>
        <v>-172</v>
      </c>
    </row>
    <row r="29" spans="1:6">
      <c r="A29" s="3">
        <f t="shared" si="0"/>
        <v>23</v>
      </c>
      <c r="B29" s="3">
        <v>49</v>
      </c>
      <c r="C29" s="4"/>
      <c r="D29" s="9">
        <f>+'GRC Tax Reform Impacts'!C26</f>
        <v>567984</v>
      </c>
      <c r="E29" s="202">
        <f>+'Compliance Sch 95'!G25</f>
        <v>-2.3323694338915728E-3</v>
      </c>
      <c r="F29" s="203">
        <f>ROUND(D29*E29,0)</f>
        <v>-1325</v>
      </c>
    </row>
    <row r="30" spans="1:6">
      <c r="A30" s="3">
        <f t="shared" si="0"/>
        <v>24</v>
      </c>
      <c r="B30" s="3"/>
      <c r="C30" s="4" t="s">
        <v>20</v>
      </c>
      <c r="D30" s="13">
        <f>SUM(D28:D29)</f>
        <v>632259</v>
      </c>
      <c r="E30" s="204"/>
      <c r="F30" s="205">
        <f t="shared" ref="F30" si="5">SUM(F28:F29)</f>
        <v>-1497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>+'GRC Tax Reform Impacts'!C29</f>
        <v>77972</v>
      </c>
      <c r="E32" s="204">
        <f>+'Compliance Sch 95'!G29</f>
        <v>-3.0903459591569162E-3</v>
      </c>
      <c r="F32" s="205">
        <f>ROUND(D32*E32,0)</f>
        <v>-241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>+'GRC Tax Reform Impacts'!C31</f>
        <v>2098104</v>
      </c>
      <c r="E34" s="204">
        <v>0</v>
      </c>
      <c r="F34" s="205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>SUM(D9,D18,D24,D26,D30,D32,D34)</f>
        <v>22814380</v>
      </c>
      <c r="E36" s="207"/>
      <c r="F36" s="208">
        <f t="shared" ref="F36" si="6">SUM(F9,F18,F24,F26,F30,F32,F34)</f>
        <v>-65821</v>
      </c>
    </row>
    <row r="37" spans="1:6" ht="13.8" thickTop="1">
      <c r="A37" s="3">
        <f t="shared" si="0"/>
        <v>31</v>
      </c>
      <c r="B37" s="3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>+'GRC Tax Reform Impacts'!C35</f>
        <v>6930</v>
      </c>
      <c r="E38" s="204">
        <f>+'Compliance Sch 95'!G31</f>
        <v>-3.1425781147425484E-3</v>
      </c>
      <c r="F38" s="205">
        <f>ROUND(D38*E38,0)</f>
        <v>-22</v>
      </c>
    </row>
    <row r="39" spans="1:6">
      <c r="A39" s="3">
        <f t="shared" si="0"/>
        <v>33</v>
      </c>
      <c r="B39" s="3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>SUM(D36,D38)</f>
        <v>22821310</v>
      </c>
      <c r="F40" s="208">
        <f t="shared" ref="F40" si="7">SUM(F36,F38)</f>
        <v>-65843</v>
      </c>
    </row>
    <row r="41" spans="1:6" ht="13.8" thickTop="1"/>
    <row r="42" spans="1:6" ht="13.8" thickBot="1">
      <c r="F42" s="208">
        <v>-65843</v>
      </c>
    </row>
    <row r="43" spans="1:6" ht="14.4" thickTop="1" thickBot="1">
      <c r="F43" s="208">
        <f>+F40-F42</f>
        <v>0</v>
      </c>
    </row>
    <row r="44" spans="1:6" ht="13.8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1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29" sqref="E29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7" width="2.44140625" style="1" customWidth="1"/>
    <col min="8" max="8" width="18.21875" style="1" bestFit="1" customWidth="1"/>
    <col min="9" max="9" width="9.5546875" style="1" bestFit="1" customWidth="1"/>
    <col min="10" max="10" width="2.21875" style="1" customWidth="1"/>
    <col min="11" max="11" width="12.77734375" style="1" customWidth="1"/>
    <col min="12" max="16384" width="8.88671875" style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101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468" t="s">
        <v>625</v>
      </c>
      <c r="F6" s="7" t="s">
        <v>224</v>
      </c>
      <c r="H6" s="468" t="s">
        <v>675</v>
      </c>
      <c r="I6" s="468" t="s">
        <v>224</v>
      </c>
      <c r="K6" s="100" t="s">
        <v>37</v>
      </c>
    </row>
    <row r="7" spans="1:11">
      <c r="A7" s="3">
        <v>1</v>
      </c>
      <c r="B7" s="3">
        <v>7</v>
      </c>
      <c r="C7" s="4"/>
      <c r="D7" s="9">
        <f>+'GRC Tax Reform Impacts'!C9</f>
        <v>10442426</v>
      </c>
      <c r="E7" s="202">
        <f>+'Proposed Sch 95A'!F8</f>
        <v>-2.4910000000000002E-3</v>
      </c>
      <c r="F7" s="203">
        <f>ROUND(D7*E7,0)</f>
        <v>-26012</v>
      </c>
      <c r="H7" s="202">
        <f>+'Proposed Sch 95A'!G8</f>
        <v>-2.0720000000000001E-3</v>
      </c>
      <c r="I7" s="535">
        <f>ROUND(D7*H7,0)</f>
        <v>-21637</v>
      </c>
      <c r="K7" s="561">
        <f>+I7-F7</f>
        <v>4375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95A'!F11</f>
        <v>-2.0590000000000001E-3</v>
      </c>
      <c r="F8" s="203">
        <f>ROUND(D8*E8,0)</f>
        <v>0</v>
      </c>
      <c r="H8" s="202">
        <f>+'Proposed Sch 95A'!G11</f>
        <v>-1.7129999999999999E-3</v>
      </c>
      <c r="I8" s="535">
        <f>ROUND(D8*H8,0)</f>
        <v>0</v>
      </c>
      <c r="K8" s="561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>SUM(D7:D8)</f>
        <v>10442426</v>
      </c>
      <c r="E9" s="204"/>
      <c r="F9" s="205">
        <f t="shared" ref="F9" si="1">SUM(F7:F8)</f>
        <v>-26012</v>
      </c>
      <c r="H9" s="204"/>
      <c r="I9" s="536">
        <f t="shared" ref="I9:K9" si="2">SUM(I7:I8)</f>
        <v>-21637</v>
      </c>
      <c r="K9" s="536">
        <f t="shared" si="2"/>
        <v>4375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+'Proposed Sch 95A'!F10</f>
        <v>-2.0119999999999999E-3</v>
      </c>
      <c r="F11" s="203">
        <f t="shared" ref="F11:F17" si="3">ROUND(D11*E11,0)</f>
        <v>0</v>
      </c>
      <c r="H11" s="202">
        <f>+'Proposed Sch 95A'!G10</f>
        <v>-1.6739999999999999E-3</v>
      </c>
      <c r="I11" s="535">
        <f t="shared" ref="I11:I17" si="4">ROUND(D11*H11,0)</f>
        <v>0</v>
      </c>
      <c r="K11" s="561">
        <f t="shared" ref="K11:K17" si="5">+I11-F11</f>
        <v>0</v>
      </c>
    </row>
    <row r="12" spans="1:11">
      <c r="A12" s="3">
        <f t="shared" si="0"/>
        <v>6</v>
      </c>
      <c r="B12" s="3">
        <v>24</v>
      </c>
      <c r="D12" s="9">
        <f>+'GRC Tax Reform Impacts'!C12</f>
        <v>2787584</v>
      </c>
      <c r="E12" s="206">
        <f>+E11</f>
        <v>-2.0119999999999999E-3</v>
      </c>
      <c r="F12" s="203">
        <f t="shared" si="3"/>
        <v>-5609</v>
      </c>
      <c r="H12" s="206">
        <f>+H11</f>
        <v>-1.6739999999999999E-3</v>
      </c>
      <c r="I12" s="535">
        <f t="shared" si="4"/>
        <v>-4666</v>
      </c>
      <c r="K12" s="561">
        <f t="shared" si="5"/>
        <v>943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-2.0590000000000001E-3</v>
      </c>
      <c r="F13" s="203">
        <f t="shared" si="3"/>
        <v>0</v>
      </c>
      <c r="H13" s="202">
        <f>+H8</f>
        <v>-1.7129999999999999E-3</v>
      </c>
      <c r="I13" s="535">
        <f t="shared" si="4"/>
        <v>0</v>
      </c>
      <c r="K13" s="561">
        <f t="shared" si="5"/>
        <v>0</v>
      </c>
    </row>
    <row r="14" spans="1:11">
      <c r="A14" s="3">
        <f t="shared" si="0"/>
        <v>8</v>
      </c>
      <c r="B14" s="2">
        <v>25</v>
      </c>
      <c r="D14" s="9">
        <f>+'GRC Tax Reform Impacts'!C13</f>
        <v>2839459</v>
      </c>
      <c r="E14" s="206">
        <f>+E13</f>
        <v>-2.0590000000000001E-3</v>
      </c>
      <c r="F14" s="203">
        <f t="shared" si="3"/>
        <v>-5846</v>
      </c>
      <c r="H14" s="206">
        <f>+H13</f>
        <v>-1.7129999999999999E-3</v>
      </c>
      <c r="I14" s="535">
        <f t="shared" si="4"/>
        <v>-4864</v>
      </c>
      <c r="K14" s="561">
        <f t="shared" si="5"/>
        <v>982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+'Proposed Sch 95A'!F12</f>
        <v>-2.147E-3</v>
      </c>
      <c r="F15" s="203">
        <f t="shared" si="3"/>
        <v>0</v>
      </c>
      <c r="H15" s="202">
        <f>+'Proposed Sch 95A'!G12</f>
        <v>-1.786E-3</v>
      </c>
      <c r="I15" s="535">
        <f t="shared" si="4"/>
        <v>0</v>
      </c>
      <c r="K15" s="561">
        <f t="shared" si="5"/>
        <v>0</v>
      </c>
    </row>
    <row r="16" spans="1:11">
      <c r="A16" s="3">
        <f t="shared" si="0"/>
        <v>10</v>
      </c>
      <c r="B16" s="3" t="s">
        <v>17</v>
      </c>
      <c r="D16" s="9">
        <f>+'GRC Tax Reform Impacts'!C14</f>
        <v>1892055</v>
      </c>
      <c r="E16" s="206">
        <f>+E15</f>
        <v>-2.147E-3</v>
      </c>
      <c r="F16" s="203">
        <f t="shared" si="3"/>
        <v>-4062</v>
      </c>
      <c r="H16" s="206">
        <f>+H15</f>
        <v>-1.786E-3</v>
      </c>
      <c r="I16" s="535">
        <f t="shared" si="4"/>
        <v>-3379</v>
      </c>
      <c r="K16" s="561">
        <f t="shared" si="5"/>
        <v>683</v>
      </c>
    </row>
    <row r="17" spans="1:11">
      <c r="A17" s="3">
        <f t="shared" si="0"/>
        <v>11</v>
      </c>
      <c r="B17" s="3">
        <v>29</v>
      </c>
      <c r="C17" s="4"/>
      <c r="D17" s="9">
        <f>+'GRC Tax Reform Impacts'!C15</f>
        <v>14327</v>
      </c>
      <c r="E17" s="202">
        <f>+'Proposed Sch 95A'!F13</f>
        <v>-1.877E-3</v>
      </c>
      <c r="F17" s="203">
        <f t="shared" si="3"/>
        <v>-27</v>
      </c>
      <c r="H17" s="202">
        <f>+'Proposed Sch 95A'!G13</f>
        <v>-1.562E-3</v>
      </c>
      <c r="I17" s="535">
        <f t="shared" si="4"/>
        <v>-22</v>
      </c>
      <c r="K17" s="561">
        <f t="shared" si="5"/>
        <v>5</v>
      </c>
    </row>
    <row r="18" spans="1:11">
      <c r="A18" s="3">
        <f t="shared" si="0"/>
        <v>12</v>
      </c>
      <c r="B18" s="3"/>
      <c r="C18" s="12" t="s">
        <v>18</v>
      </c>
      <c r="D18" s="13">
        <f>SUM(D11:D17)</f>
        <v>7533425</v>
      </c>
      <c r="E18" s="204"/>
      <c r="F18" s="205">
        <f t="shared" ref="F18" si="6">SUM(F11:F17)</f>
        <v>-15544</v>
      </c>
      <c r="H18" s="204"/>
      <c r="I18" s="536">
        <f t="shared" ref="I18:K18" si="7">SUM(I11:I17)</f>
        <v>-12931</v>
      </c>
      <c r="K18" s="536">
        <f t="shared" si="7"/>
        <v>2613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K19" s="535"/>
    </row>
    <row r="20" spans="1:11">
      <c r="A20" s="3">
        <f t="shared" si="0"/>
        <v>14</v>
      </c>
      <c r="B20" s="3">
        <v>10</v>
      </c>
      <c r="D20" s="9">
        <v>0</v>
      </c>
      <c r="E20" s="202">
        <f>+'Proposed Sch 95A'!F17</f>
        <v>-2.0049999999999998E-3</v>
      </c>
      <c r="F20" s="203">
        <f>ROUND(D20*E20,0)</f>
        <v>0</v>
      </c>
      <c r="H20" s="202">
        <f>+'Proposed Sch 95A'!G17</f>
        <v>-1.668E-3</v>
      </c>
      <c r="I20" s="535">
        <f t="shared" ref="I20:I23" si="8">ROUND(D20*H20,0)</f>
        <v>0</v>
      </c>
      <c r="K20" s="561">
        <f t="shared" ref="K20:K23" si="9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>+'GRC Tax Reform Impacts'!C18</f>
        <v>1284402</v>
      </c>
      <c r="E21" s="206">
        <f>+E20</f>
        <v>-2.0049999999999998E-3</v>
      </c>
      <c r="F21" s="203">
        <f>ROUND(D21*E21,0)</f>
        <v>-2575</v>
      </c>
      <c r="H21" s="206">
        <f>+H20</f>
        <v>-1.668E-3</v>
      </c>
      <c r="I21" s="535">
        <f t="shared" si="8"/>
        <v>-2142</v>
      </c>
      <c r="K21" s="561">
        <f t="shared" si="9"/>
        <v>433</v>
      </c>
    </row>
    <row r="22" spans="1:11">
      <c r="A22" s="3">
        <f t="shared" si="0"/>
        <v>16</v>
      </c>
      <c r="B22" s="3">
        <v>35</v>
      </c>
      <c r="C22" s="4"/>
      <c r="D22" s="9">
        <f>+'GRC Tax Reform Impacts'!C19</f>
        <v>4453</v>
      </c>
      <c r="E22" s="202">
        <f>+'Proposed Sch 95A'!F18</f>
        <v>-1.3569999999999999E-3</v>
      </c>
      <c r="F22" s="203">
        <f>ROUND(D22*E22,0)</f>
        <v>-6</v>
      </c>
      <c r="H22" s="202">
        <f>+'Proposed Sch 95A'!G18</f>
        <v>-1.129E-3</v>
      </c>
      <c r="I22" s="535">
        <f t="shared" si="8"/>
        <v>-5</v>
      </c>
      <c r="K22" s="561">
        <f t="shared" si="9"/>
        <v>1</v>
      </c>
    </row>
    <row r="23" spans="1:11">
      <c r="A23" s="3">
        <f t="shared" si="0"/>
        <v>17</v>
      </c>
      <c r="B23" s="3">
        <v>43</v>
      </c>
      <c r="C23" s="4"/>
      <c r="D23" s="9">
        <f>+'GRC Tax Reform Impacts'!C20</f>
        <v>119660</v>
      </c>
      <c r="E23" s="202">
        <f>+'Proposed Sch 95A'!F19</f>
        <v>-1.812E-3</v>
      </c>
      <c r="F23" s="203">
        <f>ROUND(D23*E23,0)</f>
        <v>-217</v>
      </c>
      <c r="H23" s="202">
        <f>+'Proposed Sch 95A'!G19</f>
        <v>-1.508E-3</v>
      </c>
      <c r="I23" s="535">
        <f t="shared" si="8"/>
        <v>-180</v>
      </c>
      <c r="K23" s="561">
        <f t="shared" si="9"/>
        <v>37</v>
      </c>
    </row>
    <row r="24" spans="1:11">
      <c r="A24" s="3">
        <f t="shared" si="0"/>
        <v>18</v>
      </c>
      <c r="B24" s="3"/>
      <c r="C24" s="4" t="s">
        <v>19</v>
      </c>
      <c r="D24" s="13">
        <f>SUM(D20:D23)</f>
        <v>1408515</v>
      </c>
      <c r="E24" s="204"/>
      <c r="F24" s="205">
        <f t="shared" ref="F24" si="10">SUM(F20:F23)</f>
        <v>-2798</v>
      </c>
      <c r="H24" s="204"/>
      <c r="I24" s="536">
        <f t="shared" ref="I24:K24" si="11">SUM(I20:I23)</f>
        <v>-2327</v>
      </c>
      <c r="K24" s="536">
        <f t="shared" si="11"/>
        <v>471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K25" s="535"/>
    </row>
    <row r="26" spans="1:11">
      <c r="A26" s="3">
        <f t="shared" si="0"/>
        <v>20</v>
      </c>
      <c r="B26" s="3">
        <v>40</v>
      </c>
      <c r="C26" s="4"/>
      <c r="D26" s="13">
        <f>+'GRC Tax Reform Impacts'!C23</f>
        <v>621679</v>
      </c>
      <c r="E26" s="204">
        <f>+'Proposed Sch 95A'!F23</f>
        <v>-2.1289999999999998E-3</v>
      </c>
      <c r="F26" s="205">
        <f>ROUND(D26*E26,0)</f>
        <v>-1324</v>
      </c>
      <c r="H26" s="204">
        <f>+'Proposed Sch 95A'!G23</f>
        <v>-1.7719999999999999E-3</v>
      </c>
      <c r="I26" s="535">
        <f>ROUND(D26*H26,0)</f>
        <v>-1102</v>
      </c>
      <c r="K26" s="561">
        <f>+I26-F26</f>
        <v>222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K27" s="535"/>
    </row>
    <row r="28" spans="1:11">
      <c r="A28" s="3">
        <f t="shared" si="0"/>
        <v>22</v>
      </c>
      <c r="B28" s="3">
        <v>46</v>
      </c>
      <c r="C28" s="4"/>
      <c r="D28" s="9">
        <f>+'GRC Tax Reform Impacts'!C25</f>
        <v>64275</v>
      </c>
      <c r="E28" s="202">
        <f>+'Proposed Sch 95A'!F25</f>
        <v>-1.0250000000000001E-3</v>
      </c>
      <c r="F28" s="203">
        <f>ROUND(D28*E28,0)</f>
        <v>-66</v>
      </c>
      <c r="H28" s="202">
        <f>+'Proposed Sch 95A'!G25</f>
        <v>-8.5300000000000003E-4</v>
      </c>
      <c r="I28" s="535">
        <f t="shared" ref="I28:I29" si="12">ROUND(D28*H28,0)</f>
        <v>-55</v>
      </c>
      <c r="K28" s="561">
        <f t="shared" ref="K28:K29" si="13">+I28-F28</f>
        <v>11</v>
      </c>
    </row>
    <row r="29" spans="1:11">
      <c r="A29" s="3">
        <f t="shared" si="0"/>
        <v>23</v>
      </c>
      <c r="B29" s="3">
        <v>49</v>
      </c>
      <c r="C29" s="4"/>
      <c r="D29" s="9">
        <f>+'GRC Tax Reform Impacts'!C26</f>
        <v>567984</v>
      </c>
      <c r="E29" s="202">
        <f>+'Proposed Sch 95A'!F26</f>
        <v>-2.0379999999999999E-3</v>
      </c>
      <c r="F29" s="203">
        <f>ROUND(D29*E29,0)</f>
        <v>-1158</v>
      </c>
      <c r="H29" s="202">
        <f>+'Proposed Sch 95A'!G26</f>
        <v>-1.6949999999999999E-3</v>
      </c>
      <c r="I29" s="535">
        <f t="shared" si="12"/>
        <v>-963</v>
      </c>
      <c r="K29" s="561">
        <f t="shared" si="13"/>
        <v>195</v>
      </c>
    </row>
    <row r="30" spans="1:11">
      <c r="A30" s="3">
        <f t="shared" si="0"/>
        <v>24</v>
      </c>
      <c r="B30" s="3"/>
      <c r="C30" s="4" t="s">
        <v>20</v>
      </c>
      <c r="D30" s="13">
        <f>SUM(D28:D29)</f>
        <v>632259</v>
      </c>
      <c r="E30" s="204"/>
      <c r="F30" s="205">
        <f t="shared" ref="F30" si="14">SUM(F28:F29)</f>
        <v>-1224</v>
      </c>
      <c r="H30" s="204"/>
      <c r="I30" s="536">
        <f t="shared" ref="I30:K30" si="15">SUM(I28:I29)</f>
        <v>-1018</v>
      </c>
      <c r="K30" s="536">
        <f t="shared" si="15"/>
        <v>206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K31" s="535"/>
    </row>
    <row r="32" spans="1:11">
      <c r="A32" s="3">
        <f t="shared" si="0"/>
        <v>26</v>
      </c>
      <c r="B32" s="3" t="s">
        <v>21</v>
      </c>
      <c r="C32" s="4"/>
      <c r="D32" s="13">
        <f>+'GRC Tax Reform Impacts'!C29</f>
        <v>77972</v>
      </c>
      <c r="E32" s="204">
        <f>+'Proposed Sch 95A'!F30</f>
        <v>-2.5379999999999999E-3</v>
      </c>
      <c r="F32" s="205">
        <f>ROUND(D32*E32,0)</f>
        <v>-198</v>
      </c>
      <c r="H32" s="204">
        <f>+'Proposed Sch 95A'!G30</f>
        <v>-2.1120000000000002E-3</v>
      </c>
      <c r="I32" s="535">
        <f>ROUND(D32*H32,0)</f>
        <v>-165</v>
      </c>
      <c r="K32" s="561">
        <f>+I32-F32</f>
        <v>33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K33" s="535"/>
    </row>
    <row r="34" spans="1:11">
      <c r="A34" s="3">
        <f t="shared" si="0"/>
        <v>28</v>
      </c>
      <c r="B34" s="3" t="s">
        <v>22</v>
      </c>
      <c r="C34" s="4"/>
      <c r="D34" s="13">
        <f>+'GRC Tax Reform Impacts'!C31</f>
        <v>2098104</v>
      </c>
      <c r="E34" s="204">
        <f>+'Proposed Sch 95A'!F37</f>
        <v>0</v>
      </c>
      <c r="F34" s="205">
        <f>ROUND(D34*E34,0)</f>
        <v>0</v>
      </c>
      <c r="H34" s="204">
        <f>+'Proposed Sch 95A'!G37</f>
        <v>0</v>
      </c>
      <c r="I34" s="535">
        <f>ROUND(D34*H34,0)</f>
        <v>0</v>
      </c>
      <c r="K34" s="561">
        <f>+I34-F34</f>
        <v>0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>SUM(D9,D18,D24,D26,D30,D32,D34)</f>
        <v>22814380</v>
      </c>
      <c r="E36" s="207"/>
      <c r="F36" s="208">
        <f t="shared" ref="F36" si="16">SUM(F9,F18,F24,F26,F30,F32,F34)</f>
        <v>-47100</v>
      </c>
      <c r="H36" s="207"/>
      <c r="I36" s="208">
        <f t="shared" ref="I36:K36" si="17">SUM(I9,I18,I24,I26,I30,I32,I34)</f>
        <v>-39180</v>
      </c>
      <c r="K36" s="208">
        <f t="shared" si="17"/>
        <v>7920</v>
      </c>
    </row>
    <row r="37" spans="1:11" ht="13.8" thickTop="1">
      <c r="A37" s="3">
        <f t="shared" si="0"/>
        <v>31</v>
      </c>
      <c r="B37" s="3"/>
      <c r="F37" s="203"/>
      <c r="I37" s="535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>+'GRC Tax Reform Impacts'!C35</f>
        <v>6930</v>
      </c>
      <c r="E38" s="204">
        <f>+'Proposed Sch 95A'!F32</f>
        <v>-2.4199999999999998E-3</v>
      </c>
      <c r="F38" s="205">
        <f>ROUND(D38*E38,0)</f>
        <v>-17</v>
      </c>
      <c r="H38" s="204">
        <f>+'Proposed Sch 95A'!G32</f>
        <v>-2.0140000000000002E-3</v>
      </c>
      <c r="I38" s="535">
        <f>ROUND(D38*H38,0)</f>
        <v>-14</v>
      </c>
      <c r="K38" s="561">
        <f>+I38-F38</f>
        <v>3</v>
      </c>
    </row>
    <row r="39" spans="1:11">
      <c r="A39" s="3">
        <f t="shared" si="0"/>
        <v>33</v>
      </c>
      <c r="B39" s="3"/>
      <c r="F39" s="203"/>
      <c r="I39" s="535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>SUM(D36,D38)</f>
        <v>22821310</v>
      </c>
      <c r="F40" s="208">
        <f t="shared" ref="F40" si="18">SUM(F36,F38)</f>
        <v>-47117</v>
      </c>
      <c r="I40" s="208">
        <f t="shared" ref="I40:K40" si="19">SUM(I36,I38)</f>
        <v>-39194</v>
      </c>
      <c r="K40" s="208">
        <f t="shared" si="19"/>
        <v>7923</v>
      </c>
    </row>
    <row r="41" spans="1:11" ht="13.8" thickTop="1">
      <c r="I41" s="56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2"/>
  <sheetViews>
    <sheetView workbookViewId="0">
      <selection activeCell="E29" sqref="E29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7" width="8.88671875" style="1"/>
    <col min="8" max="8" width="10.88671875" style="1" bestFit="1" customWidth="1"/>
    <col min="9" max="9" width="9.5546875" style="1" bestFit="1" customWidth="1"/>
    <col min="10" max="10" width="8.88671875" style="1"/>
    <col min="11" max="11" width="9.5546875" style="1" bestFit="1" customWidth="1"/>
    <col min="12" max="16384" width="8.88671875" style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222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563</v>
      </c>
      <c r="F6" s="7" t="s">
        <v>223</v>
      </c>
      <c r="H6" s="468" t="s">
        <v>675</v>
      </c>
      <c r="I6" s="468" t="s">
        <v>223</v>
      </c>
      <c r="K6" s="468" t="s">
        <v>676</v>
      </c>
    </row>
    <row r="7" spans="1:11">
      <c r="A7" s="3">
        <v>1</v>
      </c>
      <c r="B7" s="3">
        <v>7</v>
      </c>
      <c r="C7" s="4"/>
      <c r="D7" s="9">
        <f>+'GRC Tax Reform Impacts'!C9</f>
        <v>10442426</v>
      </c>
      <c r="E7" s="202">
        <f>+'Compliance Sch 120'!G7</f>
        <v>6.0749999999999997E-3</v>
      </c>
      <c r="F7" s="203">
        <f>ROUND(D7*E7,0)</f>
        <v>63438</v>
      </c>
      <c r="H7" s="202">
        <f>+'Proposed Sch 120 '!G7</f>
        <v>4.8599999999999997E-3</v>
      </c>
      <c r="I7" s="535">
        <f>ROUND(D7*H7,0)</f>
        <v>50750</v>
      </c>
      <c r="K7" s="535">
        <f>+I7-F7</f>
        <v>-12688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120'!G10</f>
        <v>4.4990000000000004E-3</v>
      </c>
      <c r="F8" s="203">
        <f>ROUND(D8*E8,0)</f>
        <v>0</v>
      </c>
      <c r="H8" s="202">
        <f>+'Proposed Sch 120 '!G10</f>
        <v>4.2570000000000004E-3</v>
      </c>
      <c r="I8" s="535">
        <f>ROUND(D8*H8,0)</f>
        <v>0</v>
      </c>
      <c r="K8" s="535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>SUM(D7:D8)</f>
        <v>10442426</v>
      </c>
      <c r="E9" s="204"/>
      <c r="F9" s="205">
        <f t="shared" ref="F9" si="1">SUM(F7:F8)</f>
        <v>63438</v>
      </c>
      <c r="H9" s="204"/>
      <c r="I9" s="536">
        <f t="shared" ref="I9:K9" si="2">SUM(I7:I8)</f>
        <v>50750</v>
      </c>
      <c r="K9" s="536">
        <f t="shared" si="2"/>
        <v>-12688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+'Compliance Sch 120'!G9</f>
        <v>4.6410000000000002E-3</v>
      </c>
      <c r="F11" s="203">
        <f t="shared" ref="F11:F17" si="3">ROUND(D11*E11,0)</f>
        <v>0</v>
      </c>
      <c r="H11" s="202">
        <f>+'Proposed Sch 120 '!G9</f>
        <v>4.2079999999999999E-3</v>
      </c>
      <c r="I11" s="535">
        <f t="shared" ref="I11:I17" si="4">ROUND(D11*H11,0)</f>
        <v>0</v>
      </c>
      <c r="K11" s="535">
        <f t="shared" ref="K11:K17" si="5">+I11-F11</f>
        <v>0</v>
      </c>
    </row>
    <row r="12" spans="1:11">
      <c r="A12" s="3">
        <f t="shared" si="0"/>
        <v>6</v>
      </c>
      <c r="B12" s="3">
        <v>24</v>
      </c>
      <c r="D12" s="9">
        <f>+'GRC Tax Reform Impacts'!C12</f>
        <v>2787584</v>
      </c>
      <c r="E12" s="206">
        <f>+E11</f>
        <v>4.6410000000000002E-3</v>
      </c>
      <c r="F12" s="203">
        <f t="shared" si="3"/>
        <v>12937</v>
      </c>
      <c r="H12" s="206">
        <f>+H11</f>
        <v>4.2079999999999999E-3</v>
      </c>
      <c r="I12" s="535">
        <f t="shared" si="4"/>
        <v>11730</v>
      </c>
      <c r="K12" s="535">
        <f t="shared" si="5"/>
        <v>-1207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4.4990000000000004E-3</v>
      </c>
      <c r="F13" s="203">
        <f t="shared" si="3"/>
        <v>0</v>
      </c>
      <c r="H13" s="202">
        <f>+H8</f>
        <v>4.2570000000000004E-3</v>
      </c>
      <c r="I13" s="535">
        <f t="shared" si="4"/>
        <v>0</v>
      </c>
      <c r="K13" s="535">
        <f t="shared" si="5"/>
        <v>0</v>
      </c>
    </row>
    <row r="14" spans="1:11">
      <c r="A14" s="3">
        <f t="shared" si="0"/>
        <v>8</v>
      </c>
      <c r="B14" s="2">
        <v>25</v>
      </c>
      <c r="D14" s="9">
        <f>+'GRC Tax Reform Impacts'!C13</f>
        <v>2839459</v>
      </c>
      <c r="E14" s="206">
        <f>+E13</f>
        <v>4.4990000000000004E-3</v>
      </c>
      <c r="F14" s="203">
        <f t="shared" si="3"/>
        <v>12775</v>
      </c>
      <c r="H14" s="206">
        <f>+H13</f>
        <v>4.2570000000000004E-3</v>
      </c>
      <c r="I14" s="535">
        <f t="shared" si="4"/>
        <v>12088</v>
      </c>
      <c r="K14" s="535">
        <f t="shared" si="5"/>
        <v>-687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+'Compliance Sch 120'!G11</f>
        <v>4.7999999999999996E-3</v>
      </c>
      <c r="F15" s="203">
        <f t="shared" si="3"/>
        <v>0</v>
      </c>
      <c r="H15" s="202">
        <f>+'Proposed Sch 120 '!G11</f>
        <v>4.3249999999999999E-3</v>
      </c>
      <c r="I15" s="535">
        <f t="shared" si="4"/>
        <v>0</v>
      </c>
      <c r="K15" s="535">
        <f t="shared" si="5"/>
        <v>0</v>
      </c>
    </row>
    <row r="16" spans="1:11">
      <c r="A16" s="3">
        <f t="shared" si="0"/>
        <v>10</v>
      </c>
      <c r="B16" s="3" t="s">
        <v>17</v>
      </c>
      <c r="D16" s="9">
        <f>+'GRC Tax Reform Impacts'!C14</f>
        <v>1892055</v>
      </c>
      <c r="E16" s="206">
        <f>+E15</f>
        <v>4.7999999999999996E-3</v>
      </c>
      <c r="F16" s="203">
        <f t="shared" si="3"/>
        <v>9082</v>
      </c>
      <c r="H16" s="206">
        <f>+H15</f>
        <v>4.3249999999999999E-3</v>
      </c>
      <c r="I16" s="535">
        <f t="shared" si="4"/>
        <v>8183</v>
      </c>
      <c r="K16" s="535">
        <f t="shared" si="5"/>
        <v>-899</v>
      </c>
    </row>
    <row r="17" spans="1:11">
      <c r="A17" s="3">
        <f t="shared" si="0"/>
        <v>11</v>
      </c>
      <c r="B17" s="3">
        <v>29</v>
      </c>
      <c r="C17" s="4"/>
      <c r="D17" s="9">
        <f>+'GRC Tax Reform Impacts'!C15</f>
        <v>14327</v>
      </c>
      <c r="E17" s="202">
        <f>+'Compliance Sch 120'!G12</f>
        <v>4.5799999999999999E-3</v>
      </c>
      <c r="F17" s="203">
        <f t="shared" si="3"/>
        <v>66</v>
      </c>
      <c r="H17" s="202">
        <f>+'Proposed Sch 120 '!G12</f>
        <v>3.1960000000000001E-3</v>
      </c>
      <c r="I17" s="535">
        <f t="shared" si="4"/>
        <v>46</v>
      </c>
      <c r="K17" s="535">
        <f t="shared" si="5"/>
        <v>-20</v>
      </c>
    </row>
    <row r="18" spans="1:11">
      <c r="A18" s="3">
        <f t="shared" si="0"/>
        <v>12</v>
      </c>
      <c r="B18" s="3"/>
      <c r="C18" s="12" t="s">
        <v>18</v>
      </c>
      <c r="D18" s="13">
        <f>SUM(D11:D17)</f>
        <v>7533425</v>
      </c>
      <c r="E18" s="204"/>
      <c r="F18" s="205">
        <f t="shared" ref="F18" si="6">SUM(F11:F17)</f>
        <v>34860</v>
      </c>
      <c r="H18" s="204"/>
      <c r="I18" s="536">
        <f t="shared" ref="I18:K18" si="7">SUM(I11:I17)</f>
        <v>32047</v>
      </c>
      <c r="K18" s="536">
        <f t="shared" si="7"/>
        <v>-2813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K19" s="535"/>
    </row>
    <row r="20" spans="1:11">
      <c r="A20" s="3">
        <f t="shared" si="0"/>
        <v>14</v>
      </c>
      <c r="B20" s="3">
        <v>10</v>
      </c>
      <c r="D20" s="9">
        <v>0</v>
      </c>
      <c r="E20" s="202">
        <f>+'Compliance Sch 120'!G16</f>
        <v>4.5519999999999996E-3</v>
      </c>
      <c r="F20" s="203">
        <f>ROUND(D20*E20,0)</f>
        <v>0</v>
      </c>
      <c r="H20" s="202">
        <f>+'Proposed Sch 120 '!G16</f>
        <v>4.1520000000000003E-3</v>
      </c>
      <c r="I20" s="535">
        <f t="shared" ref="I20:I23" si="8">ROUND(D20*H20,0)</f>
        <v>0</v>
      </c>
      <c r="K20" s="535">
        <f t="shared" ref="K20:K23" si="9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>+'GRC Tax Reform Impacts'!C18</f>
        <v>1284402</v>
      </c>
      <c r="E21" s="206">
        <f>+E20</f>
        <v>4.5519999999999996E-3</v>
      </c>
      <c r="F21" s="203">
        <f>ROUND(D21*E21,0)</f>
        <v>5847</v>
      </c>
      <c r="H21" s="206">
        <f>+H20</f>
        <v>4.1520000000000003E-3</v>
      </c>
      <c r="I21" s="535">
        <f t="shared" si="8"/>
        <v>5333</v>
      </c>
      <c r="K21" s="535">
        <f t="shared" si="9"/>
        <v>-514</v>
      </c>
    </row>
    <row r="22" spans="1:11">
      <c r="A22" s="3">
        <f t="shared" si="0"/>
        <v>16</v>
      </c>
      <c r="B22" s="3">
        <v>35</v>
      </c>
      <c r="C22" s="4"/>
      <c r="D22" s="9">
        <f>+'GRC Tax Reform Impacts'!C19</f>
        <v>4453</v>
      </c>
      <c r="E22" s="202">
        <f>+'Compliance Sch 120'!G17</f>
        <v>3.1359999999999999E-3</v>
      </c>
      <c r="F22" s="203">
        <f>ROUND(D22*E22,0)</f>
        <v>14</v>
      </c>
      <c r="H22" s="202">
        <f>+'Proposed Sch 120 '!G17</f>
        <v>2.9009999999999999E-3</v>
      </c>
      <c r="I22" s="535">
        <f t="shared" si="8"/>
        <v>13</v>
      </c>
      <c r="K22" s="535">
        <f t="shared" si="9"/>
        <v>-1</v>
      </c>
    </row>
    <row r="23" spans="1:11">
      <c r="A23" s="3">
        <f t="shared" si="0"/>
        <v>17</v>
      </c>
      <c r="B23" s="3">
        <v>43</v>
      </c>
      <c r="C23" s="4"/>
      <c r="D23" s="9">
        <f>+'GRC Tax Reform Impacts'!C20</f>
        <v>119660</v>
      </c>
      <c r="E23" s="202">
        <f>+'Compliance Sch 120'!G18</f>
        <v>4.2500000000000003E-3</v>
      </c>
      <c r="F23" s="203">
        <f>ROUND(D23*E23,0)</f>
        <v>509</v>
      </c>
      <c r="H23" s="202">
        <f>+'Proposed Sch 120 '!G18</f>
        <v>3.2989999999999998E-3</v>
      </c>
      <c r="I23" s="535">
        <f t="shared" si="8"/>
        <v>395</v>
      </c>
      <c r="K23" s="535">
        <f t="shared" si="9"/>
        <v>-114</v>
      </c>
    </row>
    <row r="24" spans="1:11">
      <c r="A24" s="3">
        <f t="shared" si="0"/>
        <v>18</v>
      </c>
      <c r="B24" s="3"/>
      <c r="C24" s="4" t="s">
        <v>19</v>
      </c>
      <c r="D24" s="13">
        <f>SUM(D20:D23)</f>
        <v>1408515</v>
      </c>
      <c r="E24" s="204"/>
      <c r="F24" s="205">
        <f t="shared" ref="F24" si="10">SUM(F20:F23)</f>
        <v>6370</v>
      </c>
      <c r="H24" s="204"/>
      <c r="I24" s="536">
        <f t="shared" ref="I24:K24" si="11">SUM(I20:I23)</f>
        <v>5741</v>
      </c>
      <c r="K24" s="536">
        <f t="shared" si="11"/>
        <v>-629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K25" s="535"/>
    </row>
    <row r="26" spans="1:11">
      <c r="A26" s="3">
        <f t="shared" si="0"/>
        <v>20</v>
      </c>
      <c r="B26" s="3">
        <v>40</v>
      </c>
      <c r="C26" s="4"/>
      <c r="D26" s="13">
        <f>+'GRC Tax Reform Impacts'!C23</f>
        <v>621679</v>
      </c>
      <c r="E26" s="204">
        <f>+'Compliance Sch 120'!G22</f>
        <v>5.1419999999999999E-3</v>
      </c>
      <c r="F26" s="205">
        <f>ROUND(D26*E26,0)</f>
        <v>3197</v>
      </c>
      <c r="H26" s="204">
        <f>+'Proposed Sch 120 '!G22</f>
        <v>3.79E-3</v>
      </c>
      <c r="I26" s="536">
        <f>ROUND(D26*H26,0)</f>
        <v>2356</v>
      </c>
      <c r="K26" s="536">
        <f>+I26-F26</f>
        <v>-841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K27" s="535"/>
    </row>
    <row r="28" spans="1:11">
      <c r="A28" s="3">
        <f t="shared" si="0"/>
        <v>22</v>
      </c>
      <c r="B28" s="3">
        <v>46</v>
      </c>
      <c r="C28" s="4"/>
      <c r="D28" s="9">
        <f>+'GRC Tax Reform Impacts'!C25</f>
        <v>64275</v>
      </c>
      <c r="E28" s="202">
        <f>+'Compliance Sch 120'!G24</f>
        <v>2.9169999999999999E-3</v>
      </c>
      <c r="F28" s="203">
        <f>ROUND(D28*E28,0)</f>
        <v>187</v>
      </c>
      <c r="H28" s="202">
        <f>+'Proposed Sch 120 '!G24</f>
        <v>2.6159999999999998E-3</v>
      </c>
      <c r="I28" s="535">
        <f t="shared" ref="I28:I29" si="12">ROUND(D28*H28,0)</f>
        <v>168</v>
      </c>
      <c r="K28" s="535">
        <f t="shared" ref="K28:K29" si="13">+I28-F28</f>
        <v>-19</v>
      </c>
    </row>
    <row r="29" spans="1:11">
      <c r="A29" s="3">
        <f t="shared" si="0"/>
        <v>23</v>
      </c>
      <c r="B29" s="3">
        <v>49</v>
      </c>
      <c r="C29" s="4"/>
      <c r="D29" s="9">
        <f>+'GRC Tax Reform Impacts'!C26</f>
        <v>567984</v>
      </c>
      <c r="E29" s="202">
        <f>+'Compliance Sch 120'!G25</f>
        <v>4.4260000000000002E-3</v>
      </c>
      <c r="F29" s="203">
        <f>ROUND(D29*E29,0)</f>
        <v>2514</v>
      </c>
      <c r="H29" s="202">
        <f>+'Proposed Sch 120 '!G25</f>
        <v>3.9039999999999999E-3</v>
      </c>
      <c r="I29" s="535">
        <f t="shared" si="12"/>
        <v>2217</v>
      </c>
      <c r="K29" s="535">
        <f t="shared" si="13"/>
        <v>-297</v>
      </c>
    </row>
    <row r="30" spans="1:11">
      <c r="A30" s="3">
        <f t="shared" si="0"/>
        <v>24</v>
      </c>
      <c r="B30" s="3"/>
      <c r="C30" s="4" t="s">
        <v>20</v>
      </c>
      <c r="D30" s="13">
        <f>SUM(D28:D29)</f>
        <v>632259</v>
      </c>
      <c r="E30" s="204"/>
      <c r="F30" s="205">
        <f t="shared" ref="F30" si="14">SUM(F28:F29)</f>
        <v>2701</v>
      </c>
      <c r="H30" s="204"/>
      <c r="I30" s="536">
        <f t="shared" ref="I30:K30" si="15">SUM(I28:I29)</f>
        <v>2385</v>
      </c>
      <c r="K30" s="536">
        <f t="shared" si="15"/>
        <v>-316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K31" s="535"/>
    </row>
    <row r="32" spans="1:11">
      <c r="A32" s="3">
        <f t="shared" si="0"/>
        <v>26</v>
      </c>
      <c r="B32" s="3" t="s">
        <v>21</v>
      </c>
      <c r="C32" s="4"/>
      <c r="D32" s="13">
        <f>+'GRC Tax Reform Impacts'!C29</f>
        <v>77972</v>
      </c>
      <c r="E32" s="204">
        <f>+'Compliance Sch 120'!G31</f>
        <v>6.2750000000000002E-3</v>
      </c>
      <c r="F32" s="205">
        <f>ROUND(D32*E32,0)</f>
        <v>489</v>
      </c>
      <c r="H32" s="204">
        <f>+'Proposed Sch 120 '!G31</f>
        <v>4.5710000000000004E-3</v>
      </c>
      <c r="I32" s="536">
        <f>ROUND(D32*H32,0)</f>
        <v>356</v>
      </c>
      <c r="K32" s="536">
        <f>+I32-F32</f>
        <v>-133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K33" s="535"/>
    </row>
    <row r="34" spans="1:11">
      <c r="A34" s="3">
        <f t="shared" si="0"/>
        <v>28</v>
      </c>
      <c r="B34" s="3" t="s">
        <v>22</v>
      </c>
      <c r="C34" s="4"/>
      <c r="D34" s="13">
        <f>+'GRC Tax Reform Impacts'!C31</f>
        <v>2098104</v>
      </c>
      <c r="E34" s="204">
        <f>+'Compliance Sch 120'!G29</f>
        <v>1.0820000000000001E-3</v>
      </c>
      <c r="F34" s="205">
        <f>ROUND(D34*E34,0)</f>
        <v>2270</v>
      </c>
      <c r="H34" s="204">
        <f>+'Proposed Sch 120 '!G29</f>
        <v>1.0549999999999999E-3</v>
      </c>
      <c r="I34" s="536">
        <f>ROUND(D34*H34,0)</f>
        <v>2213</v>
      </c>
      <c r="K34" s="536">
        <f>+I34-F34</f>
        <v>-57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>SUM(D9,D18,D24,D26,D30,D32,D34)</f>
        <v>22814380</v>
      </c>
      <c r="E36" s="207"/>
      <c r="F36" s="208">
        <f t="shared" ref="F36" si="16">SUM(F9,F18,F24,F26,F30,F32,F34)</f>
        <v>113325</v>
      </c>
      <c r="H36" s="207"/>
      <c r="I36" s="208">
        <f t="shared" ref="I36:K36" si="17">SUM(I9,I18,I24,I26,I30,I32,I34)</f>
        <v>95848</v>
      </c>
      <c r="K36" s="208">
        <f t="shared" si="17"/>
        <v>-17477</v>
      </c>
    </row>
    <row r="37" spans="1:11" ht="13.8" thickTop="1">
      <c r="A37" s="3">
        <f t="shared" si="0"/>
        <v>31</v>
      </c>
      <c r="B37" s="3"/>
      <c r="F37" s="203"/>
      <c r="I37" s="535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>+'GRC Tax Reform Impacts'!C35</f>
        <v>6930</v>
      </c>
      <c r="E38" s="204">
        <v>0</v>
      </c>
      <c r="F38" s="205">
        <f>ROUND(D38*E38,0)</f>
        <v>0</v>
      </c>
      <c r="H38" s="204">
        <v>0</v>
      </c>
      <c r="I38" s="536">
        <f>ROUND(D38*H38,0)</f>
        <v>0</v>
      </c>
      <c r="K38" s="536">
        <f>+I38-F38</f>
        <v>0</v>
      </c>
    </row>
    <row r="39" spans="1:11">
      <c r="A39" s="3">
        <f t="shared" si="0"/>
        <v>33</v>
      </c>
      <c r="B39" s="3"/>
      <c r="F39" s="203"/>
      <c r="I39" s="535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>SUM(D36,D38)</f>
        <v>22821310</v>
      </c>
      <c r="E40" s="335">
        <f>+F40/D40</f>
        <v>4.9657534996895448E-3</v>
      </c>
      <c r="F40" s="208">
        <f t="shared" ref="F40" si="18">SUM(F36,F38)</f>
        <v>113325</v>
      </c>
      <c r="H40" s="335">
        <f>+I40/D40</f>
        <v>4.1999341843215838E-3</v>
      </c>
      <c r="I40" s="208">
        <f t="shared" ref="I40:K40" si="19">SUM(I36,I38)</f>
        <v>95848</v>
      </c>
      <c r="K40" s="208">
        <f t="shared" si="19"/>
        <v>-17477</v>
      </c>
    </row>
    <row r="41" spans="1:11" ht="13.8" thickTop="1"/>
    <row r="42" spans="1:11">
      <c r="I42" s="56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sqref="A1:F1"/>
    </sheetView>
  </sheetViews>
  <sheetFormatPr defaultRowHeight="13.2"/>
  <cols>
    <col min="1" max="1" width="7.77734375" style="1" bestFit="1" customWidth="1"/>
    <col min="2" max="2" width="10.33203125" style="1" bestFit="1" customWidth="1"/>
    <col min="3" max="3" width="21" style="1" bestFit="1" customWidth="1"/>
    <col min="4" max="4" width="15.109375" style="1" bestFit="1" customWidth="1"/>
    <col min="5" max="5" width="14" style="1" bestFit="1" customWidth="1"/>
    <col min="6" max="6" width="13.21875" style="1" bestFit="1" customWidth="1"/>
    <col min="7" max="16384" width="8.88671875" style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227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39.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599</v>
      </c>
      <c r="F6" s="7" t="s">
        <v>226</v>
      </c>
    </row>
    <row r="7" spans="1:6">
      <c r="A7" s="3">
        <v>1</v>
      </c>
      <c r="B7" s="3">
        <v>7</v>
      </c>
      <c r="C7" s="4"/>
      <c r="D7" s="9">
        <f>+'GRC Tax Reform Impacts'!C9</f>
        <v>10442426</v>
      </c>
      <c r="E7" s="202">
        <f>+'Compliance Sch 129'!F9</f>
        <v>9.3700000000000001E-4</v>
      </c>
      <c r="F7" s="203">
        <f>ROUND(D7*E7,0)</f>
        <v>9785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129'!F12</f>
        <v>7.94E-4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>SUM(D7:D8)</f>
        <v>10442426</v>
      </c>
      <c r="E9" s="204"/>
      <c r="F9" s="205">
        <f t="shared" ref="F9" si="1">SUM(F7:F8)</f>
        <v>9785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+'Compliance Sch 129'!F11</f>
        <v>8.5499999999999997E-4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Tax Reform Impacts'!C12</f>
        <v>2787584</v>
      </c>
      <c r="E12" s="206">
        <f>+E11</f>
        <v>8.5499999999999997E-4</v>
      </c>
      <c r="F12" s="203">
        <f t="shared" si="2"/>
        <v>2383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7.94E-4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D14" s="9">
        <f>+'GRC Tax Reform Impacts'!C13</f>
        <v>2839459</v>
      </c>
      <c r="E14" s="206">
        <f>+E13</f>
        <v>7.94E-4</v>
      </c>
      <c r="F14" s="203">
        <f t="shared" si="2"/>
        <v>2255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+'Compliance Sch 129'!F13</f>
        <v>7.0699999999999995E-4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D16" s="9">
        <f>+'GRC Tax Reform Impacts'!C14</f>
        <v>1892055</v>
      </c>
      <c r="E16" s="206">
        <f>+E15</f>
        <v>7.0699999999999995E-4</v>
      </c>
      <c r="F16" s="203">
        <f t="shared" si="2"/>
        <v>1338</v>
      </c>
    </row>
    <row r="17" spans="1:6">
      <c r="A17" s="3">
        <f t="shared" si="0"/>
        <v>11</v>
      </c>
      <c r="B17" s="3">
        <v>29</v>
      </c>
      <c r="C17" s="4"/>
      <c r="D17" s="9">
        <f>+'GRC Tax Reform Impacts'!C15</f>
        <v>14327</v>
      </c>
      <c r="E17" s="202">
        <f>+'Compliance Sch 129'!F14</f>
        <v>7.1199999999999996E-4</v>
      </c>
      <c r="F17" s="203">
        <f t="shared" si="2"/>
        <v>10</v>
      </c>
    </row>
    <row r="18" spans="1:6">
      <c r="A18" s="3">
        <f t="shared" si="0"/>
        <v>12</v>
      </c>
      <c r="B18" s="3"/>
      <c r="C18" s="12" t="s">
        <v>18</v>
      </c>
      <c r="D18" s="13">
        <f>SUM(D11:D17)</f>
        <v>7533425</v>
      </c>
      <c r="E18" s="204"/>
      <c r="F18" s="205">
        <f t="shared" ref="F18" si="3">SUM(F11:F17)</f>
        <v>5986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D20" s="9">
        <v>0</v>
      </c>
      <c r="E20" s="202">
        <f>+'Compliance Sch 129'!F18</f>
        <v>6.96E-4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Tax Reform Impacts'!C18</f>
        <v>1284402</v>
      </c>
      <c r="E21" s="206">
        <f>+E20</f>
        <v>6.96E-4</v>
      </c>
      <c r="F21" s="203">
        <f>ROUND(D21*E21,0)</f>
        <v>894</v>
      </c>
    </row>
    <row r="22" spans="1:6">
      <c r="A22" s="3">
        <f t="shared" si="0"/>
        <v>16</v>
      </c>
      <c r="B22" s="3">
        <v>35</v>
      </c>
      <c r="C22" s="4"/>
      <c r="D22" s="9">
        <f>+'GRC Tax Reform Impacts'!C19</f>
        <v>4453</v>
      </c>
      <c r="E22" s="202">
        <f>+'Compliance Sch 129'!F19</f>
        <v>4.64E-4</v>
      </c>
      <c r="F22" s="203">
        <f>ROUND(D22*E22,0)</f>
        <v>2</v>
      </c>
    </row>
    <row r="23" spans="1:6">
      <c r="A23" s="3">
        <f t="shared" si="0"/>
        <v>17</v>
      </c>
      <c r="B23" s="3">
        <v>43</v>
      </c>
      <c r="C23" s="4"/>
      <c r="D23" s="9">
        <f>+'GRC Tax Reform Impacts'!C20</f>
        <v>119660</v>
      </c>
      <c r="E23" s="202">
        <f>+'Compliance Sch 129'!F20</f>
        <v>7.6999999999999996E-4</v>
      </c>
      <c r="F23" s="203">
        <f>ROUND(D23*E23,0)</f>
        <v>92</v>
      </c>
    </row>
    <row r="24" spans="1:6">
      <c r="A24" s="3">
        <f t="shared" si="0"/>
        <v>18</v>
      </c>
      <c r="B24" s="3"/>
      <c r="C24" s="4" t="s">
        <v>19</v>
      </c>
      <c r="D24" s="13">
        <f>SUM(D20:D23)</f>
        <v>1408515</v>
      </c>
      <c r="E24" s="204"/>
      <c r="F24" s="205">
        <f t="shared" ref="F24" si="4">SUM(F20:F23)</f>
        <v>988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>+'GRC Tax Reform Impacts'!C23</f>
        <v>621679</v>
      </c>
      <c r="E26" s="204">
        <f>+'Compliance Sch 129'!F24</f>
        <v>6.7000000000000002E-4</v>
      </c>
      <c r="F26" s="205">
        <f>ROUND(D26*E26,0)</f>
        <v>417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>+'GRC Tax Reform Impacts'!C25</f>
        <v>64275</v>
      </c>
      <c r="E28" s="202">
        <f>+'Compliance Sch 129'!F26</f>
        <v>5.9800000000000001E-4</v>
      </c>
      <c r="F28" s="203">
        <f>ROUND(D28*E28,0)</f>
        <v>38</v>
      </c>
    </row>
    <row r="29" spans="1:6">
      <c r="A29" s="3">
        <f t="shared" si="0"/>
        <v>23</v>
      </c>
      <c r="B29" s="3">
        <v>49</v>
      </c>
      <c r="C29" s="4"/>
      <c r="D29" s="9">
        <f>+'GRC Tax Reform Impacts'!C26</f>
        <v>567984</v>
      </c>
      <c r="E29" s="202">
        <f>+'Compliance Sch 129'!F27</f>
        <v>5.7600000000000001E-4</v>
      </c>
      <c r="F29" s="203">
        <f>ROUND(D29*E29,0)</f>
        <v>327</v>
      </c>
    </row>
    <row r="30" spans="1:6">
      <c r="A30" s="3">
        <f t="shared" si="0"/>
        <v>24</v>
      </c>
      <c r="B30" s="3"/>
      <c r="C30" s="4" t="s">
        <v>20</v>
      </c>
      <c r="D30" s="13">
        <f>SUM(D28:D29)</f>
        <v>632259</v>
      </c>
      <c r="E30" s="204"/>
      <c r="F30" s="205">
        <f t="shared" ref="F30" si="5">SUM(F28:F29)</f>
        <v>365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>+'GRC Tax Reform Impacts'!C29</f>
        <v>77972</v>
      </c>
      <c r="E32" s="204">
        <f>+'Compliance Sch 129'!F31</f>
        <v>2.1689999999999999E-3</v>
      </c>
      <c r="F32" s="205">
        <f>ROUND(D32*E32,0)</f>
        <v>169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>+'GRC Tax Reform Impacts'!C31</f>
        <v>2098104</v>
      </c>
      <c r="E34" s="204">
        <f>+'Compliance Sch 129'!F33</f>
        <v>3.3000000000000003E-5</v>
      </c>
      <c r="F34" s="205">
        <f>ROUND(D34*E34,0)</f>
        <v>69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>SUM(D9,D18,D24,D26,D30,D32,D34)</f>
        <v>22814380</v>
      </c>
      <c r="E36" s="207"/>
      <c r="F36" s="208">
        <f t="shared" ref="F36" si="6">SUM(F9,F18,F24,F26,F30,F32,F34)</f>
        <v>17779</v>
      </c>
    </row>
    <row r="37" spans="1:6" ht="13.8" thickTop="1">
      <c r="A37" s="3">
        <f t="shared" si="0"/>
        <v>31</v>
      </c>
      <c r="B37" s="3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>+'GRC Tax Reform Impacts'!C35</f>
        <v>6930</v>
      </c>
      <c r="E38" s="204">
        <v>0</v>
      </c>
      <c r="F38" s="205">
        <f>ROUND(D38*E38,0)</f>
        <v>0</v>
      </c>
    </row>
    <row r="39" spans="1:6">
      <c r="A39" s="3">
        <f t="shared" si="0"/>
        <v>33</v>
      </c>
      <c r="B39" s="3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>SUM(D36,D38)</f>
        <v>22821310</v>
      </c>
      <c r="F40" s="208">
        <f t="shared" ref="F40" si="7">SUM(F36,F38)</f>
        <v>17779</v>
      </c>
    </row>
    <row r="41" spans="1:6" ht="13.8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activeCell="E7" sqref="E7"/>
    </sheetView>
  </sheetViews>
  <sheetFormatPr defaultRowHeight="13.2"/>
  <cols>
    <col min="4" max="4" width="15.109375" bestFit="1" customWidth="1"/>
    <col min="5" max="5" width="11.5546875" bestFit="1" customWidth="1"/>
    <col min="6" max="6" width="12.10937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228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625</v>
      </c>
      <c r="F6" s="7" t="s">
        <v>229</v>
      </c>
    </row>
    <row r="7" spans="1:6">
      <c r="A7" s="3">
        <v>1</v>
      </c>
      <c r="B7" s="3">
        <v>7</v>
      </c>
      <c r="C7" s="4"/>
      <c r="D7" s="9">
        <f>+'GRC Tax Reform Impacts'!C9</f>
        <v>10442426</v>
      </c>
      <c r="E7" s="202">
        <f>+'Proposed Sch 132'!G10</f>
        <v>-3.4600000000000001E-4</v>
      </c>
      <c r="F7" s="203">
        <f>ROUND(D7*E7,0)</f>
        <v>-3613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132'!G12</f>
        <v>-2.4499999999999999E-4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>SUM(D7:D8)</f>
        <v>10442426</v>
      </c>
      <c r="E9" s="204"/>
      <c r="F9" s="205">
        <f t="shared" ref="F9" si="1">SUM(F7:F8)</f>
        <v>-3613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+'Proposed Sch 132'!G11</f>
        <v>-2.63E-4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Tax Reform Impacts'!C12</f>
        <v>2787584</v>
      </c>
      <c r="E12" s="206">
        <f>+E11</f>
        <v>-2.63E-4</v>
      </c>
      <c r="F12" s="203">
        <f t="shared" si="2"/>
        <v>-733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-2.4499999999999999E-4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Tax Reform Impacts'!C13</f>
        <v>2839459</v>
      </c>
      <c r="E14" s="206">
        <f>+E13</f>
        <v>-2.4499999999999999E-4</v>
      </c>
      <c r="F14" s="203">
        <f t="shared" si="2"/>
        <v>-696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+'Proposed Sch 132'!G13</f>
        <v>-2.02E-4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f>+'GRC Tax Reform Impacts'!C14</f>
        <v>1892055</v>
      </c>
      <c r="E16" s="206">
        <f>+E15</f>
        <v>-2.02E-4</v>
      </c>
      <c r="F16" s="203">
        <f t="shared" si="2"/>
        <v>-382</v>
      </c>
    </row>
    <row r="17" spans="1:6">
      <c r="A17" s="3">
        <f t="shared" si="0"/>
        <v>11</v>
      </c>
      <c r="B17" s="3">
        <v>29</v>
      </c>
      <c r="C17" s="4"/>
      <c r="D17" s="9">
        <f>+'GRC Tax Reform Impacts'!C15</f>
        <v>14327</v>
      </c>
      <c r="E17" s="202">
        <f>+E8</f>
        <v>-2.4499999999999999E-4</v>
      </c>
      <c r="F17" s="203">
        <f t="shared" si="2"/>
        <v>-4</v>
      </c>
    </row>
    <row r="18" spans="1:6">
      <c r="A18" s="3">
        <f t="shared" si="0"/>
        <v>12</v>
      </c>
      <c r="B18" s="3"/>
      <c r="C18" s="12" t="s">
        <v>18</v>
      </c>
      <c r="D18" s="13">
        <f>SUM(D11:D17)</f>
        <v>7533425</v>
      </c>
      <c r="E18" s="204"/>
      <c r="F18" s="205">
        <f t="shared" ref="F18" si="3">SUM(F11:F17)</f>
        <v>-1815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>+'Proposed Sch 132'!G14</f>
        <v>-2.3800000000000001E-4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Tax Reform Impacts'!C18</f>
        <v>1284402</v>
      </c>
      <c r="E21" s="206">
        <f>+E20</f>
        <v>-2.3800000000000001E-4</v>
      </c>
      <c r="F21" s="203">
        <f>ROUND(D21*E21,0)</f>
        <v>-306</v>
      </c>
    </row>
    <row r="22" spans="1:6">
      <c r="A22" s="3">
        <f t="shared" si="0"/>
        <v>16</v>
      </c>
      <c r="B22" s="3">
        <v>35</v>
      </c>
      <c r="C22" s="4"/>
      <c r="D22" s="9">
        <f>+'GRC Tax Reform Impacts'!C19</f>
        <v>4453</v>
      </c>
      <c r="E22" s="206">
        <f t="shared" ref="E22:E23" si="4">+E21</f>
        <v>-2.3800000000000001E-4</v>
      </c>
      <c r="F22" s="203">
        <f>ROUND(D22*E22,0)</f>
        <v>-1</v>
      </c>
    </row>
    <row r="23" spans="1:6">
      <c r="A23" s="3">
        <f t="shared" si="0"/>
        <v>17</v>
      </c>
      <c r="B23" s="3">
        <v>43</v>
      </c>
      <c r="C23" s="4"/>
      <c r="D23" s="9">
        <f>+'GRC Tax Reform Impacts'!C20</f>
        <v>119660</v>
      </c>
      <c r="E23" s="206">
        <f t="shared" si="4"/>
        <v>-2.3800000000000001E-4</v>
      </c>
      <c r="F23" s="203">
        <f>ROUND(D23*E23,0)</f>
        <v>-28</v>
      </c>
    </row>
    <row r="24" spans="1:6">
      <c r="A24" s="3">
        <f t="shared" si="0"/>
        <v>18</v>
      </c>
      <c r="B24" s="3"/>
      <c r="C24" s="4" t="s">
        <v>19</v>
      </c>
      <c r="D24" s="13">
        <f>SUM(D20:D23)</f>
        <v>1408515</v>
      </c>
      <c r="E24" s="204"/>
      <c r="F24" s="205">
        <f t="shared" ref="F24" si="5">SUM(F20:F23)</f>
        <v>-335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>+'GRC Tax Reform Impacts'!C23</f>
        <v>621679</v>
      </c>
      <c r="E26" s="204">
        <f>+'Proposed Sch 132'!G15</f>
        <v>-1.3100000000000001E-4</v>
      </c>
      <c r="F26" s="205">
        <f>ROUND(D26*E26,0)</f>
        <v>-81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>+'GRC Tax Reform Impacts'!C25</f>
        <v>64275</v>
      </c>
      <c r="E28" s="202">
        <f>+'Proposed Sch 132'!G16</f>
        <v>-1.1E-4</v>
      </c>
      <c r="F28" s="203">
        <f>ROUND(D28*E28,0)</f>
        <v>-7</v>
      </c>
    </row>
    <row r="29" spans="1:6">
      <c r="A29" s="3">
        <f t="shared" si="0"/>
        <v>23</v>
      </c>
      <c r="B29" s="3">
        <v>49</v>
      </c>
      <c r="C29" s="4"/>
      <c r="D29" s="9">
        <f>+'GRC Tax Reform Impacts'!C26</f>
        <v>567984</v>
      </c>
      <c r="E29" s="202">
        <f>+E28</f>
        <v>-1.1E-4</v>
      </c>
      <c r="F29" s="203">
        <f>ROUND(D29*E29,0)</f>
        <v>-62</v>
      </c>
    </row>
    <row r="30" spans="1:6">
      <c r="A30" s="3">
        <f t="shared" si="0"/>
        <v>24</v>
      </c>
      <c r="B30" s="3"/>
      <c r="C30" s="4" t="s">
        <v>20</v>
      </c>
      <c r="D30" s="13">
        <f>SUM(D28:D29)</f>
        <v>632259</v>
      </c>
      <c r="E30" s="204"/>
      <c r="F30" s="205">
        <f t="shared" ref="F30" si="6">SUM(F28:F29)</f>
        <v>-69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>+'GRC Tax Reform Impacts'!C29</f>
        <v>77972</v>
      </c>
      <c r="E32" s="204">
        <f>+'Proposed Sch 132'!G18</f>
        <v>-1.395E-3</v>
      </c>
      <c r="F32" s="205">
        <f>ROUND(D32*E32,0)</f>
        <v>-109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>+'GRC Tax Reform Impacts'!C31</f>
        <v>2098104</v>
      </c>
      <c r="E34" s="204">
        <f>+'Proposed Sch 132'!G17</f>
        <v>-2.8E-5</v>
      </c>
      <c r="F34" s="205">
        <f>ROUND(D34*E34,0)</f>
        <v>-59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>SUM(D9,D18,D24,D26,D30,D32,D34)</f>
        <v>22814380</v>
      </c>
      <c r="E36" s="207"/>
      <c r="F36" s="208">
        <f t="shared" ref="F36" si="7">SUM(F9,F18,F24,F26,F30,F32,F34)</f>
        <v>-6081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>+'GRC Tax Reform Impacts'!C35</f>
        <v>6930</v>
      </c>
      <c r="E38" s="204">
        <v>0</v>
      </c>
      <c r="F38" s="205">
        <f>ROUND(D38*E38,0)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>SUM(D36,D38)</f>
        <v>22821310</v>
      </c>
      <c r="E40" s="1"/>
      <c r="F40" s="208">
        <f t="shared" ref="F40" si="8">SUM(F36,F38)</f>
        <v>-6081</v>
      </c>
    </row>
    <row r="41" spans="1:6" ht="13.8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9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90" zoomScaleNormal="90" workbookViewId="0">
      <pane xSplit="2" ySplit="7" topLeftCell="C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D7" sqref="D7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1.44140625" style="1" bestFit="1" customWidth="1"/>
    <col min="4" max="4" width="11.44140625" style="1" customWidth="1"/>
    <col min="5" max="5" width="12.77734375" style="1" customWidth="1"/>
    <col min="6" max="6" width="8.21875" style="1" bestFit="1" customWidth="1"/>
    <col min="7" max="16384" width="6.33203125" style="1"/>
  </cols>
  <sheetData>
    <row r="1" spans="1:7">
      <c r="A1" s="597" t="s">
        <v>0</v>
      </c>
      <c r="B1" s="597"/>
    </row>
    <row r="2" spans="1:7">
      <c r="A2" s="598" t="s">
        <v>674</v>
      </c>
      <c r="B2" s="597"/>
    </row>
    <row r="3" spans="1:7">
      <c r="A3" s="597" t="s">
        <v>91</v>
      </c>
      <c r="B3" s="597"/>
    </row>
    <row r="4" spans="1:7">
      <c r="A4" s="597" t="s">
        <v>303</v>
      </c>
      <c r="B4" s="597"/>
    </row>
    <row r="5" spans="1:7" ht="13.8" thickBot="1">
      <c r="A5" s="505"/>
      <c r="B5" s="511"/>
    </row>
    <row r="6" spans="1:7" ht="13.8" thickBot="1">
      <c r="A6" s="505"/>
      <c r="B6" s="511"/>
      <c r="C6" s="593" t="s">
        <v>669</v>
      </c>
      <c r="D6" s="594"/>
      <c r="E6" s="595"/>
      <c r="F6" s="596"/>
    </row>
    <row r="7" spans="1:7" ht="52.8">
      <c r="A7" s="6" t="s">
        <v>3</v>
      </c>
      <c r="B7" s="6" t="s">
        <v>4</v>
      </c>
      <c r="C7" s="8" t="s">
        <v>673</v>
      </c>
      <c r="D7" s="8" t="s">
        <v>670</v>
      </c>
      <c r="E7" s="8" t="s">
        <v>306</v>
      </c>
      <c r="F7" s="468" t="s">
        <v>307</v>
      </c>
    </row>
    <row r="8" spans="1:7" s="305" customFormat="1">
      <c r="A8" s="302"/>
      <c r="B8" s="302"/>
      <c r="C8" s="304" t="s">
        <v>114</v>
      </c>
      <c r="D8" s="304" t="s">
        <v>115</v>
      </c>
      <c r="E8" s="304" t="s">
        <v>671</v>
      </c>
      <c r="F8" s="303" t="s">
        <v>672</v>
      </c>
    </row>
    <row r="9" spans="1:7">
      <c r="A9" s="511">
        <v>1</v>
      </c>
      <c r="B9" s="511">
        <v>7</v>
      </c>
      <c r="C9" s="535">
        <f>+'[1]GRC Impacts'!X9</f>
        <v>1150879</v>
      </c>
      <c r="D9" s="535">
        <f>+'GRC Tax Reform Impacts'!X9</f>
        <v>1104918</v>
      </c>
      <c r="E9" s="535">
        <f>+D9-C9</f>
        <v>-45961</v>
      </c>
      <c r="F9" s="11">
        <f>+E9/C9</f>
        <v>-3.9935562296297002E-2</v>
      </c>
      <c r="G9" s="335"/>
    </row>
    <row r="10" spans="1:7">
      <c r="A10" s="511">
        <f>+A9+1</f>
        <v>2</v>
      </c>
      <c r="B10" s="511" t="s">
        <v>16</v>
      </c>
      <c r="C10" s="536">
        <f>SUM(C9:C9)</f>
        <v>1150879</v>
      </c>
      <c r="D10" s="536">
        <f>SUM(D9:D9)</f>
        <v>1104918</v>
      </c>
      <c r="E10" s="536">
        <f t="shared" ref="E10" si="0">SUM(E9:E9)</f>
        <v>-45961</v>
      </c>
      <c r="F10" s="332">
        <f>+E10/C10</f>
        <v>-3.9935562296297002E-2</v>
      </c>
      <c r="G10" s="335"/>
    </row>
    <row r="11" spans="1:7">
      <c r="A11" s="511">
        <f t="shared" ref="A11:A37" si="1">+A10+1</f>
        <v>3</v>
      </c>
      <c r="B11" s="511"/>
      <c r="C11" s="535"/>
      <c r="D11" s="535"/>
      <c r="E11" s="535"/>
      <c r="F11" s="11"/>
      <c r="G11" s="335"/>
    </row>
    <row r="12" spans="1:7">
      <c r="A12" s="511">
        <f t="shared" si="1"/>
        <v>4</v>
      </c>
      <c r="B12" s="505" t="s">
        <v>93</v>
      </c>
      <c r="C12" s="535">
        <f>+'[1]GRC Impacts'!X12</f>
        <v>297268</v>
      </c>
      <c r="D12" s="535">
        <f>+'GRC Tax Reform Impacts'!X12</f>
        <v>288629</v>
      </c>
      <c r="E12" s="535">
        <f t="shared" ref="E12:E15" si="2">+D12-C12</f>
        <v>-8639</v>
      </c>
      <c r="F12" s="11">
        <f t="shared" ref="F12:F16" si="3">+E12/C12</f>
        <v>-2.9061318406286583E-2</v>
      </c>
      <c r="G12" s="335"/>
    </row>
    <row r="13" spans="1:7">
      <c r="A13" s="511">
        <f t="shared" si="1"/>
        <v>5</v>
      </c>
      <c r="B13" s="505" t="s">
        <v>263</v>
      </c>
      <c r="C13" s="535">
        <f>+'[1]GRC Impacts'!X13</f>
        <v>280441</v>
      </c>
      <c r="D13" s="535">
        <f>+'GRC Tax Reform Impacts'!X13</f>
        <v>273356</v>
      </c>
      <c r="E13" s="535">
        <f t="shared" si="2"/>
        <v>-7085</v>
      </c>
      <c r="F13" s="11">
        <f t="shared" si="3"/>
        <v>-2.5263780973538107E-2</v>
      </c>
      <c r="G13" s="335"/>
    </row>
    <row r="14" spans="1:7">
      <c r="A14" s="511">
        <f t="shared" si="1"/>
        <v>6</v>
      </c>
      <c r="B14" s="505" t="s">
        <v>94</v>
      </c>
      <c r="C14" s="535">
        <f>+'[1]GRC Impacts'!X14</f>
        <v>169304.22999999998</v>
      </c>
      <c r="D14" s="535">
        <f>+'GRC Tax Reform Impacts'!X14</f>
        <v>164985.22999999998</v>
      </c>
      <c r="E14" s="535">
        <f t="shared" si="2"/>
        <v>-4319</v>
      </c>
      <c r="F14" s="11">
        <f t="shared" si="3"/>
        <v>-2.5510289967356402E-2</v>
      </c>
      <c r="G14" s="335"/>
    </row>
    <row r="15" spans="1:7">
      <c r="A15" s="511">
        <f t="shared" si="1"/>
        <v>7</v>
      </c>
      <c r="B15" s="511">
        <v>29</v>
      </c>
      <c r="C15" s="535">
        <f>+'[1]GRC Impacts'!X15</f>
        <v>1174</v>
      </c>
      <c r="D15" s="535">
        <f>+'GRC Tax Reform Impacts'!X15</f>
        <v>1142</v>
      </c>
      <c r="E15" s="535">
        <f t="shared" si="2"/>
        <v>-32</v>
      </c>
      <c r="F15" s="11">
        <f t="shared" si="3"/>
        <v>-2.7257240204429302E-2</v>
      </c>
      <c r="G15" s="335"/>
    </row>
    <row r="16" spans="1:7">
      <c r="A16" s="511">
        <f t="shared" si="1"/>
        <v>8</v>
      </c>
      <c r="B16" s="505" t="s">
        <v>299</v>
      </c>
      <c r="C16" s="536">
        <f>SUM(C12:C15)</f>
        <v>748187.23</v>
      </c>
      <c r="D16" s="536">
        <f>SUM(D12:D15)</f>
        <v>728112.23</v>
      </c>
      <c r="E16" s="536">
        <f t="shared" ref="E16" si="4">SUM(E12:E15)</f>
        <v>-20075</v>
      </c>
      <c r="F16" s="332">
        <f t="shared" si="3"/>
        <v>-2.6831519163993216E-2</v>
      </c>
      <c r="G16" s="335"/>
    </row>
    <row r="17" spans="1:7">
      <c r="A17" s="511">
        <f t="shared" si="1"/>
        <v>9</v>
      </c>
      <c r="B17" s="511"/>
      <c r="C17" s="535"/>
      <c r="D17" s="535"/>
      <c r="E17" s="535"/>
      <c r="F17" s="11"/>
      <c r="G17" s="335"/>
    </row>
    <row r="18" spans="1:7">
      <c r="A18" s="511">
        <f t="shared" si="1"/>
        <v>10</v>
      </c>
      <c r="B18" s="511" t="s">
        <v>95</v>
      </c>
      <c r="C18" s="535">
        <f>+'[1]GRC Impacts'!X18</f>
        <v>113347.895</v>
      </c>
      <c r="D18" s="535">
        <f>+'GRC Tax Reform Impacts'!X18</f>
        <v>110462.895</v>
      </c>
      <c r="E18" s="535">
        <f t="shared" ref="E18:E20" si="5">+D18-C18</f>
        <v>-2885</v>
      </c>
      <c r="F18" s="11">
        <f t="shared" ref="F18:F21" si="6">+E18/C18</f>
        <v>-2.5452612066593737E-2</v>
      </c>
      <c r="G18" s="335"/>
    </row>
    <row r="19" spans="1:7">
      <c r="A19" s="511">
        <f t="shared" si="1"/>
        <v>11</v>
      </c>
      <c r="B19" s="511">
        <v>35</v>
      </c>
      <c r="C19" s="535">
        <f>+'[1]GRC Impacts'!X19</f>
        <v>263</v>
      </c>
      <c r="D19" s="535">
        <f>+'GRC Tax Reform Impacts'!X19</f>
        <v>247</v>
      </c>
      <c r="E19" s="535">
        <f t="shared" si="5"/>
        <v>-16</v>
      </c>
      <c r="F19" s="11">
        <f t="shared" si="6"/>
        <v>-6.0836501901140684E-2</v>
      </c>
      <c r="G19" s="335"/>
    </row>
    <row r="20" spans="1:7">
      <c r="A20" s="511">
        <f t="shared" si="1"/>
        <v>12</v>
      </c>
      <c r="B20" s="511">
        <v>43</v>
      </c>
      <c r="C20" s="535">
        <f>+'[1]GRC Impacts'!X20</f>
        <v>11945</v>
      </c>
      <c r="D20" s="535">
        <f>+'GRC Tax Reform Impacts'!X20</f>
        <v>11499</v>
      </c>
      <c r="E20" s="535">
        <f t="shared" si="5"/>
        <v>-446</v>
      </c>
      <c r="F20" s="11">
        <f t="shared" si="6"/>
        <v>-3.7337798241942236E-2</v>
      </c>
      <c r="G20" s="335"/>
    </row>
    <row r="21" spans="1:7">
      <c r="A21" s="511">
        <f t="shared" si="1"/>
        <v>13</v>
      </c>
      <c r="B21" s="505" t="s">
        <v>300</v>
      </c>
      <c r="C21" s="536">
        <f>SUM(C18:C20)</f>
        <v>125555.895</v>
      </c>
      <c r="D21" s="536">
        <f>SUM(D18:D20)</f>
        <v>122208.895</v>
      </c>
      <c r="E21" s="536">
        <f t="shared" ref="E21" si="7">SUM(E18:E20)</f>
        <v>-3347</v>
      </c>
      <c r="F21" s="332">
        <f t="shared" si="6"/>
        <v>-2.6657450054416002E-2</v>
      </c>
      <c r="G21" s="335"/>
    </row>
    <row r="22" spans="1:7">
      <c r="A22" s="511">
        <f t="shared" si="1"/>
        <v>14</v>
      </c>
      <c r="B22" s="511"/>
      <c r="C22" s="535"/>
      <c r="D22" s="535"/>
      <c r="E22" s="535"/>
      <c r="F22" s="11"/>
      <c r="G22" s="335"/>
    </row>
    <row r="23" spans="1:7">
      <c r="A23" s="511">
        <f t="shared" si="1"/>
        <v>15</v>
      </c>
      <c r="B23" s="511">
        <v>40</v>
      </c>
      <c r="C23" s="536">
        <f>+'[1]GRC Impacts'!X23</f>
        <v>51337.987000000001</v>
      </c>
      <c r="D23" s="536">
        <f>+'GRC Tax Reform Impacts'!X23</f>
        <v>49689.987000000001</v>
      </c>
      <c r="E23" s="536">
        <f>+D23-C23</f>
        <v>-1648</v>
      </c>
      <c r="F23" s="332">
        <f>+E23/C23</f>
        <v>-3.210098596191549E-2</v>
      </c>
      <c r="G23" s="335"/>
    </row>
    <row r="24" spans="1:7">
      <c r="A24" s="511">
        <f t="shared" si="1"/>
        <v>16</v>
      </c>
      <c r="B24" s="511"/>
      <c r="C24" s="535"/>
      <c r="D24" s="535"/>
      <c r="E24" s="535"/>
      <c r="F24" s="11"/>
      <c r="G24" s="335"/>
    </row>
    <row r="25" spans="1:7">
      <c r="A25" s="511">
        <f t="shared" si="1"/>
        <v>17</v>
      </c>
      <c r="B25" s="511">
        <v>46</v>
      </c>
      <c r="C25" s="535">
        <f>+'[1]GRC Impacts'!X25</f>
        <v>4678</v>
      </c>
      <c r="D25" s="535">
        <f>+'GRC Tax Reform Impacts'!X25</f>
        <v>4588</v>
      </c>
      <c r="E25" s="535">
        <f t="shared" ref="E25:E26" si="8">+D25-C25</f>
        <v>-90</v>
      </c>
      <c r="F25" s="11">
        <f t="shared" ref="F25:F27" si="9">+E25/C25</f>
        <v>-1.9238991021804191E-2</v>
      </c>
      <c r="G25" s="335"/>
    </row>
    <row r="26" spans="1:7">
      <c r="A26" s="511">
        <f t="shared" si="1"/>
        <v>18</v>
      </c>
      <c r="B26" s="511">
        <v>49</v>
      </c>
      <c r="C26" s="535">
        <f>+'[1]GRC Impacts'!X26</f>
        <v>40827</v>
      </c>
      <c r="D26" s="535">
        <f>+'GRC Tax Reform Impacts'!X26</f>
        <v>39810</v>
      </c>
      <c r="E26" s="535">
        <f t="shared" si="8"/>
        <v>-1017</v>
      </c>
      <c r="F26" s="11">
        <f t="shared" si="9"/>
        <v>-2.4909986038650894E-2</v>
      </c>
      <c r="G26" s="335"/>
    </row>
    <row r="27" spans="1:7">
      <c r="A27" s="511">
        <f t="shared" si="1"/>
        <v>19</v>
      </c>
      <c r="B27" s="511" t="s">
        <v>20</v>
      </c>
      <c r="C27" s="536">
        <f>SUM(C25:C26)</f>
        <v>45505</v>
      </c>
      <c r="D27" s="536">
        <f>SUM(D25:D26)</f>
        <v>44398</v>
      </c>
      <c r="E27" s="536">
        <f t="shared" ref="E27" si="10">SUM(E25:E26)</f>
        <v>-1107</v>
      </c>
      <c r="F27" s="332">
        <f t="shared" si="9"/>
        <v>-2.4326997033293045E-2</v>
      </c>
      <c r="G27" s="335"/>
    </row>
    <row r="28" spans="1:7">
      <c r="A28" s="511">
        <f t="shared" si="1"/>
        <v>20</v>
      </c>
      <c r="B28" s="511"/>
      <c r="C28" s="535"/>
      <c r="D28" s="535"/>
      <c r="E28" s="535"/>
      <c r="F28" s="11"/>
      <c r="G28" s="335"/>
    </row>
    <row r="29" spans="1:7">
      <c r="A29" s="511">
        <f t="shared" si="1"/>
        <v>21</v>
      </c>
      <c r="B29" s="511" t="s">
        <v>21</v>
      </c>
      <c r="C29" s="536">
        <f>+'[1]GRC Impacts'!X29</f>
        <v>19361</v>
      </c>
      <c r="D29" s="536">
        <f>+'GRC Tax Reform Impacts'!X29</f>
        <v>18621</v>
      </c>
      <c r="E29" s="536">
        <f>+D29-C29</f>
        <v>-740</v>
      </c>
      <c r="F29" s="332">
        <f>+E29/C29</f>
        <v>-3.8221166262073239E-2</v>
      </c>
      <c r="G29" s="335"/>
    </row>
    <row r="30" spans="1:7">
      <c r="A30" s="511">
        <f t="shared" si="1"/>
        <v>22</v>
      </c>
      <c r="B30" s="511"/>
      <c r="C30" s="535"/>
      <c r="D30" s="535"/>
      <c r="E30" s="535"/>
      <c r="F30" s="11"/>
      <c r="G30" s="335"/>
    </row>
    <row r="31" spans="1:7">
      <c r="A31" s="511">
        <f t="shared" si="1"/>
        <v>23</v>
      </c>
      <c r="B31" s="511" t="s">
        <v>22</v>
      </c>
      <c r="C31" s="536">
        <f>+'[1]GRC Impacts'!X31</f>
        <v>10874</v>
      </c>
      <c r="D31" s="536">
        <f>+'GRC Tax Reform Impacts'!X31</f>
        <v>10865</v>
      </c>
      <c r="E31" s="536">
        <f>+D31-C31</f>
        <v>-9</v>
      </c>
      <c r="F31" s="332">
        <f>+E31/C31</f>
        <v>-8.2766231377597943E-4</v>
      </c>
      <c r="G31" s="335"/>
    </row>
    <row r="32" spans="1:7">
      <c r="A32" s="511">
        <f t="shared" si="1"/>
        <v>24</v>
      </c>
      <c r="B32" s="511"/>
      <c r="C32" s="535"/>
      <c r="D32" s="535"/>
      <c r="E32" s="535"/>
      <c r="F32" s="11"/>
      <c r="G32" s="335"/>
    </row>
    <row r="33" spans="1:7" ht="13.8" thickBot="1">
      <c r="A33" s="511">
        <f t="shared" si="1"/>
        <v>25</v>
      </c>
      <c r="B33" s="511" t="s">
        <v>23</v>
      </c>
      <c r="C33" s="208">
        <f>SUM(C10,C16,C21,C23,C27,C29,C31)</f>
        <v>2151700.1119999997</v>
      </c>
      <c r="D33" s="208">
        <f>SUM(D10,D16,D21,D23,D27,D29,D31)</f>
        <v>2078813.112</v>
      </c>
      <c r="E33" s="208">
        <f t="shared" ref="E33" si="11">SUM(E10,E16,E21,E23,E27,E29,E31)</f>
        <v>-72887</v>
      </c>
      <c r="F33" s="333">
        <f>+E33/C33</f>
        <v>-3.3874144260861577E-2</v>
      </c>
      <c r="G33" s="335"/>
    </row>
    <row r="34" spans="1:7" ht="13.8" thickTop="1">
      <c r="A34" s="511">
        <f t="shared" si="1"/>
        <v>26</v>
      </c>
      <c r="B34" s="511"/>
      <c r="C34" s="329"/>
      <c r="D34" s="329"/>
      <c r="E34" s="329"/>
      <c r="F34" s="334"/>
      <c r="G34" s="335"/>
    </row>
    <row r="35" spans="1:7">
      <c r="A35" s="511">
        <f t="shared" si="1"/>
        <v>27</v>
      </c>
      <c r="B35" s="511">
        <v>5</v>
      </c>
      <c r="C35" s="536">
        <f>+'[1]GRC Impacts'!X35</f>
        <v>693</v>
      </c>
      <c r="D35" s="536">
        <f>+'GRC Tax Reform Impacts'!X35</f>
        <v>667</v>
      </c>
      <c r="E35" s="536">
        <f>+D35-C35</f>
        <v>-26</v>
      </c>
      <c r="F35" s="332">
        <f>+E35/C35</f>
        <v>-3.751803751803752E-2</v>
      </c>
      <c r="G35" s="335"/>
    </row>
    <row r="36" spans="1:7">
      <c r="A36" s="511">
        <f t="shared" si="1"/>
        <v>28</v>
      </c>
      <c r="B36" s="511"/>
      <c r="C36" s="329"/>
      <c r="D36" s="329"/>
      <c r="E36" s="329"/>
      <c r="F36" s="334"/>
      <c r="G36" s="335"/>
    </row>
    <row r="37" spans="1:7" ht="13.8" thickBot="1">
      <c r="A37" s="511">
        <f t="shared" si="1"/>
        <v>29</v>
      </c>
      <c r="B37" s="511" t="s">
        <v>24</v>
      </c>
      <c r="C37" s="208">
        <f>+C35+C33</f>
        <v>2152393.1119999997</v>
      </c>
      <c r="D37" s="208">
        <f>+D35+D33</f>
        <v>2079480.112</v>
      </c>
      <c r="E37" s="208">
        <f t="shared" ref="E37" si="12">+E35+E33</f>
        <v>-72913</v>
      </c>
      <c r="F37" s="333">
        <f>+E37/C37</f>
        <v>-3.3875317474998501E-2</v>
      </c>
      <c r="G37" s="335"/>
    </row>
    <row r="38" spans="1:7" ht="13.8" thickTop="1">
      <c r="G38" s="335"/>
    </row>
    <row r="39" spans="1:7">
      <c r="G39" s="335"/>
    </row>
    <row r="40" spans="1:7">
      <c r="G40" s="335"/>
    </row>
    <row r="41" spans="1:7">
      <c r="G41" s="335"/>
    </row>
  </sheetData>
  <mergeCells count="5">
    <mergeCell ref="C6:F6"/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80" orientation="landscape" r:id="rId1"/>
  <headerFooter>
    <oddFooter>&amp;L&amp;"Times New Roman,Regular"&amp;F
&amp;A&amp;R&amp;"Times New Roman,Regular"Page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workbookViewId="0">
      <selection activeCell="F6" sqref="F6:F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1.5546875" bestFit="1" customWidth="1"/>
    <col min="6" max="6" width="12.10937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252</v>
      </c>
      <c r="B2" s="626"/>
      <c r="C2" s="626"/>
      <c r="D2" s="626"/>
      <c r="E2" s="626"/>
      <c r="F2" s="626"/>
    </row>
    <row r="3" spans="1:6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102</v>
      </c>
      <c r="F6" s="7" t="s">
        <v>253</v>
      </c>
    </row>
    <row r="7" spans="1:6">
      <c r="A7" s="3">
        <v>1</v>
      </c>
      <c r="B7" s="3">
        <v>7</v>
      </c>
      <c r="C7" s="4"/>
      <c r="D7" s="9">
        <f>+'GRC Tax Reform Impacts'!C9</f>
        <v>10442426</v>
      </c>
      <c r="E7" s="202">
        <f>+'Proposed Sch 137'!G9</f>
        <v>-3.4999999999999997E-5</v>
      </c>
      <c r="F7" s="203">
        <f>ROUND(D7*E7,0)</f>
        <v>-365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>
        <f>+'Proposed Sch 137'!G12</f>
        <v>-2.9E-5</v>
      </c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>SUM(D7:D8)</f>
        <v>10442426</v>
      </c>
      <c r="E9" s="204"/>
      <c r="F9" s="205">
        <f t="shared" ref="F9" si="1">SUM(F7:F8)</f>
        <v>-365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+'Proposed Sch 137'!G11</f>
        <v>-2.8E-5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Tax Reform Impacts'!C12</f>
        <v>2787584</v>
      </c>
      <c r="E12" s="206">
        <f>+E11</f>
        <v>-2.8E-5</v>
      </c>
      <c r="F12" s="203">
        <f t="shared" si="2"/>
        <v>-78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>+E8</f>
        <v>-2.9E-5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Tax Reform Impacts'!C13</f>
        <v>2839459</v>
      </c>
      <c r="E14" s="206">
        <f>+E13</f>
        <v>-2.9E-5</v>
      </c>
      <c r="F14" s="203">
        <f t="shared" si="2"/>
        <v>-82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>+'Proposed Sch 137'!G13</f>
        <v>-3.0000000000000001E-5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f>+'GRC Tax Reform Impacts'!C14</f>
        <v>1892055</v>
      </c>
      <c r="E16" s="206">
        <f>+E15</f>
        <v>-3.0000000000000001E-5</v>
      </c>
      <c r="F16" s="203">
        <f t="shared" si="2"/>
        <v>-57</v>
      </c>
    </row>
    <row r="17" spans="1:6">
      <c r="A17" s="3">
        <f t="shared" si="0"/>
        <v>11</v>
      </c>
      <c r="B17" s="3">
        <v>29</v>
      </c>
      <c r="C17" s="4"/>
      <c r="D17" s="9">
        <f>+'GRC Tax Reform Impacts'!C15</f>
        <v>14327</v>
      </c>
      <c r="E17" s="202">
        <f>+'Proposed Sch 137'!G14</f>
        <v>-2.5999999999999998E-5</v>
      </c>
      <c r="F17" s="203">
        <f t="shared" si="2"/>
        <v>0</v>
      </c>
    </row>
    <row r="18" spans="1:6">
      <c r="A18" s="3">
        <f t="shared" si="0"/>
        <v>12</v>
      </c>
      <c r="B18" s="3"/>
      <c r="C18" s="12" t="s">
        <v>18</v>
      </c>
      <c r="D18" s="13">
        <f>SUM(D11:D17)</f>
        <v>7533425</v>
      </c>
      <c r="E18" s="204"/>
      <c r="F18" s="205">
        <f t="shared" ref="F18" si="3">SUM(F11:F17)</f>
        <v>-217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>+'Proposed Sch 137'!G18</f>
        <v>-2.8E-5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Tax Reform Impacts'!C18</f>
        <v>1284402</v>
      </c>
      <c r="E21" s="206">
        <f>+E20</f>
        <v>-2.8E-5</v>
      </c>
      <c r="F21" s="203">
        <f>ROUND(D21*E21,0)</f>
        <v>-36</v>
      </c>
    </row>
    <row r="22" spans="1:6">
      <c r="A22" s="3">
        <f t="shared" si="0"/>
        <v>16</v>
      </c>
      <c r="B22" s="3">
        <v>35</v>
      </c>
      <c r="C22" s="4"/>
      <c r="D22" s="9">
        <f>+'GRC Tax Reform Impacts'!C19</f>
        <v>4453</v>
      </c>
      <c r="E22" s="206">
        <f>+'Proposed Sch 137'!G19</f>
        <v>-1.9000000000000001E-5</v>
      </c>
      <c r="F22" s="203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Tax Reform Impacts'!C20</f>
        <v>119660</v>
      </c>
      <c r="E23" s="206">
        <f>+'Proposed Sch 137'!G20</f>
        <v>-2.5000000000000001E-5</v>
      </c>
      <c r="F23" s="203">
        <f>ROUND(D23*E23,0)</f>
        <v>-3</v>
      </c>
    </row>
    <row r="24" spans="1:6">
      <c r="A24" s="3">
        <f t="shared" si="0"/>
        <v>18</v>
      </c>
      <c r="B24" s="3"/>
      <c r="C24" s="4" t="s">
        <v>19</v>
      </c>
      <c r="D24" s="13">
        <f>SUM(D20:D23)</f>
        <v>1408515</v>
      </c>
      <c r="E24" s="204"/>
      <c r="F24" s="205">
        <f t="shared" ref="F24" si="4">SUM(F20:F23)</f>
        <v>-39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f>+'GRC Tax Reform Impacts'!C23</f>
        <v>621679</v>
      </c>
      <c r="E26" s="204">
        <f>+'Proposed Sch 137'!G24</f>
        <v>-3.0000000000000001E-5</v>
      </c>
      <c r="F26" s="205">
        <f>ROUND(D26*E26,0)</f>
        <v>-19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f>+'GRC Tax Reform Impacts'!C25</f>
        <v>64275</v>
      </c>
      <c r="E28" s="202">
        <f>+'Proposed Sch 137'!G26</f>
        <v>-1.4E-5</v>
      </c>
      <c r="F28" s="203">
        <f>ROUND(D28*E28,0)</f>
        <v>-1</v>
      </c>
    </row>
    <row r="29" spans="1:6">
      <c r="A29" s="3">
        <f t="shared" si="0"/>
        <v>23</v>
      </c>
      <c r="B29" s="3">
        <v>49</v>
      </c>
      <c r="C29" s="4"/>
      <c r="D29" s="9">
        <f>+'GRC Tax Reform Impacts'!C26</f>
        <v>567984</v>
      </c>
      <c r="E29" s="202">
        <f>+'Proposed Sch 137'!G27</f>
        <v>-2.8E-5</v>
      </c>
      <c r="F29" s="203">
        <f>ROUND(D29*E29,0)</f>
        <v>-16</v>
      </c>
    </row>
    <row r="30" spans="1:6">
      <c r="A30" s="3">
        <f t="shared" si="0"/>
        <v>24</v>
      </c>
      <c r="B30" s="3"/>
      <c r="C30" s="4" t="s">
        <v>20</v>
      </c>
      <c r="D30" s="13">
        <f>SUM(D28:D29)</f>
        <v>632259</v>
      </c>
      <c r="E30" s="204"/>
      <c r="F30" s="205">
        <f t="shared" ref="F30" si="5">SUM(F28:F29)</f>
        <v>-17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f>+'GRC Tax Reform Impacts'!C29</f>
        <v>77972</v>
      </c>
      <c r="E32" s="204">
        <f>+'Proposed Sch 137'!G31</f>
        <v>-3.4999999999999997E-5</v>
      </c>
      <c r="F32" s="205">
        <f>ROUND(D32*E32,0)</f>
        <v>-3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f>+'GRC Tax Reform Impacts'!C31</f>
        <v>2098104</v>
      </c>
      <c r="E34" s="204">
        <f>+'Proposed Sch 137'!G38</f>
        <v>0</v>
      </c>
      <c r="F34" s="205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>SUM(D9,D18,D24,D26,D30,D32,D34)</f>
        <v>22814380</v>
      </c>
      <c r="E36" s="207"/>
      <c r="F36" s="208">
        <f t="shared" ref="F36" si="6">SUM(F9,F18,F24,F26,F30,F32,F34)</f>
        <v>-660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f>+'GRC Tax Reform Impacts'!C35</f>
        <v>6930</v>
      </c>
      <c r="E38" s="204">
        <f>+'Proposed Sch 137'!G33</f>
        <v>-3.4E-5</v>
      </c>
      <c r="F38" s="205">
        <f>ROUND(D38*E38,0)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>SUM(D36,D38)</f>
        <v>22821310</v>
      </c>
      <c r="E40" s="1"/>
      <c r="F40" s="208">
        <f t="shared" ref="F40" si="7">SUM(F36,F38)</f>
        <v>-660</v>
      </c>
    </row>
    <row r="41" spans="1:6" ht="13.8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K41"/>
  <sheetViews>
    <sheetView workbookViewId="0">
      <selection activeCell="H7" sqref="H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0.88671875" bestFit="1" customWidth="1"/>
    <col min="6" max="6" width="12.44140625" bestFit="1" customWidth="1"/>
    <col min="8" max="8" width="10.88671875" bestFit="1" customWidth="1"/>
  </cols>
  <sheetData>
    <row r="1" spans="1:11">
      <c r="A1" s="626" t="s">
        <v>0</v>
      </c>
      <c r="B1" s="626"/>
      <c r="C1" s="626"/>
      <c r="D1" s="626"/>
      <c r="E1" s="626"/>
      <c r="F1" s="626"/>
    </row>
    <row r="2" spans="1:11">
      <c r="A2" s="627" t="s">
        <v>259</v>
      </c>
      <c r="B2" s="626"/>
      <c r="C2" s="626"/>
      <c r="D2" s="626"/>
      <c r="E2" s="626"/>
      <c r="F2" s="626"/>
    </row>
    <row r="3" spans="1:11">
      <c r="A3" s="626" t="str">
        <f>+'GRC Tax Reform Impacts'!A3</f>
        <v>Test Year ended September 2016</v>
      </c>
      <c r="B3" s="626"/>
      <c r="C3" s="626"/>
      <c r="D3" s="626"/>
      <c r="E3" s="626"/>
      <c r="F3" s="626"/>
    </row>
    <row r="4" spans="1:11">
      <c r="A4" s="626"/>
      <c r="B4" s="626"/>
      <c r="C4" s="626"/>
      <c r="D4" s="626"/>
      <c r="E4" s="626"/>
      <c r="F4" s="626"/>
    </row>
    <row r="5" spans="1:11">
      <c r="A5" s="2"/>
      <c r="B5" s="3"/>
      <c r="C5" s="3"/>
      <c r="D5" s="3"/>
      <c r="E5" s="4"/>
      <c r="F5" s="4" t="s">
        <v>143</v>
      </c>
    </row>
    <row r="6" spans="1:11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563</v>
      </c>
      <c r="F6" s="7" t="s">
        <v>260</v>
      </c>
      <c r="H6" s="468" t="s">
        <v>675</v>
      </c>
      <c r="I6" s="468" t="s">
        <v>260</v>
      </c>
      <c r="J6" s="1"/>
      <c r="K6" s="468" t="s">
        <v>680</v>
      </c>
    </row>
    <row r="7" spans="1:11">
      <c r="A7" s="3">
        <v>1</v>
      </c>
      <c r="B7" s="3">
        <v>7</v>
      </c>
      <c r="C7" s="4"/>
      <c r="D7" s="9">
        <f>+'GRC Tax Reform Impacts'!C9</f>
        <v>10442426</v>
      </c>
      <c r="E7" s="202">
        <f>+'Compliance Sch 140'!G8</f>
        <v>3.6039999999999996E-3</v>
      </c>
      <c r="F7" s="203">
        <f>ROUND(D7*E7,0)</f>
        <v>37635</v>
      </c>
      <c r="H7" s="202">
        <f>+'Proposed Sch 140'!G8</f>
        <v>3.408E-3</v>
      </c>
      <c r="I7" s="535">
        <f>ROUND(D7*H7,0)</f>
        <v>35588</v>
      </c>
      <c r="J7" s="1"/>
      <c r="K7" s="535">
        <f>+I7-F7</f>
        <v>-2047</v>
      </c>
    </row>
    <row r="8" spans="1:11">
      <c r="A8" s="3">
        <f t="shared" ref="A8:A40" si="0">+A7+1</f>
        <v>2</v>
      </c>
      <c r="B8" s="2" t="s">
        <v>15</v>
      </c>
      <c r="C8" s="4"/>
      <c r="D8" s="9">
        <v>0</v>
      </c>
      <c r="E8" s="202">
        <f>+'Compliance Sch 140'!G13</f>
        <v>2.3180000000000002E-3</v>
      </c>
      <c r="F8" s="203">
        <f>ROUND(D8*E8,0)</f>
        <v>0</v>
      </c>
      <c r="H8" s="202">
        <f>+'Proposed Sch 140'!G13</f>
        <v>2.421E-3</v>
      </c>
      <c r="I8" s="535">
        <f>ROUND(D8*H8,0)</f>
        <v>0</v>
      </c>
      <c r="J8" s="1"/>
      <c r="K8" s="535">
        <f>+I8-F8</f>
        <v>0</v>
      </c>
    </row>
    <row r="9" spans="1:11">
      <c r="A9" s="3">
        <f t="shared" si="0"/>
        <v>3</v>
      </c>
      <c r="B9" s="3"/>
      <c r="C9" s="4" t="s">
        <v>16</v>
      </c>
      <c r="D9" s="13">
        <f>SUM(D7:D8)</f>
        <v>10442426</v>
      </c>
      <c r="E9" s="204"/>
      <c r="F9" s="205">
        <f t="shared" ref="F9" si="1">SUM(F7:F8)</f>
        <v>37635</v>
      </c>
      <c r="H9" s="204"/>
      <c r="I9" s="536">
        <f t="shared" ref="I9" si="2">SUM(I7:I8)</f>
        <v>35588</v>
      </c>
      <c r="J9" s="1"/>
      <c r="K9" s="536">
        <f t="shared" ref="K9" si="3">SUM(K7:K8)</f>
        <v>-2047</v>
      </c>
    </row>
    <row r="10" spans="1:11">
      <c r="A10" s="3">
        <f t="shared" si="0"/>
        <v>4</v>
      </c>
      <c r="B10" s="3"/>
      <c r="C10" s="4"/>
      <c r="D10" s="9"/>
      <c r="E10" s="202"/>
      <c r="F10" s="203"/>
      <c r="H10" s="202"/>
      <c r="I10" s="535"/>
      <c r="J10" s="1"/>
      <c r="K10" s="535"/>
    </row>
    <row r="11" spans="1:11">
      <c r="A11" s="3">
        <f t="shared" si="0"/>
        <v>5</v>
      </c>
      <c r="B11" s="3">
        <v>8</v>
      </c>
      <c r="C11" s="4"/>
      <c r="D11" s="9">
        <v>0</v>
      </c>
      <c r="E11" s="202">
        <f>+'Compliance Sch 140'!G12</f>
        <v>2.5469999999999998E-3</v>
      </c>
      <c r="F11" s="203">
        <f t="shared" ref="F11:F17" si="4">ROUND(D11*E11,0)</f>
        <v>0</v>
      </c>
      <c r="H11" s="202">
        <f>+'Proposed Sch 140'!G12</f>
        <v>2.5799999999999998E-3</v>
      </c>
      <c r="I11" s="535">
        <f t="shared" ref="I11:I17" si="5">ROUND(D11*H11,0)</f>
        <v>0</v>
      </c>
      <c r="J11" s="1"/>
      <c r="K11" s="535">
        <f t="shared" ref="K11:K17" si="6">+I11-F11</f>
        <v>0</v>
      </c>
    </row>
    <row r="12" spans="1:11">
      <c r="A12" s="3">
        <f t="shared" si="0"/>
        <v>6</v>
      </c>
      <c r="B12" s="3">
        <v>24</v>
      </c>
      <c r="C12" s="1"/>
      <c r="D12" s="9">
        <f>+'GRC Tax Reform Impacts'!C12</f>
        <v>2787584</v>
      </c>
      <c r="E12" s="206">
        <f>+E11</f>
        <v>2.5469999999999998E-3</v>
      </c>
      <c r="F12" s="203">
        <f t="shared" si="4"/>
        <v>7100</v>
      </c>
      <c r="H12" s="206">
        <f>+H11</f>
        <v>2.5799999999999998E-3</v>
      </c>
      <c r="I12" s="535">
        <f t="shared" si="5"/>
        <v>7192</v>
      </c>
      <c r="J12" s="1"/>
      <c r="K12" s="535">
        <f t="shared" si="6"/>
        <v>92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202">
        <f>+E8</f>
        <v>2.3180000000000002E-3</v>
      </c>
      <c r="F13" s="203">
        <f t="shared" si="4"/>
        <v>0</v>
      </c>
      <c r="H13" s="202">
        <f>+H8</f>
        <v>2.421E-3</v>
      </c>
      <c r="I13" s="535">
        <f t="shared" si="5"/>
        <v>0</v>
      </c>
      <c r="J13" s="1"/>
      <c r="K13" s="535">
        <f t="shared" si="6"/>
        <v>0</v>
      </c>
    </row>
    <row r="14" spans="1:11">
      <c r="A14" s="3">
        <f t="shared" si="0"/>
        <v>8</v>
      </c>
      <c r="B14" s="2">
        <v>25</v>
      </c>
      <c r="C14" s="1"/>
      <c r="D14" s="9">
        <f>+'GRC Tax Reform Impacts'!C13</f>
        <v>2839459</v>
      </c>
      <c r="E14" s="206">
        <f>+E13</f>
        <v>2.3180000000000002E-3</v>
      </c>
      <c r="F14" s="203">
        <f t="shared" si="4"/>
        <v>6582</v>
      </c>
      <c r="H14" s="206">
        <f>+H13</f>
        <v>2.421E-3</v>
      </c>
      <c r="I14" s="535">
        <f t="shared" si="5"/>
        <v>6874</v>
      </c>
      <c r="J14" s="1"/>
      <c r="K14" s="535">
        <f t="shared" si="6"/>
        <v>292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202">
        <f>+'Compliance Sch 140'!G14</f>
        <v>2.2060000000000001E-3</v>
      </c>
      <c r="F15" s="203">
        <f t="shared" si="4"/>
        <v>0</v>
      </c>
      <c r="H15" s="202">
        <f>+'Proposed Sch 140'!G14</f>
        <v>2.2239999999999998E-3</v>
      </c>
      <c r="I15" s="535">
        <f t="shared" si="5"/>
        <v>0</v>
      </c>
      <c r="J15" s="1"/>
      <c r="K15" s="535">
        <f t="shared" si="6"/>
        <v>0</v>
      </c>
    </row>
    <row r="16" spans="1:11">
      <c r="A16" s="3">
        <f t="shared" si="0"/>
        <v>10</v>
      </c>
      <c r="B16" s="3" t="s">
        <v>17</v>
      </c>
      <c r="C16" s="1"/>
      <c r="D16" s="9">
        <f>+'GRC Tax Reform Impacts'!C14</f>
        <v>1892055</v>
      </c>
      <c r="E16" s="206">
        <f>+E15</f>
        <v>2.2060000000000001E-3</v>
      </c>
      <c r="F16" s="203">
        <f t="shared" si="4"/>
        <v>4174</v>
      </c>
      <c r="H16" s="206">
        <f>+H15</f>
        <v>2.2239999999999998E-3</v>
      </c>
      <c r="I16" s="535">
        <f t="shared" si="5"/>
        <v>4208</v>
      </c>
      <c r="J16" s="1"/>
      <c r="K16" s="535">
        <f t="shared" si="6"/>
        <v>34</v>
      </c>
    </row>
    <row r="17" spans="1:11">
      <c r="A17" s="3">
        <f t="shared" si="0"/>
        <v>11</v>
      </c>
      <c r="B17" s="3">
        <v>29</v>
      </c>
      <c r="C17" s="4"/>
      <c r="D17" s="9">
        <f>+'GRC Tax Reform Impacts'!C15</f>
        <v>14327</v>
      </c>
      <c r="E17" s="202">
        <f>+'Compliance Sch 140'!G15</f>
        <v>2.3180000000000002E-3</v>
      </c>
      <c r="F17" s="203">
        <f t="shared" si="4"/>
        <v>33</v>
      </c>
      <c r="H17" s="202">
        <f>+'Proposed Sch 140'!G15</f>
        <v>2.421E-3</v>
      </c>
      <c r="I17" s="535">
        <f t="shared" si="5"/>
        <v>35</v>
      </c>
      <c r="J17" s="1"/>
      <c r="K17" s="535">
        <f t="shared" si="6"/>
        <v>2</v>
      </c>
    </row>
    <row r="18" spans="1:11">
      <c r="A18" s="3">
        <f t="shared" si="0"/>
        <v>12</v>
      </c>
      <c r="B18" s="3"/>
      <c r="C18" s="12" t="s">
        <v>18</v>
      </c>
      <c r="D18" s="13">
        <f>SUM(D11:D17)</f>
        <v>7533425</v>
      </c>
      <c r="E18" s="204"/>
      <c r="F18" s="205">
        <f t="shared" ref="F18" si="7">SUM(F11:F17)</f>
        <v>17889</v>
      </c>
      <c r="H18" s="204"/>
      <c r="I18" s="536">
        <f t="shared" ref="I18" si="8">SUM(I11:I17)</f>
        <v>18309</v>
      </c>
      <c r="J18" s="1"/>
      <c r="K18" s="536">
        <f t="shared" ref="K18" si="9">SUM(K11:K17)</f>
        <v>420</v>
      </c>
    </row>
    <row r="19" spans="1:11">
      <c r="A19" s="3">
        <f t="shared" si="0"/>
        <v>13</v>
      </c>
      <c r="B19" s="3"/>
      <c r="C19" s="4"/>
      <c r="D19" s="9"/>
      <c r="E19" s="202"/>
      <c r="F19" s="203"/>
      <c r="H19" s="202"/>
      <c r="I19" s="535"/>
      <c r="J19" s="1"/>
      <c r="K19" s="535"/>
    </row>
    <row r="20" spans="1:11">
      <c r="A20" s="3">
        <f t="shared" si="0"/>
        <v>14</v>
      </c>
      <c r="B20" s="3">
        <v>10</v>
      </c>
      <c r="C20" s="1"/>
      <c r="D20" s="9">
        <v>0</v>
      </c>
      <c r="E20" s="202">
        <f>+'Compliance Sch 140'!G19</f>
        <v>2.1980000000000003E-3</v>
      </c>
      <c r="F20" s="203">
        <f>ROUND(D20*E20,0)</f>
        <v>0</v>
      </c>
      <c r="H20" s="202">
        <f>+'Proposed Sch 140'!G19</f>
        <v>2.2130000000000001E-3</v>
      </c>
      <c r="I20" s="535">
        <f t="shared" ref="I20:I23" si="10">ROUND(D20*H20,0)</f>
        <v>0</v>
      </c>
      <c r="J20" s="1"/>
      <c r="K20" s="535">
        <f t="shared" ref="K20:K23" si="11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>+'GRC Tax Reform Impacts'!C18</f>
        <v>1284402</v>
      </c>
      <c r="E21" s="206">
        <f>+E20</f>
        <v>2.1980000000000003E-3</v>
      </c>
      <c r="F21" s="203">
        <f>ROUND(D21*E21,0)</f>
        <v>2823</v>
      </c>
      <c r="H21" s="206">
        <f>+H20</f>
        <v>2.2130000000000001E-3</v>
      </c>
      <c r="I21" s="535">
        <f t="shared" si="10"/>
        <v>2842</v>
      </c>
      <c r="J21" s="1"/>
      <c r="K21" s="535">
        <f t="shared" si="11"/>
        <v>19</v>
      </c>
    </row>
    <row r="22" spans="1:11">
      <c r="A22" s="3">
        <f t="shared" si="0"/>
        <v>16</v>
      </c>
      <c r="B22" s="3">
        <v>35</v>
      </c>
      <c r="C22" s="4"/>
      <c r="D22" s="9">
        <f>+'GRC Tax Reform Impacts'!C19</f>
        <v>4453</v>
      </c>
      <c r="E22" s="206">
        <f>+'Compliance Sch 140'!G20</f>
        <v>2.1980000000000003E-3</v>
      </c>
      <c r="F22" s="203">
        <f>ROUND(D22*E22,0)</f>
        <v>10</v>
      </c>
      <c r="H22" s="206">
        <f>+'Proposed Sch 140'!G20</f>
        <v>2.2130000000000001E-3</v>
      </c>
      <c r="I22" s="535">
        <f t="shared" si="10"/>
        <v>10</v>
      </c>
      <c r="J22" s="1"/>
      <c r="K22" s="535">
        <f t="shared" si="11"/>
        <v>0</v>
      </c>
    </row>
    <row r="23" spans="1:11">
      <c r="A23" s="3">
        <f t="shared" si="0"/>
        <v>17</v>
      </c>
      <c r="B23" s="3">
        <v>43</v>
      </c>
      <c r="C23" s="4"/>
      <c r="D23" s="9">
        <f>+'GRC Tax Reform Impacts'!C20</f>
        <v>119660</v>
      </c>
      <c r="E23" s="206">
        <f>+'Compliance Sch 140'!G21</f>
        <v>3.7650000000000001E-3</v>
      </c>
      <c r="F23" s="203">
        <f>ROUND(D23*E23,0)</f>
        <v>451</v>
      </c>
      <c r="H23" s="206">
        <f>+'Proposed Sch 140'!G21</f>
        <v>3.2399999999999998E-3</v>
      </c>
      <c r="I23" s="535">
        <f t="shared" si="10"/>
        <v>388</v>
      </c>
      <c r="J23" s="1"/>
      <c r="K23" s="535">
        <f t="shared" si="11"/>
        <v>-63</v>
      </c>
    </row>
    <row r="24" spans="1:11">
      <c r="A24" s="3">
        <f t="shared" si="0"/>
        <v>18</v>
      </c>
      <c r="B24" s="3"/>
      <c r="C24" s="4" t="s">
        <v>19</v>
      </c>
      <c r="D24" s="13">
        <f>SUM(D20:D23)</f>
        <v>1408515</v>
      </c>
      <c r="E24" s="204"/>
      <c r="F24" s="205">
        <f t="shared" ref="F24" si="12">SUM(F20:F23)</f>
        <v>3284</v>
      </c>
      <c r="H24" s="204"/>
      <c r="I24" s="536">
        <f t="shared" ref="I24" si="13">SUM(I20:I23)</f>
        <v>3240</v>
      </c>
      <c r="J24" s="1"/>
      <c r="K24" s="536">
        <f t="shared" ref="K24" si="14">SUM(K20:K23)</f>
        <v>-44</v>
      </c>
    </row>
    <row r="25" spans="1:11">
      <c r="A25" s="3">
        <f t="shared" si="0"/>
        <v>19</v>
      </c>
      <c r="B25" s="3"/>
      <c r="C25" s="4"/>
      <c r="D25" s="9"/>
      <c r="E25" s="202"/>
      <c r="F25" s="203"/>
      <c r="H25" s="202"/>
      <c r="I25" s="535"/>
      <c r="J25" s="1"/>
      <c r="K25" s="535"/>
    </row>
    <row r="26" spans="1:11">
      <c r="A26" s="3">
        <f t="shared" si="0"/>
        <v>20</v>
      </c>
      <c r="B26" s="3">
        <v>40</v>
      </c>
      <c r="C26" s="4"/>
      <c r="D26" s="13">
        <f>+'GRC Tax Reform Impacts'!C23</f>
        <v>621679</v>
      </c>
      <c r="E26" s="204">
        <f>+'Compliance Sch 140'!G24</f>
        <v>2.3499999999999997E-3</v>
      </c>
      <c r="F26" s="205">
        <f>ROUND(D26*E26,0)</f>
        <v>1461</v>
      </c>
      <c r="H26" s="204">
        <f>+'Proposed Sch 140'!G24</f>
        <v>2.0669999999999998E-3</v>
      </c>
      <c r="I26" s="536">
        <f>ROUND(D26*H26,0)</f>
        <v>1285</v>
      </c>
      <c r="J26" s="1"/>
      <c r="K26" s="535">
        <f>+I26-F26</f>
        <v>-176</v>
      </c>
    </row>
    <row r="27" spans="1:11">
      <c r="A27" s="3">
        <f t="shared" si="0"/>
        <v>21</v>
      </c>
      <c r="B27" s="3"/>
      <c r="C27" s="4"/>
      <c r="D27" s="9"/>
      <c r="E27" s="202"/>
      <c r="F27" s="203"/>
      <c r="H27" s="202"/>
      <c r="I27" s="535"/>
      <c r="J27" s="1"/>
      <c r="K27" s="535"/>
    </row>
    <row r="28" spans="1:11">
      <c r="A28" s="3">
        <f t="shared" si="0"/>
        <v>22</v>
      </c>
      <c r="B28" s="3">
        <v>46</v>
      </c>
      <c r="C28" s="4"/>
      <c r="D28" s="9">
        <f>+'GRC Tax Reform Impacts'!C25</f>
        <v>64275</v>
      </c>
      <c r="E28" s="202">
        <f>+'Compliance Sch 140'!G27</f>
        <v>1.4659999999999999E-3</v>
      </c>
      <c r="F28" s="203">
        <f>ROUND(D28*E28,0)</f>
        <v>94</v>
      </c>
      <c r="H28" s="202">
        <f>+'Proposed Sch 140'!G27</f>
        <v>1.621E-3</v>
      </c>
      <c r="I28" s="535">
        <f t="shared" ref="I28:I29" si="15">ROUND(D28*H28,0)</f>
        <v>104</v>
      </c>
      <c r="J28" s="1"/>
      <c r="K28" s="535">
        <f t="shared" ref="K28:K29" si="16">+I28-F28</f>
        <v>10</v>
      </c>
    </row>
    <row r="29" spans="1:11">
      <c r="A29" s="3">
        <f t="shared" si="0"/>
        <v>23</v>
      </c>
      <c r="B29" s="3">
        <v>49</v>
      </c>
      <c r="C29" s="4"/>
      <c r="D29" s="9">
        <f>+'GRC Tax Reform Impacts'!C26</f>
        <v>567984</v>
      </c>
      <c r="E29" s="202">
        <f>+'Compliance Sch 140'!G28</f>
        <v>1.4659999999999999E-3</v>
      </c>
      <c r="F29" s="203">
        <f>ROUND(D29*E29,0)</f>
        <v>833</v>
      </c>
      <c r="H29" s="202">
        <f>+'Proposed Sch 140'!G28</f>
        <v>1.621E-3</v>
      </c>
      <c r="I29" s="535">
        <f t="shared" si="15"/>
        <v>921</v>
      </c>
      <c r="J29" s="1"/>
      <c r="K29" s="535">
        <f t="shared" si="16"/>
        <v>88</v>
      </c>
    </row>
    <row r="30" spans="1:11">
      <c r="A30" s="3">
        <f t="shared" si="0"/>
        <v>24</v>
      </c>
      <c r="B30" s="3"/>
      <c r="C30" s="4" t="s">
        <v>20</v>
      </c>
      <c r="D30" s="13">
        <f>SUM(D28:D29)</f>
        <v>632259</v>
      </c>
      <c r="E30" s="204"/>
      <c r="F30" s="205">
        <f t="shared" ref="F30" si="17">SUM(F28:F29)</f>
        <v>927</v>
      </c>
      <c r="H30" s="204"/>
      <c r="I30" s="536">
        <f t="shared" ref="I30" si="18">SUM(I28:I29)</f>
        <v>1025</v>
      </c>
      <c r="J30" s="1"/>
      <c r="K30" s="536">
        <f t="shared" ref="K30" si="19">SUM(K28:K29)</f>
        <v>98</v>
      </c>
    </row>
    <row r="31" spans="1:11">
      <c r="A31" s="3">
        <f t="shared" si="0"/>
        <v>25</v>
      </c>
      <c r="B31" s="3"/>
      <c r="C31" s="4"/>
      <c r="D31" s="9"/>
      <c r="E31" s="202"/>
      <c r="F31" s="203"/>
      <c r="H31" s="202"/>
      <c r="I31" s="535"/>
      <c r="J31" s="1"/>
      <c r="K31" s="535"/>
    </row>
    <row r="32" spans="1:11">
      <c r="A32" s="3">
        <f t="shared" si="0"/>
        <v>26</v>
      </c>
      <c r="B32" s="3" t="s">
        <v>21</v>
      </c>
      <c r="C32" s="4"/>
      <c r="D32" s="13">
        <f>+'GRC Tax Reform Impacts'!C29</f>
        <v>77972</v>
      </c>
      <c r="E32" s="204">
        <f>+'Compliance Sch 140'!G31</f>
        <v>1.0218666811478866E-2</v>
      </c>
      <c r="F32" s="205">
        <f>ROUND(D32*E32,0)</f>
        <v>797</v>
      </c>
      <c r="H32" s="204">
        <f>+'Proposed Sch 140'!G31</f>
        <v>9.1180000000000011E-3</v>
      </c>
      <c r="I32" s="536">
        <f>ROUND(D32*H32,0)</f>
        <v>711</v>
      </c>
      <c r="J32" s="1"/>
      <c r="K32" s="535">
        <f>+I32-F32</f>
        <v>-86</v>
      </c>
    </row>
    <row r="33" spans="1:11">
      <c r="A33" s="3">
        <f t="shared" si="0"/>
        <v>27</v>
      </c>
      <c r="B33" s="3"/>
      <c r="C33" s="4"/>
      <c r="D33" s="9"/>
      <c r="E33" s="202"/>
      <c r="F33" s="203"/>
      <c r="H33" s="202"/>
      <c r="I33" s="535"/>
      <c r="J33" s="1"/>
      <c r="K33" s="535"/>
    </row>
    <row r="34" spans="1:11">
      <c r="A34" s="3">
        <f t="shared" si="0"/>
        <v>28</v>
      </c>
      <c r="B34" s="3" t="s">
        <v>22</v>
      </c>
      <c r="C34" s="4"/>
      <c r="D34" s="13">
        <f>+'GRC Tax Reform Impacts'!C31</f>
        <v>2098104</v>
      </c>
      <c r="E34" s="204">
        <f>+'Compliance Sch 140'!G33</f>
        <v>2.99E-4</v>
      </c>
      <c r="F34" s="205">
        <f>ROUND(D34*E34,0)</f>
        <v>627</v>
      </c>
      <c r="H34" s="204">
        <f>+'Proposed Sch 140'!G33</f>
        <v>2.9E-5</v>
      </c>
      <c r="I34" s="536">
        <f>ROUND(D34*H34,0)</f>
        <v>61</v>
      </c>
      <c r="J34" s="1"/>
      <c r="K34" s="535">
        <f>+I34-F34</f>
        <v>-566</v>
      </c>
    </row>
    <row r="35" spans="1:11">
      <c r="A35" s="3">
        <f t="shared" si="0"/>
        <v>29</v>
      </c>
      <c r="B35" s="3"/>
      <c r="C35" s="4"/>
      <c r="D35" s="9"/>
      <c r="E35" s="202"/>
      <c r="F35" s="203"/>
      <c r="H35" s="202"/>
      <c r="I35" s="535"/>
      <c r="J35" s="1"/>
      <c r="K35" s="535"/>
    </row>
    <row r="36" spans="1:11" ht="13.8" thickBot="1">
      <c r="A36" s="3">
        <f t="shared" si="0"/>
        <v>30</v>
      </c>
      <c r="B36" s="3"/>
      <c r="C36" s="12" t="s">
        <v>98</v>
      </c>
      <c r="D36" s="14">
        <f>SUM(D9,D18,D24,D26,D30,D32,D34)</f>
        <v>22814380</v>
      </c>
      <c r="E36" s="207"/>
      <c r="F36" s="208">
        <f t="shared" ref="F36" si="20">SUM(F9,F18,F24,F26,F30,F32,F34)</f>
        <v>62620</v>
      </c>
      <c r="H36" s="207"/>
      <c r="I36" s="208">
        <f t="shared" ref="I36" si="21">SUM(I9,I18,I24,I26,I30,I32,I34)</f>
        <v>60219</v>
      </c>
      <c r="J36" s="1"/>
      <c r="K36" s="208">
        <f t="shared" ref="K36" si="22">SUM(K9,K18,K24,K26,K30,K32,K34)</f>
        <v>-2401</v>
      </c>
    </row>
    <row r="37" spans="1:11" ht="13.8" thickTop="1">
      <c r="A37" s="3">
        <f t="shared" si="0"/>
        <v>31</v>
      </c>
      <c r="B37" s="3"/>
      <c r="C37" s="1"/>
      <c r="D37" s="1"/>
      <c r="E37" s="1"/>
      <c r="F37" s="203"/>
      <c r="H37" s="1"/>
      <c r="I37" s="535"/>
      <c r="J37" s="1"/>
      <c r="K37" s="535"/>
    </row>
    <row r="38" spans="1:11">
      <c r="A38" s="3">
        <f t="shared" si="0"/>
        <v>32</v>
      </c>
      <c r="B38" s="3">
        <v>5</v>
      </c>
      <c r="C38" s="1" t="s">
        <v>99</v>
      </c>
      <c r="D38" s="9">
        <f>+'GRC Tax Reform Impacts'!C35</f>
        <v>6930</v>
      </c>
      <c r="E38" s="204">
        <v>0</v>
      </c>
      <c r="F38" s="205">
        <f>ROUND(D38*E38,-3)</f>
        <v>0</v>
      </c>
      <c r="H38" s="204">
        <v>0</v>
      </c>
      <c r="I38" s="536">
        <f>ROUND(D38*H38,0)</f>
        <v>0</v>
      </c>
      <c r="J38" s="1"/>
      <c r="K38" s="535">
        <f>+I38-F38</f>
        <v>0</v>
      </c>
    </row>
    <row r="39" spans="1:11">
      <c r="A39" s="3">
        <f t="shared" si="0"/>
        <v>33</v>
      </c>
      <c r="B39" s="3"/>
      <c r="C39" s="1"/>
      <c r="D39" s="1"/>
      <c r="E39" s="1"/>
      <c r="F39" s="203"/>
      <c r="H39" s="1"/>
      <c r="I39" s="535"/>
      <c r="J39" s="1"/>
      <c r="K39" s="535"/>
    </row>
    <row r="40" spans="1:11" ht="13.8" thickBot="1">
      <c r="A40" s="3">
        <f t="shared" si="0"/>
        <v>34</v>
      </c>
      <c r="B40" s="3"/>
      <c r="C40" s="12" t="s">
        <v>100</v>
      </c>
      <c r="D40" s="14">
        <f>SUM(D36,D38)</f>
        <v>22821310</v>
      </c>
      <c r="E40" s="1"/>
      <c r="F40" s="208">
        <f t="shared" ref="F40" si="23">SUM(F36,F38)</f>
        <v>62620</v>
      </c>
      <c r="H40" s="1">
        <f>+I40/D40</f>
        <v>2.638717935122918E-3</v>
      </c>
      <c r="I40" s="208">
        <f t="shared" ref="I40" si="24">SUM(I36,I38)</f>
        <v>60219</v>
      </c>
      <c r="J40" s="1"/>
      <c r="K40" s="208">
        <f t="shared" ref="K40" si="25">SUM(K36,K38)</f>
        <v>-2401</v>
      </c>
    </row>
    <row r="41" spans="1:11" ht="13.8" thickTop="1">
      <c r="D41" s="1"/>
      <c r="K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39"/>
  <sheetViews>
    <sheetView workbookViewId="0">
      <selection sqref="A1:B1"/>
    </sheetView>
  </sheetViews>
  <sheetFormatPr defaultRowHeight="14.4"/>
  <cols>
    <col min="1" max="1" width="4.6640625" style="165" bestFit="1" customWidth="1"/>
    <col min="2" max="2" width="23.33203125" style="165" bestFit="1" customWidth="1"/>
    <col min="3" max="3" width="14.6640625" style="165" bestFit="1" customWidth="1"/>
    <col min="4" max="4" width="11.5546875" style="165" bestFit="1" customWidth="1"/>
    <col min="5" max="5" width="13.21875" style="165" bestFit="1" customWidth="1"/>
    <col min="6" max="6" width="12.5546875" style="165" bestFit="1" customWidth="1"/>
    <col min="7" max="7" width="13.21875" style="165" customWidth="1"/>
    <col min="8" max="9" width="17.77734375" style="165" bestFit="1" customWidth="1"/>
    <col min="10" max="10" width="13.21875" style="165" bestFit="1" customWidth="1"/>
    <col min="11" max="16384" width="8.88671875" style="165"/>
  </cols>
  <sheetData>
    <row r="1" spans="1:3">
      <c r="A1" s="628" t="s">
        <v>265</v>
      </c>
      <c r="B1" s="628"/>
    </row>
    <row r="2" spans="1:3">
      <c r="A2" s="629" t="s">
        <v>266</v>
      </c>
      <c r="B2" s="628"/>
    </row>
    <row r="3" spans="1:3">
      <c r="A3" s="629" t="s">
        <v>267</v>
      </c>
      <c r="B3" s="628"/>
    </row>
    <row r="6" spans="1:3" ht="27">
      <c r="A6" s="292" t="s">
        <v>268</v>
      </c>
      <c r="B6" s="293" t="s">
        <v>45</v>
      </c>
      <c r="C6" s="292" t="s">
        <v>269</v>
      </c>
    </row>
    <row r="7" spans="1:3">
      <c r="A7" s="294">
        <v>1</v>
      </c>
      <c r="B7" s="295">
        <v>7</v>
      </c>
      <c r="C7" s="296">
        <v>16991</v>
      </c>
    </row>
    <row r="8" spans="1:3">
      <c r="A8" s="294">
        <v>2</v>
      </c>
      <c r="B8" s="295" t="s">
        <v>262</v>
      </c>
      <c r="C8" s="296">
        <v>3</v>
      </c>
    </row>
    <row r="9" spans="1:3">
      <c r="A9" s="294">
        <v>3</v>
      </c>
      <c r="B9" s="295" t="s">
        <v>182</v>
      </c>
      <c r="C9" s="296">
        <f t="shared" ref="C9" si="0">SUM(C7:C8)</f>
        <v>16994</v>
      </c>
    </row>
    <row r="10" spans="1:3">
      <c r="A10" s="294">
        <v>4</v>
      </c>
      <c r="B10" s="295"/>
      <c r="C10" s="296"/>
    </row>
    <row r="11" spans="1:3">
      <c r="A11" s="294">
        <v>5</v>
      </c>
      <c r="B11" s="295" t="s">
        <v>163</v>
      </c>
      <c r="C11" s="296">
        <v>4339</v>
      </c>
    </row>
    <row r="12" spans="1:3">
      <c r="A12" s="294">
        <v>6</v>
      </c>
      <c r="B12" s="295" t="s">
        <v>270</v>
      </c>
      <c r="C12" s="296">
        <v>3521</v>
      </c>
    </row>
    <row r="13" spans="1:3">
      <c r="A13" s="294">
        <v>7</v>
      </c>
      <c r="B13" s="295" t="s">
        <v>258</v>
      </c>
      <c r="C13" s="296">
        <v>1962</v>
      </c>
    </row>
    <row r="14" spans="1:3">
      <c r="A14" s="294">
        <v>8</v>
      </c>
      <c r="B14" s="295" t="s">
        <v>271</v>
      </c>
      <c r="C14" s="296">
        <v>0</v>
      </c>
    </row>
    <row r="15" spans="1:3">
      <c r="A15" s="294">
        <v>9</v>
      </c>
      <c r="B15" s="295">
        <v>29</v>
      </c>
      <c r="C15" s="296">
        <v>19</v>
      </c>
    </row>
    <row r="16" spans="1:3">
      <c r="A16" s="294">
        <v>10</v>
      </c>
      <c r="B16" s="295" t="s">
        <v>18</v>
      </c>
      <c r="C16" s="296">
        <f t="shared" ref="C16" si="1">SUM(C11:C15)</f>
        <v>9841</v>
      </c>
    </row>
    <row r="17" spans="1:10">
      <c r="A17" s="294">
        <v>11</v>
      </c>
      <c r="B17" s="295"/>
      <c r="C17" s="296"/>
    </row>
    <row r="18" spans="1:10">
      <c r="A18" s="294">
        <v>12</v>
      </c>
      <c r="B18" s="295" t="s">
        <v>166</v>
      </c>
      <c r="C18" s="296">
        <v>1345</v>
      </c>
    </row>
    <row r="19" spans="1:10">
      <c r="A19" s="294">
        <v>13</v>
      </c>
      <c r="B19" s="295">
        <v>35</v>
      </c>
      <c r="C19" s="296">
        <v>0</v>
      </c>
    </row>
    <row r="20" spans="1:10">
      <c r="A20" s="294">
        <v>14</v>
      </c>
      <c r="B20" s="295">
        <v>43</v>
      </c>
      <c r="C20" s="296">
        <v>206</v>
      </c>
    </row>
    <row r="21" spans="1:10">
      <c r="A21" s="294">
        <v>15</v>
      </c>
      <c r="B21" s="295" t="s">
        <v>19</v>
      </c>
      <c r="C21" s="296">
        <f t="shared" ref="C21" si="2">SUM(C18:C20)</f>
        <v>1551</v>
      </c>
    </row>
    <row r="22" spans="1:10">
      <c r="A22" s="294">
        <v>16</v>
      </c>
      <c r="B22" s="295"/>
      <c r="C22" s="296"/>
      <c r="D22" s="297"/>
      <c r="F22" s="297"/>
      <c r="G22" s="297"/>
      <c r="I22" s="297"/>
      <c r="J22" s="297"/>
    </row>
    <row r="23" spans="1:10">
      <c r="A23" s="294">
        <v>17</v>
      </c>
      <c r="B23" s="295">
        <v>40</v>
      </c>
      <c r="C23" s="296">
        <v>319</v>
      </c>
      <c r="D23" s="297"/>
      <c r="F23" s="297"/>
      <c r="G23" s="297"/>
      <c r="I23" s="297"/>
      <c r="J23" s="297"/>
    </row>
    <row r="24" spans="1:10">
      <c r="A24" s="294">
        <v>18</v>
      </c>
      <c r="B24" s="295"/>
      <c r="C24" s="296"/>
      <c r="D24" s="297"/>
      <c r="F24" s="297"/>
      <c r="G24" s="297"/>
    </row>
    <row r="25" spans="1:10">
      <c r="A25" s="294">
        <v>19</v>
      </c>
      <c r="B25" s="295">
        <v>46</v>
      </c>
      <c r="C25" s="296">
        <v>20</v>
      </c>
    </row>
    <row r="26" spans="1:10">
      <c r="A26" s="294">
        <v>20</v>
      </c>
      <c r="B26" s="295">
        <v>49</v>
      </c>
      <c r="C26" s="296">
        <v>201</v>
      </c>
    </row>
    <row r="27" spans="1:10">
      <c r="A27" s="294">
        <v>21</v>
      </c>
      <c r="B27" s="295" t="s">
        <v>20</v>
      </c>
      <c r="C27" s="296">
        <f t="shared" ref="C27" si="3">SUM(C25:C26)</f>
        <v>221</v>
      </c>
    </row>
    <row r="28" spans="1:10">
      <c r="A28" s="294">
        <v>22</v>
      </c>
      <c r="B28" s="295"/>
      <c r="C28" s="296"/>
    </row>
    <row r="29" spans="1:10">
      <c r="A29" s="294">
        <v>23</v>
      </c>
      <c r="B29" s="295" t="s">
        <v>21</v>
      </c>
      <c r="C29" s="296">
        <v>611</v>
      </c>
    </row>
    <row r="30" spans="1:10">
      <c r="A30" s="294">
        <v>24</v>
      </c>
      <c r="B30" s="295"/>
      <c r="C30" s="296"/>
    </row>
    <row r="31" spans="1:10">
      <c r="A31" s="294">
        <v>25</v>
      </c>
      <c r="B31" s="295" t="s">
        <v>142</v>
      </c>
      <c r="C31" s="296">
        <v>209</v>
      </c>
    </row>
    <row r="32" spans="1:10">
      <c r="A32" s="294">
        <v>26</v>
      </c>
      <c r="B32" s="295"/>
      <c r="C32" s="296"/>
    </row>
    <row r="33" spans="1:3">
      <c r="A33" s="294">
        <v>27</v>
      </c>
      <c r="B33" s="295" t="s">
        <v>272</v>
      </c>
      <c r="C33" s="296">
        <f t="shared" ref="C33" si="4">SUM(C9,C16,C21,C23,C27,C29,C31)</f>
        <v>29746</v>
      </c>
    </row>
    <row r="34" spans="1:3">
      <c r="A34" s="294">
        <v>28</v>
      </c>
      <c r="B34" s="295"/>
      <c r="C34" s="296"/>
    </row>
    <row r="35" spans="1:3">
      <c r="A35" s="294">
        <v>29</v>
      </c>
      <c r="B35" s="295" t="s">
        <v>220</v>
      </c>
      <c r="C35" s="296">
        <v>0</v>
      </c>
    </row>
    <row r="36" spans="1:3">
      <c r="A36" s="294">
        <v>30</v>
      </c>
      <c r="B36" s="295"/>
      <c r="C36" s="296"/>
    </row>
    <row r="37" spans="1:3">
      <c r="A37" s="294">
        <v>31</v>
      </c>
      <c r="B37" s="295" t="s">
        <v>273</v>
      </c>
      <c r="C37" s="296">
        <f t="shared" ref="C37" si="5">SUM(C33,C35)</f>
        <v>29746</v>
      </c>
    </row>
    <row r="38" spans="1:3">
      <c r="C38" s="296">
        <v>29746000</v>
      </c>
    </row>
    <row r="39" spans="1:3">
      <c r="C39" s="298">
        <f>+C38-C37</f>
        <v>29716254</v>
      </c>
    </row>
  </sheetData>
  <mergeCells count="3">
    <mergeCell ref="A1:B1"/>
    <mergeCell ref="A2:B2"/>
    <mergeCell ref="A3:B3"/>
  </mergeCells>
  <printOptions horizontalCentered="1"/>
  <pageMargins left="0.7" right="0.7" top="0.75" bottom="0.88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S46"/>
  <sheetViews>
    <sheetView topLeftCell="O1" workbookViewId="0">
      <selection activeCell="O7" sqref="O7"/>
    </sheetView>
  </sheetViews>
  <sheetFormatPr defaultRowHeight="13.2"/>
  <cols>
    <col min="1" max="2" width="8.88671875" style="1"/>
    <col min="3" max="3" width="21" style="1" bestFit="1" customWidth="1"/>
    <col min="4" max="4" width="15.109375" style="1" bestFit="1" customWidth="1"/>
    <col min="5" max="5" width="10.44140625" style="1" bestFit="1" customWidth="1"/>
    <col min="6" max="6" width="11.5546875" style="1" bestFit="1" customWidth="1"/>
    <col min="7" max="8" width="10.88671875" style="1" bestFit="1" customWidth="1"/>
    <col min="9" max="10" width="12.44140625" style="1" bestFit="1" customWidth="1"/>
    <col min="11" max="11" width="9.33203125" style="1" bestFit="1" customWidth="1"/>
    <col min="12" max="12" width="12.44140625" style="1" customWidth="1"/>
    <col min="13" max="13" width="13.5546875" style="1" bestFit="1" customWidth="1"/>
    <col min="14" max="14" width="8.88671875" style="1"/>
    <col min="15" max="15" width="12.21875" style="1" customWidth="1"/>
    <col min="16" max="16" width="11.5546875" style="1" bestFit="1" customWidth="1"/>
    <col min="17" max="17" width="11.6640625" style="1" customWidth="1"/>
    <col min="18" max="18" width="8.88671875" style="1"/>
    <col min="19" max="19" width="10.5546875" style="1" bestFit="1" customWidth="1"/>
    <col min="20" max="16384" width="8.88671875" style="1"/>
  </cols>
  <sheetData>
    <row r="1" spans="1:19">
      <c r="A1" s="626" t="s">
        <v>0</v>
      </c>
      <c r="B1" s="626"/>
      <c r="C1" s="626"/>
      <c r="D1" s="626"/>
      <c r="E1" s="626"/>
      <c r="F1" s="626"/>
      <c r="G1" s="626"/>
      <c r="H1" s="626"/>
      <c r="I1" s="626"/>
    </row>
    <row r="2" spans="1:19">
      <c r="A2" s="627" t="s">
        <v>274</v>
      </c>
      <c r="B2" s="626"/>
      <c r="C2" s="626"/>
      <c r="D2" s="626"/>
      <c r="E2" s="626"/>
      <c r="F2" s="626"/>
      <c r="G2" s="626"/>
      <c r="H2" s="626"/>
      <c r="I2" s="626"/>
    </row>
    <row r="3" spans="1:19">
      <c r="A3" s="626" t="str">
        <f>+'GRC Tax Reform Impacts'!A3</f>
        <v>Test Year ended September 2016</v>
      </c>
      <c r="B3" s="626"/>
      <c r="C3" s="626"/>
      <c r="D3" s="626"/>
      <c r="E3" s="626"/>
      <c r="F3" s="626"/>
      <c r="G3" s="626"/>
      <c r="H3" s="626"/>
      <c r="I3" s="626"/>
    </row>
    <row r="4" spans="1:19">
      <c r="A4" s="626"/>
      <c r="B4" s="626"/>
      <c r="C4" s="626"/>
      <c r="D4" s="626"/>
      <c r="E4" s="626"/>
      <c r="F4" s="626"/>
      <c r="G4" s="626"/>
      <c r="H4" s="626"/>
      <c r="I4" s="626"/>
    </row>
    <row r="5" spans="1:19">
      <c r="A5" s="505"/>
      <c r="B5" s="504"/>
      <c r="C5" s="504"/>
      <c r="D5" s="504"/>
      <c r="E5" s="504"/>
      <c r="F5" s="4"/>
      <c r="G5" s="4"/>
      <c r="H5" s="4"/>
      <c r="I5" s="4" t="s">
        <v>143</v>
      </c>
    </row>
    <row r="6" spans="1:19" ht="66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275</v>
      </c>
      <c r="F6" s="7" t="s">
        <v>581</v>
      </c>
      <c r="G6" s="7" t="s">
        <v>582</v>
      </c>
      <c r="H6" s="7" t="s">
        <v>583</v>
      </c>
      <c r="I6" s="7" t="s">
        <v>586</v>
      </c>
      <c r="J6" s="7" t="s">
        <v>294</v>
      </c>
      <c r="K6" s="7" t="s">
        <v>637</v>
      </c>
      <c r="L6" s="7" t="s">
        <v>326</v>
      </c>
      <c r="M6" s="7" t="s">
        <v>276</v>
      </c>
      <c r="O6" s="468" t="s">
        <v>684</v>
      </c>
      <c r="P6" s="468" t="s">
        <v>683</v>
      </c>
      <c r="Q6" s="468" t="s">
        <v>682</v>
      </c>
      <c r="S6" s="468" t="s">
        <v>685</v>
      </c>
    </row>
    <row r="7" spans="1:19">
      <c r="A7" s="504">
        <v>1</v>
      </c>
      <c r="B7" s="504">
        <v>7</v>
      </c>
      <c r="C7" s="4"/>
      <c r="D7" s="9">
        <f>+'GRC Tax Reform Impacts'!C9</f>
        <v>10442426</v>
      </c>
      <c r="E7" s="9"/>
      <c r="F7" s="202">
        <f>+'Compliance Sch 142'!G11</f>
        <v>1.201E-3</v>
      </c>
      <c r="G7" s="202">
        <f>+'Compliance Sch 142'!H11</f>
        <v>8.0030000000000032E-3</v>
      </c>
      <c r="H7" s="202">
        <f>SUM(F7:G7)</f>
        <v>9.2040000000000038E-3</v>
      </c>
      <c r="I7" s="203">
        <f>ROUND(D7*F7,0)</f>
        <v>12541</v>
      </c>
      <c r="J7" s="203">
        <f>ROUND(D7*G7,0)</f>
        <v>83571</v>
      </c>
      <c r="K7" s="203"/>
      <c r="L7" s="203">
        <v>0</v>
      </c>
      <c r="M7" s="203">
        <f>SUM(I7:L7)</f>
        <v>96112</v>
      </c>
      <c r="O7" s="202">
        <f>+'Proposed Sch 142'!I9</f>
        <v>-1.1280000000000001E-3</v>
      </c>
      <c r="P7" s="202"/>
      <c r="Q7" s="535">
        <f t="shared" ref="Q7:Q8" si="0">ROUND(D7*O7+P7*E7/1000,0)</f>
        <v>-11779</v>
      </c>
      <c r="S7" s="535">
        <f>+Q7-I7</f>
        <v>-24320</v>
      </c>
    </row>
    <row r="8" spans="1:19">
      <c r="A8" s="504">
        <f t="shared" ref="A8:A40" si="1">+A7+1</f>
        <v>2</v>
      </c>
      <c r="B8" s="505" t="s">
        <v>15</v>
      </c>
      <c r="C8" s="4"/>
      <c r="D8" s="9">
        <v>0</v>
      </c>
      <c r="E8" s="9"/>
      <c r="F8" s="202"/>
      <c r="G8" s="202"/>
      <c r="H8" s="202"/>
      <c r="I8" s="203">
        <f>ROUND(D8*H8,0)</f>
        <v>0</v>
      </c>
      <c r="J8" s="203">
        <f>ROUND(E8*I8,0)</f>
        <v>0</v>
      </c>
      <c r="K8" s="203"/>
      <c r="L8" s="203">
        <v>0</v>
      </c>
      <c r="M8" s="203">
        <f>SUM(I8:L8)</f>
        <v>0</v>
      </c>
      <c r="O8" s="202">
        <f>+'Proposed Sch 142'!I10</f>
        <v>1.524E-3</v>
      </c>
      <c r="P8" s="202"/>
      <c r="Q8" s="535">
        <f t="shared" si="0"/>
        <v>0</v>
      </c>
      <c r="S8" s="535">
        <f>+Q8-I8</f>
        <v>0</v>
      </c>
    </row>
    <row r="9" spans="1:19">
      <c r="A9" s="504">
        <f t="shared" si="1"/>
        <v>3</v>
      </c>
      <c r="B9" s="504"/>
      <c r="C9" s="4" t="s">
        <v>16</v>
      </c>
      <c r="D9" s="13">
        <f>SUM(D7:D8)</f>
        <v>10442426</v>
      </c>
      <c r="E9" s="9"/>
      <c r="F9" s="9"/>
      <c r="G9" s="9"/>
      <c r="H9" s="9"/>
      <c r="I9" s="205">
        <f t="shared" ref="I9:K9" si="2">SUM(I7:I8)</f>
        <v>12541</v>
      </c>
      <c r="J9" s="205">
        <f t="shared" si="2"/>
        <v>83571</v>
      </c>
      <c r="K9" s="205">
        <f t="shared" si="2"/>
        <v>0</v>
      </c>
      <c r="L9" s="205">
        <f t="shared" ref="L9" si="3">SUM(L7:L8)</f>
        <v>0</v>
      </c>
      <c r="M9" s="205">
        <f t="shared" ref="M9" si="4">SUM(M7:M8)</f>
        <v>96112</v>
      </c>
      <c r="O9" s="551"/>
      <c r="P9" s="551"/>
      <c r="Q9" s="536">
        <f t="shared" ref="Q9" si="5">SUM(Q7:Q8)</f>
        <v>-11779</v>
      </c>
      <c r="S9" s="536">
        <f t="shared" ref="S9" si="6">SUM(S7:S8)</f>
        <v>-24320</v>
      </c>
    </row>
    <row r="10" spans="1:19">
      <c r="A10" s="504">
        <f t="shared" si="1"/>
        <v>4</v>
      </c>
      <c r="B10" s="504"/>
      <c r="C10" s="4"/>
      <c r="D10" s="9"/>
      <c r="E10" s="9"/>
      <c r="F10" s="202"/>
      <c r="G10" s="202"/>
      <c r="H10" s="202"/>
      <c r="I10" s="203"/>
      <c r="J10" s="203"/>
      <c r="K10" s="203"/>
      <c r="L10" s="203"/>
      <c r="M10" s="203"/>
      <c r="O10" s="202"/>
      <c r="P10" s="202"/>
      <c r="Q10" s="535"/>
      <c r="S10" s="535"/>
    </row>
    <row r="11" spans="1:19">
      <c r="A11" s="504">
        <f t="shared" si="1"/>
        <v>5</v>
      </c>
      <c r="B11" s="504">
        <v>8</v>
      </c>
      <c r="C11" s="4"/>
      <c r="D11" s="9">
        <v>0</v>
      </c>
      <c r="E11" s="9"/>
      <c r="F11" s="202"/>
      <c r="G11" s="202"/>
      <c r="H11" s="202"/>
      <c r="I11" s="203">
        <f>ROUND(D11*F11,0)</f>
        <v>0</v>
      </c>
      <c r="J11" s="203">
        <f>ROUND(D11*G11,0)</f>
        <v>0</v>
      </c>
      <c r="K11" s="203"/>
      <c r="L11" s="203">
        <v>0</v>
      </c>
      <c r="M11" s="203">
        <f t="shared" ref="M11:M17" si="7">SUM(I11:L11)</f>
        <v>0</v>
      </c>
      <c r="O11" s="202">
        <f>+'Proposed Sch 142'!I13</f>
        <v>1.369E-3</v>
      </c>
      <c r="P11" s="202"/>
      <c r="Q11" s="535">
        <f t="shared" ref="Q11:Q15" si="8">ROUND(D11*O11+P11*E11/1000,0)</f>
        <v>0</v>
      </c>
      <c r="S11" s="535">
        <f t="shared" ref="S11:S17" si="9">+Q11-I11</f>
        <v>0</v>
      </c>
    </row>
    <row r="12" spans="1:19">
      <c r="A12" s="504">
        <f t="shared" si="1"/>
        <v>6</v>
      </c>
      <c r="B12" s="504">
        <v>24</v>
      </c>
      <c r="D12" s="9">
        <f>+'GRC Tax Reform Impacts'!C12</f>
        <v>2787584</v>
      </c>
      <c r="E12" s="9"/>
      <c r="F12" s="202">
        <f>+'Compliance Sch 142'!G14</f>
        <v>1.335E-3</v>
      </c>
      <c r="G12" s="202">
        <f>+'Compliance Sch 142'!H14</f>
        <v>3.8210000000000006E-3</v>
      </c>
      <c r="H12" s="202">
        <f>SUM(F12:G12)</f>
        <v>5.1560000000000009E-3</v>
      </c>
      <c r="I12" s="203">
        <f>ROUND(D12*F12,0)</f>
        <v>3721</v>
      </c>
      <c r="J12" s="203">
        <f>ROUND(D12*G12,0)</f>
        <v>10651</v>
      </c>
      <c r="K12" s="203"/>
      <c r="L12" s="203">
        <v>0</v>
      </c>
      <c r="M12" s="203">
        <f t="shared" si="7"/>
        <v>14372</v>
      </c>
      <c r="O12" s="202">
        <f>+'Proposed Sch 142'!I14</f>
        <v>1.369E-3</v>
      </c>
      <c r="P12" s="202"/>
      <c r="Q12" s="535">
        <f t="shared" si="8"/>
        <v>3816</v>
      </c>
      <c r="S12" s="535">
        <f t="shared" si="9"/>
        <v>95</v>
      </c>
    </row>
    <row r="13" spans="1:19">
      <c r="A13" s="504">
        <f t="shared" si="1"/>
        <v>7</v>
      </c>
      <c r="B13" s="505">
        <v>11</v>
      </c>
      <c r="C13" s="4"/>
      <c r="D13" s="9">
        <v>0</v>
      </c>
      <c r="E13" s="9"/>
      <c r="F13" s="202"/>
      <c r="G13" s="202"/>
      <c r="H13" s="202"/>
      <c r="I13" s="203">
        <f>ROUND(D13*F13,0)</f>
        <v>0</v>
      </c>
      <c r="J13" s="203">
        <f>ROUND(D13*G13,0)</f>
        <v>0</v>
      </c>
      <c r="K13" s="203"/>
      <c r="L13" s="203">
        <v>0</v>
      </c>
      <c r="M13" s="203">
        <f t="shared" si="7"/>
        <v>0</v>
      </c>
      <c r="O13" s="202">
        <f>+'Proposed Sch 142'!I15</f>
        <v>1.524E-3</v>
      </c>
      <c r="P13" s="202"/>
      <c r="Q13" s="535">
        <f t="shared" si="8"/>
        <v>0</v>
      </c>
      <c r="S13" s="535">
        <f t="shared" si="9"/>
        <v>0</v>
      </c>
    </row>
    <row r="14" spans="1:19">
      <c r="A14" s="504">
        <f t="shared" si="1"/>
        <v>8</v>
      </c>
      <c r="B14" s="505">
        <v>25</v>
      </c>
      <c r="D14" s="9">
        <f>+'GRC Tax Reform Impacts'!C13</f>
        <v>2839459</v>
      </c>
      <c r="E14" s="9"/>
      <c r="F14" s="202">
        <f>+F12</f>
        <v>1.335E-3</v>
      </c>
      <c r="G14" s="202">
        <f>+G12</f>
        <v>3.8210000000000006E-3</v>
      </c>
      <c r="H14" s="202">
        <f>SUM(F14:G14)</f>
        <v>5.1560000000000009E-3</v>
      </c>
      <c r="I14" s="203">
        <f>ROUND(D14*F14,0)</f>
        <v>3791</v>
      </c>
      <c r="J14" s="203">
        <f>ROUND(D14*G14,0)</f>
        <v>10850</v>
      </c>
      <c r="K14" s="203"/>
      <c r="L14" s="203">
        <v>0</v>
      </c>
      <c r="M14" s="203">
        <f t="shared" si="7"/>
        <v>14641</v>
      </c>
      <c r="O14" s="202">
        <f>+'Proposed Sch 142'!I16</f>
        <v>1.524E-3</v>
      </c>
      <c r="P14" s="202"/>
      <c r="Q14" s="535">
        <f t="shared" si="8"/>
        <v>4327</v>
      </c>
      <c r="S14" s="535">
        <f t="shared" si="9"/>
        <v>536</v>
      </c>
    </row>
    <row r="15" spans="1:19">
      <c r="A15" s="504">
        <f t="shared" si="1"/>
        <v>9</v>
      </c>
      <c r="B15" s="504">
        <v>12</v>
      </c>
      <c r="C15" s="4"/>
      <c r="D15" s="551">
        <v>0</v>
      </c>
      <c r="E15" s="9"/>
      <c r="F15" s="202"/>
      <c r="G15" s="202"/>
      <c r="H15" s="202"/>
      <c r="I15" s="203">
        <f>ROUND(D15*H15,0)</f>
        <v>0</v>
      </c>
      <c r="J15" s="203">
        <f>ROUND(E15*I15,0)</f>
        <v>0</v>
      </c>
      <c r="K15" s="203"/>
      <c r="L15" s="203">
        <v>0</v>
      </c>
      <c r="M15" s="203">
        <f t="shared" si="7"/>
        <v>0</v>
      </c>
      <c r="O15" s="202">
        <f>+'Proposed Sch 142'!I17</f>
        <v>3.0400000000000002E-4</v>
      </c>
      <c r="P15" s="202"/>
      <c r="Q15" s="535">
        <f t="shared" si="8"/>
        <v>0</v>
      </c>
      <c r="S15" s="535">
        <f t="shared" si="9"/>
        <v>0</v>
      </c>
    </row>
    <row r="16" spans="1:19">
      <c r="A16" s="504">
        <f t="shared" si="1"/>
        <v>10</v>
      </c>
      <c r="B16" s="504" t="s">
        <v>17</v>
      </c>
      <c r="D16" s="551">
        <f>+'GRC Tax Reform Impacts'!C14</f>
        <v>1892055</v>
      </c>
      <c r="E16" s="9">
        <f>+'[4]Tariff 26'!$D$30+'[4]Tariff 26P'!$D$17</f>
        <v>4604530</v>
      </c>
      <c r="F16" s="202">
        <f>+'Compliance Sch 142'!G17</f>
        <v>-0.17</v>
      </c>
      <c r="G16" s="202">
        <f>+'Compliance Sch 142'!H17</f>
        <v>1.3399999999999999</v>
      </c>
      <c r="H16" s="202">
        <f>SUM(F16:G16)</f>
        <v>1.17</v>
      </c>
      <c r="I16" s="203">
        <f>ROUND(E16*F16,0)/1000</f>
        <v>-782.77</v>
      </c>
      <c r="J16" s="203">
        <f>ROUND(E16*G16,0)/1000</f>
        <v>6170.07</v>
      </c>
      <c r="K16" s="203"/>
      <c r="L16" s="203">
        <v>0</v>
      </c>
      <c r="M16" s="203">
        <f t="shared" si="7"/>
        <v>5387.2999999999993</v>
      </c>
      <c r="O16" s="202">
        <f>+'Proposed Sch 142'!I18</f>
        <v>3.0400000000000002E-4</v>
      </c>
      <c r="P16" s="202">
        <f>+'Proposed Sch 142'!I20</f>
        <v>-0.09</v>
      </c>
      <c r="Q16" s="535">
        <f>ROUND(D16*O16+P16*E16/1000,0)</f>
        <v>161</v>
      </c>
      <c r="S16" s="535">
        <f t="shared" si="9"/>
        <v>943.77</v>
      </c>
    </row>
    <row r="17" spans="1:19">
      <c r="A17" s="504">
        <f t="shared" si="1"/>
        <v>11</v>
      </c>
      <c r="B17" s="504">
        <v>29</v>
      </c>
      <c r="C17" s="4"/>
      <c r="D17" s="9">
        <f>+'GRC Tax Reform Impacts'!C15</f>
        <v>14327</v>
      </c>
      <c r="E17" s="9"/>
      <c r="F17" s="202">
        <f>+F14</f>
        <v>1.335E-3</v>
      </c>
      <c r="G17" s="202">
        <f>+G14</f>
        <v>3.8210000000000006E-3</v>
      </c>
      <c r="H17" s="202">
        <f>SUM(F17:G17)</f>
        <v>5.1560000000000009E-3</v>
      </c>
      <c r="I17" s="203">
        <f>ROUND(D17*F17,0)</f>
        <v>19</v>
      </c>
      <c r="J17" s="203">
        <f>ROUND(D17*G17,0)</f>
        <v>55</v>
      </c>
      <c r="K17" s="203"/>
      <c r="L17" s="203">
        <v>0</v>
      </c>
      <c r="M17" s="203">
        <f t="shared" si="7"/>
        <v>74</v>
      </c>
      <c r="O17" s="202">
        <f>+'Proposed Sch 142'!I21</f>
        <v>1.524E-3</v>
      </c>
      <c r="P17" s="202"/>
      <c r="Q17" s="535">
        <f t="shared" ref="Q17" si="10">ROUND(D17*O17+P17*E17/1000,0)</f>
        <v>22</v>
      </c>
      <c r="S17" s="535">
        <f t="shared" si="9"/>
        <v>3</v>
      </c>
    </row>
    <row r="18" spans="1:19">
      <c r="A18" s="504">
        <f t="shared" si="1"/>
        <v>12</v>
      </c>
      <c r="B18" s="504"/>
      <c r="C18" s="12" t="s">
        <v>18</v>
      </c>
      <c r="D18" s="13">
        <f>SUM(D11:D17)</f>
        <v>7533425</v>
      </c>
      <c r="E18" s="13">
        <f>SUM(E11:E17)</f>
        <v>4604530</v>
      </c>
      <c r="F18" s="9"/>
      <c r="G18" s="9"/>
      <c r="H18" s="9"/>
      <c r="I18" s="205">
        <f t="shared" ref="I18:K18" si="11">SUM(I11:I17)</f>
        <v>6748.23</v>
      </c>
      <c r="J18" s="205">
        <f t="shared" si="11"/>
        <v>27726.07</v>
      </c>
      <c r="K18" s="205">
        <f t="shared" si="11"/>
        <v>0</v>
      </c>
      <c r="L18" s="205">
        <f t="shared" ref="L18" si="12">SUM(L11:L17)</f>
        <v>0</v>
      </c>
      <c r="M18" s="205">
        <f t="shared" ref="M18" si="13">SUM(M11:M17)</f>
        <v>34474.300000000003</v>
      </c>
      <c r="O18" s="551"/>
      <c r="P18" s="551"/>
      <c r="Q18" s="536">
        <f t="shared" ref="Q18" si="14">SUM(Q11:Q17)</f>
        <v>8326</v>
      </c>
      <c r="S18" s="536">
        <f t="shared" ref="S18" si="15">SUM(S11:S17)</f>
        <v>1577.77</v>
      </c>
    </row>
    <row r="19" spans="1:19">
      <c r="A19" s="504">
        <f t="shared" si="1"/>
        <v>13</v>
      </c>
      <c r="B19" s="504"/>
      <c r="C19" s="4"/>
      <c r="D19" s="9"/>
      <c r="E19" s="9"/>
      <c r="F19" s="202"/>
      <c r="G19" s="202"/>
      <c r="H19" s="202"/>
      <c r="I19" s="203"/>
      <c r="J19" s="203"/>
      <c r="K19" s="203"/>
      <c r="L19" s="203"/>
      <c r="M19" s="203"/>
      <c r="O19" s="202"/>
      <c r="P19" s="202"/>
      <c r="Q19" s="535"/>
      <c r="S19" s="535"/>
    </row>
    <row r="20" spans="1:19">
      <c r="A20" s="504">
        <f t="shared" si="1"/>
        <v>14</v>
      </c>
      <c r="B20" s="504">
        <v>10</v>
      </c>
      <c r="D20" s="551"/>
      <c r="E20" s="9"/>
      <c r="F20" s="202"/>
      <c r="G20" s="202"/>
      <c r="H20" s="202"/>
      <c r="I20" s="203">
        <f>ROUND(D20*H20,0)</f>
        <v>0</v>
      </c>
      <c r="J20" s="203">
        <f>ROUND(E20*I20,0)</f>
        <v>0</v>
      </c>
      <c r="K20" s="203"/>
      <c r="L20" s="203">
        <v>0</v>
      </c>
      <c r="M20" s="203">
        <f>SUM(I20:L20)</f>
        <v>0</v>
      </c>
      <c r="O20" s="202"/>
      <c r="P20" s="202"/>
      <c r="Q20" s="535">
        <f t="shared" ref="Q20:Q23" si="16">ROUND(D20*O20+P20*E20/1000,0)</f>
        <v>0</v>
      </c>
      <c r="S20" s="535">
        <f t="shared" ref="S20:S23" si="17">+Q20-I20</f>
        <v>0</v>
      </c>
    </row>
    <row r="21" spans="1:19">
      <c r="A21" s="504">
        <f t="shared" si="1"/>
        <v>15</v>
      </c>
      <c r="B21" s="504">
        <v>31</v>
      </c>
      <c r="C21" s="4"/>
      <c r="D21" s="551">
        <f>+'GRC Tax Reform Impacts'!C18</f>
        <v>1284402</v>
      </c>
      <c r="E21" s="9">
        <f>+'[4]Tariff 31'!$D$22</f>
        <v>3277620</v>
      </c>
      <c r="F21" s="202">
        <f>+'Compliance Sch 142'!G20</f>
        <v>-0.04</v>
      </c>
      <c r="G21" s="202">
        <f>+'Compliance Sch 142'!H20</f>
        <v>1.169999999999999</v>
      </c>
      <c r="H21" s="202">
        <f>SUM(F21:G21)</f>
        <v>1.129999999999999</v>
      </c>
      <c r="I21" s="203">
        <f>ROUND(E21*F21,0)/1000</f>
        <v>-131.10499999999999</v>
      </c>
      <c r="J21" s="203">
        <f>ROUND(E21*G21,0)/1000</f>
        <v>3834.8150000000001</v>
      </c>
      <c r="K21" s="203"/>
      <c r="L21" s="203">
        <v>0</v>
      </c>
      <c r="M21" s="203">
        <f>SUM(I21:L21)</f>
        <v>3703.71</v>
      </c>
      <c r="O21" s="202">
        <f>+'Proposed Sch 142'!I25</f>
        <v>1.5300000000000001E-4</v>
      </c>
      <c r="P21" s="202">
        <f>+'Proposed Sch 142'!I26</f>
        <v>-0.11</v>
      </c>
      <c r="Q21" s="535">
        <f t="shared" si="16"/>
        <v>-164</v>
      </c>
      <c r="S21" s="535">
        <f t="shared" si="17"/>
        <v>-32.89500000000001</v>
      </c>
    </row>
    <row r="22" spans="1:19">
      <c r="A22" s="504">
        <f t="shared" si="1"/>
        <v>16</v>
      </c>
      <c r="B22" s="504">
        <v>35</v>
      </c>
      <c r="C22" s="4"/>
      <c r="D22" s="9">
        <f>+'GRC Tax Reform Impacts'!C19</f>
        <v>4453</v>
      </c>
      <c r="E22" s="9"/>
      <c r="F22" s="202">
        <f>+'Compliance Sch 142'!G14</f>
        <v>1.335E-3</v>
      </c>
      <c r="G22" s="202">
        <f>+'Compliance Sch 142'!H14</f>
        <v>3.8210000000000006E-3</v>
      </c>
      <c r="H22" s="202">
        <f t="shared" ref="H22:H23" si="18">SUM(F22:G22)</f>
        <v>5.1560000000000009E-3</v>
      </c>
      <c r="I22" s="203">
        <f>ROUND(D22*F22,0)</f>
        <v>6</v>
      </c>
      <c r="J22" s="203">
        <f>ROUND(D22*G22,0)</f>
        <v>17</v>
      </c>
      <c r="K22" s="203"/>
      <c r="L22" s="203">
        <v>0</v>
      </c>
      <c r="M22" s="203">
        <f>SUM(I22:L22)</f>
        <v>23</v>
      </c>
      <c r="O22" s="202">
        <f>+'Proposed Sch 142'!I28</f>
        <v>1.524E-3</v>
      </c>
      <c r="P22" s="202"/>
      <c r="Q22" s="535">
        <f t="shared" si="16"/>
        <v>7</v>
      </c>
      <c r="S22" s="535">
        <f t="shared" si="17"/>
        <v>1</v>
      </c>
    </row>
    <row r="23" spans="1:19">
      <c r="A23" s="504">
        <f t="shared" si="1"/>
        <v>17</v>
      </c>
      <c r="B23" s="504">
        <v>43</v>
      </c>
      <c r="C23" s="4"/>
      <c r="D23" s="9">
        <f>+'GRC Tax Reform Impacts'!C20</f>
        <v>119660</v>
      </c>
      <c r="E23" s="9"/>
      <c r="F23" s="202">
        <f>+F22</f>
        <v>1.335E-3</v>
      </c>
      <c r="G23" s="202">
        <f>+G22</f>
        <v>3.8210000000000006E-3</v>
      </c>
      <c r="H23" s="202">
        <f t="shared" si="18"/>
        <v>5.1560000000000009E-3</v>
      </c>
      <c r="I23" s="203">
        <f>ROUND(D23*F23,0)</f>
        <v>160</v>
      </c>
      <c r="J23" s="203">
        <f>ROUND(D23*G23,0)</f>
        <v>457</v>
      </c>
      <c r="K23" s="203"/>
      <c r="L23" s="203">
        <v>0</v>
      </c>
      <c r="M23" s="203">
        <f>SUM(I23:L23)</f>
        <v>617</v>
      </c>
      <c r="O23" s="202">
        <f>+'Proposed Sch 142'!I29</f>
        <v>1.524E-3</v>
      </c>
      <c r="P23" s="202"/>
      <c r="Q23" s="535">
        <f t="shared" si="16"/>
        <v>182</v>
      </c>
      <c r="S23" s="535">
        <f t="shared" si="17"/>
        <v>22</v>
      </c>
    </row>
    <row r="24" spans="1:19">
      <c r="A24" s="504">
        <f t="shared" si="1"/>
        <v>18</v>
      </c>
      <c r="B24" s="504"/>
      <c r="C24" s="4" t="s">
        <v>19</v>
      </c>
      <c r="D24" s="13">
        <f>SUM(D20:D23)</f>
        <v>1408515</v>
      </c>
      <c r="E24" s="13">
        <f>SUM(E20:E23)</f>
        <v>3277620</v>
      </c>
      <c r="F24" s="9"/>
      <c r="G24" s="9"/>
      <c r="H24" s="9"/>
      <c r="I24" s="205">
        <f t="shared" ref="I24:K24" si="19">SUM(I20:I23)</f>
        <v>34.89500000000001</v>
      </c>
      <c r="J24" s="205">
        <f t="shared" si="19"/>
        <v>4308.8150000000005</v>
      </c>
      <c r="K24" s="205">
        <f t="shared" si="19"/>
        <v>0</v>
      </c>
      <c r="L24" s="205">
        <f t="shared" ref="L24" si="20">SUM(L20:L23)</f>
        <v>0</v>
      </c>
      <c r="M24" s="205">
        <f t="shared" ref="M24" si="21">SUM(M20:M23)</f>
        <v>4343.71</v>
      </c>
      <c r="O24" s="551"/>
      <c r="P24" s="551"/>
      <c r="Q24" s="536">
        <f t="shared" ref="Q24" si="22">SUM(Q20:Q23)</f>
        <v>25</v>
      </c>
      <c r="S24" s="536">
        <f t="shared" ref="S24" si="23">SUM(S20:S23)</f>
        <v>-9.8950000000000102</v>
      </c>
    </row>
    <row r="25" spans="1:19">
      <c r="A25" s="504">
        <f t="shared" si="1"/>
        <v>19</v>
      </c>
      <c r="B25" s="504"/>
      <c r="C25" s="4"/>
      <c r="D25" s="9"/>
      <c r="E25" s="9"/>
      <c r="F25" s="202"/>
      <c r="G25" s="202"/>
      <c r="H25" s="202"/>
      <c r="I25" s="203"/>
      <c r="J25" s="203"/>
      <c r="K25" s="203"/>
      <c r="L25" s="203"/>
      <c r="M25" s="203"/>
      <c r="O25" s="202"/>
      <c r="P25" s="202"/>
      <c r="Q25" s="535"/>
      <c r="S25" s="535"/>
    </row>
    <row r="26" spans="1:19">
      <c r="A26" s="504">
        <f t="shared" si="1"/>
        <v>20</v>
      </c>
      <c r="B26" s="504">
        <v>40</v>
      </c>
      <c r="C26" s="4"/>
      <c r="D26" s="13">
        <f>+'GRC Tax Reform Impacts'!C23</f>
        <v>621679</v>
      </c>
      <c r="E26" s="9"/>
      <c r="F26" s="202">
        <f>+F23</f>
        <v>1.335E-3</v>
      </c>
      <c r="G26" s="202">
        <f>+G23</f>
        <v>3.8210000000000006E-3</v>
      </c>
      <c r="H26" s="202">
        <f>SUM(F26:G26)</f>
        <v>5.1560000000000009E-3</v>
      </c>
      <c r="I26" s="205">
        <f>ROUND(D26*F26,0)</f>
        <v>830</v>
      </c>
      <c r="J26" s="205">
        <f>ROUND(D26*G26,0)</f>
        <v>2375</v>
      </c>
      <c r="K26" s="205">
        <f>-SUM(I43:J43)</f>
        <v>68.323999999985972</v>
      </c>
      <c r="L26" s="205">
        <v>0</v>
      </c>
      <c r="M26" s="205">
        <f>SUM(I26:L26)</f>
        <v>3273.323999999986</v>
      </c>
      <c r="O26" s="202">
        <f>+'Proposed Sch 142'!I32</f>
        <v>1.9119999999999999E-3</v>
      </c>
      <c r="P26" s="202"/>
      <c r="Q26" s="535">
        <f>ROUND(D26*O26+P26*E26/1000,0)</f>
        <v>1189</v>
      </c>
      <c r="S26" s="535">
        <f>+Q26-I26</f>
        <v>359</v>
      </c>
    </row>
    <row r="27" spans="1:19">
      <c r="A27" s="504">
        <f t="shared" si="1"/>
        <v>21</v>
      </c>
      <c r="B27" s="504"/>
      <c r="C27" s="4"/>
      <c r="D27" s="9"/>
      <c r="E27" s="9"/>
      <c r="F27" s="202"/>
      <c r="G27" s="202"/>
      <c r="H27" s="202"/>
      <c r="I27" s="203"/>
      <c r="J27" s="203"/>
      <c r="K27" s="203"/>
      <c r="L27" s="203"/>
      <c r="M27" s="203"/>
      <c r="O27" s="202"/>
      <c r="P27" s="202"/>
      <c r="Q27" s="535"/>
      <c r="S27" s="535"/>
    </row>
    <row r="28" spans="1:19">
      <c r="A28" s="504">
        <f t="shared" si="1"/>
        <v>22</v>
      </c>
      <c r="B28" s="504">
        <v>46</v>
      </c>
      <c r="C28" s="4"/>
      <c r="D28" s="9">
        <f>+'GRC Tax Reform Impacts'!C25</f>
        <v>64275</v>
      </c>
      <c r="E28" s="9"/>
      <c r="F28" s="202">
        <f>+F26</f>
        <v>1.335E-3</v>
      </c>
      <c r="G28" s="202">
        <f>+G26</f>
        <v>3.8210000000000006E-3</v>
      </c>
      <c r="H28" s="202">
        <f t="shared" ref="H28:H29" si="24">SUM(F28:G28)</f>
        <v>5.1560000000000009E-3</v>
      </c>
      <c r="I28" s="203">
        <f>ROUND(D28*F28,0)</f>
        <v>86</v>
      </c>
      <c r="J28" s="203">
        <f>ROUND(D28*G28,0)</f>
        <v>246</v>
      </c>
      <c r="K28" s="203"/>
      <c r="L28" s="203">
        <v>0</v>
      </c>
      <c r="M28" s="203">
        <f>SUM(I28:L28)</f>
        <v>332</v>
      </c>
      <c r="O28" s="202">
        <f>+'Proposed Sch 142'!I34</f>
        <v>1.418E-3</v>
      </c>
      <c r="P28" s="202"/>
      <c r="Q28" s="535">
        <f t="shared" ref="Q28:Q29" si="25">ROUND(D28*O28+P28*E28/1000,0)</f>
        <v>91</v>
      </c>
      <c r="S28" s="535">
        <f t="shared" ref="S28:S29" si="26">+Q28-I28</f>
        <v>5</v>
      </c>
    </row>
    <row r="29" spans="1:19">
      <c r="A29" s="504">
        <f t="shared" si="1"/>
        <v>23</v>
      </c>
      <c r="B29" s="504">
        <v>49</v>
      </c>
      <c r="C29" s="4"/>
      <c r="D29" s="9">
        <f>+'GRC Tax Reform Impacts'!C26</f>
        <v>567984</v>
      </c>
      <c r="E29" s="9"/>
      <c r="F29" s="202">
        <f>+F28</f>
        <v>1.335E-3</v>
      </c>
      <c r="G29" s="202">
        <f>+G28</f>
        <v>3.8210000000000006E-3</v>
      </c>
      <c r="H29" s="202">
        <f t="shared" si="24"/>
        <v>5.1560000000000009E-3</v>
      </c>
      <c r="I29" s="203">
        <f>ROUND(D29*F29,0)</f>
        <v>758</v>
      </c>
      <c r="J29" s="203">
        <f>ROUND(D29*G29,0)</f>
        <v>2170</v>
      </c>
      <c r="K29" s="203"/>
      <c r="L29" s="203">
        <v>0</v>
      </c>
      <c r="M29" s="203">
        <f>SUM(I29:L29)</f>
        <v>2928</v>
      </c>
      <c r="O29" s="202">
        <f>+'Proposed Sch 142'!I35</f>
        <v>1.418E-3</v>
      </c>
      <c r="P29" s="202"/>
      <c r="Q29" s="535">
        <f t="shared" si="25"/>
        <v>805</v>
      </c>
      <c r="S29" s="535">
        <f t="shared" si="26"/>
        <v>47</v>
      </c>
    </row>
    <row r="30" spans="1:19">
      <c r="A30" s="504">
        <f t="shared" si="1"/>
        <v>24</v>
      </c>
      <c r="B30" s="504"/>
      <c r="C30" s="4" t="s">
        <v>20</v>
      </c>
      <c r="D30" s="13">
        <f>SUM(D28:D29)</f>
        <v>632259</v>
      </c>
      <c r="E30" s="9"/>
      <c r="F30" s="9"/>
      <c r="G30" s="9"/>
      <c r="H30" s="9"/>
      <c r="I30" s="205">
        <f t="shared" ref="I30:K30" si="27">SUM(I28:I29)</f>
        <v>844</v>
      </c>
      <c r="J30" s="205">
        <f t="shared" si="27"/>
        <v>2416</v>
      </c>
      <c r="K30" s="205">
        <f t="shared" si="27"/>
        <v>0</v>
      </c>
      <c r="L30" s="205">
        <f t="shared" ref="L30" si="28">SUM(L28:L29)</f>
        <v>0</v>
      </c>
      <c r="M30" s="205">
        <f t="shared" ref="M30" si="29">SUM(M28:M29)</f>
        <v>3260</v>
      </c>
      <c r="O30" s="551"/>
      <c r="P30" s="551"/>
      <c r="Q30" s="536">
        <f t="shared" ref="Q30" si="30">SUM(Q28:Q29)</f>
        <v>896</v>
      </c>
      <c r="S30" s="536">
        <f t="shared" ref="S30" si="31">SUM(S28:S29)</f>
        <v>52</v>
      </c>
    </row>
    <row r="31" spans="1:19">
      <c r="A31" s="504">
        <f t="shared" si="1"/>
        <v>25</v>
      </c>
      <c r="B31" s="504"/>
      <c r="C31" s="4"/>
      <c r="D31" s="9"/>
      <c r="E31" s="9"/>
      <c r="F31" s="202"/>
      <c r="G31" s="202"/>
      <c r="H31" s="202"/>
      <c r="I31" s="203"/>
      <c r="J31" s="203"/>
      <c r="K31" s="203"/>
      <c r="L31" s="203"/>
      <c r="M31" s="203"/>
      <c r="O31" s="202"/>
      <c r="P31" s="202"/>
      <c r="Q31" s="535"/>
      <c r="S31" s="535"/>
    </row>
    <row r="32" spans="1:19">
      <c r="A32" s="504">
        <f t="shared" si="1"/>
        <v>26</v>
      </c>
      <c r="B32" s="504" t="s">
        <v>21</v>
      </c>
      <c r="C32" s="4"/>
      <c r="D32" s="13">
        <f>+'GRC Tax Reform Impacts'!C29</f>
        <v>77972</v>
      </c>
      <c r="E32" s="9"/>
      <c r="F32" s="9"/>
      <c r="G32" s="9"/>
      <c r="H32" s="9"/>
      <c r="I32" s="205">
        <f>ROUND(D32*H32,0)</f>
        <v>0</v>
      </c>
      <c r="J32" s="205">
        <f>ROUND(E32*I32,0)</f>
        <v>0</v>
      </c>
      <c r="K32" s="205"/>
      <c r="L32" s="205">
        <f>ROUND('Sch 142 Rate Plan Lights'!H196,-3)/1000</f>
        <v>1738</v>
      </c>
      <c r="M32" s="205">
        <f>SUM(I32:L32)</f>
        <v>1738</v>
      </c>
      <c r="O32" s="551"/>
      <c r="P32" s="551"/>
      <c r="Q32" s="535">
        <f>ROUND(D32*O32+P32*E32/1000,0)</f>
        <v>0</v>
      </c>
      <c r="S32" s="535">
        <f>+Q32-I32</f>
        <v>0</v>
      </c>
    </row>
    <row r="33" spans="1:19">
      <c r="A33" s="504">
        <f t="shared" si="1"/>
        <v>27</v>
      </c>
      <c r="B33" s="504"/>
      <c r="C33" s="4"/>
      <c r="D33" s="9"/>
      <c r="E33" s="9"/>
      <c r="F33" s="9"/>
      <c r="G33" s="9"/>
      <c r="H33" s="9"/>
      <c r="I33" s="203"/>
      <c r="J33" s="203"/>
      <c r="K33" s="203"/>
      <c r="L33" s="203"/>
      <c r="M33" s="203"/>
      <c r="O33" s="551"/>
      <c r="P33" s="551"/>
      <c r="Q33" s="535"/>
      <c r="S33" s="535"/>
    </row>
    <row r="34" spans="1:19">
      <c r="A34" s="504">
        <f t="shared" si="1"/>
        <v>28</v>
      </c>
      <c r="B34" s="504" t="s">
        <v>22</v>
      </c>
      <c r="C34" s="4"/>
      <c r="D34" s="13">
        <f>+'GRC Tax Reform Impacts'!C31</f>
        <v>2098104</v>
      </c>
      <c r="E34" s="9"/>
      <c r="F34" s="9"/>
      <c r="G34" s="9"/>
      <c r="H34" s="9"/>
      <c r="I34" s="205">
        <f>ROUND(D34*H34,0)</f>
        <v>0</v>
      </c>
      <c r="J34" s="205">
        <f>ROUND(E34*I34,0)</f>
        <v>0</v>
      </c>
      <c r="K34" s="205"/>
      <c r="L34" s="205">
        <f>ROUND('Sch 142 Rate Plan Sch 449'!D24,-3)/1000</f>
        <v>179</v>
      </c>
      <c r="M34" s="205">
        <f>SUM(I34:L34)</f>
        <v>179</v>
      </c>
      <c r="O34" s="551"/>
      <c r="P34" s="551"/>
      <c r="Q34" s="535">
        <f>ROUND(D34*O34+P34*E34/1000,0)</f>
        <v>0</v>
      </c>
      <c r="S34" s="535">
        <f>+Q34-I34</f>
        <v>0</v>
      </c>
    </row>
    <row r="35" spans="1:19">
      <c r="A35" s="504">
        <f t="shared" si="1"/>
        <v>29</v>
      </c>
      <c r="B35" s="504"/>
      <c r="C35" s="4"/>
      <c r="D35" s="9"/>
      <c r="E35" s="9"/>
      <c r="F35" s="9"/>
      <c r="G35" s="9"/>
      <c r="H35" s="9"/>
      <c r="I35" s="203"/>
      <c r="J35" s="203"/>
      <c r="K35" s="203"/>
      <c r="L35" s="203"/>
      <c r="M35" s="203"/>
      <c r="O35" s="551"/>
      <c r="P35" s="551"/>
      <c r="Q35" s="535"/>
      <c r="S35" s="535"/>
    </row>
    <row r="36" spans="1:19" ht="13.8" thickBot="1">
      <c r="A36" s="504">
        <f t="shared" si="1"/>
        <v>30</v>
      </c>
      <c r="B36" s="504"/>
      <c r="C36" s="12" t="s">
        <v>98</v>
      </c>
      <c r="D36" s="14">
        <f>SUM(D9,D18,D24,D26,D30,D32,D34)</f>
        <v>22814380</v>
      </c>
      <c r="E36" s="14">
        <f>SUM(E9,E18,E24,E26,E30,E32,E34)</f>
        <v>7882150</v>
      </c>
      <c r="F36" s="9"/>
      <c r="G36" s="9"/>
      <c r="H36" s="9"/>
      <c r="I36" s="208">
        <f t="shared" ref="I36:K36" si="32">SUM(I9,I18,I24,I26,I30,I32,I34)</f>
        <v>20998.125</v>
      </c>
      <c r="J36" s="208">
        <f t="shared" si="32"/>
        <v>120396.88500000001</v>
      </c>
      <c r="K36" s="208">
        <f t="shared" si="32"/>
        <v>68.323999999985972</v>
      </c>
      <c r="L36" s="208">
        <f t="shared" ref="L36" si="33">SUM(L9,L18,L24,L26,L30,L32,L34)</f>
        <v>1917</v>
      </c>
      <c r="M36" s="208">
        <f t="shared" ref="M36" si="34">SUM(M9,M18,M24,M26,M30,M32,M34)</f>
        <v>143380.334</v>
      </c>
      <c r="O36" s="551"/>
      <c r="P36" s="551"/>
      <c r="Q36" s="208">
        <f t="shared" ref="Q36" si="35">SUM(Q9,Q18,Q24,Q26,Q30,Q32,Q34)</f>
        <v>-1343</v>
      </c>
      <c r="S36" s="208">
        <f t="shared" ref="S36" si="36">SUM(S9,S18,S24,S26,S30,S32,S34)</f>
        <v>-22341.125</v>
      </c>
    </row>
    <row r="37" spans="1:19" ht="13.8" thickTop="1">
      <c r="A37" s="504">
        <f t="shared" si="1"/>
        <v>31</v>
      </c>
      <c r="B37" s="504"/>
      <c r="E37" s="9"/>
      <c r="F37" s="9"/>
      <c r="G37" s="9"/>
      <c r="H37" s="9"/>
      <c r="I37" s="203"/>
      <c r="J37" s="203"/>
      <c r="K37" s="203"/>
      <c r="L37" s="203"/>
      <c r="M37" s="203"/>
      <c r="O37" s="551"/>
      <c r="P37" s="551"/>
      <c r="Q37" s="535"/>
      <c r="S37" s="535"/>
    </row>
    <row r="38" spans="1:19">
      <c r="A38" s="504">
        <f t="shared" si="1"/>
        <v>32</v>
      </c>
      <c r="B38" s="504">
        <v>5</v>
      </c>
      <c r="C38" s="1" t="s">
        <v>99</v>
      </c>
      <c r="D38" s="9">
        <f>+'GRC Tax Reform Impacts'!C35</f>
        <v>6930</v>
      </c>
      <c r="E38" s="9"/>
      <c r="F38" s="9"/>
      <c r="G38" s="9"/>
      <c r="H38" s="9"/>
      <c r="I38" s="205">
        <f>ROUND(D38*H38,0)</f>
        <v>0</v>
      </c>
      <c r="J38" s="205">
        <f>ROUND(E38*I38,0)</f>
        <v>0</v>
      </c>
      <c r="K38" s="205"/>
      <c r="L38" s="205">
        <v>0</v>
      </c>
      <c r="M38" s="205">
        <f>SUM(I38:L38)</f>
        <v>0</v>
      </c>
      <c r="O38" s="551"/>
      <c r="P38" s="551"/>
      <c r="Q38" s="535">
        <f>ROUND(D38*O38+P38*E38/1000,0)</f>
        <v>0</v>
      </c>
      <c r="S38" s="535">
        <f>+Q38-I38</f>
        <v>0</v>
      </c>
    </row>
    <row r="39" spans="1:19">
      <c r="A39" s="504">
        <f t="shared" si="1"/>
        <v>33</v>
      </c>
      <c r="B39" s="504"/>
      <c r="E39" s="9"/>
      <c r="I39" s="203"/>
      <c r="J39" s="203"/>
      <c r="K39" s="203"/>
      <c r="L39" s="203"/>
      <c r="M39" s="203"/>
      <c r="Q39" s="535"/>
      <c r="S39" s="535"/>
    </row>
    <row r="40" spans="1:19" ht="13.8" thickBot="1">
      <c r="A40" s="504">
        <f t="shared" si="1"/>
        <v>34</v>
      </c>
      <c r="B40" s="504"/>
      <c r="C40" s="12" t="s">
        <v>100</v>
      </c>
      <c r="D40" s="14">
        <f>SUM(D36,D38)</f>
        <v>22821310</v>
      </c>
      <c r="E40" s="9"/>
      <c r="I40" s="208">
        <f t="shared" ref="I40:K40" si="37">SUM(I36,I38)</f>
        <v>20998.125</v>
      </c>
      <c r="J40" s="208">
        <f t="shared" si="37"/>
        <v>120396.88500000001</v>
      </c>
      <c r="K40" s="208">
        <f t="shared" si="37"/>
        <v>68.323999999985972</v>
      </c>
      <c r="L40" s="208">
        <f t="shared" ref="L40" si="38">SUM(L36,L38)</f>
        <v>1917</v>
      </c>
      <c r="M40" s="208">
        <f t="shared" ref="M40" si="39">SUM(M36,M38)</f>
        <v>143380.334</v>
      </c>
      <c r="Q40" s="208">
        <f t="shared" ref="Q40" si="40">SUM(Q36,Q38)</f>
        <v>-1343</v>
      </c>
      <c r="S40" s="208">
        <f t="shared" ref="S40" si="41">SUM(S36,S38)</f>
        <v>-22341.125</v>
      </c>
    </row>
    <row r="41" spans="1:19" ht="13.8" thickTop="1">
      <c r="E41" s="9"/>
    </row>
    <row r="42" spans="1:19">
      <c r="C42" s="1" t="s">
        <v>641</v>
      </c>
      <c r="E42" s="9"/>
      <c r="I42" s="86">
        <v>21075.112000000001</v>
      </c>
      <c r="J42" s="86">
        <v>120388.22199999999</v>
      </c>
      <c r="L42" s="1">
        <v>1917</v>
      </c>
      <c r="M42" s="86">
        <v>143380.334</v>
      </c>
    </row>
    <row r="43" spans="1:19">
      <c r="C43" s="553" t="s">
        <v>642</v>
      </c>
      <c r="E43" s="9"/>
      <c r="I43" s="86">
        <f>+I40-I42</f>
        <v>-76.98700000000099</v>
      </c>
      <c r="J43" s="86">
        <f>+J40-J42</f>
        <v>8.6630000000150176</v>
      </c>
      <c r="M43" s="86">
        <f>+M40-M42</f>
        <v>0</v>
      </c>
    </row>
    <row r="44" spans="1:19">
      <c r="E44" s="9"/>
    </row>
    <row r="45" spans="1:19">
      <c r="E45" s="9"/>
    </row>
    <row r="46" spans="1:19">
      <c r="E46" s="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1" header="0.3" footer="0.3"/>
  <pageSetup scale="79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210"/>
  <sheetViews>
    <sheetView workbookViewId="0">
      <pane xSplit="4" ySplit="7" topLeftCell="E8" activePane="bottomRight" state="frozen"/>
      <selection pane="topRight"/>
      <selection pane="bottomLeft"/>
      <selection pane="bottomRight" activeCell="E8" sqref="E8"/>
    </sheetView>
  </sheetViews>
  <sheetFormatPr defaultRowHeight="14.4"/>
  <cols>
    <col min="1" max="1" width="7.77734375" style="165" bestFit="1" customWidth="1"/>
    <col min="2" max="2" width="5.6640625" style="165" bestFit="1" customWidth="1"/>
    <col min="3" max="3" width="14.21875" style="165" bestFit="1" customWidth="1"/>
    <col min="4" max="4" width="20.5546875" style="165" bestFit="1" customWidth="1"/>
    <col min="5" max="5" width="13.109375" style="533" bestFit="1" customWidth="1"/>
    <col min="6" max="6" width="8.88671875" style="165"/>
    <col min="7" max="7" width="10.6640625" style="165" customWidth="1"/>
    <col min="8" max="8" width="11.44140625" style="165" bestFit="1" customWidth="1"/>
    <col min="9" max="9" width="9.21875" style="165" customWidth="1"/>
    <col min="10" max="16384" width="8.88671875" style="165"/>
  </cols>
  <sheetData>
    <row r="1" spans="1:8">
      <c r="A1" s="630" t="s">
        <v>327</v>
      </c>
      <c r="B1" s="630"/>
      <c r="C1" s="630"/>
      <c r="D1" s="630"/>
      <c r="E1" s="630"/>
      <c r="F1" s="630"/>
    </row>
    <row r="2" spans="1:8">
      <c r="A2" s="630" t="s">
        <v>328</v>
      </c>
      <c r="B2" s="630"/>
      <c r="C2" s="630"/>
      <c r="D2" s="630"/>
      <c r="E2" s="630"/>
      <c r="F2" s="630"/>
    </row>
    <row r="3" spans="1:8">
      <c r="A3" s="630" t="s">
        <v>329</v>
      </c>
      <c r="B3" s="630"/>
      <c r="C3" s="630"/>
      <c r="D3" s="630"/>
      <c r="E3" s="630"/>
      <c r="F3" s="630"/>
    </row>
    <row r="4" spans="1:8">
      <c r="A4" s="631" t="s">
        <v>330</v>
      </c>
      <c r="B4" s="630"/>
      <c r="C4" s="630"/>
      <c r="D4" s="630"/>
      <c r="E4" s="630"/>
      <c r="F4" s="630"/>
    </row>
    <row r="5" spans="1:8">
      <c r="A5" s="318"/>
      <c r="B5" s="318"/>
      <c r="C5" s="318"/>
      <c r="D5" s="318"/>
      <c r="E5" s="529"/>
      <c r="F5" s="318"/>
    </row>
    <row r="7" spans="1:8" ht="43.2">
      <c r="A7" s="319" t="s">
        <v>3</v>
      </c>
      <c r="B7" s="319" t="s">
        <v>4</v>
      </c>
      <c r="C7" s="319" t="s">
        <v>331</v>
      </c>
      <c r="D7" s="319" t="s">
        <v>332</v>
      </c>
      <c r="E7" s="530" t="s">
        <v>333</v>
      </c>
      <c r="F7" s="319"/>
      <c r="G7" s="320" t="s">
        <v>344</v>
      </c>
      <c r="H7" s="320" t="s">
        <v>345</v>
      </c>
    </row>
    <row r="8" spans="1:8">
      <c r="A8" s="294">
        <v>1</v>
      </c>
      <c r="B8" s="294">
        <v>50</v>
      </c>
      <c r="C8" s="165" t="s">
        <v>334</v>
      </c>
      <c r="D8" s="165" t="s">
        <v>454</v>
      </c>
      <c r="E8" s="531">
        <v>59</v>
      </c>
      <c r="G8" s="321">
        <v>9.9999999999999978E-2</v>
      </c>
      <c r="H8" s="317">
        <f t="shared" ref="H8:H15" si="0">ROUND(+$E8*G8*12,0)</f>
        <v>71</v>
      </c>
    </row>
    <row r="9" spans="1:8">
      <c r="A9" s="294">
        <f>+A8+1</f>
        <v>2</v>
      </c>
      <c r="B9" s="294">
        <f>+B8</f>
        <v>50</v>
      </c>
      <c r="C9" s="165" t="str">
        <f>+C8</f>
        <v>Lamp</v>
      </c>
      <c r="D9" s="165" t="s">
        <v>455</v>
      </c>
      <c r="E9" s="531">
        <v>13</v>
      </c>
      <c r="G9" s="321">
        <v>0.45999999999999996</v>
      </c>
      <c r="H9" s="317">
        <f t="shared" si="0"/>
        <v>72</v>
      </c>
    </row>
    <row r="10" spans="1:8">
      <c r="A10" s="294">
        <f t="shared" ref="A10:A73" si="1">+A9+1</f>
        <v>3</v>
      </c>
      <c r="B10" s="294">
        <f t="shared" ref="B10:C15" si="2">+B9</f>
        <v>50</v>
      </c>
      <c r="C10" s="165" t="str">
        <f t="shared" si="2"/>
        <v>Lamp</v>
      </c>
      <c r="D10" s="165" t="s">
        <v>456</v>
      </c>
      <c r="E10" s="531">
        <v>19</v>
      </c>
      <c r="G10" s="321">
        <v>0.77000000000000046</v>
      </c>
      <c r="H10" s="317">
        <f t="shared" si="0"/>
        <v>176</v>
      </c>
    </row>
    <row r="11" spans="1:8">
      <c r="A11" s="294">
        <f t="shared" si="1"/>
        <v>4</v>
      </c>
      <c r="B11" s="294">
        <f t="shared" si="2"/>
        <v>50</v>
      </c>
      <c r="C11" s="165" t="str">
        <f t="shared" si="2"/>
        <v>Lamp</v>
      </c>
      <c r="D11" s="165" t="s">
        <v>457</v>
      </c>
      <c r="E11" s="531">
        <v>22</v>
      </c>
      <c r="G11" s="321">
        <v>1.7099999999999991</v>
      </c>
      <c r="H11" s="317">
        <f t="shared" si="0"/>
        <v>451</v>
      </c>
    </row>
    <row r="12" spans="1:8">
      <c r="A12" s="294">
        <f t="shared" si="1"/>
        <v>5</v>
      </c>
      <c r="B12" s="294">
        <f t="shared" si="2"/>
        <v>50</v>
      </c>
      <c r="C12" s="165" t="str">
        <f t="shared" si="2"/>
        <v>Lamp</v>
      </c>
      <c r="D12" s="165" t="s">
        <v>458</v>
      </c>
      <c r="E12" s="531">
        <v>1</v>
      </c>
      <c r="G12" s="321">
        <v>0</v>
      </c>
      <c r="H12" s="317">
        <f t="shared" si="0"/>
        <v>0</v>
      </c>
    </row>
    <row r="13" spans="1:8">
      <c r="A13" s="294">
        <f t="shared" si="1"/>
        <v>6</v>
      </c>
      <c r="B13" s="294">
        <f t="shared" si="2"/>
        <v>50</v>
      </c>
      <c r="C13" s="165" t="str">
        <f t="shared" si="2"/>
        <v>Lamp</v>
      </c>
      <c r="D13" s="165" t="s">
        <v>459</v>
      </c>
      <c r="E13" s="531">
        <v>1</v>
      </c>
      <c r="G13" s="321">
        <v>0.66999999999999993</v>
      </c>
      <c r="H13" s="317">
        <f t="shared" si="0"/>
        <v>8</v>
      </c>
    </row>
    <row r="14" spans="1:8">
      <c r="A14" s="294">
        <f t="shared" si="1"/>
        <v>7</v>
      </c>
      <c r="B14" s="294">
        <f t="shared" si="2"/>
        <v>50</v>
      </c>
      <c r="C14" s="165" t="str">
        <f t="shared" si="2"/>
        <v>Lamp</v>
      </c>
      <c r="D14" s="165" t="s">
        <v>460</v>
      </c>
      <c r="E14" s="531">
        <v>36</v>
      </c>
      <c r="G14" s="321">
        <v>0.99000000000000021</v>
      </c>
      <c r="H14" s="317">
        <f t="shared" si="0"/>
        <v>428</v>
      </c>
    </row>
    <row r="15" spans="1:8">
      <c r="A15" s="294">
        <f t="shared" si="1"/>
        <v>8</v>
      </c>
      <c r="B15" s="294">
        <f t="shared" si="2"/>
        <v>50</v>
      </c>
      <c r="C15" s="165" t="str">
        <f t="shared" si="2"/>
        <v>Lamp</v>
      </c>
      <c r="D15" s="165" t="s">
        <v>461</v>
      </c>
      <c r="E15" s="531">
        <v>44</v>
      </c>
      <c r="G15" s="321">
        <v>1.9299999999999997</v>
      </c>
      <c r="H15" s="317">
        <f t="shared" si="0"/>
        <v>1019</v>
      </c>
    </row>
    <row r="16" spans="1:8">
      <c r="A16" s="322">
        <f>+A15+1</f>
        <v>9</v>
      </c>
      <c r="B16" s="322"/>
      <c r="C16" s="323"/>
      <c r="D16" s="323" t="s">
        <v>23</v>
      </c>
      <c r="E16" s="532">
        <f>SUM(E8:E15)</f>
        <v>195</v>
      </c>
      <c r="H16" s="324">
        <f t="shared" ref="H16" si="3">SUM(H8:H15)</f>
        <v>2225</v>
      </c>
    </row>
    <row r="17" spans="1:8">
      <c r="A17" s="294">
        <f t="shared" si="1"/>
        <v>10</v>
      </c>
      <c r="B17" s="294"/>
      <c r="E17" s="531"/>
    </row>
    <row r="18" spans="1:8">
      <c r="A18" s="294">
        <f t="shared" si="1"/>
        <v>11</v>
      </c>
      <c r="B18" s="294">
        <v>51</v>
      </c>
      <c r="C18" s="165" t="str">
        <f>+C15</f>
        <v>Lamp</v>
      </c>
      <c r="D18" s="165" t="s">
        <v>462</v>
      </c>
      <c r="E18" s="531">
        <v>6</v>
      </c>
      <c r="G18" s="321">
        <v>0.13000000000000012</v>
      </c>
      <c r="H18" s="317">
        <f t="shared" ref="H18:H45" si="4">ROUND(+$E18*G18*12,0)</f>
        <v>9</v>
      </c>
    </row>
    <row r="19" spans="1:8">
      <c r="A19" s="294">
        <f t="shared" si="1"/>
        <v>12</v>
      </c>
      <c r="B19" s="294">
        <f>+B18</f>
        <v>51</v>
      </c>
      <c r="C19" s="165" t="str">
        <f>+C18</f>
        <v>Lamp</v>
      </c>
      <c r="D19" s="165" t="s">
        <v>463</v>
      </c>
      <c r="E19" s="531">
        <v>23</v>
      </c>
      <c r="G19" s="321">
        <v>0.15000000000000013</v>
      </c>
      <c r="H19" s="317">
        <f t="shared" si="4"/>
        <v>41</v>
      </c>
    </row>
    <row r="20" spans="1:8">
      <c r="A20" s="294">
        <f t="shared" si="1"/>
        <v>13</v>
      </c>
      <c r="B20" s="294">
        <f t="shared" ref="B20:C35" si="5">+B19</f>
        <v>51</v>
      </c>
      <c r="C20" s="165" t="str">
        <f t="shared" si="5"/>
        <v>Lamp</v>
      </c>
      <c r="D20" s="165" t="s">
        <v>464</v>
      </c>
      <c r="E20" s="531">
        <v>45</v>
      </c>
      <c r="G20" s="321">
        <v>0.14999999999999991</v>
      </c>
      <c r="H20" s="317">
        <f t="shared" si="4"/>
        <v>81</v>
      </c>
    </row>
    <row r="21" spans="1:8">
      <c r="A21" s="294">
        <f t="shared" si="1"/>
        <v>14</v>
      </c>
      <c r="B21" s="294">
        <f t="shared" si="5"/>
        <v>51</v>
      </c>
      <c r="C21" s="165" t="str">
        <f t="shared" si="5"/>
        <v>Lamp</v>
      </c>
      <c r="D21" s="165" t="s">
        <v>465</v>
      </c>
      <c r="E21" s="531">
        <v>21</v>
      </c>
      <c r="G21" s="321">
        <v>0.19999999999999996</v>
      </c>
      <c r="H21" s="317">
        <f t="shared" si="4"/>
        <v>50</v>
      </c>
    </row>
    <row r="22" spans="1:8">
      <c r="A22" s="294">
        <f t="shared" si="1"/>
        <v>15</v>
      </c>
      <c r="B22" s="294">
        <f t="shared" si="5"/>
        <v>51</v>
      </c>
      <c r="C22" s="165" t="str">
        <f t="shared" si="5"/>
        <v>Lamp</v>
      </c>
      <c r="D22" s="165" t="s">
        <v>466</v>
      </c>
      <c r="E22" s="531">
        <v>412</v>
      </c>
      <c r="G22" s="321">
        <v>0.19999999999999996</v>
      </c>
      <c r="H22" s="317">
        <f t="shared" si="4"/>
        <v>989</v>
      </c>
    </row>
    <row r="23" spans="1:8">
      <c r="A23" s="294">
        <f t="shared" si="1"/>
        <v>16</v>
      </c>
      <c r="B23" s="294">
        <f t="shared" si="5"/>
        <v>51</v>
      </c>
      <c r="C23" s="165" t="str">
        <f t="shared" si="5"/>
        <v>Lamp</v>
      </c>
      <c r="D23" s="165" t="s">
        <v>467</v>
      </c>
      <c r="E23" s="531">
        <v>35</v>
      </c>
      <c r="G23" s="321">
        <v>0.22999999999999998</v>
      </c>
      <c r="H23" s="317">
        <f t="shared" si="4"/>
        <v>97</v>
      </c>
    </row>
    <row r="24" spans="1:8">
      <c r="A24" s="294">
        <f t="shared" si="1"/>
        <v>17</v>
      </c>
      <c r="B24" s="294">
        <f t="shared" si="5"/>
        <v>51</v>
      </c>
      <c r="C24" s="165" t="str">
        <f t="shared" si="5"/>
        <v>Lamp</v>
      </c>
      <c r="D24" s="165" t="s">
        <v>468</v>
      </c>
      <c r="E24" s="531">
        <v>27</v>
      </c>
      <c r="G24" s="321">
        <v>0.25</v>
      </c>
      <c r="H24" s="317">
        <f t="shared" si="4"/>
        <v>81</v>
      </c>
    </row>
    <row r="25" spans="1:8">
      <c r="A25" s="294">
        <f t="shared" si="1"/>
        <v>18</v>
      </c>
      <c r="B25" s="294">
        <f t="shared" si="5"/>
        <v>51</v>
      </c>
      <c r="C25" s="165" t="str">
        <f t="shared" si="5"/>
        <v>Lamp</v>
      </c>
      <c r="D25" s="165" t="s">
        <v>469</v>
      </c>
      <c r="E25" s="531">
        <v>7</v>
      </c>
      <c r="G25" s="321">
        <v>0.25999999999999979</v>
      </c>
      <c r="H25" s="317">
        <f t="shared" si="4"/>
        <v>22</v>
      </c>
    </row>
    <row r="26" spans="1:8">
      <c r="A26" s="294">
        <f t="shared" si="1"/>
        <v>19</v>
      </c>
      <c r="B26" s="294">
        <f t="shared" si="5"/>
        <v>51</v>
      </c>
      <c r="C26" s="165" t="str">
        <f t="shared" si="5"/>
        <v>Lamp</v>
      </c>
      <c r="D26" s="165" t="s">
        <v>470</v>
      </c>
      <c r="E26" s="531">
        <v>212</v>
      </c>
      <c r="G26" s="321">
        <v>0.29999999999999982</v>
      </c>
      <c r="H26" s="317">
        <f t="shared" si="4"/>
        <v>763</v>
      </c>
    </row>
    <row r="27" spans="1:8">
      <c r="A27" s="294">
        <f t="shared" si="1"/>
        <v>20</v>
      </c>
      <c r="B27" s="294">
        <f t="shared" si="5"/>
        <v>51</v>
      </c>
      <c r="C27" s="165" t="str">
        <f t="shared" si="5"/>
        <v>Lamp</v>
      </c>
      <c r="D27" s="165" t="s">
        <v>471</v>
      </c>
      <c r="E27" s="531">
        <v>14</v>
      </c>
      <c r="G27" s="321">
        <v>0.29999999999999982</v>
      </c>
      <c r="H27" s="317">
        <f t="shared" si="4"/>
        <v>50</v>
      </c>
    </row>
    <row r="28" spans="1:8">
      <c r="A28" s="294">
        <f t="shared" si="1"/>
        <v>21</v>
      </c>
      <c r="B28" s="294">
        <f t="shared" si="5"/>
        <v>51</v>
      </c>
      <c r="C28" s="165" t="str">
        <f t="shared" si="5"/>
        <v>Lamp</v>
      </c>
      <c r="D28" s="165" t="s">
        <v>472</v>
      </c>
      <c r="E28" s="531">
        <v>25</v>
      </c>
      <c r="G28" s="321">
        <v>0.34999999999999964</v>
      </c>
      <c r="H28" s="317">
        <f t="shared" si="4"/>
        <v>105</v>
      </c>
    </row>
    <row r="29" spans="1:8">
      <c r="A29" s="294">
        <f t="shared" si="1"/>
        <v>22</v>
      </c>
      <c r="B29" s="294">
        <f t="shared" si="5"/>
        <v>51</v>
      </c>
      <c r="C29" s="165" t="str">
        <f t="shared" si="5"/>
        <v>Lamp</v>
      </c>
      <c r="D29" s="165" t="s">
        <v>473</v>
      </c>
      <c r="E29" s="531">
        <v>61</v>
      </c>
      <c r="G29" s="321">
        <v>0.35999999999999988</v>
      </c>
      <c r="H29" s="317">
        <f t="shared" si="4"/>
        <v>264</v>
      </c>
    </row>
    <row r="30" spans="1:8">
      <c r="A30" s="294">
        <f t="shared" si="1"/>
        <v>23</v>
      </c>
      <c r="B30" s="294">
        <f t="shared" si="5"/>
        <v>51</v>
      </c>
      <c r="C30" s="165" t="str">
        <f t="shared" si="5"/>
        <v>Lamp</v>
      </c>
      <c r="D30" s="165" t="s">
        <v>474</v>
      </c>
      <c r="E30" s="531">
        <v>63</v>
      </c>
      <c r="G30" s="321">
        <v>0.39000000000000012</v>
      </c>
      <c r="H30" s="317">
        <f t="shared" si="4"/>
        <v>295</v>
      </c>
    </row>
    <row r="31" spans="1:8">
      <c r="A31" s="294">
        <f t="shared" si="1"/>
        <v>24</v>
      </c>
      <c r="B31" s="294">
        <f t="shared" si="5"/>
        <v>51</v>
      </c>
      <c r="C31" s="165" t="str">
        <f t="shared" si="5"/>
        <v>Lamp</v>
      </c>
      <c r="D31" s="165" t="s">
        <v>475</v>
      </c>
      <c r="E31" s="531">
        <v>37</v>
      </c>
      <c r="G31" s="321">
        <v>0.40000000000000036</v>
      </c>
      <c r="H31" s="317">
        <f t="shared" si="4"/>
        <v>178</v>
      </c>
    </row>
    <row r="32" spans="1:8">
      <c r="A32" s="294">
        <f t="shared" si="1"/>
        <v>25</v>
      </c>
      <c r="B32" s="294">
        <f t="shared" si="5"/>
        <v>51</v>
      </c>
      <c r="C32" s="165" t="str">
        <f t="shared" si="5"/>
        <v>Lamp</v>
      </c>
      <c r="D32" s="165" t="s">
        <v>476</v>
      </c>
      <c r="E32" s="531">
        <v>3</v>
      </c>
      <c r="G32" s="321">
        <v>0.43000000000000016</v>
      </c>
      <c r="H32" s="317">
        <f t="shared" si="4"/>
        <v>15</v>
      </c>
    </row>
    <row r="33" spans="1:8">
      <c r="A33" s="294">
        <f t="shared" si="1"/>
        <v>26</v>
      </c>
      <c r="B33" s="294">
        <f t="shared" si="5"/>
        <v>51</v>
      </c>
      <c r="C33" s="165" t="str">
        <f t="shared" si="5"/>
        <v>Lamp</v>
      </c>
      <c r="D33" s="165" t="s">
        <v>477</v>
      </c>
      <c r="E33" s="531">
        <v>26</v>
      </c>
      <c r="G33" s="321">
        <v>0.50999999999999979</v>
      </c>
      <c r="H33" s="317">
        <f t="shared" si="4"/>
        <v>159</v>
      </c>
    </row>
    <row r="34" spans="1:8">
      <c r="A34" s="294">
        <f t="shared" si="1"/>
        <v>27</v>
      </c>
      <c r="B34" s="294">
        <f t="shared" si="5"/>
        <v>51</v>
      </c>
      <c r="C34" s="165" t="str">
        <f t="shared" si="5"/>
        <v>Lamp</v>
      </c>
      <c r="D34" s="165" t="s">
        <v>478</v>
      </c>
      <c r="E34" s="531">
        <v>4</v>
      </c>
      <c r="G34" s="321">
        <v>0.53000000000000025</v>
      </c>
      <c r="H34" s="317">
        <f t="shared" si="4"/>
        <v>25</v>
      </c>
    </row>
    <row r="35" spans="1:8">
      <c r="A35" s="294">
        <f t="shared" si="1"/>
        <v>28</v>
      </c>
      <c r="B35" s="294">
        <f t="shared" si="5"/>
        <v>51</v>
      </c>
      <c r="C35" s="165" t="str">
        <f t="shared" si="5"/>
        <v>Lamp</v>
      </c>
      <c r="D35" s="165" t="s">
        <v>479</v>
      </c>
      <c r="E35" s="531">
        <v>31</v>
      </c>
      <c r="G35" s="321">
        <v>0.53999999999999915</v>
      </c>
      <c r="H35" s="317">
        <f t="shared" si="4"/>
        <v>201</v>
      </c>
    </row>
    <row r="36" spans="1:8">
      <c r="A36" s="294">
        <f t="shared" si="1"/>
        <v>29</v>
      </c>
      <c r="B36" s="294">
        <f t="shared" ref="B36:C45" si="6">+B35</f>
        <v>51</v>
      </c>
      <c r="C36" s="165" t="str">
        <f t="shared" si="6"/>
        <v>Lamp</v>
      </c>
      <c r="D36" s="165" t="s">
        <v>480</v>
      </c>
      <c r="E36" s="531">
        <v>37</v>
      </c>
      <c r="G36" s="321">
        <v>0.58000000000000007</v>
      </c>
      <c r="H36" s="317">
        <f t="shared" si="4"/>
        <v>258</v>
      </c>
    </row>
    <row r="37" spans="1:8">
      <c r="A37" s="294">
        <f t="shared" si="1"/>
        <v>30</v>
      </c>
      <c r="B37" s="294">
        <f t="shared" si="6"/>
        <v>51</v>
      </c>
      <c r="C37" s="165" t="str">
        <f t="shared" si="6"/>
        <v>Lamp</v>
      </c>
      <c r="D37" s="165" t="s">
        <v>481</v>
      </c>
      <c r="E37" s="531">
        <v>1</v>
      </c>
      <c r="G37" s="321">
        <v>0.61000000000000032</v>
      </c>
      <c r="H37" s="317">
        <f t="shared" si="4"/>
        <v>7</v>
      </c>
    </row>
    <row r="38" spans="1:8">
      <c r="A38" s="294">
        <f t="shared" si="1"/>
        <v>31</v>
      </c>
      <c r="B38" s="294">
        <f t="shared" si="6"/>
        <v>51</v>
      </c>
      <c r="C38" s="165" t="str">
        <f t="shared" si="6"/>
        <v>Lamp</v>
      </c>
      <c r="D38" s="165" t="s">
        <v>482</v>
      </c>
      <c r="E38" s="531">
        <v>10</v>
      </c>
      <c r="G38" s="321">
        <v>0.62000000000000011</v>
      </c>
      <c r="H38" s="317">
        <f t="shared" si="4"/>
        <v>74</v>
      </c>
    </row>
    <row r="39" spans="1:8">
      <c r="A39" s="294">
        <f t="shared" si="1"/>
        <v>32</v>
      </c>
      <c r="B39" s="294">
        <f t="shared" si="6"/>
        <v>51</v>
      </c>
      <c r="C39" s="165" t="str">
        <f t="shared" si="6"/>
        <v>Lamp</v>
      </c>
      <c r="D39" s="165" t="s">
        <v>483</v>
      </c>
      <c r="E39" s="531">
        <v>4</v>
      </c>
      <c r="G39" s="321">
        <v>0.66999999999999993</v>
      </c>
      <c r="H39" s="317">
        <f t="shared" si="4"/>
        <v>32</v>
      </c>
    </row>
    <row r="40" spans="1:8">
      <c r="A40" s="294">
        <f t="shared" si="1"/>
        <v>33</v>
      </c>
      <c r="B40" s="294">
        <f t="shared" si="6"/>
        <v>51</v>
      </c>
      <c r="C40" s="165" t="str">
        <f t="shared" si="6"/>
        <v>Lamp</v>
      </c>
      <c r="D40" s="165" t="s">
        <v>484</v>
      </c>
      <c r="E40" s="531">
        <v>1</v>
      </c>
      <c r="G40" s="321">
        <v>0.71</v>
      </c>
      <c r="H40" s="317">
        <f t="shared" si="4"/>
        <v>9</v>
      </c>
    </row>
    <row r="41" spans="1:8">
      <c r="A41" s="294">
        <f t="shared" si="1"/>
        <v>34</v>
      </c>
      <c r="B41" s="294">
        <f t="shared" si="6"/>
        <v>51</v>
      </c>
      <c r="C41" s="165" t="str">
        <f t="shared" si="6"/>
        <v>Lamp</v>
      </c>
      <c r="D41" s="165" t="s">
        <v>485</v>
      </c>
      <c r="E41" s="531">
        <v>75</v>
      </c>
      <c r="G41" s="321">
        <v>0.77999999999999936</v>
      </c>
      <c r="H41" s="317">
        <f t="shared" si="4"/>
        <v>702</v>
      </c>
    </row>
    <row r="42" spans="1:8">
      <c r="A42" s="294">
        <f t="shared" si="1"/>
        <v>35</v>
      </c>
      <c r="B42" s="294">
        <f t="shared" si="6"/>
        <v>51</v>
      </c>
      <c r="C42" s="165" t="str">
        <f t="shared" si="6"/>
        <v>Lamp</v>
      </c>
      <c r="D42" s="165" t="s">
        <v>486</v>
      </c>
      <c r="E42" s="531">
        <v>17</v>
      </c>
      <c r="G42" s="321">
        <v>0.80000000000000071</v>
      </c>
      <c r="H42" s="317">
        <f t="shared" si="4"/>
        <v>163</v>
      </c>
    </row>
    <row r="43" spans="1:8">
      <c r="A43" s="294">
        <f t="shared" si="1"/>
        <v>36</v>
      </c>
      <c r="B43" s="294">
        <f t="shared" si="6"/>
        <v>51</v>
      </c>
      <c r="C43" s="165" t="str">
        <f t="shared" si="6"/>
        <v>Lamp</v>
      </c>
      <c r="D43" s="165" t="s">
        <v>487</v>
      </c>
      <c r="E43" s="531">
        <v>6</v>
      </c>
      <c r="G43" s="321">
        <v>0.82000000000000028</v>
      </c>
      <c r="H43" s="317">
        <f t="shared" si="4"/>
        <v>59</v>
      </c>
    </row>
    <row r="44" spans="1:8">
      <c r="A44" s="294">
        <f t="shared" si="1"/>
        <v>37</v>
      </c>
      <c r="B44" s="294">
        <f t="shared" si="6"/>
        <v>51</v>
      </c>
      <c r="C44" s="165" t="str">
        <f t="shared" si="6"/>
        <v>Lamp</v>
      </c>
      <c r="D44" s="165" t="s">
        <v>488</v>
      </c>
      <c r="E44" s="531">
        <v>21</v>
      </c>
      <c r="G44" s="321">
        <v>1.0199999999999996</v>
      </c>
      <c r="H44" s="317">
        <f t="shared" si="4"/>
        <v>257</v>
      </c>
    </row>
    <row r="45" spans="1:8">
      <c r="A45" s="294">
        <f t="shared" si="1"/>
        <v>38</v>
      </c>
      <c r="B45" s="294">
        <f t="shared" si="6"/>
        <v>51</v>
      </c>
      <c r="C45" s="165" t="str">
        <f t="shared" si="6"/>
        <v>Lamp</v>
      </c>
      <c r="D45" s="165" t="s">
        <v>489</v>
      </c>
      <c r="E45" s="531">
        <v>17</v>
      </c>
      <c r="G45" s="321">
        <v>1.1099999999999994</v>
      </c>
      <c r="H45" s="317">
        <f t="shared" si="4"/>
        <v>226</v>
      </c>
    </row>
    <row r="46" spans="1:8">
      <c r="A46" s="322">
        <f>+A45+1</f>
        <v>39</v>
      </c>
      <c r="B46" s="322"/>
      <c r="C46" s="323"/>
      <c r="D46" s="323" t="s">
        <v>23</v>
      </c>
      <c r="E46" s="532">
        <f>SUM(E18:E45)</f>
        <v>1241</v>
      </c>
      <c r="G46" s="321"/>
      <c r="H46" s="324">
        <f t="shared" ref="H46" si="7">SUM(H18:H45)</f>
        <v>5212</v>
      </c>
    </row>
    <row r="47" spans="1:8">
      <c r="A47" s="294">
        <f t="shared" si="1"/>
        <v>40</v>
      </c>
      <c r="B47" s="294"/>
      <c r="E47" s="531"/>
      <c r="G47" s="321"/>
    </row>
    <row r="48" spans="1:8">
      <c r="A48" s="294">
        <f t="shared" si="1"/>
        <v>41</v>
      </c>
      <c r="B48" s="294">
        <v>52</v>
      </c>
      <c r="C48" s="165" t="str">
        <f>+C45</f>
        <v>Lamp</v>
      </c>
      <c r="D48" s="165" t="s">
        <v>490</v>
      </c>
      <c r="E48" s="531">
        <v>713</v>
      </c>
      <c r="G48" s="321">
        <v>0.33000000000000007</v>
      </c>
      <c r="H48" s="317">
        <f t="shared" ref="H48:H61" si="8">ROUND(+$E48*G48*12,0)</f>
        <v>2823</v>
      </c>
    </row>
    <row r="49" spans="1:8">
      <c r="A49" s="294">
        <f t="shared" si="1"/>
        <v>42</v>
      </c>
      <c r="B49" s="294">
        <f>+B48</f>
        <v>52</v>
      </c>
      <c r="C49" s="165" t="str">
        <f>+C48</f>
        <v>Lamp</v>
      </c>
      <c r="D49" s="165" t="s">
        <v>491</v>
      </c>
      <c r="E49" s="531">
        <v>10587</v>
      </c>
      <c r="G49" s="321">
        <v>0.47000000000000064</v>
      </c>
      <c r="H49" s="317">
        <f t="shared" si="8"/>
        <v>59711</v>
      </c>
    </row>
    <row r="50" spans="1:8">
      <c r="A50" s="294">
        <f t="shared" si="1"/>
        <v>43</v>
      </c>
      <c r="B50" s="294">
        <f t="shared" ref="B50:C61" si="9">+B49</f>
        <v>52</v>
      </c>
      <c r="C50" s="165" t="str">
        <f t="shared" si="9"/>
        <v>Lamp</v>
      </c>
      <c r="D50" s="165" t="s">
        <v>492</v>
      </c>
      <c r="E50" s="531">
        <v>4812</v>
      </c>
      <c r="G50" s="321">
        <v>0.67999999999999972</v>
      </c>
      <c r="H50" s="317">
        <f t="shared" si="8"/>
        <v>39266</v>
      </c>
    </row>
    <row r="51" spans="1:8">
      <c r="A51" s="294">
        <f t="shared" si="1"/>
        <v>44</v>
      </c>
      <c r="B51" s="294">
        <f t="shared" si="9"/>
        <v>52</v>
      </c>
      <c r="C51" s="165" t="str">
        <f t="shared" si="9"/>
        <v>Lamp</v>
      </c>
      <c r="D51" s="165" t="s">
        <v>493</v>
      </c>
      <c r="E51" s="531">
        <v>1157</v>
      </c>
      <c r="G51" s="321">
        <v>0.90000000000000036</v>
      </c>
      <c r="H51" s="317">
        <f t="shared" si="8"/>
        <v>12496</v>
      </c>
    </row>
    <row r="52" spans="1:8">
      <c r="A52" s="294">
        <f t="shared" si="1"/>
        <v>45</v>
      </c>
      <c r="B52" s="294">
        <f t="shared" si="9"/>
        <v>52</v>
      </c>
      <c r="C52" s="165" t="str">
        <f t="shared" si="9"/>
        <v>Lamp</v>
      </c>
      <c r="D52" s="165" t="s">
        <v>494</v>
      </c>
      <c r="E52" s="531">
        <v>1495</v>
      </c>
      <c r="G52" s="321">
        <v>1.1100000000000012</v>
      </c>
      <c r="H52" s="317">
        <f t="shared" si="8"/>
        <v>19913</v>
      </c>
    </row>
    <row r="53" spans="1:8">
      <c r="A53" s="294">
        <f t="shared" si="1"/>
        <v>46</v>
      </c>
      <c r="B53" s="294">
        <f t="shared" si="9"/>
        <v>52</v>
      </c>
      <c r="C53" s="165" t="str">
        <f t="shared" si="9"/>
        <v>Lamp</v>
      </c>
      <c r="D53" s="165" t="s">
        <v>495</v>
      </c>
      <c r="E53" s="531">
        <v>152</v>
      </c>
      <c r="G53" s="321">
        <v>1.5199999999999996</v>
      </c>
      <c r="H53" s="317">
        <f t="shared" si="8"/>
        <v>2772</v>
      </c>
    </row>
    <row r="54" spans="1:8">
      <c r="A54" s="294">
        <f t="shared" si="1"/>
        <v>47</v>
      </c>
      <c r="B54" s="294">
        <f t="shared" si="9"/>
        <v>52</v>
      </c>
      <c r="C54" s="165" t="str">
        <f t="shared" si="9"/>
        <v>Lamp</v>
      </c>
      <c r="D54" s="165" t="s">
        <v>496</v>
      </c>
      <c r="E54" s="531">
        <v>611</v>
      </c>
      <c r="G54" s="321">
        <v>1.7400000000000002</v>
      </c>
      <c r="H54" s="317">
        <f t="shared" si="8"/>
        <v>12758</v>
      </c>
    </row>
    <row r="55" spans="1:8">
      <c r="A55" s="294">
        <f t="shared" si="1"/>
        <v>48</v>
      </c>
      <c r="B55" s="294">
        <f t="shared" si="9"/>
        <v>52</v>
      </c>
      <c r="C55" s="165" t="str">
        <f t="shared" si="9"/>
        <v>Lamp</v>
      </c>
      <c r="D55" s="165" t="s">
        <v>497</v>
      </c>
      <c r="E55" s="531">
        <v>65</v>
      </c>
      <c r="G55" s="321">
        <v>0.35000000000000009</v>
      </c>
      <c r="H55" s="317">
        <f t="shared" si="8"/>
        <v>273</v>
      </c>
    </row>
    <row r="56" spans="1:8">
      <c r="A56" s="294">
        <f t="shared" si="1"/>
        <v>49</v>
      </c>
      <c r="B56" s="294">
        <f t="shared" si="9"/>
        <v>52</v>
      </c>
      <c r="C56" s="165" t="str">
        <f t="shared" si="9"/>
        <v>Lamp</v>
      </c>
      <c r="D56" s="165" t="s">
        <v>498</v>
      </c>
      <c r="E56" s="531">
        <v>4</v>
      </c>
      <c r="G56" s="321">
        <v>0.45999999999999996</v>
      </c>
      <c r="H56" s="317">
        <f t="shared" si="8"/>
        <v>22</v>
      </c>
    </row>
    <row r="57" spans="1:8">
      <c r="A57" s="294">
        <f t="shared" si="1"/>
        <v>50</v>
      </c>
      <c r="B57" s="294">
        <f t="shared" si="9"/>
        <v>52</v>
      </c>
      <c r="C57" s="165" t="str">
        <f t="shared" si="9"/>
        <v>Lamp</v>
      </c>
      <c r="D57" s="165" t="s">
        <v>499</v>
      </c>
      <c r="E57" s="531">
        <v>204</v>
      </c>
      <c r="G57" s="321">
        <v>0.66000000000000014</v>
      </c>
      <c r="H57" s="317">
        <f t="shared" si="8"/>
        <v>1616</v>
      </c>
    </row>
    <row r="58" spans="1:8">
      <c r="A58" s="294">
        <f t="shared" si="1"/>
        <v>51</v>
      </c>
      <c r="B58" s="294">
        <f t="shared" si="9"/>
        <v>52</v>
      </c>
      <c r="C58" s="165" t="str">
        <f t="shared" si="9"/>
        <v>Lamp</v>
      </c>
      <c r="D58" s="165" t="s">
        <v>500</v>
      </c>
      <c r="E58" s="531">
        <v>222</v>
      </c>
      <c r="G58" s="321">
        <v>0.78000000000000025</v>
      </c>
      <c r="H58" s="317">
        <f t="shared" si="8"/>
        <v>2078</v>
      </c>
    </row>
    <row r="59" spans="1:8">
      <c r="A59" s="294">
        <f t="shared" si="1"/>
        <v>52</v>
      </c>
      <c r="B59" s="294">
        <f t="shared" si="9"/>
        <v>52</v>
      </c>
      <c r="C59" s="165" t="str">
        <f t="shared" si="9"/>
        <v>Lamp</v>
      </c>
      <c r="D59" s="165" t="s">
        <v>501</v>
      </c>
      <c r="E59" s="531">
        <v>61</v>
      </c>
      <c r="G59" s="321">
        <v>1.0600000000000005</v>
      </c>
      <c r="H59" s="317">
        <f t="shared" si="8"/>
        <v>776</v>
      </c>
    </row>
    <row r="60" spans="1:8">
      <c r="A60" s="294">
        <f t="shared" si="1"/>
        <v>53</v>
      </c>
      <c r="B60" s="294">
        <f t="shared" si="9"/>
        <v>52</v>
      </c>
      <c r="C60" s="165" t="str">
        <f t="shared" si="9"/>
        <v>Lamp</v>
      </c>
      <c r="D60" s="165" t="s">
        <v>502</v>
      </c>
      <c r="E60" s="531">
        <v>60</v>
      </c>
      <c r="G60" s="321">
        <v>1.67</v>
      </c>
      <c r="H60" s="317">
        <f t="shared" si="8"/>
        <v>1202</v>
      </c>
    </row>
    <row r="61" spans="1:8">
      <c r="A61" s="294">
        <f t="shared" si="1"/>
        <v>54</v>
      </c>
      <c r="B61" s="294">
        <f t="shared" si="9"/>
        <v>52</v>
      </c>
      <c r="C61" s="165" t="str">
        <f t="shared" si="9"/>
        <v>Lamp</v>
      </c>
      <c r="D61" s="165" t="s">
        <v>503</v>
      </c>
      <c r="E61" s="531">
        <v>18</v>
      </c>
      <c r="G61" s="321">
        <v>3.9799999999999969</v>
      </c>
      <c r="H61" s="317">
        <f t="shared" si="8"/>
        <v>860</v>
      </c>
    </row>
    <row r="62" spans="1:8">
      <c r="A62" s="322">
        <f>+A61+1</f>
        <v>55</v>
      </c>
      <c r="B62" s="322"/>
      <c r="C62" s="323"/>
      <c r="D62" s="323" t="s">
        <v>23</v>
      </c>
      <c r="E62" s="532">
        <f>SUM(E48:E61)</f>
        <v>20161</v>
      </c>
      <c r="G62" s="321"/>
      <c r="H62" s="324">
        <f t="shared" ref="H62" si="10">SUM(H48:H61)</f>
        <v>156566</v>
      </c>
    </row>
    <row r="63" spans="1:8">
      <c r="A63" s="294">
        <f t="shared" si="1"/>
        <v>56</v>
      </c>
      <c r="B63" s="294"/>
      <c r="E63" s="531"/>
    </row>
    <row r="64" spans="1:8">
      <c r="A64" s="294">
        <f t="shared" si="1"/>
        <v>57</v>
      </c>
      <c r="B64" s="294">
        <v>53</v>
      </c>
      <c r="C64" s="165" t="str">
        <f>+C60</f>
        <v>Lamp</v>
      </c>
      <c r="D64" s="165" t="s">
        <v>504</v>
      </c>
      <c r="E64" s="531">
        <v>8</v>
      </c>
      <c r="G64" s="321">
        <v>1.0199999999999996</v>
      </c>
      <c r="H64" s="317">
        <f t="shared" ref="H64:H95" si="11">ROUND(+$E64*G64*12,0)</f>
        <v>98</v>
      </c>
    </row>
    <row r="65" spans="1:8">
      <c r="A65" s="294">
        <f t="shared" si="1"/>
        <v>58</v>
      </c>
      <c r="B65" s="294">
        <f t="shared" ref="B65:C80" si="12">+B64</f>
        <v>53</v>
      </c>
      <c r="C65" s="165" t="str">
        <f t="shared" si="12"/>
        <v>Lamp</v>
      </c>
      <c r="D65" s="165" t="s">
        <v>505</v>
      </c>
      <c r="E65" s="531">
        <v>5846</v>
      </c>
      <c r="G65" s="321">
        <v>1.1600000000000001</v>
      </c>
      <c r="H65" s="317">
        <f t="shared" si="11"/>
        <v>81376</v>
      </c>
    </row>
    <row r="66" spans="1:8">
      <c r="A66" s="294">
        <f t="shared" si="1"/>
        <v>59</v>
      </c>
      <c r="B66" s="294">
        <f t="shared" si="12"/>
        <v>53</v>
      </c>
      <c r="C66" s="165" t="str">
        <f t="shared" si="12"/>
        <v>Lamp</v>
      </c>
      <c r="D66" s="165" t="s">
        <v>506</v>
      </c>
      <c r="E66" s="531">
        <v>41723</v>
      </c>
      <c r="G66" s="321">
        <v>1.3100000000000005</v>
      </c>
      <c r="H66" s="317">
        <f t="shared" si="11"/>
        <v>655886</v>
      </c>
    </row>
    <row r="67" spans="1:8">
      <c r="A67" s="294">
        <f t="shared" si="1"/>
        <v>60</v>
      </c>
      <c r="B67" s="294">
        <f t="shared" si="12"/>
        <v>53</v>
      </c>
      <c r="C67" s="165" t="str">
        <f t="shared" si="12"/>
        <v>Lamp</v>
      </c>
      <c r="D67" s="165" t="s">
        <v>507</v>
      </c>
      <c r="E67" s="531">
        <v>5463</v>
      </c>
      <c r="G67" s="321">
        <v>1.5500000000000007</v>
      </c>
      <c r="H67" s="317">
        <f t="shared" si="11"/>
        <v>101612</v>
      </c>
    </row>
    <row r="68" spans="1:8">
      <c r="A68" s="294">
        <f t="shared" si="1"/>
        <v>61</v>
      </c>
      <c r="B68" s="294">
        <f t="shared" si="12"/>
        <v>53</v>
      </c>
      <c r="C68" s="165" t="str">
        <f t="shared" si="12"/>
        <v>Lamp</v>
      </c>
      <c r="D68" s="165" t="s">
        <v>508</v>
      </c>
      <c r="E68" s="531">
        <v>6823</v>
      </c>
      <c r="G68" s="321">
        <v>1.870000000000001</v>
      </c>
      <c r="H68" s="317">
        <f t="shared" si="11"/>
        <v>153108</v>
      </c>
    </row>
    <row r="69" spans="1:8">
      <c r="A69" s="294">
        <f t="shared" si="1"/>
        <v>62</v>
      </c>
      <c r="B69" s="294">
        <f t="shared" si="12"/>
        <v>53</v>
      </c>
      <c r="C69" s="165" t="str">
        <f t="shared" si="12"/>
        <v>Lamp</v>
      </c>
      <c r="D69" s="165" t="s">
        <v>509</v>
      </c>
      <c r="E69" s="531">
        <v>2469</v>
      </c>
      <c r="G69" s="321">
        <v>2.0999999999999979</v>
      </c>
      <c r="H69" s="317">
        <f t="shared" si="11"/>
        <v>62219</v>
      </c>
    </row>
    <row r="70" spans="1:8">
      <c r="A70" s="294">
        <f t="shared" si="1"/>
        <v>63</v>
      </c>
      <c r="B70" s="294">
        <f t="shared" si="12"/>
        <v>53</v>
      </c>
      <c r="C70" s="165" t="str">
        <f t="shared" si="12"/>
        <v>Lamp</v>
      </c>
      <c r="D70" s="165" t="s">
        <v>510</v>
      </c>
      <c r="E70" s="531">
        <v>22</v>
      </c>
      <c r="G70" s="321">
        <v>2.4499999999999993</v>
      </c>
      <c r="H70" s="317">
        <f t="shared" si="11"/>
        <v>647</v>
      </c>
    </row>
    <row r="71" spans="1:8">
      <c r="A71" s="294">
        <f t="shared" si="1"/>
        <v>64</v>
      </c>
      <c r="B71" s="294">
        <f t="shared" si="12"/>
        <v>53</v>
      </c>
      <c r="C71" s="165" t="str">
        <f t="shared" si="12"/>
        <v>Lamp</v>
      </c>
      <c r="D71" s="165" t="s">
        <v>511</v>
      </c>
      <c r="E71" s="531">
        <v>1245</v>
      </c>
      <c r="G71" s="321">
        <v>2.84</v>
      </c>
      <c r="H71" s="317">
        <f t="shared" si="11"/>
        <v>42430</v>
      </c>
    </row>
    <row r="72" spans="1:8">
      <c r="A72" s="294">
        <f t="shared" si="1"/>
        <v>65</v>
      </c>
      <c r="B72" s="294">
        <f t="shared" si="12"/>
        <v>53</v>
      </c>
      <c r="C72" s="165" t="str">
        <f t="shared" si="12"/>
        <v>Lamp</v>
      </c>
      <c r="D72" s="165" t="s">
        <v>464</v>
      </c>
      <c r="E72" s="531">
        <v>2093</v>
      </c>
      <c r="G72" s="321">
        <v>0.88000000000000078</v>
      </c>
      <c r="H72" s="317">
        <f t="shared" si="11"/>
        <v>22102</v>
      </c>
    </row>
    <row r="73" spans="1:8">
      <c r="A73" s="294">
        <f t="shared" si="1"/>
        <v>66</v>
      </c>
      <c r="B73" s="294">
        <f t="shared" si="12"/>
        <v>53</v>
      </c>
      <c r="C73" s="165" t="str">
        <f t="shared" si="12"/>
        <v>Lamp</v>
      </c>
      <c r="D73" s="165" t="s">
        <v>465</v>
      </c>
      <c r="E73" s="531">
        <v>2</v>
      </c>
      <c r="G73" s="321">
        <v>0.90000000000000036</v>
      </c>
      <c r="H73" s="317">
        <f t="shared" si="11"/>
        <v>22</v>
      </c>
    </row>
    <row r="74" spans="1:8">
      <c r="A74" s="294">
        <f t="shared" ref="A74:A137" si="13">+A73+1</f>
        <v>67</v>
      </c>
      <c r="B74" s="294">
        <f t="shared" si="12"/>
        <v>53</v>
      </c>
      <c r="C74" s="165" t="str">
        <f t="shared" si="12"/>
        <v>Lamp</v>
      </c>
      <c r="D74" s="165" t="s">
        <v>466</v>
      </c>
      <c r="E74" s="531">
        <v>7387</v>
      </c>
      <c r="G74" s="321">
        <v>0.91999999999999993</v>
      </c>
      <c r="H74" s="317">
        <f t="shared" si="11"/>
        <v>81552</v>
      </c>
    </row>
    <row r="75" spans="1:8">
      <c r="A75" s="294">
        <f t="shared" si="13"/>
        <v>68</v>
      </c>
      <c r="B75" s="294">
        <f t="shared" si="12"/>
        <v>53</v>
      </c>
      <c r="C75" s="165" t="str">
        <f t="shared" si="12"/>
        <v>Lamp</v>
      </c>
      <c r="D75" s="165" t="s">
        <v>467</v>
      </c>
      <c r="E75" s="531">
        <v>32</v>
      </c>
      <c r="G75" s="321">
        <v>0.9399999999999995</v>
      </c>
      <c r="H75" s="317">
        <f t="shared" si="11"/>
        <v>361</v>
      </c>
    </row>
    <row r="76" spans="1:8">
      <c r="A76" s="294">
        <f t="shared" si="13"/>
        <v>69</v>
      </c>
      <c r="B76" s="294">
        <f t="shared" si="12"/>
        <v>53</v>
      </c>
      <c r="C76" s="165" t="str">
        <f t="shared" si="12"/>
        <v>Lamp</v>
      </c>
      <c r="D76" s="165" t="s">
        <v>468</v>
      </c>
      <c r="E76" s="531">
        <v>22</v>
      </c>
      <c r="G76" s="321">
        <v>0.99000000000000021</v>
      </c>
      <c r="H76" s="317">
        <f t="shared" si="11"/>
        <v>261</v>
      </c>
    </row>
    <row r="77" spans="1:8">
      <c r="A77" s="294">
        <f t="shared" si="13"/>
        <v>70</v>
      </c>
      <c r="B77" s="294">
        <f t="shared" si="12"/>
        <v>53</v>
      </c>
      <c r="C77" s="165" t="str">
        <f t="shared" si="12"/>
        <v>Lamp</v>
      </c>
      <c r="D77" s="165" t="s">
        <v>469</v>
      </c>
      <c r="E77" s="531">
        <v>8</v>
      </c>
      <c r="G77" s="321">
        <v>1.0099999999999998</v>
      </c>
      <c r="H77" s="317">
        <f t="shared" si="11"/>
        <v>97</v>
      </c>
    </row>
    <row r="78" spans="1:8">
      <c r="A78" s="294">
        <f t="shared" si="13"/>
        <v>71</v>
      </c>
      <c r="B78" s="294">
        <f t="shared" si="12"/>
        <v>53</v>
      </c>
      <c r="C78" s="165" t="str">
        <f t="shared" si="12"/>
        <v>Lamp</v>
      </c>
      <c r="D78" s="165" t="s">
        <v>470</v>
      </c>
      <c r="E78" s="531">
        <v>16</v>
      </c>
      <c r="G78" s="321">
        <v>1.0299999999999994</v>
      </c>
      <c r="H78" s="317">
        <f t="shared" si="11"/>
        <v>198</v>
      </c>
    </row>
    <row r="79" spans="1:8">
      <c r="A79" s="294">
        <f t="shared" si="13"/>
        <v>72</v>
      </c>
      <c r="B79" s="294">
        <f t="shared" si="12"/>
        <v>53</v>
      </c>
      <c r="C79" s="165" t="str">
        <f t="shared" si="12"/>
        <v>Lamp</v>
      </c>
      <c r="D79" s="165" t="s">
        <v>471</v>
      </c>
      <c r="E79" s="531">
        <v>19</v>
      </c>
      <c r="G79" s="321">
        <v>1.0499999999999989</v>
      </c>
      <c r="H79" s="317">
        <f t="shared" si="11"/>
        <v>239</v>
      </c>
    </row>
    <row r="80" spans="1:8">
      <c r="A80" s="294">
        <f t="shared" si="13"/>
        <v>73</v>
      </c>
      <c r="B80" s="294">
        <f t="shared" si="12"/>
        <v>53</v>
      </c>
      <c r="C80" s="165" t="str">
        <f t="shared" si="12"/>
        <v>Lamp</v>
      </c>
      <c r="D80" s="165" t="s">
        <v>512</v>
      </c>
      <c r="E80" s="531">
        <v>31</v>
      </c>
      <c r="G80" s="321">
        <v>1.0600000000000005</v>
      </c>
      <c r="H80" s="317">
        <f t="shared" si="11"/>
        <v>394</v>
      </c>
    </row>
    <row r="81" spans="1:8">
      <c r="A81" s="294">
        <f t="shared" si="13"/>
        <v>74</v>
      </c>
      <c r="B81" s="294">
        <f t="shared" ref="B81:C96" si="14">+B80</f>
        <v>53</v>
      </c>
      <c r="C81" s="165" t="str">
        <f t="shared" si="14"/>
        <v>Lamp</v>
      </c>
      <c r="D81" s="165" t="s">
        <v>472</v>
      </c>
      <c r="E81" s="531">
        <v>1</v>
      </c>
      <c r="G81" s="321">
        <v>1.1099999999999994</v>
      </c>
      <c r="H81" s="317">
        <f t="shared" si="11"/>
        <v>13</v>
      </c>
    </row>
    <row r="82" spans="1:8">
      <c r="A82" s="294">
        <f t="shared" si="13"/>
        <v>75</v>
      </c>
      <c r="B82" s="294">
        <f t="shared" si="14"/>
        <v>53</v>
      </c>
      <c r="C82" s="165" t="str">
        <f t="shared" si="14"/>
        <v>Lamp</v>
      </c>
      <c r="D82" s="165" t="s">
        <v>473</v>
      </c>
      <c r="E82" s="531">
        <v>84</v>
      </c>
      <c r="G82" s="321">
        <v>1.120000000000001</v>
      </c>
      <c r="H82" s="317">
        <f t="shared" si="11"/>
        <v>1129</v>
      </c>
    </row>
    <row r="83" spans="1:8">
      <c r="A83" s="294">
        <f t="shared" si="13"/>
        <v>76</v>
      </c>
      <c r="B83" s="294">
        <f t="shared" si="14"/>
        <v>53</v>
      </c>
      <c r="C83" s="165" t="str">
        <f t="shared" si="14"/>
        <v>Lamp</v>
      </c>
      <c r="D83" s="165" t="s">
        <v>474</v>
      </c>
      <c r="E83" s="531">
        <v>136</v>
      </c>
      <c r="G83" s="321">
        <v>1.1400000000000006</v>
      </c>
      <c r="H83" s="317">
        <f t="shared" si="11"/>
        <v>1860</v>
      </c>
    </row>
    <row r="84" spans="1:8">
      <c r="A84" s="294">
        <f t="shared" si="13"/>
        <v>77</v>
      </c>
      <c r="B84" s="294">
        <f t="shared" si="14"/>
        <v>53</v>
      </c>
      <c r="C84" s="165" t="str">
        <f t="shared" si="14"/>
        <v>Lamp</v>
      </c>
      <c r="D84" s="165" t="s">
        <v>475</v>
      </c>
      <c r="E84" s="531">
        <v>417</v>
      </c>
      <c r="G84" s="321">
        <v>1.1599999999999984</v>
      </c>
      <c r="H84" s="317">
        <f t="shared" si="11"/>
        <v>5805</v>
      </c>
    </row>
    <row r="85" spans="1:8">
      <c r="A85" s="294">
        <f t="shared" si="13"/>
        <v>78</v>
      </c>
      <c r="B85" s="294">
        <f t="shared" si="14"/>
        <v>53</v>
      </c>
      <c r="C85" s="165" t="str">
        <f t="shared" si="14"/>
        <v>Lamp</v>
      </c>
      <c r="D85" s="165" t="s">
        <v>476</v>
      </c>
      <c r="E85" s="531">
        <v>2</v>
      </c>
      <c r="G85" s="321">
        <v>1.1899999999999995</v>
      </c>
      <c r="H85" s="317">
        <f t="shared" si="11"/>
        <v>29</v>
      </c>
    </row>
    <row r="86" spans="1:8">
      <c r="A86" s="294">
        <f t="shared" si="13"/>
        <v>79</v>
      </c>
      <c r="B86" s="294">
        <f t="shared" si="14"/>
        <v>53</v>
      </c>
      <c r="C86" s="165" t="str">
        <f t="shared" si="14"/>
        <v>Lamp</v>
      </c>
      <c r="D86" s="165" t="s">
        <v>513</v>
      </c>
      <c r="E86" s="531">
        <v>1</v>
      </c>
      <c r="G86" s="321">
        <v>1.2099999999999991</v>
      </c>
      <c r="H86" s="317">
        <f t="shared" si="11"/>
        <v>15</v>
      </c>
    </row>
    <row r="87" spans="1:8">
      <c r="A87" s="294">
        <f t="shared" si="13"/>
        <v>80</v>
      </c>
      <c r="B87" s="294">
        <f t="shared" si="14"/>
        <v>53</v>
      </c>
      <c r="C87" s="165" t="str">
        <f t="shared" si="14"/>
        <v>Lamp</v>
      </c>
      <c r="D87" s="165" t="s">
        <v>514</v>
      </c>
      <c r="E87" s="531">
        <v>2</v>
      </c>
      <c r="G87" s="321">
        <v>1.2099999999999991</v>
      </c>
      <c r="H87" s="317">
        <f t="shared" si="11"/>
        <v>29</v>
      </c>
    </row>
    <row r="88" spans="1:8">
      <c r="A88" s="294">
        <f t="shared" si="13"/>
        <v>81</v>
      </c>
      <c r="B88" s="294">
        <f t="shared" si="14"/>
        <v>53</v>
      </c>
      <c r="C88" s="165" t="str">
        <f t="shared" si="14"/>
        <v>Lamp</v>
      </c>
      <c r="D88" s="165" t="s">
        <v>515</v>
      </c>
      <c r="E88" s="531">
        <v>16</v>
      </c>
      <c r="G88" s="321">
        <v>1.2400000000000002</v>
      </c>
      <c r="H88" s="317">
        <f t="shared" si="11"/>
        <v>238</v>
      </c>
    </row>
    <row r="89" spans="1:8">
      <c r="A89" s="294">
        <f t="shared" si="13"/>
        <v>82</v>
      </c>
      <c r="B89" s="294">
        <f t="shared" si="14"/>
        <v>53</v>
      </c>
      <c r="C89" s="165" t="str">
        <f t="shared" si="14"/>
        <v>Lamp</v>
      </c>
      <c r="D89" s="165" t="s">
        <v>477</v>
      </c>
      <c r="E89" s="531">
        <v>223</v>
      </c>
      <c r="G89" s="321">
        <v>1.2899999999999991</v>
      </c>
      <c r="H89" s="317">
        <f t="shared" si="11"/>
        <v>3452</v>
      </c>
    </row>
    <row r="90" spans="1:8">
      <c r="A90" s="294">
        <f t="shared" si="13"/>
        <v>83</v>
      </c>
      <c r="B90" s="294">
        <f t="shared" si="14"/>
        <v>53</v>
      </c>
      <c r="C90" s="165" t="str">
        <f t="shared" si="14"/>
        <v>Lamp</v>
      </c>
      <c r="D90" s="165" t="s">
        <v>478</v>
      </c>
      <c r="E90" s="531">
        <v>317</v>
      </c>
      <c r="G90" s="321">
        <v>1.3100000000000005</v>
      </c>
      <c r="H90" s="317">
        <f t="shared" si="11"/>
        <v>4983</v>
      </c>
    </row>
    <row r="91" spans="1:8">
      <c r="A91" s="294">
        <f t="shared" si="13"/>
        <v>84</v>
      </c>
      <c r="B91" s="294">
        <f t="shared" si="14"/>
        <v>53</v>
      </c>
      <c r="C91" s="165" t="str">
        <f t="shared" si="14"/>
        <v>Lamp</v>
      </c>
      <c r="D91" s="165" t="s">
        <v>479</v>
      </c>
      <c r="E91" s="531">
        <v>650</v>
      </c>
      <c r="G91" s="321">
        <v>1.3200000000000003</v>
      </c>
      <c r="H91" s="317">
        <f t="shared" si="11"/>
        <v>10296</v>
      </c>
    </row>
    <row r="92" spans="1:8">
      <c r="A92" s="294">
        <f t="shared" si="13"/>
        <v>85</v>
      </c>
      <c r="B92" s="294">
        <f t="shared" si="14"/>
        <v>53</v>
      </c>
      <c r="C92" s="165" t="str">
        <f t="shared" si="14"/>
        <v>Lamp</v>
      </c>
      <c r="D92" s="165" t="s">
        <v>481</v>
      </c>
      <c r="E92" s="531">
        <v>17</v>
      </c>
      <c r="G92" s="321">
        <v>1.3900000000000006</v>
      </c>
      <c r="H92" s="317">
        <f t="shared" si="11"/>
        <v>284</v>
      </c>
    </row>
    <row r="93" spans="1:8">
      <c r="A93" s="294">
        <f t="shared" si="13"/>
        <v>86</v>
      </c>
      <c r="B93" s="294">
        <f t="shared" si="14"/>
        <v>53</v>
      </c>
      <c r="C93" s="165" t="str">
        <f t="shared" si="14"/>
        <v>Lamp</v>
      </c>
      <c r="D93" s="165" t="s">
        <v>516</v>
      </c>
      <c r="E93" s="531">
        <v>0</v>
      </c>
      <c r="G93" s="321">
        <v>1.4600000000000009</v>
      </c>
      <c r="H93" s="317">
        <f t="shared" si="11"/>
        <v>0</v>
      </c>
    </row>
    <row r="94" spans="1:8">
      <c r="A94" s="294">
        <f t="shared" si="13"/>
        <v>87</v>
      </c>
      <c r="B94" s="294">
        <f t="shared" si="14"/>
        <v>53</v>
      </c>
      <c r="C94" s="165" t="str">
        <f t="shared" si="14"/>
        <v>Lamp</v>
      </c>
      <c r="D94" s="165" t="s">
        <v>517</v>
      </c>
      <c r="E94" s="531">
        <v>2</v>
      </c>
      <c r="G94" s="321">
        <v>1.620000000000001</v>
      </c>
      <c r="H94" s="317">
        <f t="shared" si="11"/>
        <v>39</v>
      </c>
    </row>
    <row r="95" spans="1:8">
      <c r="A95" s="294">
        <f t="shared" si="13"/>
        <v>88</v>
      </c>
      <c r="B95" s="294">
        <f t="shared" si="14"/>
        <v>53</v>
      </c>
      <c r="C95" s="165" t="str">
        <f t="shared" si="14"/>
        <v>Lamp</v>
      </c>
      <c r="D95" s="165" t="s">
        <v>518</v>
      </c>
      <c r="E95" s="531">
        <v>27</v>
      </c>
      <c r="G95" s="321">
        <v>1.6300000000000008</v>
      </c>
      <c r="H95" s="317">
        <f t="shared" si="11"/>
        <v>528</v>
      </c>
    </row>
    <row r="96" spans="1:8">
      <c r="A96" s="294">
        <f t="shared" si="13"/>
        <v>89</v>
      </c>
      <c r="B96" s="294">
        <f t="shared" si="14"/>
        <v>53</v>
      </c>
      <c r="C96" s="165" t="str">
        <f t="shared" si="14"/>
        <v>Lamp</v>
      </c>
      <c r="D96" s="165" t="s">
        <v>485</v>
      </c>
      <c r="E96" s="531">
        <v>62</v>
      </c>
      <c r="G96" s="321">
        <v>1.6699999999999982</v>
      </c>
      <c r="H96" s="317">
        <f t="shared" ref="H96:H123" si="15">ROUND(+$E96*G96*12,0)</f>
        <v>1242</v>
      </c>
    </row>
    <row r="97" spans="1:8">
      <c r="A97" s="294">
        <f t="shared" si="13"/>
        <v>90</v>
      </c>
      <c r="B97" s="294">
        <f t="shared" ref="B97:C112" si="16">+B96</f>
        <v>53</v>
      </c>
      <c r="C97" s="165" t="str">
        <f t="shared" si="16"/>
        <v>Lamp</v>
      </c>
      <c r="D97" s="165" t="s">
        <v>486</v>
      </c>
      <c r="E97" s="531">
        <v>122</v>
      </c>
      <c r="G97" s="321">
        <v>1.6799999999999997</v>
      </c>
      <c r="H97" s="317">
        <f t="shared" si="15"/>
        <v>2460</v>
      </c>
    </row>
    <row r="98" spans="1:8">
      <c r="A98" s="294">
        <f t="shared" si="13"/>
        <v>91</v>
      </c>
      <c r="B98" s="294">
        <f t="shared" si="16"/>
        <v>53</v>
      </c>
      <c r="C98" s="165" t="str">
        <f t="shared" si="16"/>
        <v>Lamp</v>
      </c>
      <c r="D98" s="165" t="s">
        <v>488</v>
      </c>
      <c r="E98" s="531">
        <v>25</v>
      </c>
      <c r="G98" s="321">
        <v>1.9100000000000001</v>
      </c>
      <c r="H98" s="317">
        <f t="shared" si="15"/>
        <v>573</v>
      </c>
    </row>
    <row r="99" spans="1:8">
      <c r="A99" s="294">
        <f t="shared" si="13"/>
        <v>92</v>
      </c>
      <c r="B99" s="294">
        <f t="shared" si="16"/>
        <v>53</v>
      </c>
      <c r="C99" s="165" t="str">
        <f t="shared" si="16"/>
        <v>Lamp</v>
      </c>
      <c r="D99" s="165" t="s">
        <v>489</v>
      </c>
      <c r="E99" s="531">
        <v>11</v>
      </c>
      <c r="G99" s="321">
        <v>2.0500000000000007</v>
      </c>
      <c r="H99" s="317">
        <f t="shared" si="15"/>
        <v>271</v>
      </c>
    </row>
    <row r="100" spans="1:8">
      <c r="A100" s="294">
        <f t="shared" si="13"/>
        <v>93</v>
      </c>
      <c r="B100" s="294">
        <f t="shared" si="16"/>
        <v>53</v>
      </c>
      <c r="C100" s="165" t="str">
        <f t="shared" si="16"/>
        <v>Lamp</v>
      </c>
      <c r="D100" s="165" t="s">
        <v>519</v>
      </c>
      <c r="E100" s="531">
        <v>63</v>
      </c>
      <c r="G100" s="321">
        <v>2.1000000000000014</v>
      </c>
      <c r="H100" s="317">
        <f t="shared" si="15"/>
        <v>1588</v>
      </c>
    </row>
    <row r="101" spans="1:8">
      <c r="A101" s="294">
        <f t="shared" si="13"/>
        <v>94</v>
      </c>
      <c r="B101" s="294">
        <f t="shared" si="16"/>
        <v>53</v>
      </c>
      <c r="C101" s="165" t="str">
        <f t="shared" si="16"/>
        <v>Lamp</v>
      </c>
      <c r="D101" s="165" t="s">
        <v>520</v>
      </c>
      <c r="E101" s="531">
        <v>5</v>
      </c>
      <c r="G101" s="321">
        <v>0.45999999999999996</v>
      </c>
      <c r="H101" s="317">
        <f t="shared" si="15"/>
        <v>28</v>
      </c>
    </row>
    <row r="102" spans="1:8">
      <c r="A102" s="294">
        <f t="shared" si="13"/>
        <v>95</v>
      </c>
      <c r="B102" s="294">
        <f t="shared" si="16"/>
        <v>53</v>
      </c>
      <c r="C102" s="165" t="str">
        <f t="shared" si="16"/>
        <v>Lamp</v>
      </c>
      <c r="D102" s="165" t="s">
        <v>521</v>
      </c>
      <c r="E102" s="531">
        <v>91</v>
      </c>
      <c r="G102" s="321">
        <v>0.58000000000000007</v>
      </c>
      <c r="H102" s="317">
        <f t="shared" si="15"/>
        <v>633</v>
      </c>
    </row>
    <row r="103" spans="1:8">
      <c r="A103" s="294">
        <f t="shared" si="13"/>
        <v>96</v>
      </c>
      <c r="B103" s="294">
        <f t="shared" si="16"/>
        <v>53</v>
      </c>
      <c r="C103" s="165" t="str">
        <f t="shared" si="16"/>
        <v>Lamp</v>
      </c>
      <c r="D103" s="165" t="s">
        <v>522</v>
      </c>
      <c r="E103" s="531">
        <v>409</v>
      </c>
      <c r="G103" s="321">
        <v>0.71</v>
      </c>
      <c r="H103" s="317">
        <f t="shared" si="15"/>
        <v>3485</v>
      </c>
    </row>
    <row r="104" spans="1:8">
      <c r="A104" s="294">
        <f t="shared" si="13"/>
        <v>97</v>
      </c>
      <c r="B104" s="294">
        <f t="shared" si="16"/>
        <v>53</v>
      </c>
      <c r="C104" s="165" t="str">
        <f t="shared" si="16"/>
        <v>Lamp</v>
      </c>
      <c r="D104" s="165" t="s">
        <v>523</v>
      </c>
      <c r="E104" s="531">
        <v>259</v>
      </c>
      <c r="G104" s="321">
        <v>0.93000000000000149</v>
      </c>
      <c r="H104" s="317">
        <f t="shared" si="15"/>
        <v>2890</v>
      </c>
    </row>
    <row r="105" spans="1:8">
      <c r="A105" s="294">
        <f t="shared" si="13"/>
        <v>98</v>
      </c>
      <c r="B105" s="294">
        <f t="shared" si="16"/>
        <v>53</v>
      </c>
      <c r="C105" s="165" t="str">
        <f t="shared" si="16"/>
        <v>Lamp</v>
      </c>
      <c r="D105" s="165" t="s">
        <v>524</v>
      </c>
      <c r="E105" s="531">
        <v>817</v>
      </c>
      <c r="G105" s="321">
        <v>1.1400000000000006</v>
      </c>
      <c r="H105" s="317">
        <f t="shared" si="15"/>
        <v>11177</v>
      </c>
    </row>
    <row r="106" spans="1:8">
      <c r="A106" s="294">
        <f t="shared" si="13"/>
        <v>99</v>
      </c>
      <c r="B106" s="294">
        <f t="shared" si="16"/>
        <v>53</v>
      </c>
      <c r="C106" s="165" t="str">
        <f t="shared" si="16"/>
        <v>Lamp</v>
      </c>
      <c r="D106" s="165" t="s">
        <v>525</v>
      </c>
      <c r="E106" s="531">
        <v>570</v>
      </c>
      <c r="G106" s="321">
        <v>1.3599999999999994</v>
      </c>
      <c r="H106" s="317">
        <f t="shared" si="15"/>
        <v>9302</v>
      </c>
    </row>
    <row r="107" spans="1:8">
      <c r="A107" s="294">
        <f t="shared" si="13"/>
        <v>100</v>
      </c>
      <c r="B107" s="294">
        <f t="shared" si="16"/>
        <v>53</v>
      </c>
      <c r="C107" s="165" t="str">
        <f t="shared" si="16"/>
        <v>Lamp</v>
      </c>
      <c r="D107" s="165" t="s">
        <v>526</v>
      </c>
      <c r="E107" s="531">
        <v>19</v>
      </c>
      <c r="G107" s="321">
        <v>1.6499999999999986</v>
      </c>
      <c r="H107" s="317">
        <f t="shared" si="15"/>
        <v>376</v>
      </c>
    </row>
    <row r="108" spans="1:8">
      <c r="A108" s="294">
        <f t="shared" si="13"/>
        <v>101</v>
      </c>
      <c r="B108" s="294">
        <f t="shared" si="16"/>
        <v>53</v>
      </c>
      <c r="C108" s="165" t="str">
        <f t="shared" si="16"/>
        <v>Lamp</v>
      </c>
      <c r="D108" s="165" t="s">
        <v>527</v>
      </c>
      <c r="E108" s="531">
        <v>964</v>
      </c>
      <c r="G108" s="321">
        <v>2</v>
      </c>
      <c r="H108" s="317">
        <f t="shared" si="15"/>
        <v>23136</v>
      </c>
    </row>
    <row r="109" spans="1:8">
      <c r="A109" s="294">
        <f t="shared" si="13"/>
        <v>102</v>
      </c>
      <c r="B109" s="294">
        <f t="shared" si="16"/>
        <v>53</v>
      </c>
      <c r="C109" s="165" t="str">
        <f t="shared" si="16"/>
        <v>Lamp</v>
      </c>
      <c r="D109" s="165" t="s">
        <v>528</v>
      </c>
      <c r="E109" s="531">
        <v>4</v>
      </c>
      <c r="G109" s="321">
        <v>1.759999999999998</v>
      </c>
      <c r="H109" s="317">
        <f t="shared" si="15"/>
        <v>84</v>
      </c>
    </row>
    <row r="110" spans="1:8">
      <c r="A110" s="294">
        <f t="shared" si="13"/>
        <v>103</v>
      </c>
      <c r="B110" s="294">
        <f t="shared" si="16"/>
        <v>53</v>
      </c>
      <c r="C110" s="165" t="str">
        <f t="shared" si="16"/>
        <v>Lamp</v>
      </c>
      <c r="D110" s="165" t="s">
        <v>529</v>
      </c>
      <c r="E110" s="531">
        <v>42</v>
      </c>
      <c r="G110" s="321">
        <v>0.2799999999999998</v>
      </c>
      <c r="H110" s="317">
        <f t="shared" si="15"/>
        <v>141</v>
      </c>
    </row>
    <row r="111" spans="1:8">
      <c r="A111" s="294">
        <f t="shared" si="13"/>
        <v>104</v>
      </c>
      <c r="B111" s="294">
        <f t="shared" si="16"/>
        <v>53</v>
      </c>
      <c r="C111" s="165" t="str">
        <f t="shared" si="16"/>
        <v>Lamp</v>
      </c>
      <c r="D111" s="165" t="s">
        <v>530</v>
      </c>
      <c r="E111" s="531">
        <v>3</v>
      </c>
      <c r="G111" s="321">
        <v>0.29999999999999982</v>
      </c>
      <c r="H111" s="317">
        <f t="shared" si="15"/>
        <v>11</v>
      </c>
    </row>
    <row r="112" spans="1:8">
      <c r="A112" s="294">
        <f t="shared" si="13"/>
        <v>105</v>
      </c>
      <c r="B112" s="294">
        <f t="shared" si="16"/>
        <v>53</v>
      </c>
      <c r="C112" s="165" t="str">
        <f t="shared" si="16"/>
        <v>Lamp</v>
      </c>
      <c r="D112" s="165" t="s">
        <v>531</v>
      </c>
      <c r="E112" s="531">
        <v>70</v>
      </c>
      <c r="G112" s="321">
        <v>0.32000000000000028</v>
      </c>
      <c r="H112" s="317">
        <f t="shared" si="15"/>
        <v>269</v>
      </c>
    </row>
    <row r="113" spans="1:8">
      <c r="A113" s="294">
        <f t="shared" si="13"/>
        <v>106</v>
      </c>
      <c r="B113" s="294">
        <f t="shared" ref="B113:C123" si="17">+B112</f>
        <v>53</v>
      </c>
      <c r="C113" s="165" t="str">
        <f t="shared" si="17"/>
        <v>Lamp</v>
      </c>
      <c r="D113" s="165" t="s">
        <v>532</v>
      </c>
      <c r="E113" s="531">
        <v>171</v>
      </c>
      <c r="G113" s="321">
        <v>0.35000000000000009</v>
      </c>
      <c r="H113" s="317">
        <f t="shared" si="15"/>
        <v>718</v>
      </c>
    </row>
    <row r="114" spans="1:8">
      <c r="A114" s="294">
        <f t="shared" si="13"/>
        <v>107</v>
      </c>
      <c r="B114" s="294">
        <f t="shared" si="17"/>
        <v>53</v>
      </c>
      <c r="C114" s="165" t="str">
        <f t="shared" si="17"/>
        <v>Lamp</v>
      </c>
      <c r="D114" s="165" t="s">
        <v>533</v>
      </c>
      <c r="E114" s="531">
        <v>10</v>
      </c>
      <c r="G114" s="321">
        <v>0.35000000000000009</v>
      </c>
      <c r="H114" s="317">
        <f t="shared" si="15"/>
        <v>42</v>
      </c>
    </row>
    <row r="115" spans="1:8">
      <c r="A115" s="294">
        <f t="shared" si="13"/>
        <v>108</v>
      </c>
      <c r="B115" s="294">
        <f t="shared" si="17"/>
        <v>53</v>
      </c>
      <c r="C115" s="165" t="str">
        <f t="shared" si="17"/>
        <v>Lamp</v>
      </c>
      <c r="D115" s="165" t="s">
        <v>534</v>
      </c>
      <c r="E115" s="531">
        <v>1</v>
      </c>
      <c r="G115" s="321">
        <v>0.41999999999999993</v>
      </c>
      <c r="H115" s="317">
        <f t="shared" si="15"/>
        <v>5</v>
      </c>
    </row>
    <row r="116" spans="1:8">
      <c r="A116" s="294">
        <f t="shared" si="13"/>
        <v>109</v>
      </c>
      <c r="B116" s="294">
        <f t="shared" si="17"/>
        <v>53</v>
      </c>
      <c r="C116" s="165" t="str">
        <f t="shared" si="17"/>
        <v>Lamp</v>
      </c>
      <c r="D116" s="165" t="s">
        <v>535</v>
      </c>
      <c r="E116" s="531">
        <v>408</v>
      </c>
      <c r="G116" s="321">
        <v>0.47999999999999954</v>
      </c>
      <c r="H116" s="317">
        <f t="shared" si="15"/>
        <v>2350</v>
      </c>
    </row>
    <row r="117" spans="1:8">
      <c r="A117" s="294">
        <f t="shared" si="13"/>
        <v>110</v>
      </c>
      <c r="B117" s="294">
        <f t="shared" si="17"/>
        <v>53</v>
      </c>
      <c r="C117" s="165" t="str">
        <f t="shared" si="17"/>
        <v>Lamp</v>
      </c>
      <c r="D117" s="165" t="s">
        <v>536</v>
      </c>
      <c r="E117" s="531">
        <v>244</v>
      </c>
      <c r="G117" s="321">
        <v>0.51999999999999957</v>
      </c>
      <c r="H117" s="317">
        <f t="shared" si="15"/>
        <v>1523</v>
      </c>
    </row>
    <row r="118" spans="1:8">
      <c r="A118" s="294">
        <f t="shared" si="13"/>
        <v>111</v>
      </c>
      <c r="B118" s="294">
        <f t="shared" si="17"/>
        <v>53</v>
      </c>
      <c r="C118" s="165" t="str">
        <f t="shared" si="17"/>
        <v>Lamp</v>
      </c>
      <c r="D118" s="165" t="s">
        <v>537</v>
      </c>
      <c r="E118" s="531">
        <v>208</v>
      </c>
      <c r="G118" s="321">
        <v>0.5600000000000005</v>
      </c>
      <c r="H118" s="317">
        <f t="shared" si="15"/>
        <v>1398</v>
      </c>
    </row>
    <row r="119" spans="1:8">
      <c r="A119" s="294">
        <f t="shared" si="13"/>
        <v>112</v>
      </c>
      <c r="B119" s="294">
        <f t="shared" si="17"/>
        <v>53</v>
      </c>
      <c r="C119" s="165" t="str">
        <f t="shared" si="17"/>
        <v>Lamp</v>
      </c>
      <c r="D119" s="165" t="s">
        <v>538</v>
      </c>
      <c r="E119" s="531">
        <v>2</v>
      </c>
      <c r="G119" s="321">
        <v>0.6800000000000006</v>
      </c>
      <c r="H119" s="317">
        <f t="shared" si="15"/>
        <v>16</v>
      </c>
    </row>
    <row r="120" spans="1:8">
      <c r="A120" s="294">
        <f t="shared" si="13"/>
        <v>113</v>
      </c>
      <c r="B120" s="294">
        <f t="shared" si="17"/>
        <v>53</v>
      </c>
      <c r="C120" s="165" t="str">
        <f t="shared" si="17"/>
        <v>Lamp</v>
      </c>
      <c r="D120" s="165" t="s">
        <v>539</v>
      </c>
      <c r="E120" s="531">
        <v>8</v>
      </c>
      <c r="G120" s="321">
        <v>0.70000000000000018</v>
      </c>
      <c r="H120" s="317">
        <f t="shared" si="15"/>
        <v>67</v>
      </c>
    </row>
    <row r="121" spans="1:8">
      <c r="A121" s="294">
        <f t="shared" si="13"/>
        <v>114</v>
      </c>
      <c r="B121" s="294">
        <f t="shared" si="17"/>
        <v>53</v>
      </c>
      <c r="C121" s="165" t="str">
        <f t="shared" si="17"/>
        <v>Lamp</v>
      </c>
      <c r="D121" s="165" t="s">
        <v>540</v>
      </c>
      <c r="E121" s="531">
        <v>972</v>
      </c>
      <c r="G121" s="321">
        <v>0.79999999999999982</v>
      </c>
      <c r="H121" s="317">
        <f t="shared" si="15"/>
        <v>9331</v>
      </c>
    </row>
    <row r="122" spans="1:8">
      <c r="A122" s="294">
        <f t="shared" si="13"/>
        <v>115</v>
      </c>
      <c r="B122" s="294">
        <f t="shared" si="17"/>
        <v>53</v>
      </c>
      <c r="C122" s="165" t="str">
        <f t="shared" si="17"/>
        <v>Lamp</v>
      </c>
      <c r="D122" s="165" t="s">
        <v>541</v>
      </c>
      <c r="E122" s="531">
        <v>15</v>
      </c>
      <c r="G122" s="321">
        <v>0.8199999999999994</v>
      </c>
      <c r="H122" s="317">
        <f t="shared" si="15"/>
        <v>148</v>
      </c>
    </row>
    <row r="123" spans="1:8">
      <c r="A123" s="294">
        <f t="shared" si="13"/>
        <v>116</v>
      </c>
      <c r="B123" s="294">
        <f t="shared" si="17"/>
        <v>53</v>
      </c>
      <c r="C123" s="165" t="str">
        <f t="shared" si="17"/>
        <v>Lamp</v>
      </c>
      <c r="D123" s="165" t="s">
        <v>542</v>
      </c>
      <c r="E123" s="531">
        <v>1</v>
      </c>
      <c r="G123" s="321">
        <v>0.93000000000000149</v>
      </c>
      <c r="H123" s="317">
        <f t="shared" si="15"/>
        <v>11</v>
      </c>
    </row>
    <row r="124" spans="1:8">
      <c r="A124" s="322">
        <f>+A123+1</f>
        <v>117</v>
      </c>
      <c r="B124" s="322"/>
      <c r="C124" s="323"/>
      <c r="D124" s="323" t="s">
        <v>23</v>
      </c>
      <c r="E124" s="532">
        <f>SUM(E64:E123)</f>
        <v>80680</v>
      </c>
      <c r="G124" s="321"/>
      <c r="H124" s="324">
        <f t="shared" ref="H124" si="18">SUM(H64:H123)</f>
        <v>1304577</v>
      </c>
    </row>
    <row r="125" spans="1:8">
      <c r="A125" s="294">
        <f t="shared" si="13"/>
        <v>118</v>
      </c>
      <c r="B125" s="294"/>
      <c r="E125" s="531"/>
      <c r="G125" s="321"/>
    </row>
    <row r="126" spans="1:8">
      <c r="A126" s="294">
        <f t="shared" si="13"/>
        <v>119</v>
      </c>
      <c r="B126" s="294">
        <v>54</v>
      </c>
      <c r="C126" s="165" t="str">
        <f>+C123</f>
        <v>Lamp</v>
      </c>
      <c r="D126" s="165" t="s">
        <v>543</v>
      </c>
      <c r="E126" s="531">
        <v>38</v>
      </c>
      <c r="G126" s="321">
        <v>0.22999999999999998</v>
      </c>
      <c r="H126" s="317">
        <f t="shared" ref="H126:H143" si="19">ROUND(+$E126*G126*12,0)</f>
        <v>105</v>
      </c>
    </row>
    <row r="127" spans="1:8">
      <c r="A127" s="294">
        <f t="shared" si="13"/>
        <v>120</v>
      </c>
      <c r="B127" s="294">
        <f t="shared" ref="B127:C142" si="20">+B126</f>
        <v>54</v>
      </c>
      <c r="C127" s="165" t="str">
        <f t="shared" si="20"/>
        <v>Lamp</v>
      </c>
      <c r="D127" s="165" t="s">
        <v>490</v>
      </c>
      <c r="E127" s="531">
        <v>797</v>
      </c>
      <c r="G127" s="321">
        <v>0.33000000000000007</v>
      </c>
      <c r="H127" s="317">
        <f t="shared" si="19"/>
        <v>3156</v>
      </c>
    </row>
    <row r="128" spans="1:8">
      <c r="A128" s="294">
        <f t="shared" si="13"/>
        <v>121</v>
      </c>
      <c r="B128" s="294">
        <f t="shared" si="20"/>
        <v>54</v>
      </c>
      <c r="C128" s="165" t="str">
        <f t="shared" si="20"/>
        <v>Lamp</v>
      </c>
      <c r="D128" s="165" t="s">
        <v>491</v>
      </c>
      <c r="E128" s="531">
        <v>1936</v>
      </c>
      <c r="G128" s="321">
        <v>0.47000000000000064</v>
      </c>
      <c r="H128" s="317">
        <f t="shared" si="19"/>
        <v>10919</v>
      </c>
    </row>
    <row r="129" spans="1:8">
      <c r="A129" s="294">
        <f t="shared" si="13"/>
        <v>122</v>
      </c>
      <c r="B129" s="294">
        <f t="shared" si="20"/>
        <v>54</v>
      </c>
      <c r="C129" s="165" t="str">
        <f t="shared" si="20"/>
        <v>Lamp</v>
      </c>
      <c r="D129" s="165" t="s">
        <v>492</v>
      </c>
      <c r="E129" s="531">
        <v>746</v>
      </c>
      <c r="G129" s="321">
        <v>0.6800000000000006</v>
      </c>
      <c r="H129" s="317">
        <f t="shared" si="19"/>
        <v>6087</v>
      </c>
    </row>
    <row r="130" spans="1:8">
      <c r="A130" s="294">
        <f t="shared" si="13"/>
        <v>123</v>
      </c>
      <c r="B130" s="294">
        <f t="shared" si="20"/>
        <v>54</v>
      </c>
      <c r="C130" s="165" t="str">
        <f t="shared" si="20"/>
        <v>Lamp</v>
      </c>
      <c r="D130" s="165" t="s">
        <v>493</v>
      </c>
      <c r="E130" s="531">
        <v>756</v>
      </c>
      <c r="G130" s="321">
        <v>0.90000000000000036</v>
      </c>
      <c r="H130" s="317">
        <f t="shared" si="19"/>
        <v>8165</v>
      </c>
    </row>
    <row r="131" spans="1:8">
      <c r="A131" s="294">
        <f t="shared" si="13"/>
        <v>124</v>
      </c>
      <c r="B131" s="294">
        <f t="shared" si="20"/>
        <v>54</v>
      </c>
      <c r="C131" s="165" t="str">
        <f t="shared" si="20"/>
        <v>Lamp</v>
      </c>
      <c r="D131" s="165" t="s">
        <v>494</v>
      </c>
      <c r="E131" s="531">
        <v>1872</v>
      </c>
      <c r="G131" s="321">
        <v>1.1099999999999994</v>
      </c>
      <c r="H131" s="317">
        <f t="shared" si="19"/>
        <v>24935</v>
      </c>
    </row>
    <row r="132" spans="1:8">
      <c r="A132" s="294">
        <f t="shared" si="13"/>
        <v>125</v>
      </c>
      <c r="B132" s="294">
        <f t="shared" si="20"/>
        <v>54</v>
      </c>
      <c r="C132" s="165" t="str">
        <f t="shared" si="20"/>
        <v>Lamp</v>
      </c>
      <c r="D132" s="165" t="s">
        <v>495</v>
      </c>
      <c r="E132" s="531">
        <v>77</v>
      </c>
      <c r="G132" s="321">
        <v>1.5199999999999996</v>
      </c>
      <c r="H132" s="317">
        <f t="shared" si="19"/>
        <v>1404</v>
      </c>
    </row>
    <row r="133" spans="1:8">
      <c r="A133" s="294">
        <f t="shared" si="13"/>
        <v>126</v>
      </c>
      <c r="B133" s="294">
        <f t="shared" si="20"/>
        <v>54</v>
      </c>
      <c r="C133" s="165" t="str">
        <f t="shared" si="20"/>
        <v>Lamp</v>
      </c>
      <c r="D133" s="165" t="s">
        <v>496</v>
      </c>
      <c r="E133" s="531">
        <v>1401</v>
      </c>
      <c r="G133" s="321">
        <v>1.7299999999999986</v>
      </c>
      <c r="H133" s="317">
        <f t="shared" si="19"/>
        <v>29085</v>
      </c>
    </row>
    <row r="134" spans="1:8">
      <c r="A134" s="294">
        <f t="shared" si="13"/>
        <v>127</v>
      </c>
      <c r="B134" s="294">
        <f t="shared" si="20"/>
        <v>54</v>
      </c>
      <c r="C134" s="165" t="str">
        <f t="shared" si="20"/>
        <v>Lamp</v>
      </c>
      <c r="D134" s="165" t="s">
        <v>544</v>
      </c>
      <c r="E134" s="531">
        <v>11</v>
      </c>
      <c r="G134" s="321">
        <v>4.3800000000000026</v>
      </c>
      <c r="H134" s="317">
        <f t="shared" si="19"/>
        <v>578</v>
      </c>
    </row>
    <row r="135" spans="1:8">
      <c r="A135" s="294">
        <f t="shared" si="13"/>
        <v>128</v>
      </c>
      <c r="B135" s="294">
        <f t="shared" si="20"/>
        <v>54</v>
      </c>
      <c r="C135" s="165" t="str">
        <f t="shared" si="20"/>
        <v>Lamp</v>
      </c>
      <c r="D135" s="165" t="s">
        <v>529</v>
      </c>
      <c r="E135" s="531">
        <v>136</v>
      </c>
      <c r="G135" s="321">
        <v>0.13000000000000012</v>
      </c>
      <c r="H135" s="317">
        <f t="shared" si="19"/>
        <v>212</v>
      </c>
    </row>
    <row r="136" spans="1:8">
      <c r="A136" s="294">
        <f t="shared" si="13"/>
        <v>129</v>
      </c>
      <c r="B136" s="294">
        <f t="shared" si="20"/>
        <v>54</v>
      </c>
      <c r="C136" s="165" t="str">
        <f t="shared" si="20"/>
        <v>Lamp</v>
      </c>
      <c r="D136" s="165" t="s">
        <v>530</v>
      </c>
      <c r="E136" s="531">
        <v>98</v>
      </c>
      <c r="G136" s="321">
        <v>0.15000000000000013</v>
      </c>
      <c r="H136" s="317">
        <f t="shared" si="19"/>
        <v>176</v>
      </c>
    </row>
    <row r="137" spans="1:8">
      <c r="A137" s="294">
        <f t="shared" si="13"/>
        <v>130</v>
      </c>
      <c r="B137" s="294">
        <f t="shared" si="20"/>
        <v>54</v>
      </c>
      <c r="C137" s="165" t="str">
        <f t="shared" si="20"/>
        <v>Lamp</v>
      </c>
      <c r="D137" s="165" t="s">
        <v>531</v>
      </c>
      <c r="E137" s="531">
        <v>456</v>
      </c>
      <c r="G137" s="321">
        <v>0.14999999999999991</v>
      </c>
      <c r="H137" s="317">
        <f t="shared" si="19"/>
        <v>821</v>
      </c>
    </row>
    <row r="138" spans="1:8">
      <c r="A138" s="294">
        <f t="shared" ref="A138:A186" si="21">+A137+1</f>
        <v>131</v>
      </c>
      <c r="B138" s="294">
        <f t="shared" si="20"/>
        <v>54</v>
      </c>
      <c r="C138" s="165" t="str">
        <f t="shared" si="20"/>
        <v>Lamp</v>
      </c>
      <c r="D138" s="165" t="s">
        <v>533</v>
      </c>
      <c r="E138" s="531">
        <v>442</v>
      </c>
      <c r="G138" s="321">
        <v>0.19999999999999996</v>
      </c>
      <c r="H138" s="317">
        <f t="shared" si="19"/>
        <v>1061</v>
      </c>
    </row>
    <row r="139" spans="1:8">
      <c r="A139" s="294">
        <f t="shared" si="21"/>
        <v>132</v>
      </c>
      <c r="B139" s="294">
        <f t="shared" si="20"/>
        <v>54</v>
      </c>
      <c r="C139" s="165" t="str">
        <f t="shared" si="20"/>
        <v>Lamp</v>
      </c>
      <c r="D139" s="165" t="s">
        <v>536</v>
      </c>
      <c r="E139" s="531">
        <v>26</v>
      </c>
      <c r="G139" s="321">
        <v>0.35999999999999988</v>
      </c>
      <c r="H139" s="317">
        <f t="shared" si="19"/>
        <v>112</v>
      </c>
    </row>
    <row r="140" spans="1:8">
      <c r="A140" s="294">
        <f t="shared" si="21"/>
        <v>133</v>
      </c>
      <c r="B140" s="294">
        <f t="shared" si="20"/>
        <v>54</v>
      </c>
      <c r="C140" s="165" t="str">
        <f t="shared" si="20"/>
        <v>Lamp</v>
      </c>
      <c r="D140" s="165" t="s">
        <v>537</v>
      </c>
      <c r="E140" s="531">
        <v>1491</v>
      </c>
      <c r="G140" s="321">
        <v>0.40000000000000036</v>
      </c>
      <c r="H140" s="317">
        <f t="shared" si="19"/>
        <v>7157</v>
      </c>
    </row>
    <row r="141" spans="1:8">
      <c r="A141" s="294">
        <f t="shared" si="21"/>
        <v>134</v>
      </c>
      <c r="B141" s="294">
        <f t="shared" si="20"/>
        <v>54</v>
      </c>
      <c r="C141" s="165" t="str">
        <f t="shared" si="20"/>
        <v>Lamp</v>
      </c>
      <c r="D141" s="165" t="s">
        <v>538</v>
      </c>
      <c r="E141" s="531">
        <v>11</v>
      </c>
      <c r="G141" s="321">
        <v>0.53000000000000025</v>
      </c>
      <c r="H141" s="317">
        <f t="shared" si="19"/>
        <v>70</v>
      </c>
    </row>
    <row r="142" spans="1:8">
      <c r="A142" s="294">
        <f t="shared" si="21"/>
        <v>135</v>
      </c>
      <c r="B142" s="294">
        <f t="shared" si="20"/>
        <v>54</v>
      </c>
      <c r="C142" s="165" t="str">
        <f t="shared" si="20"/>
        <v>Lamp</v>
      </c>
      <c r="D142" s="165" t="s">
        <v>539</v>
      </c>
      <c r="E142" s="531">
        <v>711</v>
      </c>
      <c r="G142" s="321">
        <v>0.53999999999999915</v>
      </c>
      <c r="H142" s="317">
        <f t="shared" si="19"/>
        <v>4607</v>
      </c>
    </row>
    <row r="143" spans="1:8">
      <c r="A143" s="294">
        <f t="shared" si="21"/>
        <v>136</v>
      </c>
      <c r="B143" s="294">
        <f t="shared" ref="B143:C155" si="22">+B142</f>
        <v>54</v>
      </c>
      <c r="C143" s="165" t="str">
        <f t="shared" si="22"/>
        <v>Lamp</v>
      </c>
      <c r="D143" s="165" t="s">
        <v>541</v>
      </c>
      <c r="E143" s="531">
        <v>290</v>
      </c>
      <c r="G143" s="321">
        <v>0.66999999999999993</v>
      </c>
      <c r="H143" s="317">
        <f t="shared" si="19"/>
        <v>2332</v>
      </c>
    </row>
    <row r="144" spans="1:8">
      <c r="A144" s="322">
        <f t="shared" si="21"/>
        <v>137</v>
      </c>
      <c r="B144" s="322"/>
      <c r="C144" s="323"/>
      <c r="D144" s="323" t="s">
        <v>23</v>
      </c>
      <c r="E144" s="532">
        <f t="shared" ref="E144" si="23">SUM(E126:E143)</f>
        <v>11295</v>
      </c>
      <c r="G144" s="321"/>
      <c r="H144" s="324">
        <f t="shared" ref="H144" si="24">SUM(H126:H143)</f>
        <v>100982</v>
      </c>
    </row>
    <row r="145" spans="1:8">
      <c r="A145" s="294">
        <f t="shared" si="21"/>
        <v>138</v>
      </c>
      <c r="B145" s="294"/>
      <c r="E145" s="531"/>
      <c r="G145" s="321"/>
    </row>
    <row r="146" spans="1:8">
      <c r="A146" s="294">
        <f t="shared" si="21"/>
        <v>139</v>
      </c>
      <c r="B146" s="294" t="s">
        <v>335</v>
      </c>
      <c r="C146" s="165" t="str">
        <f>+C143</f>
        <v>Lamp</v>
      </c>
      <c r="D146" s="165" t="s">
        <v>490</v>
      </c>
      <c r="E146" s="531">
        <v>19</v>
      </c>
      <c r="G146" s="321">
        <v>1.17</v>
      </c>
      <c r="H146" s="317">
        <f t="shared" ref="H146:H155" si="25">ROUND(+$E146*G146*12,0)</f>
        <v>267</v>
      </c>
    </row>
    <row r="147" spans="1:8">
      <c r="A147" s="294">
        <f t="shared" si="21"/>
        <v>140</v>
      </c>
      <c r="B147" s="294" t="str">
        <f t="shared" si="22"/>
        <v>55-56</v>
      </c>
      <c r="C147" s="165" t="str">
        <f t="shared" si="22"/>
        <v>Lamp</v>
      </c>
      <c r="D147" s="165" t="s">
        <v>491</v>
      </c>
      <c r="E147" s="531">
        <v>4211</v>
      </c>
      <c r="G147" s="321">
        <v>1.3200000000000003</v>
      </c>
      <c r="H147" s="317">
        <f t="shared" si="25"/>
        <v>66702</v>
      </c>
    </row>
    <row r="148" spans="1:8">
      <c r="A148" s="294">
        <f t="shared" si="21"/>
        <v>141</v>
      </c>
      <c r="B148" s="294" t="str">
        <f t="shared" si="22"/>
        <v>55-56</v>
      </c>
      <c r="C148" s="165" t="str">
        <f t="shared" si="22"/>
        <v>Lamp</v>
      </c>
      <c r="D148" s="165" t="s">
        <v>492</v>
      </c>
      <c r="E148" s="531">
        <v>575</v>
      </c>
      <c r="G148" s="321">
        <v>1.5699999999999985</v>
      </c>
      <c r="H148" s="317">
        <f t="shared" si="25"/>
        <v>10833</v>
      </c>
    </row>
    <row r="149" spans="1:8">
      <c r="A149" s="294">
        <f t="shared" si="21"/>
        <v>142</v>
      </c>
      <c r="B149" s="294" t="str">
        <f t="shared" si="22"/>
        <v>55-56</v>
      </c>
      <c r="C149" s="165" t="str">
        <f t="shared" si="22"/>
        <v>Lamp</v>
      </c>
      <c r="D149" s="165" t="s">
        <v>493</v>
      </c>
      <c r="E149" s="531">
        <v>1208</v>
      </c>
      <c r="G149" s="321">
        <v>1.8900000000000006</v>
      </c>
      <c r="H149" s="317">
        <f t="shared" si="25"/>
        <v>27397</v>
      </c>
    </row>
    <row r="150" spans="1:8">
      <c r="A150" s="294">
        <f t="shared" si="21"/>
        <v>143</v>
      </c>
      <c r="B150" s="294" t="str">
        <f t="shared" si="22"/>
        <v>55-56</v>
      </c>
      <c r="C150" s="165" t="str">
        <f t="shared" si="22"/>
        <v>Lamp</v>
      </c>
      <c r="D150" s="165" t="s">
        <v>494</v>
      </c>
      <c r="E150" s="531">
        <v>128</v>
      </c>
      <c r="G150" s="321">
        <v>2.129999999999999</v>
      </c>
      <c r="H150" s="317">
        <f t="shared" si="25"/>
        <v>3272</v>
      </c>
    </row>
    <row r="151" spans="1:8">
      <c r="A151" s="294">
        <f t="shared" si="21"/>
        <v>144</v>
      </c>
      <c r="B151" s="294" t="str">
        <f t="shared" si="22"/>
        <v>55-56</v>
      </c>
      <c r="C151" s="165" t="str">
        <f t="shared" si="22"/>
        <v>Lamp</v>
      </c>
      <c r="D151" s="165" t="s">
        <v>496</v>
      </c>
      <c r="E151" s="531">
        <v>53</v>
      </c>
      <c r="G151" s="321">
        <v>2.870000000000001</v>
      </c>
      <c r="H151" s="317">
        <f t="shared" si="25"/>
        <v>1825</v>
      </c>
    </row>
    <row r="152" spans="1:8">
      <c r="A152" s="294">
        <f t="shared" si="21"/>
        <v>145</v>
      </c>
      <c r="B152" s="294" t="str">
        <f t="shared" si="22"/>
        <v>55-56</v>
      </c>
      <c r="C152" s="165" t="str">
        <f t="shared" si="22"/>
        <v>Lamp</v>
      </c>
      <c r="D152" s="165" t="s">
        <v>501</v>
      </c>
      <c r="E152" s="531">
        <v>6</v>
      </c>
      <c r="G152" s="321">
        <v>2.4499999999999993</v>
      </c>
      <c r="H152" s="317">
        <f t="shared" si="25"/>
        <v>176</v>
      </c>
    </row>
    <row r="153" spans="1:8">
      <c r="A153" s="294">
        <f t="shared" si="21"/>
        <v>146</v>
      </c>
      <c r="B153" s="294" t="str">
        <f t="shared" si="22"/>
        <v>55-56</v>
      </c>
      <c r="C153" s="165" t="str">
        <f t="shared" si="22"/>
        <v>Lamp</v>
      </c>
      <c r="D153" s="165" t="s">
        <v>465</v>
      </c>
      <c r="E153" s="531">
        <v>1</v>
      </c>
      <c r="G153" s="321">
        <v>0.71</v>
      </c>
      <c r="H153" s="317">
        <f t="shared" si="25"/>
        <v>9</v>
      </c>
    </row>
    <row r="154" spans="1:8">
      <c r="A154" s="294">
        <f t="shared" si="21"/>
        <v>147</v>
      </c>
      <c r="B154" s="294" t="str">
        <f t="shared" si="22"/>
        <v>55-56</v>
      </c>
      <c r="C154" s="165" t="str">
        <f t="shared" si="22"/>
        <v>Lamp</v>
      </c>
      <c r="D154" s="165" t="s">
        <v>466</v>
      </c>
      <c r="E154" s="531">
        <v>3</v>
      </c>
      <c r="G154" s="321">
        <v>0.73</v>
      </c>
      <c r="H154" s="317">
        <f t="shared" si="25"/>
        <v>26</v>
      </c>
    </row>
    <row r="155" spans="1:8">
      <c r="A155" s="294">
        <f t="shared" si="21"/>
        <v>148</v>
      </c>
      <c r="B155" s="294" t="str">
        <f t="shared" si="22"/>
        <v>55-56</v>
      </c>
      <c r="C155" s="165" t="str">
        <f t="shared" si="22"/>
        <v>Lamp</v>
      </c>
      <c r="D155" s="165" t="s">
        <v>474</v>
      </c>
      <c r="E155" s="531">
        <v>3</v>
      </c>
      <c r="G155" s="321">
        <v>0.9</v>
      </c>
      <c r="H155" s="317">
        <f t="shared" si="25"/>
        <v>32</v>
      </c>
    </row>
    <row r="156" spans="1:8">
      <c r="A156" s="322">
        <f>+A155+1</f>
        <v>149</v>
      </c>
      <c r="B156" s="322"/>
      <c r="C156" s="323"/>
      <c r="D156" s="323" t="s">
        <v>23</v>
      </c>
      <c r="E156" s="532">
        <f>SUM(E146:E155)</f>
        <v>6207</v>
      </c>
      <c r="G156" s="321"/>
      <c r="H156" s="324">
        <f t="shared" ref="H156" si="26">SUM(H146:H155)</f>
        <v>110539</v>
      </c>
    </row>
    <row r="157" spans="1:8">
      <c r="A157" s="294">
        <f t="shared" si="21"/>
        <v>150</v>
      </c>
      <c r="B157" s="294"/>
      <c r="E157" s="531"/>
      <c r="G157" s="321"/>
    </row>
    <row r="158" spans="1:8">
      <c r="A158" s="294">
        <f t="shared" si="21"/>
        <v>151</v>
      </c>
      <c r="B158" s="294" t="s">
        <v>336</v>
      </c>
      <c r="C158" s="165" t="str">
        <f>+C155</f>
        <v>Lamp</v>
      </c>
      <c r="D158" s="165" t="s">
        <v>545</v>
      </c>
      <c r="E158" s="531">
        <v>58</v>
      </c>
      <c r="G158" s="321">
        <v>1.3999999999999986</v>
      </c>
      <c r="H158" s="317">
        <f t="shared" ref="H158:H177" si="27">ROUND(+$E158*G158*12,0)</f>
        <v>974</v>
      </c>
    </row>
    <row r="159" spans="1:8">
      <c r="A159" s="294">
        <f t="shared" si="21"/>
        <v>152</v>
      </c>
      <c r="B159" s="294" t="str">
        <f t="shared" ref="B159:C174" si="28">+B158</f>
        <v>58-59</v>
      </c>
      <c r="C159" s="165" t="str">
        <f t="shared" si="28"/>
        <v>Lamp</v>
      </c>
      <c r="D159" s="165" t="s">
        <v>546</v>
      </c>
      <c r="E159" s="531">
        <v>6</v>
      </c>
      <c r="G159" s="321">
        <v>1.5399999999999991</v>
      </c>
      <c r="H159" s="317">
        <f t="shared" si="27"/>
        <v>111</v>
      </c>
    </row>
    <row r="160" spans="1:8">
      <c r="A160" s="294">
        <f t="shared" si="21"/>
        <v>153</v>
      </c>
      <c r="B160" s="294" t="str">
        <f t="shared" si="28"/>
        <v>58-59</v>
      </c>
      <c r="C160" s="165" t="str">
        <f t="shared" si="28"/>
        <v>Lamp</v>
      </c>
      <c r="D160" s="165" t="s">
        <v>547</v>
      </c>
      <c r="E160" s="531">
        <v>170</v>
      </c>
      <c r="G160" s="321">
        <v>1.759999999999998</v>
      </c>
      <c r="H160" s="317">
        <f t="shared" si="27"/>
        <v>3590</v>
      </c>
    </row>
    <row r="161" spans="1:8">
      <c r="A161" s="294">
        <f t="shared" si="21"/>
        <v>154</v>
      </c>
      <c r="B161" s="294" t="str">
        <f t="shared" si="28"/>
        <v>58-59</v>
      </c>
      <c r="C161" s="165" t="str">
        <f t="shared" si="28"/>
        <v>Lamp</v>
      </c>
      <c r="D161" s="165" t="s">
        <v>548</v>
      </c>
      <c r="E161" s="531">
        <v>303</v>
      </c>
      <c r="G161" s="321">
        <v>2.0500000000000007</v>
      </c>
      <c r="H161" s="317">
        <f t="shared" si="27"/>
        <v>7454</v>
      </c>
    </row>
    <row r="162" spans="1:8">
      <c r="A162" s="294">
        <f t="shared" si="21"/>
        <v>155</v>
      </c>
      <c r="B162" s="294" t="str">
        <f t="shared" si="28"/>
        <v>58-59</v>
      </c>
      <c r="C162" s="165" t="str">
        <f t="shared" si="28"/>
        <v>Lamp</v>
      </c>
      <c r="D162" s="165" t="s">
        <v>549</v>
      </c>
      <c r="E162" s="531">
        <v>41</v>
      </c>
      <c r="G162" s="321">
        <v>2.3000000000000007</v>
      </c>
      <c r="H162" s="317">
        <f t="shared" si="27"/>
        <v>1132</v>
      </c>
    </row>
    <row r="163" spans="1:8">
      <c r="A163" s="294">
        <f t="shared" si="21"/>
        <v>156</v>
      </c>
      <c r="B163" s="294" t="str">
        <f t="shared" si="28"/>
        <v>58-59</v>
      </c>
      <c r="C163" s="165" t="str">
        <f t="shared" si="28"/>
        <v>Lamp</v>
      </c>
      <c r="D163" s="165" t="s">
        <v>550</v>
      </c>
      <c r="E163" s="531">
        <v>406</v>
      </c>
      <c r="G163" s="321">
        <v>2.9000000000000021</v>
      </c>
      <c r="H163" s="317">
        <f t="shared" si="27"/>
        <v>14129</v>
      </c>
    </row>
    <row r="164" spans="1:8">
      <c r="A164" s="294">
        <f t="shared" si="21"/>
        <v>157</v>
      </c>
      <c r="B164" s="294" t="str">
        <f t="shared" si="28"/>
        <v>58-59</v>
      </c>
      <c r="C164" s="165" t="str">
        <f t="shared" si="28"/>
        <v>Lamp</v>
      </c>
      <c r="D164" s="165" t="s">
        <v>551</v>
      </c>
      <c r="E164" s="531">
        <v>3</v>
      </c>
      <c r="G164" s="321">
        <v>2</v>
      </c>
      <c r="H164" s="317">
        <f t="shared" si="27"/>
        <v>72</v>
      </c>
    </row>
    <row r="165" spans="1:8">
      <c r="A165" s="294">
        <f t="shared" si="21"/>
        <v>158</v>
      </c>
      <c r="B165" s="294" t="str">
        <f t="shared" si="28"/>
        <v>58-59</v>
      </c>
      <c r="C165" s="165" t="str">
        <f t="shared" si="28"/>
        <v>Lamp</v>
      </c>
      <c r="D165" s="165" t="s">
        <v>552</v>
      </c>
      <c r="E165" s="531">
        <v>22</v>
      </c>
      <c r="G165" s="321">
        <v>2.3500000000000014</v>
      </c>
      <c r="H165" s="317">
        <f t="shared" si="27"/>
        <v>620</v>
      </c>
    </row>
    <row r="166" spans="1:8">
      <c r="A166" s="294">
        <f t="shared" si="21"/>
        <v>159</v>
      </c>
      <c r="B166" s="294" t="str">
        <f t="shared" si="28"/>
        <v>58-59</v>
      </c>
      <c r="C166" s="165" t="str">
        <f t="shared" si="28"/>
        <v>Lamp</v>
      </c>
      <c r="D166" s="165" t="s">
        <v>553</v>
      </c>
      <c r="E166" s="531">
        <v>86</v>
      </c>
      <c r="G166" s="321">
        <v>2.9200000000000017</v>
      </c>
      <c r="H166" s="317">
        <f t="shared" si="27"/>
        <v>3013</v>
      </c>
    </row>
    <row r="167" spans="1:8">
      <c r="A167" s="294">
        <f t="shared" si="21"/>
        <v>160</v>
      </c>
      <c r="B167" s="294" t="str">
        <f t="shared" si="28"/>
        <v>58-59</v>
      </c>
      <c r="C167" s="165" t="str">
        <f t="shared" si="28"/>
        <v>Lamp</v>
      </c>
      <c r="D167" s="165" t="s">
        <v>554</v>
      </c>
      <c r="E167" s="531">
        <v>139</v>
      </c>
      <c r="G167" s="321">
        <v>5.4100000000000037</v>
      </c>
      <c r="H167" s="317">
        <f t="shared" si="27"/>
        <v>9024</v>
      </c>
    </row>
    <row r="168" spans="1:8">
      <c r="A168" s="294">
        <f t="shared" si="21"/>
        <v>161</v>
      </c>
      <c r="B168" s="294" t="str">
        <f t="shared" si="28"/>
        <v>58-59</v>
      </c>
      <c r="C168" s="165" t="str">
        <f t="shared" si="28"/>
        <v>Lamp</v>
      </c>
      <c r="D168" s="165" t="s">
        <v>555</v>
      </c>
      <c r="E168" s="531">
        <v>1</v>
      </c>
      <c r="G168" s="321">
        <v>1.759999999999998</v>
      </c>
      <c r="H168" s="317">
        <f t="shared" si="27"/>
        <v>21</v>
      </c>
    </row>
    <row r="169" spans="1:8">
      <c r="A169" s="294">
        <f t="shared" si="21"/>
        <v>162</v>
      </c>
      <c r="B169" s="294" t="str">
        <f t="shared" si="28"/>
        <v>58-59</v>
      </c>
      <c r="C169" s="165" t="str">
        <f t="shared" si="28"/>
        <v>Lamp</v>
      </c>
      <c r="D169" s="165" t="s">
        <v>556</v>
      </c>
      <c r="E169" s="531">
        <v>25</v>
      </c>
      <c r="G169" s="321">
        <v>1.9599999999999973</v>
      </c>
      <c r="H169" s="317">
        <f t="shared" si="27"/>
        <v>588</v>
      </c>
    </row>
    <row r="170" spans="1:8">
      <c r="A170" s="294">
        <f t="shared" si="21"/>
        <v>163</v>
      </c>
      <c r="B170" s="294" t="str">
        <f t="shared" si="28"/>
        <v>58-59</v>
      </c>
      <c r="C170" s="165" t="str">
        <f t="shared" si="28"/>
        <v>Lamp</v>
      </c>
      <c r="D170" s="165" t="s">
        <v>557</v>
      </c>
      <c r="E170" s="531">
        <v>13</v>
      </c>
      <c r="G170" s="321">
        <v>2.2999999999999972</v>
      </c>
      <c r="H170" s="317">
        <f t="shared" si="27"/>
        <v>359</v>
      </c>
    </row>
    <row r="171" spans="1:8">
      <c r="A171" s="294">
        <f t="shared" si="21"/>
        <v>164</v>
      </c>
      <c r="B171" s="294" t="str">
        <f t="shared" si="28"/>
        <v>58-59</v>
      </c>
      <c r="C171" s="165" t="str">
        <f t="shared" si="28"/>
        <v>Lamp</v>
      </c>
      <c r="D171" s="165" t="s">
        <v>558</v>
      </c>
      <c r="E171" s="531">
        <v>34</v>
      </c>
      <c r="G171" s="321">
        <v>2.3999999999999986</v>
      </c>
      <c r="H171" s="317">
        <f t="shared" si="27"/>
        <v>979</v>
      </c>
    </row>
    <row r="172" spans="1:8">
      <c r="A172" s="294">
        <f t="shared" si="21"/>
        <v>165</v>
      </c>
      <c r="B172" s="294" t="str">
        <f t="shared" si="28"/>
        <v>58-59</v>
      </c>
      <c r="C172" s="165" t="str">
        <f t="shared" si="28"/>
        <v>Lamp</v>
      </c>
      <c r="D172" s="165" t="s">
        <v>559</v>
      </c>
      <c r="E172" s="531">
        <v>65</v>
      </c>
      <c r="G172" s="321">
        <v>3.1099999999999994</v>
      </c>
      <c r="H172" s="317">
        <f t="shared" si="27"/>
        <v>2426</v>
      </c>
    </row>
    <row r="173" spans="1:8">
      <c r="A173" s="294">
        <f t="shared" si="21"/>
        <v>166</v>
      </c>
      <c r="B173" s="294" t="str">
        <f t="shared" si="28"/>
        <v>58-59</v>
      </c>
      <c r="C173" s="165" t="str">
        <f t="shared" si="28"/>
        <v>Lamp</v>
      </c>
      <c r="D173" s="165" t="s">
        <v>560</v>
      </c>
      <c r="E173" s="531">
        <v>11</v>
      </c>
      <c r="G173" s="321">
        <v>2.7900000000000027</v>
      </c>
      <c r="H173" s="317">
        <f t="shared" si="27"/>
        <v>368</v>
      </c>
    </row>
    <row r="174" spans="1:8">
      <c r="A174" s="294">
        <f t="shared" si="21"/>
        <v>167</v>
      </c>
      <c r="B174" s="294" t="str">
        <f t="shared" si="28"/>
        <v>58-59</v>
      </c>
      <c r="C174" s="165" t="str">
        <f t="shared" si="28"/>
        <v>Lamp</v>
      </c>
      <c r="D174" s="165" t="s">
        <v>561</v>
      </c>
      <c r="E174" s="531">
        <v>46</v>
      </c>
      <c r="G174" s="321">
        <v>3.519999999999996</v>
      </c>
      <c r="H174" s="317">
        <f t="shared" si="27"/>
        <v>1943</v>
      </c>
    </row>
    <row r="175" spans="1:8">
      <c r="A175" s="294">
        <f t="shared" si="21"/>
        <v>168</v>
      </c>
      <c r="B175" s="294" t="str">
        <f t="shared" ref="B175:C177" si="29">+B174</f>
        <v>58-59</v>
      </c>
      <c r="C175" s="165" t="str">
        <f t="shared" si="29"/>
        <v>Lamp</v>
      </c>
      <c r="D175" s="165" t="s">
        <v>512</v>
      </c>
      <c r="E175" s="531">
        <v>1</v>
      </c>
      <c r="G175" s="321">
        <v>0.84</v>
      </c>
      <c r="H175" s="317">
        <f t="shared" si="27"/>
        <v>10</v>
      </c>
    </row>
    <row r="176" spans="1:8">
      <c r="A176" s="294">
        <f t="shared" si="21"/>
        <v>169</v>
      </c>
      <c r="B176" s="294" t="str">
        <f t="shared" si="29"/>
        <v>58-59</v>
      </c>
      <c r="C176" s="165" t="str">
        <f t="shared" si="29"/>
        <v>Lamp</v>
      </c>
      <c r="D176" s="165" t="s">
        <v>477</v>
      </c>
      <c r="E176" s="531">
        <v>1</v>
      </c>
      <c r="G176" s="321">
        <v>1.02</v>
      </c>
      <c r="H176" s="317">
        <f t="shared" si="27"/>
        <v>12</v>
      </c>
    </row>
    <row r="177" spans="1:8">
      <c r="A177" s="294">
        <f t="shared" si="21"/>
        <v>170</v>
      </c>
      <c r="B177" s="294" t="str">
        <f t="shared" si="29"/>
        <v>58-59</v>
      </c>
      <c r="C177" s="165" t="str">
        <f t="shared" si="29"/>
        <v>Lamp</v>
      </c>
      <c r="D177" s="165" t="s">
        <v>562</v>
      </c>
      <c r="E177" s="531">
        <v>1</v>
      </c>
      <c r="G177" s="325"/>
      <c r="H177" s="317">
        <f t="shared" si="27"/>
        <v>0</v>
      </c>
    </row>
    <row r="178" spans="1:8">
      <c r="A178" s="322">
        <f>+A177+1</f>
        <v>171</v>
      </c>
      <c r="B178" s="322"/>
      <c r="C178" s="323"/>
      <c r="D178" s="323" t="s">
        <v>23</v>
      </c>
      <c r="E178" s="532">
        <f>SUM(E158:E177)</f>
        <v>1432</v>
      </c>
      <c r="G178" s="321"/>
      <c r="H178" s="324">
        <f t="shared" ref="H178" si="30">SUM(H158:H177)</f>
        <v>46825</v>
      </c>
    </row>
    <row r="179" spans="1:8">
      <c r="A179" s="326">
        <f>+A178+1</f>
        <v>172</v>
      </c>
      <c r="B179" s="294"/>
      <c r="G179" s="321"/>
    </row>
    <row r="180" spans="1:8">
      <c r="A180" s="322">
        <f t="shared" ref="A180" si="31">+A179+1</f>
        <v>173</v>
      </c>
      <c r="B180" s="322"/>
      <c r="C180" s="323"/>
      <c r="D180" s="323" t="s">
        <v>337</v>
      </c>
      <c r="E180" s="532">
        <f>SUM(E178,E156,E144,E124,E62,E46,E16)</f>
        <v>121211</v>
      </c>
      <c r="G180" s="321"/>
      <c r="H180" s="324">
        <f t="shared" ref="H180" si="32">SUM(H178,H156,H144,H124,H62,H46,H16)</f>
        <v>1726926</v>
      </c>
    </row>
    <row r="181" spans="1:8">
      <c r="A181" s="327">
        <f>+A180+1</f>
        <v>174</v>
      </c>
      <c r="B181" s="327"/>
      <c r="C181" s="328"/>
      <c r="D181" s="328"/>
      <c r="E181" s="534"/>
      <c r="G181" s="321"/>
    </row>
    <row r="182" spans="1:8">
      <c r="A182" s="327">
        <f t="shared" ref="A182:A183" si="33">+A181+1</f>
        <v>175</v>
      </c>
      <c r="B182" s="291" t="s">
        <v>335</v>
      </c>
      <c r="C182" s="165" t="s">
        <v>338</v>
      </c>
      <c r="D182" s="165" t="s">
        <v>449</v>
      </c>
      <c r="E182" s="531">
        <v>303</v>
      </c>
      <c r="G182" s="321">
        <v>0.91999999999999993</v>
      </c>
      <c r="H182" s="317">
        <f>ROUND(+$E182*G182*12,0)</f>
        <v>3345</v>
      </c>
    </row>
    <row r="183" spans="1:8">
      <c r="A183" s="327">
        <f t="shared" si="33"/>
        <v>176</v>
      </c>
      <c r="B183" s="294" t="str">
        <f t="shared" ref="B183:C185" si="34">+B182</f>
        <v>55-56</v>
      </c>
      <c r="C183" s="165" t="str">
        <f t="shared" si="34"/>
        <v>Pole</v>
      </c>
      <c r="D183" s="165" t="s">
        <v>450</v>
      </c>
      <c r="E183" s="531">
        <v>707</v>
      </c>
      <c r="G183" s="321">
        <v>0.23999999999999977</v>
      </c>
      <c r="H183" s="317">
        <f>ROUND(+$E183*G183*12,0)</f>
        <v>2036</v>
      </c>
    </row>
    <row r="184" spans="1:8">
      <c r="A184" s="294">
        <f t="shared" si="21"/>
        <v>177</v>
      </c>
      <c r="B184" s="294" t="s">
        <v>336</v>
      </c>
      <c r="C184" s="165" t="str">
        <f t="shared" si="34"/>
        <v>Pole</v>
      </c>
      <c r="D184" s="165" t="s">
        <v>449</v>
      </c>
      <c r="E184" s="531">
        <v>160</v>
      </c>
      <c r="G184" s="321">
        <v>0.91999999999999993</v>
      </c>
      <c r="H184" s="317">
        <f>ROUND(+$E184*G184*12,0)</f>
        <v>1766</v>
      </c>
    </row>
    <row r="185" spans="1:8">
      <c r="A185" s="294">
        <f t="shared" si="21"/>
        <v>178</v>
      </c>
      <c r="B185" s="294" t="str">
        <f t="shared" si="34"/>
        <v>58-59</v>
      </c>
      <c r="C185" s="165" t="str">
        <f t="shared" si="34"/>
        <v>Pole</v>
      </c>
      <c r="D185" s="165" t="s">
        <v>450</v>
      </c>
      <c r="E185" s="531">
        <v>11</v>
      </c>
      <c r="G185" s="321"/>
      <c r="H185" s="317">
        <f>ROUND(+$E185*G185*12,0)</f>
        <v>0</v>
      </c>
    </row>
    <row r="186" spans="1:8">
      <c r="A186" s="322">
        <f t="shared" si="21"/>
        <v>179</v>
      </c>
      <c r="B186" s="322"/>
      <c r="C186" s="323"/>
      <c r="D186" s="323" t="s">
        <v>23</v>
      </c>
      <c r="E186" s="532">
        <f t="shared" ref="E186" si="35">SUM(E182:E185)</f>
        <v>1181</v>
      </c>
      <c r="G186" s="321"/>
      <c r="H186" s="324">
        <f t="shared" ref="H186" si="36">SUM(H182:H185)</f>
        <v>7147</v>
      </c>
    </row>
    <row r="187" spans="1:8">
      <c r="A187" s="327">
        <f>+A186+1</f>
        <v>180</v>
      </c>
      <c r="B187" s="327"/>
      <c r="C187" s="328"/>
      <c r="D187" s="328"/>
      <c r="E187" s="534"/>
      <c r="G187" s="321"/>
      <c r="H187" s="329"/>
    </row>
    <row r="188" spans="1:8">
      <c r="A188" s="327">
        <f t="shared" ref="A188:A192" si="37">+A187+1</f>
        <v>181</v>
      </c>
      <c r="B188" s="291">
        <v>51</v>
      </c>
      <c r="C188" s="165" t="s">
        <v>339</v>
      </c>
      <c r="D188" s="165" t="s">
        <v>451</v>
      </c>
      <c r="E188" s="535"/>
      <c r="G188" s="321"/>
      <c r="H188" s="317">
        <f>ROUND(+$E188*G188*12,0)</f>
        <v>0</v>
      </c>
    </row>
    <row r="189" spans="1:8">
      <c r="A189" s="327">
        <f t="shared" si="37"/>
        <v>182</v>
      </c>
      <c r="B189" s="294">
        <f>+B188</f>
        <v>51</v>
      </c>
      <c r="C189" s="165" t="str">
        <f>+C188</f>
        <v>Facilities Charge</v>
      </c>
      <c r="D189" s="165" t="s">
        <v>452</v>
      </c>
      <c r="E189" s="535">
        <v>4187059</v>
      </c>
      <c r="G189" s="321"/>
      <c r="H189" s="317">
        <f>ROUND(+$E189*G189*12,0)</f>
        <v>0</v>
      </c>
    </row>
    <row r="190" spans="1:8">
      <c r="A190" s="294">
        <f t="shared" si="37"/>
        <v>183</v>
      </c>
      <c r="B190" s="294">
        <v>52</v>
      </c>
      <c r="C190" s="165" t="str">
        <f t="shared" ref="C190:C191" si="38">+C189</f>
        <v>Facilities Charge</v>
      </c>
      <c r="D190" s="165" t="s">
        <v>451</v>
      </c>
      <c r="E190" s="535"/>
      <c r="G190" s="321"/>
      <c r="H190" s="317">
        <f>ROUND(+$E190*G190*12,0)</f>
        <v>0</v>
      </c>
    </row>
    <row r="191" spans="1:8">
      <c r="A191" s="294">
        <f t="shared" si="37"/>
        <v>184</v>
      </c>
      <c r="B191" s="294">
        <f>+B190</f>
        <v>52</v>
      </c>
      <c r="C191" s="165" t="str">
        <f t="shared" si="38"/>
        <v>Facilities Charge</v>
      </c>
      <c r="D191" s="165" t="s">
        <v>452</v>
      </c>
      <c r="E191" s="535">
        <v>55057501</v>
      </c>
      <c r="G191" s="321"/>
      <c r="H191" s="317">
        <f>ROUND(+$E191*G191*12,0)</f>
        <v>0</v>
      </c>
    </row>
    <row r="192" spans="1:8">
      <c r="A192" s="322">
        <f t="shared" si="37"/>
        <v>185</v>
      </c>
      <c r="B192" s="322"/>
      <c r="C192" s="323"/>
      <c r="D192" s="323" t="s">
        <v>23</v>
      </c>
      <c r="E192" s="536">
        <f t="shared" ref="E192" si="39">SUM(E188:E191)</f>
        <v>59244560</v>
      </c>
      <c r="G192" s="321"/>
      <c r="H192" s="324">
        <f t="shared" ref="H192" si="40">SUM(H188:H191)</f>
        <v>0</v>
      </c>
    </row>
    <row r="193" spans="1:8">
      <c r="A193" s="326">
        <f>+A192+1</f>
        <v>186</v>
      </c>
      <c r="B193" s="294"/>
      <c r="G193" s="321"/>
    </row>
    <row r="194" spans="1:8">
      <c r="A194" s="322">
        <f t="shared" ref="A194" si="41">+A193+1</f>
        <v>187</v>
      </c>
      <c r="B194" s="322">
        <v>57</v>
      </c>
      <c r="C194" s="323"/>
      <c r="D194" s="323" t="s">
        <v>453</v>
      </c>
      <c r="E194" s="532">
        <v>1295805</v>
      </c>
      <c r="G194" s="330">
        <v>2.8099999999999967E-4</v>
      </c>
      <c r="H194" s="324">
        <f>ROUND(+$E194*G194*12,0)</f>
        <v>4369</v>
      </c>
    </row>
    <row r="195" spans="1:8">
      <c r="A195" s="326">
        <f>+A194+1</f>
        <v>188</v>
      </c>
      <c r="B195" s="294"/>
      <c r="G195" s="321"/>
    </row>
    <row r="196" spans="1:8">
      <c r="A196" s="322">
        <f t="shared" ref="A196" si="42">+A195+1</f>
        <v>189</v>
      </c>
      <c r="B196" s="322"/>
      <c r="C196" s="323"/>
      <c r="D196" s="331" t="s">
        <v>340</v>
      </c>
      <c r="G196" s="321"/>
      <c r="H196" s="324">
        <f t="shared" ref="H196" si="43">SUM(H180,H186,H192,H194)</f>
        <v>1738442</v>
      </c>
    </row>
    <row r="197" spans="1:8">
      <c r="G197" s="321"/>
    </row>
    <row r="198" spans="1:8" ht="13.8" customHeight="1">
      <c r="C198" s="165" t="s">
        <v>140</v>
      </c>
      <c r="D198" s="165" t="s">
        <v>341</v>
      </c>
      <c r="G198" s="321"/>
      <c r="H198" s="298">
        <f t="shared" ref="H198" si="44">SUM(H16,H46,H62,H124,H144,H156,H178,H194)</f>
        <v>1731295</v>
      </c>
    </row>
    <row r="199" spans="1:8" ht="13.8" customHeight="1">
      <c r="D199" s="165" t="s">
        <v>342</v>
      </c>
      <c r="G199" s="321"/>
      <c r="H199" s="298">
        <f t="shared" ref="H199" si="45">+H192</f>
        <v>0</v>
      </c>
    </row>
    <row r="200" spans="1:8" ht="13.8" customHeight="1">
      <c r="D200" s="165" t="s">
        <v>343</v>
      </c>
      <c r="G200" s="321"/>
      <c r="H200" s="298">
        <f t="shared" ref="H200" si="46">SUM(H186)</f>
        <v>7147</v>
      </c>
    </row>
    <row r="201" spans="1:8">
      <c r="G201" s="321"/>
      <c r="H201" s="298">
        <f t="shared" ref="H201" si="47">SUM(H198:H200)</f>
        <v>1738442</v>
      </c>
    </row>
    <row r="202" spans="1:8">
      <c r="G202" s="321"/>
    </row>
    <row r="203" spans="1:8">
      <c r="G203" s="321"/>
    </row>
    <row r="204" spans="1:8">
      <c r="G204" s="321"/>
    </row>
    <row r="205" spans="1:8">
      <c r="G205" s="321"/>
    </row>
    <row r="206" spans="1:8">
      <c r="G206" s="321"/>
    </row>
    <row r="207" spans="1:8">
      <c r="G207" s="321"/>
    </row>
    <row r="208" spans="1:8">
      <c r="G208" s="321"/>
    </row>
    <row r="209" spans="7:7">
      <c r="G209" s="321"/>
    </row>
    <row r="210" spans="7:7">
      <c r="G210" s="32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62" fitToHeight="4" orientation="landscape" r:id="rId1"/>
  <headerFooter alignWithMargins="0">
    <oddFooter>&amp;L&amp;"Times New Roman,Regular"&amp;F
&amp;A&amp;R&amp;"Times New Roman,Regular"Page &amp;P of 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P24"/>
  <sheetViews>
    <sheetView workbookViewId="0">
      <selection sqref="A1:P1"/>
    </sheetView>
  </sheetViews>
  <sheetFormatPr defaultRowHeight="13.2"/>
  <cols>
    <col min="1" max="1" width="8.21875" bestFit="1" customWidth="1"/>
    <col min="2" max="2" width="35.88671875" bestFit="1" customWidth="1"/>
    <col min="3" max="3" width="16" bestFit="1" customWidth="1"/>
    <col min="4" max="4" width="14.109375" bestFit="1" customWidth="1"/>
    <col min="5" max="16" width="12.44140625" bestFit="1" customWidth="1"/>
  </cols>
  <sheetData>
    <row r="1" spans="1:16">
      <c r="A1" s="632" t="s">
        <v>312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</row>
    <row r="2" spans="1:16">
      <c r="A2" s="632" t="str">
        <f>+B5</f>
        <v>Proforma Transportation Service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</row>
    <row r="3" spans="1:16">
      <c r="A3" s="633" t="s">
        <v>313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</row>
    <row r="5" spans="1:16" ht="26.4">
      <c r="A5" s="307" t="s">
        <v>3</v>
      </c>
      <c r="B5" s="308" t="s">
        <v>314</v>
      </c>
      <c r="C5" s="307" t="s">
        <v>315</v>
      </c>
      <c r="D5" s="309" t="s">
        <v>316</v>
      </c>
      <c r="E5" s="310">
        <v>42278</v>
      </c>
      <c r="F5" s="310">
        <v>42309</v>
      </c>
      <c r="G5" s="310">
        <v>42339</v>
      </c>
      <c r="H5" s="310">
        <v>42370</v>
      </c>
      <c r="I5" s="310">
        <v>42401</v>
      </c>
      <c r="J5" s="310">
        <v>42430</v>
      </c>
      <c r="K5" s="310">
        <v>42461</v>
      </c>
      <c r="L5" s="310">
        <v>42491</v>
      </c>
      <c r="M5" s="310">
        <v>42522</v>
      </c>
      <c r="N5" s="310">
        <v>42552</v>
      </c>
      <c r="O5" s="310">
        <v>42583</v>
      </c>
      <c r="P5" s="310">
        <v>42614</v>
      </c>
    </row>
    <row r="6" spans="1:16">
      <c r="A6" s="277">
        <v>1</v>
      </c>
      <c r="B6" t="s">
        <v>317</v>
      </c>
      <c r="D6" s="311">
        <f>SUM(E6:P6)</f>
        <v>240</v>
      </c>
      <c r="E6" s="311">
        <v>20</v>
      </c>
      <c r="F6" s="311">
        <v>20</v>
      </c>
      <c r="G6" s="311">
        <v>20</v>
      </c>
      <c r="H6" s="311">
        <v>20</v>
      </c>
      <c r="I6" s="311">
        <v>19</v>
      </c>
      <c r="J6" s="311">
        <v>21</v>
      </c>
      <c r="K6" s="311">
        <v>20</v>
      </c>
      <c r="L6" s="311">
        <v>20</v>
      </c>
      <c r="M6" s="311">
        <v>20</v>
      </c>
      <c r="N6" s="311">
        <v>20</v>
      </c>
      <c r="O6" s="311">
        <v>20</v>
      </c>
      <c r="P6" s="311">
        <v>20</v>
      </c>
    </row>
    <row r="7" spans="1:16">
      <c r="A7" s="277">
        <f t="shared" ref="A7:A24" si="0">+A6+1</f>
        <v>2</v>
      </c>
    </row>
    <row r="8" spans="1:16">
      <c r="A8" s="277">
        <f t="shared" si="0"/>
        <v>3</v>
      </c>
      <c r="B8" t="s">
        <v>318</v>
      </c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</row>
    <row r="9" spans="1:16">
      <c r="A9" s="277">
        <f t="shared" si="0"/>
        <v>4</v>
      </c>
      <c r="B9" s="312" t="s">
        <v>319</v>
      </c>
      <c r="D9" s="311">
        <f>SUM(E9:P9)</f>
        <v>2109984905.4339998</v>
      </c>
      <c r="E9" s="311">
        <v>177609438.31299999</v>
      </c>
      <c r="F9" s="311">
        <v>179039030.12200001</v>
      </c>
      <c r="G9" s="311">
        <v>171465566.21900001</v>
      </c>
      <c r="H9" s="311">
        <v>174013376.86500001</v>
      </c>
      <c r="I9" s="311">
        <v>180145067.81</v>
      </c>
      <c r="J9" s="311">
        <v>170628054.23599997</v>
      </c>
      <c r="K9" s="311">
        <v>181637660.30500001</v>
      </c>
      <c r="L9" s="311">
        <v>171772051.655</v>
      </c>
      <c r="M9" s="311">
        <v>175463775.18900001</v>
      </c>
      <c r="N9" s="311">
        <v>172168450.53099999</v>
      </c>
      <c r="O9" s="311">
        <v>175173145.683</v>
      </c>
      <c r="P9" s="311">
        <v>180869288.50599998</v>
      </c>
    </row>
    <row r="10" spans="1:16">
      <c r="A10" s="277">
        <f t="shared" si="0"/>
        <v>5</v>
      </c>
      <c r="B10" s="313" t="s">
        <v>320</v>
      </c>
      <c r="D10" s="311">
        <f t="shared" ref="D10:D11" si="1">SUM(E10:P10)</f>
        <v>-11881268.808000008</v>
      </c>
      <c r="E10" s="311">
        <v>243443.57300000312</v>
      </c>
      <c r="F10" s="311">
        <v>-7130121.7970000273</v>
      </c>
      <c r="G10" s="311">
        <v>3690159.031000026</v>
      </c>
      <c r="H10" s="311">
        <v>6023199.1120000221</v>
      </c>
      <c r="I10" s="311">
        <v>-16715773.120000022</v>
      </c>
      <c r="J10" s="311">
        <v>17176349.441</v>
      </c>
      <c r="K10" s="311">
        <v>-9865608.650000006</v>
      </c>
      <c r="L10" s="311">
        <v>3691723.5339999879</v>
      </c>
      <c r="M10" s="311">
        <v>-3295324.6580000254</v>
      </c>
      <c r="N10" s="311">
        <v>3004695.152000038</v>
      </c>
      <c r="O10" s="311">
        <v>-3918038.124000011</v>
      </c>
      <c r="P10" s="311">
        <v>-4785972.3019999936</v>
      </c>
    </row>
    <row r="11" spans="1:16">
      <c r="A11" s="277">
        <f t="shared" si="0"/>
        <v>6</v>
      </c>
      <c r="B11" s="313" t="s">
        <v>321</v>
      </c>
      <c r="D11" s="311">
        <f t="shared" si="1"/>
        <v>0</v>
      </c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</row>
    <row r="12" spans="1:16">
      <c r="A12" s="277">
        <f t="shared" si="0"/>
        <v>7</v>
      </c>
      <c r="B12" s="312" t="s">
        <v>322</v>
      </c>
      <c r="D12" s="311">
        <f t="shared" ref="D12:P12" si="2">SUM(D9:D11)</f>
        <v>2098103636.6259997</v>
      </c>
      <c r="E12" s="311">
        <f t="shared" si="2"/>
        <v>177852881.88600001</v>
      </c>
      <c r="F12" s="311">
        <f t="shared" si="2"/>
        <v>171908908.32499999</v>
      </c>
      <c r="G12" s="311">
        <f t="shared" si="2"/>
        <v>175155725.25000003</v>
      </c>
      <c r="H12" s="311">
        <f t="shared" si="2"/>
        <v>180036575.97700003</v>
      </c>
      <c r="I12" s="311">
        <f t="shared" si="2"/>
        <v>163429294.68999997</v>
      </c>
      <c r="J12" s="311">
        <f t="shared" si="2"/>
        <v>187804403.67699999</v>
      </c>
      <c r="K12" s="311">
        <f t="shared" si="2"/>
        <v>171772051.655</v>
      </c>
      <c r="L12" s="311">
        <f t="shared" si="2"/>
        <v>175463775.18899998</v>
      </c>
      <c r="M12" s="311">
        <f t="shared" si="2"/>
        <v>172168450.53099999</v>
      </c>
      <c r="N12" s="311">
        <f t="shared" si="2"/>
        <v>175173145.68300003</v>
      </c>
      <c r="O12" s="311">
        <f t="shared" si="2"/>
        <v>171255107.55899999</v>
      </c>
      <c r="P12" s="311">
        <f t="shared" si="2"/>
        <v>176083316.204</v>
      </c>
    </row>
    <row r="13" spans="1:16">
      <c r="A13" s="277">
        <f t="shared" si="0"/>
        <v>8</v>
      </c>
      <c r="B13" s="312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</row>
    <row r="14" spans="1:16">
      <c r="A14" s="277">
        <f t="shared" si="0"/>
        <v>9</v>
      </c>
      <c r="B14" s="166" t="s">
        <v>323</v>
      </c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</row>
    <row r="15" spans="1:16">
      <c r="A15" s="277">
        <f t="shared" si="0"/>
        <v>10</v>
      </c>
      <c r="B15" s="312" t="s">
        <v>189</v>
      </c>
      <c r="D15" s="311">
        <f t="shared" ref="D15" si="3">SUM(E15:P15)</f>
        <v>183378</v>
      </c>
      <c r="E15" s="311">
        <v>15415</v>
      </c>
      <c r="F15" s="311">
        <v>14654</v>
      </c>
      <c r="G15" s="311">
        <v>16085</v>
      </c>
      <c r="H15" s="311">
        <v>14973</v>
      </c>
      <c r="I15" s="311">
        <v>16033</v>
      </c>
      <c r="J15" s="311">
        <v>15907</v>
      </c>
      <c r="K15" s="311">
        <v>15842</v>
      </c>
      <c r="L15" s="311">
        <v>15087</v>
      </c>
      <c r="M15" s="311">
        <v>14676</v>
      </c>
      <c r="N15" s="311">
        <v>15071</v>
      </c>
      <c r="O15" s="311">
        <v>14550</v>
      </c>
      <c r="P15" s="311">
        <v>15085</v>
      </c>
    </row>
    <row r="16" spans="1:16">
      <c r="A16" s="277">
        <f t="shared" si="0"/>
        <v>11</v>
      </c>
      <c r="B16" s="312" t="s">
        <v>192</v>
      </c>
      <c r="D16" s="311">
        <f t="shared" ref="D16" si="4">SUM(E16:P16)</f>
        <v>3462662</v>
      </c>
      <c r="E16" s="311">
        <v>290664</v>
      </c>
      <c r="F16" s="311">
        <v>289857</v>
      </c>
      <c r="G16" s="311">
        <v>282525</v>
      </c>
      <c r="H16" s="311">
        <v>289929</v>
      </c>
      <c r="I16" s="311">
        <v>283063</v>
      </c>
      <c r="J16" s="311">
        <v>287516</v>
      </c>
      <c r="K16" s="311">
        <v>291848</v>
      </c>
      <c r="L16" s="311">
        <v>289740</v>
      </c>
      <c r="M16" s="311">
        <v>293584</v>
      </c>
      <c r="N16" s="311">
        <v>295073</v>
      </c>
      <c r="O16" s="311">
        <v>283411</v>
      </c>
      <c r="P16" s="311">
        <v>285452</v>
      </c>
    </row>
    <row r="17" spans="1:16">
      <c r="A17" s="277">
        <f t="shared" si="0"/>
        <v>12</v>
      </c>
      <c r="B17" s="166" t="s">
        <v>323</v>
      </c>
      <c r="D17" s="311">
        <f>SUM(D15:D16)</f>
        <v>3646040</v>
      </c>
      <c r="E17" s="311">
        <f t="shared" ref="E17:P17" si="5">SUM(E15:E16)</f>
        <v>306079</v>
      </c>
      <c r="F17" s="311">
        <f t="shared" si="5"/>
        <v>304511</v>
      </c>
      <c r="G17" s="311">
        <f t="shared" si="5"/>
        <v>298610</v>
      </c>
      <c r="H17" s="311">
        <f t="shared" si="5"/>
        <v>304902</v>
      </c>
      <c r="I17" s="311">
        <f t="shared" si="5"/>
        <v>299096</v>
      </c>
      <c r="J17" s="311">
        <f t="shared" si="5"/>
        <v>303423</v>
      </c>
      <c r="K17" s="311">
        <f t="shared" si="5"/>
        <v>307690</v>
      </c>
      <c r="L17" s="311">
        <f t="shared" si="5"/>
        <v>304827</v>
      </c>
      <c r="M17" s="311">
        <f t="shared" si="5"/>
        <v>308260</v>
      </c>
      <c r="N17" s="311">
        <f t="shared" si="5"/>
        <v>310144</v>
      </c>
      <c r="O17" s="311">
        <f t="shared" si="5"/>
        <v>297961</v>
      </c>
      <c r="P17" s="311">
        <f t="shared" si="5"/>
        <v>300537</v>
      </c>
    </row>
    <row r="18" spans="1:16">
      <c r="A18" s="277">
        <f t="shared" si="0"/>
        <v>13</v>
      </c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</row>
    <row r="19" spans="1:16">
      <c r="A19" s="277">
        <f t="shared" si="0"/>
        <v>14</v>
      </c>
    </row>
    <row r="20" spans="1:16">
      <c r="A20" s="277">
        <f t="shared" si="0"/>
        <v>15</v>
      </c>
      <c r="B20" t="s">
        <v>324</v>
      </c>
    </row>
    <row r="21" spans="1:16">
      <c r="A21" s="300">
        <f t="shared" si="0"/>
        <v>16</v>
      </c>
      <c r="B21" s="312" t="s">
        <v>346</v>
      </c>
      <c r="C21" s="316">
        <v>297.05</v>
      </c>
      <c r="D21" s="167">
        <f t="shared" ref="D21:D23" si="6">SUM(E21:P21)</f>
        <v>71292</v>
      </c>
      <c r="E21" s="315">
        <f t="shared" ref="E21:P21" si="7">ROUND(+$C21*SUM(E6),0)</f>
        <v>5941</v>
      </c>
      <c r="F21" s="315">
        <f t="shared" si="7"/>
        <v>5941</v>
      </c>
      <c r="G21" s="315">
        <f t="shared" si="7"/>
        <v>5941</v>
      </c>
      <c r="H21" s="315">
        <f t="shared" si="7"/>
        <v>5941</v>
      </c>
      <c r="I21" s="315">
        <f t="shared" si="7"/>
        <v>5644</v>
      </c>
      <c r="J21" s="315">
        <f t="shared" si="7"/>
        <v>6238</v>
      </c>
      <c r="K21" s="315">
        <f t="shared" si="7"/>
        <v>5941</v>
      </c>
      <c r="L21" s="315">
        <f t="shared" si="7"/>
        <v>5941</v>
      </c>
      <c r="M21" s="315">
        <f t="shared" si="7"/>
        <v>5941</v>
      </c>
      <c r="N21" s="315">
        <f t="shared" si="7"/>
        <v>5941</v>
      </c>
      <c r="O21" s="315">
        <f t="shared" si="7"/>
        <v>5941</v>
      </c>
      <c r="P21" s="315">
        <f t="shared" si="7"/>
        <v>5941</v>
      </c>
    </row>
    <row r="22" spans="1:16">
      <c r="A22" s="300">
        <f t="shared" si="0"/>
        <v>17</v>
      </c>
      <c r="B22" s="312" t="s">
        <v>347</v>
      </c>
      <c r="C22" s="314">
        <v>0.20699999999999999</v>
      </c>
      <c r="D22" s="167">
        <f t="shared" si="6"/>
        <v>37960</v>
      </c>
      <c r="E22" s="315">
        <f t="shared" ref="E22:P22" si="8">ROUND(+$C22*SUM(E15),0)</f>
        <v>3191</v>
      </c>
      <c r="F22" s="315">
        <f t="shared" si="8"/>
        <v>3033</v>
      </c>
      <c r="G22" s="315">
        <f t="shared" si="8"/>
        <v>3330</v>
      </c>
      <c r="H22" s="315">
        <f t="shared" si="8"/>
        <v>3099</v>
      </c>
      <c r="I22" s="315">
        <f t="shared" si="8"/>
        <v>3319</v>
      </c>
      <c r="J22" s="315">
        <f t="shared" si="8"/>
        <v>3293</v>
      </c>
      <c r="K22" s="315">
        <f t="shared" si="8"/>
        <v>3279</v>
      </c>
      <c r="L22" s="315">
        <f t="shared" si="8"/>
        <v>3123</v>
      </c>
      <c r="M22" s="315">
        <f t="shared" si="8"/>
        <v>3038</v>
      </c>
      <c r="N22" s="315">
        <f t="shared" si="8"/>
        <v>3120</v>
      </c>
      <c r="O22" s="315">
        <f t="shared" si="8"/>
        <v>3012</v>
      </c>
      <c r="P22" s="315">
        <f t="shared" si="8"/>
        <v>3123</v>
      </c>
    </row>
    <row r="23" spans="1:16">
      <c r="A23" s="300">
        <f t="shared" si="0"/>
        <v>18</v>
      </c>
      <c r="B23" s="312" t="s">
        <v>348</v>
      </c>
      <c r="C23" s="314">
        <v>0.02</v>
      </c>
      <c r="D23" s="167">
        <f t="shared" si="6"/>
        <v>69253</v>
      </c>
      <c r="E23" s="315">
        <f t="shared" ref="E23:P23" si="9">ROUND(+$C23*SUM(E16),0)</f>
        <v>5813</v>
      </c>
      <c r="F23" s="315">
        <f t="shared" si="9"/>
        <v>5797</v>
      </c>
      <c r="G23" s="315">
        <f t="shared" si="9"/>
        <v>5651</v>
      </c>
      <c r="H23" s="315">
        <f t="shared" si="9"/>
        <v>5799</v>
      </c>
      <c r="I23" s="315">
        <f t="shared" si="9"/>
        <v>5661</v>
      </c>
      <c r="J23" s="315">
        <f t="shared" si="9"/>
        <v>5750</v>
      </c>
      <c r="K23" s="315">
        <f t="shared" si="9"/>
        <v>5837</v>
      </c>
      <c r="L23" s="315">
        <f t="shared" si="9"/>
        <v>5795</v>
      </c>
      <c r="M23" s="315">
        <f t="shared" si="9"/>
        <v>5872</v>
      </c>
      <c r="N23" s="315">
        <f t="shared" si="9"/>
        <v>5901</v>
      </c>
      <c r="O23" s="315">
        <f t="shared" si="9"/>
        <v>5668</v>
      </c>
      <c r="P23" s="315">
        <f t="shared" si="9"/>
        <v>5709</v>
      </c>
    </row>
    <row r="24" spans="1:16">
      <c r="A24" s="300">
        <f t="shared" si="0"/>
        <v>19</v>
      </c>
      <c r="B24" s="166" t="s">
        <v>325</v>
      </c>
      <c r="D24" s="167">
        <f t="shared" ref="D24:P24" si="10">SUM(D21:D23)</f>
        <v>178505</v>
      </c>
      <c r="E24" s="167">
        <f t="shared" si="10"/>
        <v>14945</v>
      </c>
      <c r="F24" s="167">
        <f t="shared" si="10"/>
        <v>14771</v>
      </c>
      <c r="G24" s="167">
        <f t="shared" si="10"/>
        <v>14922</v>
      </c>
      <c r="H24" s="167">
        <f t="shared" si="10"/>
        <v>14839</v>
      </c>
      <c r="I24" s="167">
        <f t="shared" si="10"/>
        <v>14624</v>
      </c>
      <c r="J24" s="167">
        <f t="shared" si="10"/>
        <v>15281</v>
      </c>
      <c r="K24" s="167">
        <f t="shared" si="10"/>
        <v>15057</v>
      </c>
      <c r="L24" s="167">
        <f t="shared" si="10"/>
        <v>14859</v>
      </c>
      <c r="M24" s="167">
        <f t="shared" si="10"/>
        <v>14851</v>
      </c>
      <c r="N24" s="167">
        <f t="shared" si="10"/>
        <v>14962</v>
      </c>
      <c r="O24" s="167">
        <f t="shared" si="10"/>
        <v>14621</v>
      </c>
      <c r="P24" s="167">
        <f t="shared" si="10"/>
        <v>14773</v>
      </c>
    </row>
  </sheetData>
  <mergeCells count="3">
    <mergeCell ref="A1:P1"/>
    <mergeCell ref="A2:P2"/>
    <mergeCell ref="A3:P3"/>
  </mergeCells>
  <printOptions horizontalCentered="1"/>
  <pageMargins left="0.7" right="0.7" top="0.75" bottom="0.71" header="0.3" footer="0.3"/>
  <pageSetup scale="5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3"/>
  <sheetViews>
    <sheetView workbookViewId="0">
      <selection activeCell="E7" sqref="E7"/>
    </sheetView>
  </sheetViews>
  <sheetFormatPr defaultRowHeight="13.2"/>
  <cols>
    <col min="1" max="1" width="7.77734375" bestFit="1" customWidth="1"/>
    <col min="2" max="2" width="10.33203125" bestFit="1" customWidth="1"/>
    <col min="3" max="3" width="21" bestFit="1" customWidth="1"/>
    <col min="4" max="4" width="15.109375" bestFit="1" customWidth="1"/>
    <col min="5" max="5" width="11.5546875" bestFit="1" customWidth="1"/>
    <col min="6" max="6" width="12.44140625" bestFit="1" customWidth="1"/>
  </cols>
  <sheetData>
    <row r="1" spans="1:6">
      <c r="A1" s="626" t="s">
        <v>0</v>
      </c>
      <c r="B1" s="626"/>
      <c r="C1" s="626"/>
      <c r="D1" s="626"/>
      <c r="E1" s="626"/>
      <c r="F1" s="626"/>
    </row>
    <row r="2" spans="1:6">
      <c r="A2" s="627" t="s">
        <v>309</v>
      </c>
      <c r="B2" s="626"/>
      <c r="C2" s="626"/>
      <c r="D2" s="626"/>
      <c r="E2" s="626"/>
      <c r="F2" s="626"/>
    </row>
    <row r="3" spans="1:6">
      <c r="A3" s="626" t="s">
        <v>91</v>
      </c>
      <c r="B3" s="626"/>
      <c r="C3" s="626"/>
      <c r="D3" s="626"/>
      <c r="E3" s="626"/>
      <c r="F3" s="626"/>
    </row>
    <row r="4" spans="1:6">
      <c r="A4" s="626"/>
      <c r="B4" s="626"/>
      <c r="C4" s="626"/>
      <c r="D4" s="626"/>
      <c r="E4" s="626"/>
      <c r="F4" s="626"/>
    </row>
    <row r="5" spans="1:6">
      <c r="A5" s="2"/>
      <c r="B5" s="3"/>
      <c r="C5" s="3"/>
      <c r="D5" s="3"/>
      <c r="E5" s="4"/>
      <c r="F5" s="4" t="s">
        <v>143</v>
      </c>
    </row>
    <row r="6" spans="1:6" ht="52.8">
      <c r="A6" s="6" t="s">
        <v>3</v>
      </c>
      <c r="B6" s="6" t="s">
        <v>4</v>
      </c>
      <c r="C6" s="6" t="s">
        <v>45</v>
      </c>
      <c r="D6" s="7" t="str">
        <f>+'GRC Tax Reform Impacts'!C7</f>
        <v>Annual mWh Delivered Sales YE 9-2016</v>
      </c>
      <c r="E6" s="7" t="s">
        <v>617</v>
      </c>
      <c r="F6" s="7" t="s">
        <v>310</v>
      </c>
    </row>
    <row r="7" spans="1:6">
      <c r="A7" s="3">
        <v>1</v>
      </c>
      <c r="B7" s="3">
        <v>7</v>
      </c>
      <c r="C7" s="4"/>
      <c r="D7" s="9">
        <v>10201988</v>
      </c>
      <c r="E7" s="202">
        <f>-'Compliance Sch 194'!D18</f>
        <v>-7.4058380000000005E-3</v>
      </c>
      <c r="F7" s="203">
        <f>ROUND(D7*E7,0)</f>
        <v>-75554</v>
      </c>
    </row>
    <row r="8" spans="1:6">
      <c r="A8" s="3">
        <f t="shared" ref="A8:A40" si="0">+A7+1</f>
        <v>2</v>
      </c>
      <c r="B8" s="2" t="s">
        <v>15</v>
      </c>
      <c r="C8" s="4"/>
      <c r="D8" s="9">
        <v>0</v>
      </c>
      <c r="E8" s="202"/>
      <c r="F8" s="203">
        <f>ROUND(D8*E8,0)</f>
        <v>0</v>
      </c>
    </row>
    <row r="9" spans="1:6">
      <c r="A9" s="3">
        <f t="shared" si="0"/>
        <v>3</v>
      </c>
      <c r="B9" s="3"/>
      <c r="C9" s="4" t="s">
        <v>16</v>
      </c>
      <c r="D9" s="13">
        <f>SUM(D7:D8)</f>
        <v>10201988</v>
      </c>
      <c r="E9" s="204"/>
      <c r="F9" s="205">
        <f t="shared" ref="F9" si="1">SUM(F7:F8)</f>
        <v>-75554</v>
      </c>
    </row>
    <row r="10" spans="1:6">
      <c r="A10" s="3">
        <f t="shared" si="0"/>
        <v>4</v>
      </c>
      <c r="B10" s="3"/>
      <c r="C10" s="4"/>
      <c r="D10" s="9"/>
      <c r="E10" s="202"/>
      <c r="F10" s="203"/>
    </row>
    <row r="11" spans="1:6">
      <c r="A11" s="3">
        <f t="shared" si="0"/>
        <v>5</v>
      </c>
      <c r="B11" s="3">
        <v>8</v>
      </c>
      <c r="C11" s="4"/>
      <c r="D11" s="9">
        <v>0</v>
      </c>
      <c r="E11" s="202">
        <f>+$E$7</f>
        <v>-7.4058380000000005E-3</v>
      </c>
      <c r="F11" s="20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v>255780</v>
      </c>
      <c r="E12" s="202">
        <f t="shared" ref="E12:E17" si="3">+$E$7</f>
        <v>-7.4058380000000005E-3</v>
      </c>
      <c r="F12" s="203">
        <f t="shared" si="2"/>
        <v>-1894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202">
        <f t="shared" si="3"/>
        <v>-7.4058380000000005E-3</v>
      </c>
      <c r="F13" s="20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v>151558</v>
      </c>
      <c r="E14" s="202">
        <f t="shared" si="3"/>
        <v>-7.4058380000000005E-3</v>
      </c>
      <c r="F14" s="203">
        <f t="shared" si="2"/>
        <v>-1122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202">
        <f t="shared" si="3"/>
        <v>-7.4058380000000005E-3</v>
      </c>
      <c r="F15" s="203">
        <f t="shared" si="2"/>
        <v>0</v>
      </c>
    </row>
    <row r="16" spans="1:6">
      <c r="A16" s="3">
        <f t="shared" si="0"/>
        <v>10</v>
      </c>
      <c r="B16" s="3" t="s">
        <v>17</v>
      </c>
      <c r="C16" s="1"/>
      <c r="D16" s="9">
        <v>17291</v>
      </c>
      <c r="E16" s="202">
        <f t="shared" si="3"/>
        <v>-7.4058380000000005E-3</v>
      </c>
      <c r="F16" s="203">
        <f t="shared" si="2"/>
        <v>-128</v>
      </c>
    </row>
    <row r="17" spans="1:6">
      <c r="A17" s="3">
        <f t="shared" si="0"/>
        <v>11</v>
      </c>
      <c r="B17" s="3">
        <v>29</v>
      </c>
      <c r="C17" s="4"/>
      <c r="D17" s="9">
        <v>14486</v>
      </c>
      <c r="E17" s="202">
        <f t="shared" si="3"/>
        <v>-7.4058380000000005E-3</v>
      </c>
      <c r="F17" s="203">
        <f t="shared" si="2"/>
        <v>-107</v>
      </c>
    </row>
    <row r="18" spans="1:6">
      <c r="A18" s="3">
        <f t="shared" si="0"/>
        <v>12</v>
      </c>
      <c r="B18" s="3"/>
      <c r="C18" s="12" t="s">
        <v>18</v>
      </c>
      <c r="D18" s="13">
        <f>SUM(D11:D17)</f>
        <v>439115</v>
      </c>
      <c r="E18" s="204"/>
      <c r="F18" s="205">
        <f t="shared" ref="F18" si="4">SUM(F11:F17)</f>
        <v>-3251</v>
      </c>
    </row>
    <row r="19" spans="1:6">
      <c r="A19" s="3">
        <f t="shared" si="0"/>
        <v>13</v>
      </c>
      <c r="B19" s="3"/>
      <c r="C19" s="4"/>
      <c r="D19" s="9"/>
      <c r="E19" s="202"/>
      <c r="F19" s="203"/>
    </row>
    <row r="20" spans="1:6">
      <c r="A20" s="3">
        <f t="shared" si="0"/>
        <v>14</v>
      </c>
      <c r="B20" s="3">
        <v>10</v>
      </c>
      <c r="C20" s="1"/>
      <c r="D20" s="9">
        <v>0</v>
      </c>
      <c r="E20" s="202">
        <f t="shared" ref="E20:E22" si="5">+$E$7</f>
        <v>-7.4058380000000005E-3</v>
      </c>
      <c r="F20" s="20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v>32151</v>
      </c>
      <c r="E21" s="202">
        <f t="shared" si="5"/>
        <v>-7.4058380000000005E-3</v>
      </c>
      <c r="F21" s="203">
        <f>ROUND(D21*E21,0)</f>
        <v>-238</v>
      </c>
    </row>
    <row r="22" spans="1:6">
      <c r="A22" s="3">
        <f t="shared" si="0"/>
        <v>16</v>
      </c>
      <c r="B22" s="3">
        <v>35</v>
      </c>
      <c r="C22" s="4"/>
      <c r="D22" s="9">
        <v>4453</v>
      </c>
      <c r="E22" s="202">
        <f t="shared" si="5"/>
        <v>-7.4058380000000005E-3</v>
      </c>
      <c r="F22" s="203">
        <f>ROUND(D22*E22,0)</f>
        <v>-33</v>
      </c>
    </row>
    <row r="23" spans="1:6">
      <c r="A23" s="3">
        <f t="shared" si="0"/>
        <v>17</v>
      </c>
      <c r="B23" s="3">
        <v>43</v>
      </c>
      <c r="C23" s="4"/>
      <c r="D23" s="9">
        <v>0</v>
      </c>
      <c r="E23" s="202"/>
      <c r="F23" s="203">
        <f>ROUND(D23*E23,0)</f>
        <v>0</v>
      </c>
    </row>
    <row r="24" spans="1:6">
      <c r="A24" s="3">
        <f t="shared" si="0"/>
        <v>18</v>
      </c>
      <c r="B24" s="3"/>
      <c r="C24" s="4" t="s">
        <v>19</v>
      </c>
      <c r="D24" s="13">
        <f>SUM(D20:D23)</f>
        <v>36604</v>
      </c>
      <c r="E24" s="204"/>
      <c r="F24" s="205">
        <f t="shared" ref="F24" si="6">SUM(F20:F23)</f>
        <v>-271</v>
      </c>
    </row>
    <row r="25" spans="1:6">
      <c r="A25" s="3">
        <f t="shared" si="0"/>
        <v>19</v>
      </c>
      <c r="B25" s="3"/>
      <c r="C25" s="4"/>
      <c r="D25" s="9"/>
      <c r="E25" s="202"/>
      <c r="F25" s="203"/>
    </row>
    <row r="26" spans="1:6">
      <c r="A26" s="3">
        <f t="shared" si="0"/>
        <v>20</v>
      </c>
      <c r="B26" s="3">
        <v>40</v>
      </c>
      <c r="C26" s="4"/>
      <c r="D26" s="13">
        <v>0</v>
      </c>
      <c r="E26" s="204"/>
      <c r="F26" s="205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202"/>
      <c r="F27" s="203"/>
    </row>
    <row r="28" spans="1:6">
      <c r="A28" s="3">
        <f t="shared" si="0"/>
        <v>22</v>
      </c>
      <c r="B28" s="3">
        <v>46</v>
      </c>
      <c r="C28" s="4"/>
      <c r="D28" s="9">
        <v>0</v>
      </c>
      <c r="E28" s="202"/>
      <c r="F28" s="203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v>0</v>
      </c>
      <c r="E29" s="202"/>
      <c r="F29" s="203">
        <f>ROUND(D29*E29,0)</f>
        <v>0</v>
      </c>
    </row>
    <row r="30" spans="1:6">
      <c r="A30" s="3">
        <f t="shared" si="0"/>
        <v>24</v>
      </c>
      <c r="B30" s="3"/>
      <c r="C30" s="4" t="s">
        <v>20</v>
      </c>
      <c r="D30" s="13">
        <f>SUM(D28:D29)</f>
        <v>0</v>
      </c>
      <c r="E30" s="204"/>
      <c r="F30" s="205">
        <f t="shared" ref="F30" si="7">SUM(F28:F29)</f>
        <v>0</v>
      </c>
    </row>
    <row r="31" spans="1:6">
      <c r="A31" s="3">
        <f t="shared" si="0"/>
        <v>25</v>
      </c>
      <c r="B31" s="3"/>
      <c r="C31" s="4"/>
      <c r="D31" s="9"/>
      <c r="E31" s="202"/>
      <c r="F31" s="203"/>
    </row>
    <row r="32" spans="1:6">
      <c r="A32" s="3">
        <f t="shared" si="0"/>
        <v>26</v>
      </c>
      <c r="B32" s="3" t="s">
        <v>21</v>
      </c>
      <c r="C32" s="4"/>
      <c r="D32" s="13">
        <v>1982</v>
      </c>
      <c r="E32" s="204">
        <f>+E7</f>
        <v>-7.4058380000000005E-3</v>
      </c>
      <c r="F32" s="205">
        <f>ROUND(D32*E32,0)</f>
        <v>-15</v>
      </c>
    </row>
    <row r="33" spans="1:6">
      <c r="A33" s="3">
        <f t="shared" si="0"/>
        <v>27</v>
      </c>
      <c r="B33" s="3"/>
      <c r="C33" s="4"/>
      <c r="D33" s="9"/>
      <c r="E33" s="202"/>
      <c r="F33" s="203"/>
    </row>
    <row r="34" spans="1:6">
      <c r="A34" s="3">
        <f t="shared" si="0"/>
        <v>28</v>
      </c>
      <c r="B34" s="3" t="s">
        <v>22</v>
      </c>
      <c r="C34" s="4"/>
      <c r="D34" s="13">
        <v>0</v>
      </c>
      <c r="E34" s="204">
        <v>0</v>
      </c>
      <c r="F34" s="205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202"/>
      <c r="F35" s="203"/>
    </row>
    <row r="36" spans="1:6" ht="13.8" thickBot="1">
      <c r="A36" s="3">
        <f t="shared" si="0"/>
        <v>30</v>
      </c>
      <c r="B36" s="3"/>
      <c r="C36" s="12" t="s">
        <v>98</v>
      </c>
      <c r="D36" s="14">
        <f>SUM(D9,D18,D24,D26,D30,D32,D34)</f>
        <v>10679689</v>
      </c>
      <c r="E36" s="207"/>
      <c r="F36" s="208">
        <f t="shared" ref="F36" si="8">SUM(F9,F18,F24,F26,F30,F32,F34)</f>
        <v>-79091</v>
      </c>
    </row>
    <row r="37" spans="1:6" ht="13.8" thickTop="1">
      <c r="A37" s="3">
        <f t="shared" si="0"/>
        <v>31</v>
      </c>
      <c r="B37" s="3"/>
      <c r="C37" s="1"/>
      <c r="D37" s="1"/>
      <c r="E37" s="1"/>
      <c r="F37" s="203"/>
    </row>
    <row r="38" spans="1:6">
      <c r="A38" s="3">
        <f t="shared" si="0"/>
        <v>32</v>
      </c>
      <c r="B38" s="3">
        <v>5</v>
      </c>
      <c r="C38" s="1" t="s">
        <v>99</v>
      </c>
      <c r="D38" s="9">
        <v>0</v>
      </c>
      <c r="E38" s="204">
        <v>0</v>
      </c>
      <c r="F38" s="205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203"/>
    </row>
    <row r="40" spans="1:6" ht="13.8" thickBot="1">
      <c r="A40" s="3">
        <f t="shared" si="0"/>
        <v>34</v>
      </c>
      <c r="B40" s="3"/>
      <c r="C40" s="12" t="s">
        <v>100</v>
      </c>
      <c r="D40" s="14">
        <f>SUM(D36,D38)</f>
        <v>10679689</v>
      </c>
      <c r="E40" s="1"/>
      <c r="F40" s="208">
        <f t="shared" ref="F40" si="9">SUM(F36,F38)</f>
        <v>-79091</v>
      </c>
    </row>
    <row r="41" spans="1:6" ht="13.8" thickTop="1">
      <c r="D41" s="1"/>
    </row>
    <row r="42" spans="1:6">
      <c r="D42" s="306">
        <v>10679688</v>
      </c>
    </row>
    <row r="43" spans="1:6">
      <c r="D43" s="306">
        <f>+D42-D40</f>
        <v>-1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8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41"/>
  <sheetViews>
    <sheetView workbookViewId="0">
      <selection activeCell="G8" sqref="G8"/>
    </sheetView>
  </sheetViews>
  <sheetFormatPr defaultRowHeight="13.2"/>
  <cols>
    <col min="1" max="1" width="7.77734375" style="1" bestFit="1" customWidth="1"/>
    <col min="2" max="2" width="22.5546875" style="1" bestFit="1" customWidth="1"/>
    <col min="3" max="3" width="11.6640625" style="1" bestFit="1" customWidth="1"/>
    <col min="4" max="5" width="15.109375" style="1" bestFit="1" customWidth="1"/>
    <col min="6" max="7" width="11.5546875" style="1" bestFit="1" customWidth="1"/>
    <col min="8" max="9" width="15.109375" style="1" bestFit="1" customWidth="1"/>
    <col min="10" max="10" width="11.44140625" style="1" bestFit="1" customWidth="1"/>
    <col min="11" max="16384" width="8.88671875" style="1"/>
  </cols>
  <sheetData>
    <row r="1" spans="1:11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>
      <c r="A2" s="171" t="s">
        <v>214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>
      <c r="A3" s="174"/>
      <c r="B3" s="159"/>
      <c r="C3" s="175"/>
      <c r="D3" s="148"/>
      <c r="E3" s="148"/>
      <c r="F3" s="148"/>
      <c r="G3" s="159"/>
      <c r="H3" s="159"/>
      <c r="I3" s="148"/>
      <c r="J3" s="159"/>
      <c r="K3" s="176"/>
    </row>
    <row r="4" spans="1:11">
      <c r="A4" s="177"/>
      <c r="B4" s="100"/>
      <c r="C4" s="100"/>
      <c r="D4" s="178"/>
      <c r="E4" s="178"/>
      <c r="F4" s="178"/>
      <c r="G4" s="179"/>
      <c r="H4" s="178"/>
      <c r="I4" s="178"/>
      <c r="J4" s="179"/>
      <c r="K4" s="180"/>
    </row>
    <row r="5" spans="1:11" ht="66.599999999999994" thickBot="1">
      <c r="A5" s="181" t="s">
        <v>3</v>
      </c>
      <c r="B5" s="182" t="s">
        <v>104</v>
      </c>
      <c r="C5" s="182" t="s">
        <v>145</v>
      </c>
      <c r="D5" s="98" t="s">
        <v>635</v>
      </c>
      <c r="E5" s="97" t="s">
        <v>636</v>
      </c>
      <c r="F5" s="97" t="s">
        <v>713</v>
      </c>
      <c r="G5" s="97" t="s">
        <v>714</v>
      </c>
      <c r="H5" s="97" t="s">
        <v>715</v>
      </c>
      <c r="I5" s="97" t="s">
        <v>716</v>
      </c>
      <c r="J5" s="182" t="s">
        <v>215</v>
      </c>
      <c r="K5" s="183" t="s">
        <v>216</v>
      </c>
    </row>
    <row r="6" spans="1:11" ht="26.4">
      <c r="A6" s="184"/>
      <c r="B6" s="185"/>
      <c r="C6" s="185"/>
      <c r="D6" s="186" t="s">
        <v>114</v>
      </c>
      <c r="E6" s="186" t="s">
        <v>115</v>
      </c>
      <c r="F6" s="187" t="s">
        <v>116</v>
      </c>
      <c r="G6" s="185" t="s">
        <v>117</v>
      </c>
      <c r="H6" s="186" t="s">
        <v>217</v>
      </c>
      <c r="I6" s="186" t="s">
        <v>218</v>
      </c>
      <c r="J6" s="185" t="s">
        <v>120</v>
      </c>
      <c r="K6" s="188" t="s">
        <v>121</v>
      </c>
    </row>
    <row r="7" spans="1:11">
      <c r="A7" s="174"/>
      <c r="B7" s="159"/>
      <c r="C7" s="175"/>
      <c r="D7" s="148"/>
      <c r="E7" s="148"/>
      <c r="F7" s="148"/>
      <c r="G7" s="159"/>
      <c r="H7" s="159"/>
      <c r="I7" s="148"/>
      <c r="J7" s="159"/>
      <c r="K7" s="176"/>
    </row>
    <row r="8" spans="1:11">
      <c r="A8" s="174">
        <v>1</v>
      </c>
      <c r="B8" s="159" t="s">
        <v>16</v>
      </c>
      <c r="C8" s="175">
        <v>7</v>
      </c>
      <c r="D8" s="148">
        <v>10589868000</v>
      </c>
      <c r="E8" s="150">
        <v>1181762000</v>
      </c>
      <c r="F8" s="101">
        <v>-2.4910000000000002E-3</v>
      </c>
      <c r="G8" s="101">
        <v>-2.0720000000000001E-3</v>
      </c>
      <c r="H8" s="150">
        <v>1155382638.812</v>
      </c>
      <c r="I8" s="150">
        <v>1159819793.5039999</v>
      </c>
      <c r="J8" s="150">
        <v>4437154.6919999123</v>
      </c>
      <c r="K8" s="189">
        <v>3.8404200850398196E-3</v>
      </c>
    </row>
    <row r="9" spans="1:11">
      <c r="A9" s="174">
        <v>2</v>
      </c>
      <c r="B9" s="159"/>
      <c r="C9" s="175"/>
      <c r="D9" s="148"/>
      <c r="E9" s="150"/>
      <c r="F9" s="150"/>
      <c r="G9" s="150"/>
      <c r="H9" s="190"/>
      <c r="I9" s="150"/>
      <c r="J9" s="150"/>
      <c r="K9" s="189"/>
    </row>
    <row r="10" spans="1:11">
      <c r="A10" s="174">
        <v>3</v>
      </c>
      <c r="B10" s="191" t="s">
        <v>122</v>
      </c>
      <c r="C10" s="175" t="s">
        <v>123</v>
      </c>
      <c r="D10" s="148">
        <v>2956760000</v>
      </c>
      <c r="E10" s="150">
        <v>314521000</v>
      </c>
      <c r="F10" s="101">
        <v>-2.0119999999999999E-3</v>
      </c>
      <c r="G10" s="101">
        <v>-1.6739999999999999E-3</v>
      </c>
      <c r="H10" s="150">
        <v>308571998.88</v>
      </c>
      <c r="I10" s="150">
        <v>309571383.75999999</v>
      </c>
      <c r="J10" s="150">
        <v>999384.87999999523</v>
      </c>
      <c r="K10" s="189">
        <v>3.2387413103826192E-3</v>
      </c>
    </row>
    <row r="11" spans="1:11">
      <c r="A11" s="174">
        <v>4</v>
      </c>
      <c r="B11" s="192" t="s">
        <v>124</v>
      </c>
      <c r="C11" s="139" t="s">
        <v>125</v>
      </c>
      <c r="D11" s="148">
        <v>2946226000</v>
      </c>
      <c r="E11" s="150">
        <v>292581000</v>
      </c>
      <c r="F11" s="101">
        <v>-2.0590000000000001E-3</v>
      </c>
      <c r="G11" s="101">
        <v>-1.7129999999999999E-3</v>
      </c>
      <c r="H11" s="150">
        <v>286514720.66600001</v>
      </c>
      <c r="I11" s="150">
        <v>287534114.86199999</v>
      </c>
      <c r="J11" s="150">
        <v>1019394.19599998</v>
      </c>
      <c r="K11" s="189">
        <v>3.5579121157559043E-3</v>
      </c>
    </row>
    <row r="12" spans="1:11">
      <c r="A12" s="174">
        <v>5</v>
      </c>
      <c r="B12" s="192" t="s">
        <v>126</v>
      </c>
      <c r="C12" s="175" t="s">
        <v>127</v>
      </c>
      <c r="D12" s="148">
        <v>1891461000</v>
      </c>
      <c r="E12" s="150">
        <v>169366000</v>
      </c>
      <c r="F12" s="101">
        <v>-2.147E-3</v>
      </c>
      <c r="G12" s="101">
        <v>-1.786E-3</v>
      </c>
      <c r="H12" s="150">
        <v>165305033.23300001</v>
      </c>
      <c r="I12" s="150">
        <v>165987850.65400001</v>
      </c>
      <c r="J12" s="150">
        <v>682817.42100000381</v>
      </c>
      <c r="K12" s="189">
        <v>4.1306511220233809E-3</v>
      </c>
    </row>
    <row r="13" spans="1:11">
      <c r="A13" s="174">
        <v>6</v>
      </c>
      <c r="B13" s="192" t="s">
        <v>128</v>
      </c>
      <c r="C13" s="175">
        <v>29</v>
      </c>
      <c r="D13" s="148">
        <v>16067000</v>
      </c>
      <c r="E13" s="150">
        <v>1327000</v>
      </c>
      <c r="F13" s="101">
        <v>-1.877E-3</v>
      </c>
      <c r="G13" s="101">
        <v>-1.562E-3</v>
      </c>
      <c r="H13" s="150">
        <v>1296842.2409999999</v>
      </c>
      <c r="I13" s="150">
        <v>1301903.3459999999</v>
      </c>
      <c r="J13" s="150">
        <v>5061.1049999999814</v>
      </c>
      <c r="K13" s="189">
        <v>3.902637375612738E-3</v>
      </c>
    </row>
    <row r="14" spans="1:11">
      <c r="A14" s="174">
        <v>7</v>
      </c>
      <c r="B14" s="159"/>
      <c r="C14" s="175"/>
      <c r="D14" s="148"/>
      <c r="E14" s="150"/>
      <c r="F14" s="190"/>
      <c r="G14" s="190"/>
      <c r="H14" s="190"/>
      <c r="I14" s="150"/>
      <c r="J14" s="150"/>
      <c r="K14" s="189"/>
    </row>
    <row r="15" spans="1:11">
      <c r="A15" s="174">
        <v>8</v>
      </c>
      <c r="B15" s="159" t="s">
        <v>129</v>
      </c>
      <c r="C15" s="175"/>
      <c r="D15" s="148">
        <v>7810514000</v>
      </c>
      <c r="E15" s="150">
        <v>777795000</v>
      </c>
      <c r="F15" s="101">
        <v>-2.0621440509549054E-3</v>
      </c>
      <c r="G15" s="101">
        <v>-1.7156037845908732E-3</v>
      </c>
      <c r="H15" s="150">
        <v>761688595.0200001</v>
      </c>
      <c r="I15" s="150">
        <v>764395252.62199998</v>
      </c>
      <c r="J15" s="150">
        <v>2706657.601999979</v>
      </c>
      <c r="K15" s="189">
        <v>3.553496297169723E-3</v>
      </c>
    </row>
    <row r="16" spans="1:11">
      <c r="A16" s="174">
        <v>9</v>
      </c>
      <c r="B16" s="159"/>
      <c r="C16" s="175"/>
      <c r="D16" s="148"/>
      <c r="E16" s="150"/>
      <c r="F16" s="190"/>
      <c r="G16" s="190"/>
      <c r="H16" s="190"/>
      <c r="I16" s="150"/>
      <c r="J16" s="150"/>
      <c r="K16" s="189"/>
    </row>
    <row r="17" spans="1:11">
      <c r="A17" s="174">
        <v>10</v>
      </c>
      <c r="B17" s="192" t="s">
        <v>130</v>
      </c>
      <c r="C17" s="175" t="s">
        <v>131</v>
      </c>
      <c r="D17" s="148">
        <v>1303207000</v>
      </c>
      <c r="E17" s="150">
        <v>114540000</v>
      </c>
      <c r="F17" s="101">
        <v>-2.0049999999999998E-3</v>
      </c>
      <c r="G17" s="101">
        <v>-1.668E-3</v>
      </c>
      <c r="H17" s="150">
        <v>111927069.965</v>
      </c>
      <c r="I17" s="150">
        <v>112366250.72400001</v>
      </c>
      <c r="J17" s="150">
        <v>439180.75900000334</v>
      </c>
      <c r="K17" s="189">
        <v>3.9238118101129309E-3</v>
      </c>
    </row>
    <row r="18" spans="1:11">
      <c r="A18" s="174">
        <v>11</v>
      </c>
      <c r="B18" s="192" t="s">
        <v>132</v>
      </c>
      <c r="C18" s="175">
        <v>35</v>
      </c>
      <c r="D18" s="148">
        <v>5141000</v>
      </c>
      <c r="E18" s="150">
        <v>267000</v>
      </c>
      <c r="F18" s="101">
        <v>-1.3569999999999999E-3</v>
      </c>
      <c r="G18" s="101">
        <v>-1.129E-3</v>
      </c>
      <c r="H18" s="150">
        <v>260023.663</v>
      </c>
      <c r="I18" s="150">
        <v>261195.81099999999</v>
      </c>
      <c r="J18" s="150">
        <v>1172.1479999999865</v>
      </c>
      <c r="K18" s="189">
        <v>4.5078512719820673E-3</v>
      </c>
    </row>
    <row r="19" spans="1:11">
      <c r="A19" s="174">
        <v>12</v>
      </c>
      <c r="B19" s="192" t="s">
        <v>133</v>
      </c>
      <c r="C19" s="175">
        <v>43</v>
      </c>
      <c r="D19" s="148">
        <v>120550000</v>
      </c>
      <c r="E19" s="150">
        <v>11808000</v>
      </c>
      <c r="F19" s="101">
        <v>-1.812E-3</v>
      </c>
      <c r="G19" s="101">
        <v>-1.508E-3</v>
      </c>
      <c r="H19" s="150">
        <v>11589563.4</v>
      </c>
      <c r="I19" s="150">
        <v>11626210.6</v>
      </c>
      <c r="J19" s="150">
        <v>36647.199999999255</v>
      </c>
      <c r="K19" s="189">
        <v>3.1620863301890434E-3</v>
      </c>
    </row>
    <row r="20" spans="1:11">
      <c r="A20" s="174">
        <v>13</v>
      </c>
      <c r="B20" s="193"/>
      <c r="C20" s="175"/>
      <c r="D20" s="148"/>
      <c r="E20" s="150"/>
      <c r="F20" s="190"/>
      <c r="G20" s="190"/>
      <c r="H20" s="190"/>
      <c r="I20" s="150"/>
      <c r="J20" s="150"/>
      <c r="K20" s="189"/>
    </row>
    <row r="21" spans="1:11">
      <c r="A21" s="174">
        <v>14</v>
      </c>
      <c r="B21" s="193" t="s">
        <v>134</v>
      </c>
      <c r="C21" s="175"/>
      <c r="D21" s="148">
        <v>1428898000</v>
      </c>
      <c r="E21" s="150">
        <v>126615000</v>
      </c>
      <c r="F21" s="101">
        <v>-1.9863859925621E-3</v>
      </c>
      <c r="G21" s="101">
        <v>-1.6525622297742734E-3</v>
      </c>
      <c r="H21" s="150">
        <v>123776657.02800001</v>
      </c>
      <c r="I21" s="150">
        <v>124253657.13500001</v>
      </c>
      <c r="J21" s="150">
        <v>477000.10700000258</v>
      </c>
      <c r="K21" s="189">
        <v>3.853716188926467E-3</v>
      </c>
    </row>
    <row r="22" spans="1:11">
      <c r="A22" s="174">
        <v>15</v>
      </c>
      <c r="B22" s="193"/>
      <c r="C22" s="175"/>
      <c r="D22" s="148"/>
      <c r="E22" s="150"/>
      <c r="F22" s="190"/>
      <c r="G22" s="190"/>
      <c r="H22" s="190"/>
      <c r="I22" s="150"/>
      <c r="J22" s="150"/>
      <c r="K22" s="189"/>
    </row>
    <row r="23" spans="1:11">
      <c r="A23" s="174">
        <v>16</v>
      </c>
      <c r="B23" s="194" t="s">
        <v>80</v>
      </c>
      <c r="C23" s="175">
        <v>40</v>
      </c>
      <c r="D23" s="148">
        <v>681789000</v>
      </c>
      <c r="E23" s="150">
        <v>58529000</v>
      </c>
      <c r="F23" s="101">
        <v>-2.1289999999999998E-3</v>
      </c>
      <c r="G23" s="101">
        <v>-1.7719999999999999E-3</v>
      </c>
      <c r="H23" s="150">
        <v>57077471.218999997</v>
      </c>
      <c r="I23" s="150">
        <v>57320869.891999997</v>
      </c>
      <c r="J23" s="150">
        <v>243398.67300000042</v>
      </c>
      <c r="K23" s="189">
        <v>4.2643562828161468E-3</v>
      </c>
    </row>
    <row r="24" spans="1:11">
      <c r="A24" s="174">
        <v>17</v>
      </c>
      <c r="B24" s="193"/>
      <c r="C24" s="175"/>
      <c r="D24" s="148"/>
      <c r="E24" s="150"/>
      <c r="F24" s="190"/>
      <c r="G24" s="190"/>
      <c r="H24" s="190"/>
      <c r="I24" s="150"/>
      <c r="J24" s="150"/>
      <c r="K24" s="189"/>
    </row>
    <row r="25" spans="1:11">
      <c r="A25" s="174">
        <v>18</v>
      </c>
      <c r="B25" s="192" t="s">
        <v>136</v>
      </c>
      <c r="C25" s="175">
        <v>46</v>
      </c>
      <c r="D25" s="148">
        <v>72699000</v>
      </c>
      <c r="E25" s="150">
        <v>5399000</v>
      </c>
      <c r="F25" s="101">
        <v>-1.0250000000000001E-3</v>
      </c>
      <c r="G25" s="101">
        <v>-8.5300000000000003E-4</v>
      </c>
      <c r="H25" s="150">
        <v>5324483.5250000004</v>
      </c>
      <c r="I25" s="150">
        <v>5336987.7529999996</v>
      </c>
      <c r="J25" s="150">
        <v>12504.227999999188</v>
      </c>
      <c r="K25" s="189">
        <v>2.3484396075766217E-3</v>
      </c>
    </row>
    <row r="26" spans="1:11">
      <c r="A26" s="174">
        <v>19</v>
      </c>
      <c r="B26" s="191" t="s">
        <v>137</v>
      </c>
      <c r="C26" s="175">
        <v>49</v>
      </c>
      <c r="D26" s="148">
        <v>576299000</v>
      </c>
      <c r="E26" s="150">
        <v>42233000</v>
      </c>
      <c r="F26" s="101">
        <v>-2.0379999999999999E-3</v>
      </c>
      <c r="G26" s="101">
        <v>-1.6949999999999999E-3</v>
      </c>
      <c r="H26" s="150">
        <v>41058502.637999997</v>
      </c>
      <c r="I26" s="150">
        <v>41256173.195</v>
      </c>
      <c r="J26" s="150">
        <v>197670.55700000376</v>
      </c>
      <c r="K26" s="189">
        <v>4.8143635130292834E-3</v>
      </c>
    </row>
    <row r="27" spans="1:11">
      <c r="A27" s="174">
        <v>20</v>
      </c>
      <c r="B27" s="159"/>
      <c r="C27" s="175"/>
      <c r="D27" s="148"/>
      <c r="E27" s="150"/>
      <c r="F27" s="190"/>
      <c r="G27" s="190"/>
      <c r="H27" s="190"/>
      <c r="I27" s="150"/>
      <c r="J27" s="150"/>
      <c r="K27" s="189"/>
    </row>
    <row r="28" spans="1:11">
      <c r="A28" s="174">
        <v>21</v>
      </c>
      <c r="B28" s="194" t="s">
        <v>138</v>
      </c>
      <c r="C28" s="175"/>
      <c r="D28" s="148">
        <v>648998000</v>
      </c>
      <c r="E28" s="150">
        <v>47632000</v>
      </c>
      <c r="F28" s="101">
        <v>-1.9245264808212044E-3</v>
      </c>
      <c r="G28" s="101">
        <v>-1.6006814381554332E-3</v>
      </c>
      <c r="H28" s="148">
        <v>46382986.162999995</v>
      </c>
      <c r="I28" s="148">
        <v>46593160.947999999</v>
      </c>
      <c r="J28" s="150">
        <v>210174.78500000294</v>
      </c>
      <c r="K28" s="189">
        <v>4.5312905094424625E-3</v>
      </c>
    </row>
    <row r="29" spans="1:11">
      <c r="A29" s="174">
        <v>22</v>
      </c>
      <c r="B29" s="159"/>
      <c r="C29" s="175"/>
      <c r="D29" s="148"/>
      <c r="E29" s="150"/>
      <c r="F29" s="190"/>
      <c r="G29" s="190"/>
      <c r="H29" s="190"/>
      <c r="I29" s="150"/>
      <c r="J29" s="150"/>
      <c r="K29" s="189"/>
    </row>
    <row r="30" spans="1:11">
      <c r="A30" s="174">
        <v>23</v>
      </c>
      <c r="B30" s="159" t="s">
        <v>139</v>
      </c>
      <c r="C30" s="175" t="s">
        <v>21</v>
      </c>
      <c r="D30" s="148">
        <v>76423000</v>
      </c>
      <c r="E30" s="150">
        <v>20424000</v>
      </c>
      <c r="F30" s="101">
        <v>-2.5379999999999999E-3</v>
      </c>
      <c r="G30" s="101">
        <v>-2.1120000000000002E-3</v>
      </c>
      <c r="H30" s="150">
        <v>20230038.425999999</v>
      </c>
      <c r="I30" s="150">
        <v>20262594.624000002</v>
      </c>
      <c r="J30" s="150">
        <v>32556.198000002652</v>
      </c>
      <c r="K30" s="189">
        <v>1.6092998596661516E-3</v>
      </c>
    </row>
    <row r="31" spans="1:11">
      <c r="A31" s="174">
        <v>24</v>
      </c>
      <c r="B31" s="159"/>
      <c r="C31" s="175"/>
      <c r="D31" s="148"/>
      <c r="E31" s="150"/>
      <c r="F31" s="190"/>
      <c r="G31" s="190"/>
      <c r="H31" s="159"/>
      <c r="I31" s="150"/>
      <c r="J31" s="150"/>
      <c r="K31" s="189"/>
    </row>
    <row r="32" spans="1:11">
      <c r="A32" s="174">
        <v>25</v>
      </c>
      <c r="B32" s="195" t="s">
        <v>219</v>
      </c>
      <c r="C32" s="139" t="s">
        <v>220</v>
      </c>
      <c r="D32" s="148">
        <v>6991000</v>
      </c>
      <c r="E32" s="150">
        <v>295000</v>
      </c>
      <c r="F32" s="101">
        <v>-2.4199999999999998E-3</v>
      </c>
      <c r="G32" s="101">
        <v>-2.0140000000000002E-3</v>
      </c>
      <c r="H32" s="150">
        <v>278081.78000000003</v>
      </c>
      <c r="I32" s="150">
        <v>280920.12599999999</v>
      </c>
      <c r="J32" s="150">
        <v>2838.3459999999614</v>
      </c>
      <c r="K32" s="189">
        <v>1.0206875114219856E-2</v>
      </c>
    </row>
    <row r="33" spans="1:11">
      <c r="A33" s="174">
        <v>26</v>
      </c>
      <c r="B33" s="195"/>
      <c r="C33" s="139"/>
      <c r="D33" s="148"/>
      <c r="E33" s="150"/>
      <c r="F33" s="190"/>
      <c r="G33" s="190"/>
      <c r="H33" s="190"/>
      <c r="I33" s="150"/>
      <c r="J33" s="150"/>
      <c r="K33" s="189"/>
    </row>
    <row r="34" spans="1:11">
      <c r="A34" s="174">
        <v>27</v>
      </c>
      <c r="B34" s="192" t="s">
        <v>140</v>
      </c>
      <c r="C34" s="175"/>
      <c r="D34" s="148">
        <v>21243481000</v>
      </c>
      <c r="E34" s="150">
        <v>2213052000</v>
      </c>
      <c r="F34" s="101">
        <v>-2.2706039350142292E-3</v>
      </c>
      <c r="G34" s="101">
        <v>-1.8891034462075039E-3</v>
      </c>
      <c r="H34" s="150">
        <v>2164816468.4480004</v>
      </c>
      <c r="I34" s="150">
        <v>2172926248.8509998</v>
      </c>
      <c r="J34" s="150">
        <v>8109780.4029998994</v>
      </c>
      <c r="K34" s="189">
        <v>3.7461745700844381E-3</v>
      </c>
    </row>
    <row r="35" spans="1:11">
      <c r="A35" s="174">
        <v>28</v>
      </c>
      <c r="B35" s="194"/>
      <c r="C35" s="175"/>
      <c r="D35" s="148"/>
      <c r="E35" s="150"/>
      <c r="F35" s="190"/>
      <c r="G35" s="190"/>
      <c r="H35" s="190"/>
      <c r="I35" s="150"/>
      <c r="J35" s="150"/>
      <c r="K35" s="189"/>
    </row>
    <row r="36" spans="1:11">
      <c r="A36" s="174">
        <v>29</v>
      </c>
      <c r="B36" s="194" t="s">
        <v>221</v>
      </c>
      <c r="C36" s="175"/>
      <c r="D36" s="148"/>
      <c r="E36" s="150"/>
      <c r="F36" s="150"/>
      <c r="G36" s="190"/>
      <c r="H36" s="190"/>
      <c r="I36" s="150"/>
      <c r="J36" s="150"/>
      <c r="K36" s="189"/>
    </row>
    <row r="37" spans="1:11">
      <c r="A37" s="174">
        <v>30</v>
      </c>
      <c r="B37" s="192" t="s">
        <v>141</v>
      </c>
      <c r="C37" s="139" t="s">
        <v>142</v>
      </c>
      <c r="D37" s="148">
        <v>2089170000</v>
      </c>
      <c r="E37" s="150">
        <v>10788000</v>
      </c>
      <c r="F37" s="150"/>
      <c r="G37" s="190"/>
      <c r="H37" s="150">
        <v>10788000</v>
      </c>
      <c r="I37" s="150">
        <v>10788000</v>
      </c>
      <c r="J37" s="150">
        <v>0</v>
      </c>
      <c r="K37" s="189"/>
    </row>
    <row r="38" spans="1:11">
      <c r="A38" s="174">
        <v>31</v>
      </c>
      <c r="B38" s="194"/>
      <c r="C38" s="175"/>
      <c r="D38" s="148"/>
      <c r="E38" s="150"/>
      <c r="F38" s="150"/>
      <c r="G38" s="190"/>
      <c r="H38" s="190"/>
      <c r="I38" s="150"/>
      <c r="J38" s="150"/>
      <c r="K38" s="189"/>
    </row>
    <row r="39" spans="1:11">
      <c r="A39" s="174">
        <v>32</v>
      </c>
      <c r="B39" s="194" t="s">
        <v>23</v>
      </c>
      <c r="C39" s="175"/>
      <c r="D39" s="148">
        <v>23332651000</v>
      </c>
      <c r="E39" s="150">
        <v>2223840000</v>
      </c>
      <c r="F39" s="150"/>
      <c r="G39" s="190"/>
      <c r="H39" s="150">
        <v>2175604468.4480004</v>
      </c>
      <c r="I39" s="150">
        <v>2183714248.8509998</v>
      </c>
      <c r="J39" s="150">
        <v>8109780.4029998994</v>
      </c>
      <c r="K39" s="189"/>
    </row>
    <row r="40" spans="1:11" ht="13.8" thickBot="1">
      <c r="A40" s="196"/>
      <c r="B40" s="197"/>
      <c r="C40" s="198"/>
      <c r="D40" s="199"/>
      <c r="E40" s="200"/>
      <c r="F40" s="200"/>
      <c r="G40" s="197"/>
      <c r="H40" s="197"/>
      <c r="I40" s="199"/>
      <c r="J40" s="197"/>
      <c r="K40" s="201"/>
    </row>
    <row r="41" spans="1:11">
      <c r="A41" s="175"/>
      <c r="B41" s="159"/>
      <c r="C41" s="175"/>
      <c r="D41" s="148"/>
      <c r="E41" s="148"/>
      <c r="F41" s="148"/>
      <c r="G41" s="159"/>
      <c r="H41" s="159"/>
      <c r="I41" s="148"/>
      <c r="J41" s="150"/>
      <c r="K41" s="159"/>
    </row>
  </sheetData>
  <printOptions horizontalCentered="1"/>
  <pageMargins left="0.7" right="0.7" top="0.75" bottom="0.71" header="0.3" footer="0.3"/>
  <pageSetup scale="8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36"/>
  <sheetViews>
    <sheetView workbookViewId="0">
      <selection activeCell="G7" sqref="G7"/>
    </sheetView>
  </sheetViews>
  <sheetFormatPr defaultRowHeight="13.2"/>
  <cols>
    <col min="1" max="1" width="7.77734375" style="1" bestFit="1" customWidth="1"/>
    <col min="2" max="2" width="30.44140625" style="1" bestFit="1" customWidth="1"/>
    <col min="3" max="3" width="8.6640625" style="1" bestFit="1" customWidth="1"/>
    <col min="4" max="5" width="15.109375" style="1" bestFit="1" customWidth="1"/>
    <col min="6" max="7" width="10.88671875" style="1" bestFit="1" customWidth="1"/>
    <col min="8" max="9" width="15.109375" style="1" bestFit="1" customWidth="1"/>
    <col min="10" max="10" width="13.21875" style="1" bestFit="1" customWidth="1"/>
    <col min="11" max="11" width="8" style="1" bestFit="1" customWidth="1"/>
    <col min="12" max="16384" width="8.88671875" style="1"/>
  </cols>
  <sheetData>
    <row r="1" spans="1:11">
      <c r="A1" s="454"/>
      <c r="B1" s="455" t="s">
        <v>687</v>
      </c>
      <c r="C1" s="455"/>
      <c r="D1" s="456"/>
      <c r="E1" s="456"/>
      <c r="F1" s="455"/>
      <c r="G1" s="455"/>
      <c r="H1" s="456"/>
      <c r="I1" s="456"/>
      <c r="J1" s="455"/>
      <c r="K1" s="457"/>
    </row>
    <row r="2" spans="1:11">
      <c r="A2" s="458"/>
      <c r="B2" s="459" t="s">
        <v>144</v>
      </c>
      <c r="C2" s="459"/>
      <c r="D2" s="460"/>
      <c r="E2" s="460"/>
      <c r="F2" s="459"/>
      <c r="G2" s="459"/>
      <c r="H2" s="460"/>
      <c r="I2" s="460"/>
      <c r="J2" s="459"/>
      <c r="K2" s="461"/>
    </row>
    <row r="3" spans="1:11">
      <c r="A3" s="458"/>
      <c r="B3" s="96"/>
      <c r="C3" s="462"/>
      <c r="D3" s="463"/>
      <c r="E3" s="463"/>
      <c r="F3" s="96"/>
      <c r="G3" s="96"/>
      <c r="H3" s="463"/>
      <c r="I3" s="463"/>
      <c r="J3" s="96"/>
      <c r="K3" s="464"/>
    </row>
    <row r="4" spans="1:11" ht="66">
      <c r="A4" s="465" t="s">
        <v>3</v>
      </c>
      <c r="B4" s="466" t="s">
        <v>104</v>
      </c>
      <c r="C4" s="466" t="s">
        <v>145</v>
      </c>
      <c r="D4" s="467" t="s">
        <v>688</v>
      </c>
      <c r="E4" s="467" t="s">
        <v>689</v>
      </c>
      <c r="F4" s="468" t="s">
        <v>690</v>
      </c>
      <c r="G4" s="468" t="s">
        <v>691</v>
      </c>
      <c r="H4" s="469" t="s">
        <v>568</v>
      </c>
      <c r="I4" s="469" t="s">
        <v>692</v>
      </c>
      <c r="J4" s="470" t="s">
        <v>112</v>
      </c>
      <c r="K4" s="471" t="s">
        <v>113</v>
      </c>
    </row>
    <row r="5" spans="1:11">
      <c r="A5" s="472"/>
      <c r="B5" s="473"/>
      <c r="C5" s="473"/>
      <c r="D5" s="99" t="s">
        <v>114</v>
      </c>
      <c r="E5" s="99" t="s">
        <v>115</v>
      </c>
      <c r="F5" s="100" t="s">
        <v>116</v>
      </c>
      <c r="G5" s="100" t="s">
        <v>117</v>
      </c>
      <c r="H5" s="474" t="s">
        <v>118</v>
      </c>
      <c r="I5" s="475" t="s">
        <v>119</v>
      </c>
      <c r="J5" s="473" t="s">
        <v>120</v>
      </c>
      <c r="K5" s="476" t="s">
        <v>121</v>
      </c>
    </row>
    <row r="6" spans="1:11">
      <c r="A6" s="477">
        <v>1</v>
      </c>
      <c r="B6" s="96"/>
      <c r="C6" s="462"/>
      <c r="D6" s="241"/>
      <c r="E6" s="241"/>
      <c r="F6" s="96"/>
      <c r="G6" s="239"/>
      <c r="H6" s="463"/>
      <c r="I6" s="463"/>
      <c r="J6" s="96"/>
      <c r="K6" s="464"/>
    </row>
    <row r="7" spans="1:11">
      <c r="A7" s="477">
        <v>2</v>
      </c>
      <c r="B7" s="478" t="s">
        <v>16</v>
      </c>
      <c r="C7" s="462">
        <v>7</v>
      </c>
      <c r="D7" s="241">
        <v>10637302000</v>
      </c>
      <c r="E7" s="288">
        <v>1111192000</v>
      </c>
      <c r="F7" s="254">
        <v>6.0750000000000005E-3</v>
      </c>
      <c r="G7" s="254">
        <v>4.8599999999999997E-3</v>
      </c>
      <c r="H7" s="479">
        <v>1175813609.6500001</v>
      </c>
      <c r="I7" s="479">
        <v>1162889287.72</v>
      </c>
      <c r="J7" s="479">
        <v>-12924321.930000067</v>
      </c>
      <c r="K7" s="560">
        <v>-1.0991811817731213E-2</v>
      </c>
    </row>
    <row r="8" spans="1:11">
      <c r="A8" s="477">
        <v>3</v>
      </c>
      <c r="B8" s="478"/>
      <c r="C8" s="462"/>
      <c r="D8" s="241"/>
      <c r="E8" s="288"/>
      <c r="F8" s="254"/>
      <c r="G8" s="254"/>
      <c r="H8" s="479"/>
      <c r="I8" s="479"/>
      <c r="J8" s="479"/>
      <c r="K8" s="560"/>
    </row>
    <row r="9" spans="1:11">
      <c r="A9" s="477">
        <v>4</v>
      </c>
      <c r="B9" s="482" t="s">
        <v>122</v>
      </c>
      <c r="C9" s="557" t="s">
        <v>569</v>
      </c>
      <c r="D9" s="241">
        <v>3012037000</v>
      </c>
      <c r="E9" s="288">
        <v>307540000</v>
      </c>
      <c r="F9" s="254">
        <v>4.6410000000000002E-3</v>
      </c>
      <c r="G9" s="254">
        <v>4.2079999999999999E-3</v>
      </c>
      <c r="H9" s="479">
        <v>321518863.71700001</v>
      </c>
      <c r="I9" s="479">
        <v>320214651.69599998</v>
      </c>
      <c r="J9" s="479">
        <v>-1304212.0210000277</v>
      </c>
      <c r="K9" s="560">
        <v>-4.0564090265882233E-3</v>
      </c>
    </row>
    <row r="10" spans="1:11">
      <c r="A10" s="477">
        <v>5</v>
      </c>
      <c r="B10" s="483" t="s">
        <v>124</v>
      </c>
      <c r="C10" s="557" t="s">
        <v>570</v>
      </c>
      <c r="D10" s="241">
        <v>2993580000</v>
      </c>
      <c r="E10" s="288">
        <v>282440000</v>
      </c>
      <c r="F10" s="254">
        <v>4.4990000000000004E-3</v>
      </c>
      <c r="G10" s="254">
        <v>4.2570000000000004E-3</v>
      </c>
      <c r="H10" s="479">
        <v>295908116.42000002</v>
      </c>
      <c r="I10" s="479">
        <v>295183670.06</v>
      </c>
      <c r="J10" s="479">
        <v>-724446.36000001431</v>
      </c>
      <c r="K10" s="560">
        <v>-2.4482138873533447E-3</v>
      </c>
    </row>
    <row r="11" spans="1:11">
      <c r="A11" s="477">
        <v>6</v>
      </c>
      <c r="B11" s="483" t="s">
        <v>126</v>
      </c>
      <c r="C11" s="557" t="s">
        <v>571</v>
      </c>
      <c r="D11" s="241">
        <v>1913788000</v>
      </c>
      <c r="E11" s="288">
        <v>162635000</v>
      </c>
      <c r="F11" s="254">
        <v>4.8000000000000004E-3</v>
      </c>
      <c r="G11" s="254">
        <v>4.3249999999999999E-3</v>
      </c>
      <c r="H11" s="479">
        <v>171821182.40000001</v>
      </c>
      <c r="I11" s="479">
        <v>170912133.09999999</v>
      </c>
      <c r="J11" s="479">
        <v>-909049.30000001192</v>
      </c>
      <c r="K11" s="560">
        <v>-5.2906707269872212E-3</v>
      </c>
    </row>
    <row r="12" spans="1:11">
      <c r="A12" s="477">
        <v>7</v>
      </c>
      <c r="B12" s="483" t="s">
        <v>128</v>
      </c>
      <c r="C12" s="462">
        <v>29</v>
      </c>
      <c r="D12" s="241">
        <v>16193000</v>
      </c>
      <c r="E12" s="288">
        <v>1236000</v>
      </c>
      <c r="F12" s="254">
        <v>4.5799999999999999E-3</v>
      </c>
      <c r="G12" s="254">
        <v>3.1960000000000001E-3</v>
      </c>
      <c r="H12" s="479">
        <v>1310163.94</v>
      </c>
      <c r="I12" s="479">
        <v>1287752.828</v>
      </c>
      <c r="J12" s="479">
        <v>-22411.111999999965</v>
      </c>
      <c r="K12" s="560">
        <v>-1.7105578405706971E-2</v>
      </c>
    </row>
    <row r="13" spans="1:11">
      <c r="A13" s="477">
        <v>8</v>
      </c>
      <c r="B13" s="478"/>
      <c r="C13" s="462"/>
      <c r="D13" s="241"/>
      <c r="E13" s="288"/>
      <c r="F13" s="254"/>
      <c r="G13" s="254"/>
      <c r="H13" s="479"/>
      <c r="I13" s="479"/>
      <c r="J13" s="479"/>
      <c r="K13" s="560"/>
    </row>
    <row r="14" spans="1:11">
      <c r="A14" s="477">
        <v>9</v>
      </c>
      <c r="B14" s="478" t="s">
        <v>129</v>
      </c>
      <c r="C14" s="462"/>
      <c r="D14" s="241">
        <v>7935598000</v>
      </c>
      <c r="E14" s="288">
        <v>753851000</v>
      </c>
      <c r="F14" s="254">
        <v>4.6259999999999999E-3</v>
      </c>
      <c r="G14" s="254">
        <v>4.2529999999999998E-3</v>
      </c>
      <c r="H14" s="479">
        <v>790558326.47700012</v>
      </c>
      <c r="I14" s="479">
        <v>787598207.68400002</v>
      </c>
      <c r="J14" s="479">
        <v>-2960118.7930000536</v>
      </c>
      <c r="K14" s="560">
        <v>-3.7443395305079654E-3</v>
      </c>
    </row>
    <row r="15" spans="1:11">
      <c r="A15" s="477">
        <v>10</v>
      </c>
      <c r="B15" s="478"/>
      <c r="C15" s="462"/>
      <c r="D15" s="241"/>
      <c r="E15" s="288"/>
      <c r="F15" s="254"/>
      <c r="G15" s="254"/>
      <c r="H15" s="479"/>
      <c r="I15" s="479"/>
      <c r="J15" s="479"/>
      <c r="K15" s="560"/>
    </row>
    <row r="16" spans="1:11">
      <c r="A16" s="477">
        <v>11</v>
      </c>
      <c r="B16" s="483" t="s">
        <v>130</v>
      </c>
      <c r="C16" s="557" t="s">
        <v>572</v>
      </c>
      <c r="D16" s="241">
        <v>1316672000</v>
      </c>
      <c r="E16" s="288">
        <v>110312000</v>
      </c>
      <c r="F16" s="254">
        <v>4.5519999999999996E-3</v>
      </c>
      <c r="G16" s="254">
        <v>4.1520000000000003E-3</v>
      </c>
      <c r="H16" s="479">
        <v>116305490.94400001</v>
      </c>
      <c r="I16" s="479">
        <v>115778822.14399999</v>
      </c>
      <c r="J16" s="479">
        <v>-526668.80000001192</v>
      </c>
      <c r="K16" s="560">
        <v>-4.5283227449132045E-3</v>
      </c>
    </row>
    <row r="17" spans="1:11">
      <c r="A17" s="477">
        <v>12</v>
      </c>
      <c r="B17" s="483" t="s">
        <v>132</v>
      </c>
      <c r="C17" s="462">
        <v>35</v>
      </c>
      <c r="D17" s="241">
        <v>5161000</v>
      </c>
      <c r="E17" s="288">
        <v>280000</v>
      </c>
      <c r="F17" s="254">
        <v>3.1360000000000003E-3</v>
      </c>
      <c r="G17" s="254">
        <v>2.9009999999999999E-3</v>
      </c>
      <c r="H17" s="479">
        <v>296184.89600000001</v>
      </c>
      <c r="I17" s="479">
        <v>294972.06099999999</v>
      </c>
      <c r="J17" s="479">
        <v>-1212.835000000021</v>
      </c>
      <c r="K17" s="560">
        <v>-4.094857693216135E-3</v>
      </c>
    </row>
    <row r="18" spans="1:11">
      <c r="A18" s="477">
        <v>13</v>
      </c>
      <c r="B18" s="483" t="s">
        <v>133</v>
      </c>
      <c r="C18" s="462">
        <v>43</v>
      </c>
      <c r="D18" s="241">
        <v>123190000</v>
      </c>
      <c r="E18" s="288">
        <v>11679000</v>
      </c>
      <c r="F18" s="254">
        <v>4.2499999999999994E-3</v>
      </c>
      <c r="G18" s="254">
        <v>3.2989999999999998E-3</v>
      </c>
      <c r="H18" s="479">
        <v>12202557.5</v>
      </c>
      <c r="I18" s="479">
        <v>12085403.810000001</v>
      </c>
      <c r="J18" s="479">
        <v>-117153.68999999948</v>
      </c>
      <c r="K18" s="560">
        <v>-9.600748859409142E-3</v>
      </c>
    </row>
    <row r="19" spans="1:11">
      <c r="A19" s="477">
        <v>14</v>
      </c>
      <c r="B19" s="478"/>
      <c r="C19" s="462"/>
      <c r="D19" s="241"/>
      <c r="E19" s="288"/>
      <c r="F19" s="254"/>
      <c r="G19" s="254"/>
      <c r="H19" s="479"/>
      <c r="I19" s="479"/>
      <c r="J19" s="479"/>
      <c r="K19" s="560"/>
    </row>
    <row r="20" spans="1:11">
      <c r="A20" s="477">
        <v>15</v>
      </c>
      <c r="B20" s="484" t="s">
        <v>134</v>
      </c>
      <c r="C20" s="462"/>
      <c r="D20" s="241">
        <v>1445023000</v>
      </c>
      <c r="E20" s="288">
        <v>122271000</v>
      </c>
      <c r="F20" s="254">
        <v>4.5209999999999998E-3</v>
      </c>
      <c r="G20" s="254">
        <v>4.0749999999999996E-3</v>
      </c>
      <c r="H20" s="479">
        <v>128804233.34</v>
      </c>
      <c r="I20" s="479">
        <v>128159198.015</v>
      </c>
      <c r="J20" s="479">
        <v>-645035.32500001136</v>
      </c>
      <c r="K20" s="560">
        <v>-5.0078736410575442E-3</v>
      </c>
    </row>
    <row r="21" spans="1:11">
      <c r="A21" s="477">
        <v>16</v>
      </c>
      <c r="B21" s="478"/>
      <c r="C21" s="462"/>
      <c r="D21" s="241"/>
      <c r="E21" s="288"/>
      <c r="F21" s="254"/>
      <c r="G21" s="254"/>
      <c r="H21" s="479"/>
      <c r="I21" s="479"/>
      <c r="J21" s="479"/>
      <c r="K21" s="560"/>
    </row>
    <row r="22" spans="1:11">
      <c r="A22" s="477">
        <v>17</v>
      </c>
      <c r="B22" s="484" t="s">
        <v>135</v>
      </c>
      <c r="C22" s="462">
        <v>40</v>
      </c>
      <c r="D22" s="241">
        <v>679072000</v>
      </c>
      <c r="E22" s="288">
        <v>52535000</v>
      </c>
      <c r="F22" s="254">
        <v>5.1419999999999999E-3</v>
      </c>
      <c r="G22" s="254">
        <v>3.79E-3</v>
      </c>
      <c r="H22" s="479">
        <v>56026788.223999999</v>
      </c>
      <c r="I22" s="479">
        <v>55108682.880000003</v>
      </c>
      <c r="J22" s="479">
        <v>-918105.34399999678</v>
      </c>
      <c r="K22" s="560">
        <v>-1.6386899429775115E-2</v>
      </c>
    </row>
    <row r="23" spans="1:11">
      <c r="A23" s="477">
        <v>18</v>
      </c>
      <c r="B23" s="478"/>
      <c r="C23" s="462"/>
      <c r="D23" s="241"/>
      <c r="E23" s="288"/>
      <c r="F23" s="254"/>
      <c r="G23" s="254"/>
      <c r="H23" s="479"/>
      <c r="I23" s="479"/>
      <c r="J23" s="479"/>
      <c r="K23" s="560"/>
    </row>
    <row r="24" spans="1:11">
      <c r="A24" s="477">
        <v>19</v>
      </c>
      <c r="B24" s="483" t="s">
        <v>136</v>
      </c>
      <c r="C24" s="462">
        <v>46</v>
      </c>
      <c r="D24" s="241">
        <v>72776000</v>
      </c>
      <c r="E24" s="288">
        <v>5157000</v>
      </c>
      <c r="F24" s="254">
        <v>2.9170000000000003E-3</v>
      </c>
      <c r="G24" s="254">
        <v>2.6159999999999998E-3</v>
      </c>
      <c r="H24" s="479">
        <v>5369287.5920000002</v>
      </c>
      <c r="I24" s="479">
        <v>5347382.0159999998</v>
      </c>
      <c r="J24" s="479">
        <v>-21905.57600000035</v>
      </c>
      <c r="K24" s="560">
        <v>-4.0797918950437086E-3</v>
      </c>
    </row>
    <row r="25" spans="1:11">
      <c r="A25" s="477">
        <v>20</v>
      </c>
      <c r="B25" s="482" t="s">
        <v>137</v>
      </c>
      <c r="C25" s="462">
        <v>49</v>
      </c>
      <c r="D25" s="241">
        <v>584007000</v>
      </c>
      <c r="E25" s="288">
        <v>40025000</v>
      </c>
      <c r="F25" s="254">
        <v>4.4260000000000002E-3</v>
      </c>
      <c r="G25" s="254">
        <v>3.9039999999999999E-3</v>
      </c>
      <c r="H25" s="479">
        <v>42609814.982000001</v>
      </c>
      <c r="I25" s="479">
        <v>42304963.328000002</v>
      </c>
      <c r="J25" s="479">
        <v>-304851.65399999917</v>
      </c>
      <c r="K25" s="560">
        <v>-7.1544937270621818E-3</v>
      </c>
    </row>
    <row r="26" spans="1:11">
      <c r="A26" s="477">
        <v>21</v>
      </c>
      <c r="B26" s="478"/>
      <c r="C26" s="462"/>
      <c r="D26" s="241"/>
      <c r="E26" s="288"/>
      <c r="F26" s="254"/>
      <c r="G26" s="254"/>
      <c r="H26" s="479"/>
      <c r="I26" s="479"/>
      <c r="J26" s="479"/>
      <c r="K26" s="560"/>
    </row>
    <row r="27" spans="1:11">
      <c r="A27" s="477">
        <v>22</v>
      </c>
      <c r="B27" s="478" t="s">
        <v>138</v>
      </c>
      <c r="C27" s="462"/>
      <c r="D27" s="241">
        <v>656783000</v>
      </c>
      <c r="E27" s="288">
        <v>45182000</v>
      </c>
      <c r="F27" s="254">
        <v>4.2589999999999998E-3</v>
      </c>
      <c r="G27" s="254">
        <v>3.761E-3</v>
      </c>
      <c r="H27" s="463">
        <v>47979102.574000001</v>
      </c>
      <c r="I27" s="463">
        <v>47652345.344000004</v>
      </c>
      <c r="J27" s="479">
        <v>-326757.22999999952</v>
      </c>
      <c r="K27" s="560">
        <v>-6.810407291299986E-3</v>
      </c>
    </row>
    <row r="28" spans="1:11">
      <c r="A28" s="477">
        <v>23</v>
      </c>
      <c r="B28" s="478"/>
      <c r="C28" s="462"/>
      <c r="D28" s="241"/>
      <c r="E28" s="288"/>
      <c r="F28" s="254"/>
      <c r="G28" s="254"/>
      <c r="H28" s="479"/>
      <c r="I28" s="479"/>
      <c r="J28" s="479"/>
      <c r="K28" s="560"/>
    </row>
    <row r="29" spans="1:11">
      <c r="A29" s="477">
        <v>24</v>
      </c>
      <c r="B29" s="478" t="s">
        <v>573</v>
      </c>
      <c r="C29" s="462" t="s">
        <v>142</v>
      </c>
      <c r="D29" s="241">
        <v>2088697000</v>
      </c>
      <c r="E29" s="288">
        <v>9141000</v>
      </c>
      <c r="F29" s="254">
        <v>1.0820000000000001E-3</v>
      </c>
      <c r="G29" s="254">
        <v>1.0549999999999999E-3</v>
      </c>
      <c r="H29" s="479">
        <v>11400970.153999999</v>
      </c>
      <c r="I29" s="479">
        <v>11344575.335000001</v>
      </c>
      <c r="J29" s="479">
        <v>-56394.818999998271</v>
      </c>
      <c r="K29" s="560">
        <v>-4.9464929947397769E-3</v>
      </c>
    </row>
    <row r="30" spans="1:11">
      <c r="A30" s="477">
        <v>25</v>
      </c>
      <c r="B30" s="478"/>
      <c r="C30" s="462"/>
      <c r="D30" s="241"/>
      <c r="E30" s="288"/>
      <c r="F30" s="254"/>
      <c r="G30" s="254"/>
      <c r="H30" s="479"/>
      <c r="I30" s="479"/>
      <c r="J30" s="479"/>
      <c r="K30" s="560"/>
    </row>
    <row r="31" spans="1:11">
      <c r="A31" s="477">
        <v>26</v>
      </c>
      <c r="B31" s="96" t="s">
        <v>139</v>
      </c>
      <c r="C31" s="557" t="s">
        <v>21</v>
      </c>
      <c r="D31" s="241">
        <v>76506000</v>
      </c>
      <c r="E31" s="288">
        <v>19539000</v>
      </c>
      <c r="F31" s="254">
        <v>6.2750000000000002E-3</v>
      </c>
      <c r="G31" s="254">
        <v>4.5710000000000004E-3</v>
      </c>
      <c r="H31" s="479">
        <v>20019075.149999999</v>
      </c>
      <c r="I31" s="479">
        <v>19888708.925999999</v>
      </c>
      <c r="J31" s="479">
        <v>-130366.22399999946</v>
      </c>
      <c r="K31" s="560">
        <v>-6.5121002355595569E-3</v>
      </c>
    </row>
    <row r="32" spans="1:11">
      <c r="A32" s="477">
        <v>27</v>
      </c>
      <c r="B32" s="478"/>
      <c r="C32" s="462"/>
      <c r="D32" s="241"/>
      <c r="E32" s="288"/>
      <c r="F32" s="254"/>
      <c r="G32" s="254"/>
      <c r="H32" s="479"/>
      <c r="I32" s="479"/>
      <c r="J32" s="479"/>
      <c r="K32" s="560"/>
    </row>
    <row r="33" spans="1:11">
      <c r="A33" s="477">
        <v>28</v>
      </c>
      <c r="B33" s="478" t="s">
        <v>23</v>
      </c>
      <c r="C33" s="462"/>
      <c r="D33" s="241">
        <v>23518981000</v>
      </c>
      <c r="E33" s="288">
        <v>2113711000</v>
      </c>
      <c r="F33" s="480">
        <v>4.9699999999999996E-3</v>
      </c>
      <c r="G33" s="254">
        <v>4.2069999999999998E-3</v>
      </c>
      <c r="H33" s="479">
        <v>2219201135.415</v>
      </c>
      <c r="I33" s="479">
        <v>2201296430.5690002</v>
      </c>
      <c r="J33" s="479">
        <v>-17904704.846000127</v>
      </c>
      <c r="K33" s="560">
        <v>-8.0680856549092701E-3</v>
      </c>
    </row>
    <row r="34" spans="1:11" ht="13.8" thickBot="1">
      <c r="A34" s="486"/>
      <c r="B34" s="487"/>
      <c r="C34" s="488"/>
      <c r="D34" s="489"/>
      <c r="E34" s="489"/>
      <c r="F34" s="490"/>
      <c r="G34" s="487"/>
      <c r="H34" s="489"/>
      <c r="I34" s="489"/>
      <c r="J34" s="487"/>
      <c r="K34" s="491"/>
    </row>
    <row r="35" spans="1:11">
      <c r="A35" s="96"/>
      <c r="B35" s="96"/>
      <c r="C35" s="462"/>
      <c r="D35" s="463"/>
      <c r="E35" s="463"/>
      <c r="F35" s="96"/>
      <c r="G35" s="96"/>
      <c r="H35" s="463"/>
      <c r="I35" s="463"/>
      <c r="J35" s="96"/>
      <c r="K35" s="96"/>
    </row>
    <row r="36" spans="1:11">
      <c r="A36" s="96"/>
      <c r="B36" s="634" t="s">
        <v>693</v>
      </c>
      <c r="C36" s="634">
        <v>0</v>
      </c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4">
        <v>0</v>
      </c>
      <c r="J36" s="634">
        <v>0</v>
      </c>
      <c r="K36" s="634">
        <v>0</v>
      </c>
    </row>
  </sheetData>
  <mergeCells count="1">
    <mergeCell ref="B36:K36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90" zoomScaleNormal="90" workbookViewId="0">
      <pane xSplit="4" ySplit="7" topLeftCell="E8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F9" sqref="F9"/>
    </sheetView>
  </sheetViews>
  <sheetFormatPr defaultColWidth="6.33203125" defaultRowHeight="13.2"/>
  <cols>
    <col min="1" max="1" width="4.44140625" style="1" bestFit="1" customWidth="1"/>
    <col min="2" max="2" width="23" style="1" customWidth="1"/>
    <col min="3" max="3" width="15.109375" style="1" bestFit="1" customWidth="1"/>
    <col min="4" max="4" width="14.109375" style="1" bestFit="1" customWidth="1"/>
    <col min="5" max="6" width="12.109375" style="1" bestFit="1" customWidth="1"/>
    <col min="7" max="7" width="10.109375" style="1" customWidth="1"/>
    <col min="8" max="8" width="11.44140625" style="1" bestFit="1" customWidth="1"/>
    <col min="9" max="9" width="11.109375" style="1" bestFit="1" customWidth="1"/>
    <col min="10" max="11" width="11.44140625" style="1" bestFit="1" customWidth="1"/>
    <col min="12" max="12" width="12.44140625" style="1" bestFit="1" customWidth="1"/>
    <col min="13" max="13" width="12.109375" style="1" bestFit="1" customWidth="1"/>
    <col min="14" max="14" width="12.44140625" style="1" bestFit="1" customWidth="1"/>
    <col min="15" max="15" width="14.109375" style="1" bestFit="1" customWidth="1"/>
    <col min="16" max="16" width="1.77734375" style="1" customWidth="1"/>
    <col min="17" max="17" width="14.109375" style="1" bestFit="1" customWidth="1"/>
    <col min="18" max="18" width="12.44140625" style="1" bestFit="1" customWidth="1"/>
    <col min="19" max="19" width="11.44140625" style="1" bestFit="1" customWidth="1"/>
    <col min="20" max="20" width="12.109375" style="1" bestFit="1" customWidth="1"/>
    <col min="21" max="21" width="13.21875" style="1" bestFit="1" customWidth="1"/>
    <col min="22" max="22" width="10.44140625" style="1" customWidth="1"/>
    <col min="23" max="23" width="11.6640625" style="1" bestFit="1" customWidth="1"/>
    <col min="24" max="24" width="11.44140625" style="1" bestFit="1" customWidth="1"/>
    <col min="25" max="26" width="9.88671875" style="1" bestFit="1" customWidth="1"/>
    <col min="27" max="27" width="8.21875" style="1" bestFit="1" customWidth="1"/>
    <col min="28" max="28" width="7.6640625" style="1" customWidth="1"/>
    <col min="29" max="29" width="6.33203125" style="1"/>
    <col min="30" max="30" width="10.21875" style="1" bestFit="1" customWidth="1"/>
    <col min="31" max="16384" width="6.33203125" style="1"/>
  </cols>
  <sheetData>
    <row r="1" spans="1:34">
      <c r="A1" s="597" t="s">
        <v>0</v>
      </c>
      <c r="B1" s="597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</row>
    <row r="2" spans="1:34">
      <c r="A2" s="597" t="s">
        <v>92</v>
      </c>
      <c r="B2" s="597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</row>
    <row r="3" spans="1:34">
      <c r="A3" s="597" t="s">
        <v>91</v>
      </c>
      <c r="B3" s="597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</row>
    <row r="4" spans="1:34">
      <c r="A4" s="597" t="s">
        <v>303</v>
      </c>
      <c r="B4" s="597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</row>
    <row r="5" spans="1:34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504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34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504"/>
      <c r="M6" s="3"/>
      <c r="N6" s="3"/>
      <c r="O6" s="5"/>
      <c r="P6" s="5"/>
      <c r="Q6" s="5"/>
      <c r="R6" s="5"/>
      <c r="S6" s="599" t="s">
        <v>1</v>
      </c>
      <c r="T6" s="600"/>
      <c r="U6" s="600"/>
      <c r="V6" s="550" t="s">
        <v>2</v>
      </c>
      <c r="W6" s="549"/>
      <c r="X6" s="4"/>
      <c r="Y6" s="4"/>
      <c r="Z6" s="4"/>
      <c r="AA6" s="4"/>
    </row>
    <row r="7" spans="1:34" ht="66">
      <c r="A7" s="6" t="s">
        <v>3</v>
      </c>
      <c r="B7" s="6" t="s">
        <v>4</v>
      </c>
      <c r="C7" s="7" t="s">
        <v>304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311</v>
      </c>
      <c r="M7" s="8" t="s">
        <v>13</v>
      </c>
      <c r="N7" s="8" t="s">
        <v>302</v>
      </c>
      <c r="O7" s="8" t="s">
        <v>14</v>
      </c>
      <c r="P7" s="299"/>
      <c r="Q7" s="8" t="s">
        <v>261</v>
      </c>
      <c r="R7" s="8" t="s">
        <v>302</v>
      </c>
      <c r="S7" s="290" t="str">
        <f>+E7</f>
        <v>Schedule 95
PCORC</v>
      </c>
      <c r="T7" s="8" t="str">
        <f>+K7</f>
        <v>Schedule 141
ERF</v>
      </c>
      <c r="U7" s="8" t="str">
        <f>+L7</f>
        <v>Schedule 142
 Rate Plan, Deferral &amp; 
K-Factor</v>
      </c>
      <c r="V7" s="552" t="s">
        <v>264</v>
      </c>
      <c r="W7" s="8" t="s">
        <v>640</v>
      </c>
      <c r="X7" s="8" t="s">
        <v>301</v>
      </c>
      <c r="Y7" s="8" t="s">
        <v>305</v>
      </c>
      <c r="Z7" s="8" t="s">
        <v>306</v>
      </c>
      <c r="AA7" s="7" t="s">
        <v>308</v>
      </c>
      <c r="AB7" s="7" t="s">
        <v>307</v>
      </c>
    </row>
    <row r="8" spans="1:34" s="305" customFormat="1" ht="26.4">
      <c r="A8" s="302"/>
      <c r="B8" s="302"/>
      <c r="C8" s="303" t="s">
        <v>114</v>
      </c>
      <c r="D8" s="304" t="s">
        <v>115</v>
      </c>
      <c r="E8" s="304" t="s">
        <v>116</v>
      </c>
      <c r="F8" s="304" t="s">
        <v>117</v>
      </c>
      <c r="G8" s="304" t="s">
        <v>238</v>
      </c>
      <c r="H8" s="304" t="s">
        <v>239</v>
      </c>
      <c r="I8" s="304" t="s">
        <v>240</v>
      </c>
      <c r="J8" s="304" t="s">
        <v>295</v>
      </c>
      <c r="K8" s="304" t="s">
        <v>296</v>
      </c>
      <c r="L8" s="304" t="s">
        <v>297</v>
      </c>
      <c r="M8" s="304" t="s">
        <v>298</v>
      </c>
      <c r="N8" s="304" t="s">
        <v>587</v>
      </c>
      <c r="O8" s="304" t="s">
        <v>588</v>
      </c>
      <c r="P8" s="304"/>
      <c r="Q8" s="304" t="s">
        <v>589</v>
      </c>
      <c r="R8" s="304" t="s">
        <v>590</v>
      </c>
      <c r="S8" s="304" t="s">
        <v>591</v>
      </c>
      <c r="T8" s="304" t="s">
        <v>592</v>
      </c>
      <c r="U8" s="304" t="s">
        <v>593</v>
      </c>
      <c r="V8" s="304" t="s">
        <v>594</v>
      </c>
      <c r="W8" s="304" t="s">
        <v>638</v>
      </c>
      <c r="X8" s="304" t="s">
        <v>639</v>
      </c>
      <c r="Y8" s="304" t="s">
        <v>595</v>
      </c>
      <c r="Z8" s="304" t="s">
        <v>596</v>
      </c>
      <c r="AA8" s="304" t="s">
        <v>597</v>
      </c>
      <c r="AB8" s="303" t="s">
        <v>598</v>
      </c>
    </row>
    <row r="9" spans="1:34">
      <c r="A9" s="3">
        <v>1</v>
      </c>
      <c r="B9" s="3">
        <v>7</v>
      </c>
      <c r="C9" s="9">
        <f>+'Exhibit No.__(JAP-Prof-Prop)'!J17*1</f>
        <v>10442426</v>
      </c>
      <c r="D9" s="86">
        <f>+'Exhibit No.__(JAP-Prof-Prop)'!L17*1</f>
        <v>1066627</v>
      </c>
      <c r="E9" s="86">
        <f>+'Sch 95'!F7</f>
        <v>-34802</v>
      </c>
      <c r="F9" s="86">
        <f>+'Sch 95a'!F7</f>
        <v>-26012</v>
      </c>
      <c r="G9" s="86">
        <f>+'Sch 120'!F7</f>
        <v>63438</v>
      </c>
      <c r="H9" s="86">
        <f>+'Sch 129'!F7</f>
        <v>9785</v>
      </c>
      <c r="I9" s="86">
        <f>+'Sch 132'!F7</f>
        <v>-3613</v>
      </c>
      <c r="J9" s="86">
        <f>+'Sch 140'!F7</f>
        <v>37635</v>
      </c>
      <c r="K9" s="86">
        <f>+'Sch 141'!C7</f>
        <v>16991</v>
      </c>
      <c r="L9" s="86">
        <f>+'Sch 142 Deferral &amp; K-Factor'!M7</f>
        <v>96112</v>
      </c>
      <c r="M9" s="86">
        <f>+'Sch 194'!F7</f>
        <v>-75554</v>
      </c>
      <c r="N9" s="86">
        <f>SUM(E9:M9)</f>
        <v>83980</v>
      </c>
      <c r="O9" s="86">
        <f>SUM(N9,D9)</f>
        <v>1150607</v>
      </c>
      <c r="P9" s="89"/>
      <c r="Q9" s="86">
        <f>+'Exhibit No.__(JAP-Prof-Prop)'!N17*1</f>
        <v>1086698</v>
      </c>
      <c r="R9" s="86">
        <f>+N9</f>
        <v>83980</v>
      </c>
      <c r="S9" s="86">
        <f>-E9</f>
        <v>34802</v>
      </c>
      <c r="T9" s="86">
        <f>-K9</f>
        <v>-16991</v>
      </c>
      <c r="U9" s="86">
        <f>-L9</f>
        <v>-96112</v>
      </c>
      <c r="V9" s="86">
        <f>+'Sch 142 Deferral &amp; K-Factor'!I7</f>
        <v>12541</v>
      </c>
      <c r="W9" s="86">
        <f>SUM(S9:V9)</f>
        <v>-65760</v>
      </c>
      <c r="X9" s="86">
        <f>SUM(Q9,R9,W9)</f>
        <v>1104918</v>
      </c>
      <c r="Y9" s="86">
        <f>+Q9-D9</f>
        <v>20071</v>
      </c>
      <c r="Z9" s="86">
        <f>+X9-O9</f>
        <v>-45689</v>
      </c>
      <c r="AA9" s="11">
        <f>+Y9/D9</f>
        <v>1.8817262266940551E-2</v>
      </c>
      <c r="AB9" s="11">
        <f>+Z9/O9</f>
        <v>-3.9708605979278763E-2</v>
      </c>
      <c r="AC9" s="11"/>
      <c r="AD9" s="11"/>
      <c r="AE9" s="11"/>
      <c r="AF9" s="11"/>
      <c r="AH9" s="335"/>
    </row>
    <row r="10" spans="1:34">
      <c r="A10" s="3">
        <f>+A9+1</f>
        <v>2</v>
      </c>
      <c r="B10" s="3" t="s">
        <v>16</v>
      </c>
      <c r="C10" s="13">
        <f t="shared" ref="C10:O10" si="0">SUM(C9:C9)</f>
        <v>10442426</v>
      </c>
      <c r="D10" s="87">
        <f t="shared" si="0"/>
        <v>1066627</v>
      </c>
      <c r="E10" s="87">
        <f t="shared" si="0"/>
        <v>-34802</v>
      </c>
      <c r="F10" s="87">
        <f t="shared" si="0"/>
        <v>-26012</v>
      </c>
      <c r="G10" s="87">
        <f t="shared" si="0"/>
        <v>63438</v>
      </c>
      <c r="H10" s="87">
        <f t="shared" si="0"/>
        <v>9785</v>
      </c>
      <c r="I10" s="87">
        <f t="shared" si="0"/>
        <v>-3613</v>
      </c>
      <c r="J10" s="87">
        <f t="shared" si="0"/>
        <v>37635</v>
      </c>
      <c r="K10" s="87">
        <f t="shared" si="0"/>
        <v>16991</v>
      </c>
      <c r="L10" s="87">
        <f t="shared" si="0"/>
        <v>96112</v>
      </c>
      <c r="M10" s="87">
        <f t="shared" si="0"/>
        <v>-75554</v>
      </c>
      <c r="N10" s="87">
        <f t="shared" si="0"/>
        <v>83980</v>
      </c>
      <c r="O10" s="87">
        <f t="shared" si="0"/>
        <v>1150607</v>
      </c>
      <c r="P10" s="89"/>
      <c r="Q10" s="87">
        <f t="shared" ref="Q10:Z10" si="1">SUM(Q9:Q9)</f>
        <v>1086698</v>
      </c>
      <c r="R10" s="87">
        <f t="shared" si="1"/>
        <v>83980</v>
      </c>
      <c r="S10" s="87">
        <f t="shared" si="1"/>
        <v>34802</v>
      </c>
      <c r="T10" s="87">
        <f t="shared" si="1"/>
        <v>-16991</v>
      </c>
      <c r="U10" s="87">
        <f t="shared" si="1"/>
        <v>-96112</v>
      </c>
      <c r="V10" s="87">
        <f t="shared" si="1"/>
        <v>12541</v>
      </c>
      <c r="W10" s="87">
        <f t="shared" ref="W10" si="2">SUM(W9:W9)</f>
        <v>-65760</v>
      </c>
      <c r="X10" s="87">
        <f t="shared" si="1"/>
        <v>1104918</v>
      </c>
      <c r="Y10" s="87">
        <f t="shared" si="1"/>
        <v>20071</v>
      </c>
      <c r="Z10" s="87">
        <f t="shared" si="1"/>
        <v>-45689</v>
      </c>
      <c r="AA10" s="332">
        <f>+Y10/D10</f>
        <v>1.8817262266940551E-2</v>
      </c>
      <c r="AB10" s="332">
        <f>+Z10/O10</f>
        <v>-3.9708605979278763E-2</v>
      </c>
      <c r="AC10" s="11"/>
      <c r="AD10" s="11"/>
      <c r="AE10" s="11"/>
      <c r="AF10" s="11"/>
      <c r="AH10" s="335"/>
    </row>
    <row r="11" spans="1:34">
      <c r="A11" s="3">
        <f t="shared" ref="A11:A37" si="3">+A10+1</f>
        <v>3</v>
      </c>
      <c r="B11" s="3"/>
      <c r="C11" s="9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9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11"/>
      <c r="AB11" s="11"/>
      <c r="AH11" s="335"/>
    </row>
    <row r="12" spans="1:34">
      <c r="A12" s="3">
        <f t="shared" si="3"/>
        <v>4</v>
      </c>
      <c r="B12" s="2" t="s">
        <v>93</v>
      </c>
      <c r="C12" s="9">
        <f>+'Exhibit No.__(JAP-Prof-Prop)'!J21*1</f>
        <v>2787584</v>
      </c>
      <c r="D12" s="86">
        <f>+'Exhibit No.__(JAP-Prof-Prop)'!L21*1</f>
        <v>266957</v>
      </c>
      <c r="E12" s="86">
        <f>+'Sch 95'!F12</f>
        <v>-8569</v>
      </c>
      <c r="F12" s="86">
        <f>+'Sch 95a'!F12</f>
        <v>-5609</v>
      </c>
      <c r="G12" s="86">
        <f>+'Sch 120'!F12</f>
        <v>12937</v>
      </c>
      <c r="H12" s="86">
        <f>+'Sch 129'!F12</f>
        <v>2383</v>
      </c>
      <c r="I12" s="86">
        <f>+'Sch 132'!F12</f>
        <v>-733</v>
      </c>
      <c r="J12" s="86">
        <f>+'Sch 140'!F12</f>
        <v>7100</v>
      </c>
      <c r="K12" s="86">
        <f>+'Sch 141'!C11</f>
        <v>4339</v>
      </c>
      <c r="L12" s="86">
        <f>+'Sch 142 Deferral &amp; K-Factor'!M12</f>
        <v>14372</v>
      </c>
      <c r="M12" s="86">
        <f>+'Sch 194'!F12</f>
        <v>-1894</v>
      </c>
      <c r="N12" s="86">
        <f>SUM(E12:M12)</f>
        <v>24326</v>
      </c>
      <c r="O12" s="86">
        <f>SUM(N12,D12)</f>
        <v>291283</v>
      </c>
      <c r="P12" s="89"/>
      <c r="Q12" s="86">
        <f>+'Exhibit No.__(JAP-Prof-Prop)'!N21*1</f>
        <v>270724</v>
      </c>
      <c r="R12" s="86">
        <f t="shared" ref="R12:R15" si="4">+N12</f>
        <v>24326</v>
      </c>
      <c r="S12" s="86">
        <f>-E12</f>
        <v>8569</v>
      </c>
      <c r="T12" s="86">
        <f t="shared" ref="T12:U15" si="5">-K12</f>
        <v>-4339</v>
      </c>
      <c r="U12" s="86">
        <f t="shared" si="5"/>
        <v>-14372</v>
      </c>
      <c r="V12" s="86">
        <f>+'Sch 142 Deferral &amp; K-Factor'!I12</f>
        <v>3721</v>
      </c>
      <c r="W12" s="86">
        <f t="shared" ref="W12:W15" si="6">SUM(S12:V12)</f>
        <v>-6421</v>
      </c>
      <c r="X12" s="86">
        <f t="shared" ref="X12:X15" si="7">SUM(Q12,R12,W12)</f>
        <v>288629</v>
      </c>
      <c r="Y12" s="86">
        <f>+Q12-D12</f>
        <v>3767</v>
      </c>
      <c r="Z12" s="86">
        <f t="shared" ref="Z12:Z15" si="8">+X12-O12</f>
        <v>-2654</v>
      </c>
      <c r="AA12" s="11">
        <f>+Y12/D12</f>
        <v>1.4110886772026956E-2</v>
      </c>
      <c r="AB12" s="11">
        <f>+Z12/O12</f>
        <v>-9.1114139857114904E-3</v>
      </c>
      <c r="AC12" s="11"/>
      <c r="AD12" s="11"/>
      <c r="AE12" s="11"/>
      <c r="AF12" s="11"/>
      <c r="AH12" s="335"/>
    </row>
    <row r="13" spans="1:34">
      <c r="A13" s="3">
        <f t="shared" si="3"/>
        <v>5</v>
      </c>
      <c r="B13" s="2" t="s">
        <v>263</v>
      </c>
      <c r="C13" s="9">
        <f>+'Exhibit No.__(JAP-Prof-Prop)'!J22*1</f>
        <v>2839459</v>
      </c>
      <c r="D13" s="86">
        <f>+'Exhibit No.__(JAP-Prof-Prop)'!L22*1</f>
        <v>252529</v>
      </c>
      <c r="E13" s="86">
        <f>+'Sch 95'!F14</f>
        <v>-8696</v>
      </c>
      <c r="F13" s="86">
        <f>+'Sch 95a'!F14</f>
        <v>-5846</v>
      </c>
      <c r="G13" s="86">
        <f>+'Sch 120'!F14</f>
        <v>12775</v>
      </c>
      <c r="H13" s="86">
        <f>+'Sch 129'!F14</f>
        <v>2255</v>
      </c>
      <c r="I13" s="86">
        <f>+'Sch 132'!F14</f>
        <v>-696</v>
      </c>
      <c r="J13" s="86">
        <f>+'Sch 140'!F14</f>
        <v>6582</v>
      </c>
      <c r="K13" s="86">
        <f>SUM('Sch 141'!C8,'Sch 141'!C12)</f>
        <v>3524</v>
      </c>
      <c r="L13" s="86">
        <f>+'Sch 142 Deferral &amp; K-Factor'!M14</f>
        <v>14641</v>
      </c>
      <c r="M13" s="86">
        <f>+'Sch 194'!F14</f>
        <v>-1122</v>
      </c>
      <c r="N13" s="86">
        <f>SUM(E13:M13)</f>
        <v>23417</v>
      </c>
      <c r="O13" s="86">
        <f>SUM(N13,D13)</f>
        <v>275946</v>
      </c>
      <c r="P13" s="89"/>
      <c r="Q13" s="86">
        <f>+'Exhibit No.__(JAP-Prof-Prop)'!N22*1</f>
        <v>255617</v>
      </c>
      <c r="R13" s="86">
        <f t="shared" si="4"/>
        <v>23417</v>
      </c>
      <c r="S13" s="86">
        <f>-E13</f>
        <v>8696</v>
      </c>
      <c r="T13" s="86">
        <f t="shared" si="5"/>
        <v>-3524</v>
      </c>
      <c r="U13" s="86">
        <f t="shared" si="5"/>
        <v>-14641</v>
      </c>
      <c r="V13" s="86">
        <f>+'Sch 142 Deferral &amp; K-Factor'!I14</f>
        <v>3791</v>
      </c>
      <c r="W13" s="86">
        <f t="shared" si="6"/>
        <v>-5678</v>
      </c>
      <c r="X13" s="86">
        <f t="shared" si="7"/>
        <v>273356</v>
      </c>
      <c r="Y13" s="86">
        <f>+Q13-D13</f>
        <v>3088</v>
      </c>
      <c r="Z13" s="86">
        <f t="shared" si="8"/>
        <v>-2590</v>
      </c>
      <c r="AA13" s="11">
        <f>+Y13/D13</f>
        <v>1.2228298532049785E-2</v>
      </c>
      <c r="AB13" s="11">
        <f>+Z13/O13</f>
        <v>-9.3858943416465536E-3</v>
      </c>
      <c r="AC13" s="11"/>
      <c r="AD13" s="11"/>
      <c r="AE13" s="11"/>
      <c r="AF13" s="11"/>
      <c r="AH13" s="335"/>
    </row>
    <row r="14" spans="1:34">
      <c r="A14" s="3">
        <f t="shared" si="3"/>
        <v>6</v>
      </c>
      <c r="B14" s="2" t="s">
        <v>94</v>
      </c>
      <c r="C14" s="9">
        <f>ROUND(+'Exhibit No.__(JAP-Prof-Prop)'!J23*1,0)</f>
        <v>1892055</v>
      </c>
      <c r="D14" s="86">
        <f>ROUND(+'Exhibit No.__(JAP-Prof-Prop)'!L23*1,0)</f>
        <v>153865</v>
      </c>
      <c r="E14" s="86">
        <f>+'Sch 95'!F16</f>
        <v>-5977</v>
      </c>
      <c r="F14" s="86">
        <f>+'Sch 95a'!F16</f>
        <v>-4062</v>
      </c>
      <c r="G14" s="86">
        <f>+'Sch 120'!F16</f>
        <v>9082</v>
      </c>
      <c r="H14" s="86">
        <f>+'Sch 129'!F16</f>
        <v>1338</v>
      </c>
      <c r="I14" s="86">
        <f>+'Sch 132'!F16</f>
        <v>-382</v>
      </c>
      <c r="J14" s="86">
        <f>+'Sch 140'!F16</f>
        <v>4174</v>
      </c>
      <c r="K14" s="86">
        <f>+'Sch 141'!C13</f>
        <v>1962</v>
      </c>
      <c r="L14" s="86">
        <f>+'Sch 142 Deferral &amp; K-Factor'!M16</f>
        <v>5387.2999999999993</v>
      </c>
      <c r="M14" s="86">
        <f>+'Sch 194'!F16</f>
        <v>-128</v>
      </c>
      <c r="N14" s="86">
        <f>SUM(E14:M14)</f>
        <v>11394.3</v>
      </c>
      <c r="O14" s="86">
        <f>SUM(N14,D14)</f>
        <v>165259.29999999999</v>
      </c>
      <c r="P14" s="89"/>
      <c r="Q14" s="86">
        <f>ROUND(+'Exhibit No.__(JAP-Prof-Prop)'!N23*1,0)</f>
        <v>155746</v>
      </c>
      <c r="R14" s="86">
        <f t="shared" si="4"/>
        <v>11394.3</v>
      </c>
      <c r="S14" s="86">
        <f>-E14</f>
        <v>5977</v>
      </c>
      <c r="T14" s="86">
        <f t="shared" si="5"/>
        <v>-1962</v>
      </c>
      <c r="U14" s="86">
        <f t="shared" si="5"/>
        <v>-5387.2999999999993</v>
      </c>
      <c r="V14" s="86">
        <f>+'Sch 142 Deferral &amp; K-Factor'!I16</f>
        <v>-782.77</v>
      </c>
      <c r="W14" s="86">
        <f t="shared" si="6"/>
        <v>-2155.0699999999993</v>
      </c>
      <c r="X14" s="86">
        <f t="shared" si="7"/>
        <v>164985.22999999998</v>
      </c>
      <c r="Y14" s="86">
        <f>+Q14-D14</f>
        <v>1881</v>
      </c>
      <c r="Z14" s="86">
        <f t="shared" si="8"/>
        <v>-274.07000000000698</v>
      </c>
      <c r="AA14" s="11">
        <f>+Y14/D14</f>
        <v>1.2225002437201442E-2</v>
      </c>
      <c r="AB14" s="11">
        <f>+Z14/O14</f>
        <v>-1.6584240644853694E-3</v>
      </c>
      <c r="AC14" s="11"/>
      <c r="AD14" s="11"/>
      <c r="AE14" s="11"/>
      <c r="AF14" s="11"/>
      <c r="AH14" s="335"/>
    </row>
    <row r="15" spans="1:34">
      <c r="A15" s="3">
        <f t="shared" si="3"/>
        <v>7</v>
      </c>
      <c r="B15" s="3">
        <v>29</v>
      </c>
      <c r="C15" s="9">
        <f>+'Exhibit No.__(JAP-Prof-Prop)'!J24*1</f>
        <v>14327</v>
      </c>
      <c r="D15" s="86">
        <f>+'Exhibit No.__(JAP-Prof-Prop)'!L24*1</f>
        <v>1137.7460000000001</v>
      </c>
      <c r="E15" s="86">
        <f>+'Sch 95'!F17</f>
        <v>-41</v>
      </c>
      <c r="F15" s="86">
        <f>+'Sch 95a'!F17</f>
        <v>-27</v>
      </c>
      <c r="G15" s="86">
        <f>+'Sch 120'!F17</f>
        <v>66</v>
      </c>
      <c r="H15" s="86">
        <f>+'Sch 129'!F17</f>
        <v>10</v>
      </c>
      <c r="I15" s="86">
        <f>+'Sch 132'!F17</f>
        <v>-4</v>
      </c>
      <c r="J15" s="86">
        <f>+'Sch 140'!F17</f>
        <v>33</v>
      </c>
      <c r="K15" s="86">
        <f>+'Sch 141'!C15</f>
        <v>19</v>
      </c>
      <c r="L15" s="86">
        <f>+'Sch 142 Deferral &amp; K-Factor'!M17</f>
        <v>74</v>
      </c>
      <c r="M15" s="86">
        <f>+'Sch 194'!F17</f>
        <v>-107</v>
      </c>
      <c r="N15" s="86">
        <f>SUM(E15:M15)</f>
        <v>23</v>
      </c>
      <c r="O15" s="86">
        <f>SUM(N15,D15)</f>
        <v>1160.7460000000001</v>
      </c>
      <c r="P15" s="89"/>
      <c r="Q15" s="86">
        <f>ROUND(+'Exhibit No.__(JAP-Prof-Prop)'!N24,0)*1</f>
        <v>1152</v>
      </c>
      <c r="R15" s="86">
        <f t="shared" si="4"/>
        <v>23</v>
      </c>
      <c r="S15" s="86">
        <f>-E15</f>
        <v>41</v>
      </c>
      <c r="T15" s="86">
        <f t="shared" si="5"/>
        <v>-19</v>
      </c>
      <c r="U15" s="86">
        <f t="shared" si="5"/>
        <v>-74</v>
      </c>
      <c r="V15" s="86">
        <f>+'Sch 142 Deferral &amp; K-Factor'!I17</f>
        <v>19</v>
      </c>
      <c r="W15" s="86">
        <f t="shared" si="6"/>
        <v>-33</v>
      </c>
      <c r="X15" s="86">
        <f t="shared" si="7"/>
        <v>1142</v>
      </c>
      <c r="Y15" s="86">
        <f>+Q15-D15</f>
        <v>14.253999999999905</v>
      </c>
      <c r="Z15" s="86">
        <f t="shared" si="8"/>
        <v>-18.746000000000095</v>
      </c>
      <c r="AA15" s="11">
        <f>+Y15/D15</f>
        <v>1.2528279598434012E-2</v>
      </c>
      <c r="AB15" s="11">
        <f>+Z15/O15</f>
        <v>-1.6149958733435301E-2</v>
      </c>
      <c r="AC15" s="11"/>
      <c r="AD15" s="11"/>
      <c r="AE15" s="11"/>
      <c r="AF15" s="11"/>
      <c r="AH15" s="335"/>
    </row>
    <row r="16" spans="1:34">
      <c r="A16" s="3">
        <f t="shared" si="3"/>
        <v>8</v>
      </c>
      <c r="B16" s="2" t="s">
        <v>299</v>
      </c>
      <c r="C16" s="13">
        <f t="shared" ref="C16:O16" si="9">SUM(C12:C15)</f>
        <v>7533425</v>
      </c>
      <c r="D16" s="87">
        <f t="shared" si="9"/>
        <v>674488.74600000004</v>
      </c>
      <c r="E16" s="87">
        <f t="shared" si="9"/>
        <v>-23283</v>
      </c>
      <c r="F16" s="87">
        <f t="shared" si="9"/>
        <v>-15544</v>
      </c>
      <c r="G16" s="87">
        <f t="shared" si="9"/>
        <v>34860</v>
      </c>
      <c r="H16" s="87">
        <f t="shared" si="9"/>
        <v>5986</v>
      </c>
      <c r="I16" s="87">
        <f t="shared" si="9"/>
        <v>-1815</v>
      </c>
      <c r="J16" s="87">
        <f t="shared" si="9"/>
        <v>17889</v>
      </c>
      <c r="K16" s="87">
        <f t="shared" si="9"/>
        <v>9844</v>
      </c>
      <c r="L16" s="87">
        <f t="shared" si="9"/>
        <v>34474.300000000003</v>
      </c>
      <c r="M16" s="87">
        <f t="shared" si="9"/>
        <v>-3251</v>
      </c>
      <c r="N16" s="87">
        <f t="shared" si="9"/>
        <v>59160.3</v>
      </c>
      <c r="O16" s="87">
        <f t="shared" si="9"/>
        <v>733649.04600000009</v>
      </c>
      <c r="P16" s="89"/>
      <c r="Q16" s="87">
        <f t="shared" ref="Q16:Z16" si="10">SUM(Q12:Q15)</f>
        <v>683239</v>
      </c>
      <c r="R16" s="87">
        <f t="shared" si="10"/>
        <v>59160.3</v>
      </c>
      <c r="S16" s="87">
        <f t="shared" si="10"/>
        <v>23283</v>
      </c>
      <c r="T16" s="87">
        <f t="shared" si="10"/>
        <v>-9844</v>
      </c>
      <c r="U16" s="87">
        <f t="shared" si="10"/>
        <v>-34474.300000000003</v>
      </c>
      <c r="V16" s="87">
        <f t="shared" si="10"/>
        <v>6748.23</v>
      </c>
      <c r="W16" s="87">
        <f t="shared" ref="W16" si="11">SUM(W12:W15)</f>
        <v>-14287.07</v>
      </c>
      <c r="X16" s="87">
        <f t="shared" si="10"/>
        <v>728112.23</v>
      </c>
      <c r="Y16" s="87">
        <f t="shared" si="10"/>
        <v>8750.2540000000008</v>
      </c>
      <c r="Z16" s="87">
        <f t="shared" si="10"/>
        <v>-5536.8160000000071</v>
      </c>
      <c r="AA16" s="332">
        <f>+Y16/D16</f>
        <v>1.2973165307638803E-2</v>
      </c>
      <c r="AB16" s="332">
        <f>+Z16/O16</f>
        <v>-7.5469545420767939E-3</v>
      </c>
      <c r="AC16" s="11"/>
      <c r="AD16" s="11"/>
      <c r="AE16" s="11"/>
      <c r="AF16" s="11"/>
      <c r="AH16" s="335"/>
    </row>
    <row r="17" spans="1:34">
      <c r="A17" s="3">
        <f t="shared" si="3"/>
        <v>9</v>
      </c>
      <c r="B17" s="3"/>
      <c r="C17" s="9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9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11"/>
      <c r="AB17" s="11"/>
      <c r="AD17" s="11"/>
      <c r="AE17" s="11"/>
      <c r="AH17" s="335"/>
    </row>
    <row r="18" spans="1:34">
      <c r="A18" s="3">
        <f t="shared" si="3"/>
        <v>10</v>
      </c>
      <c r="B18" s="3" t="s">
        <v>95</v>
      </c>
      <c r="C18" s="9">
        <f>ROUND(+'Exhibit No.__(JAP-Prof-Prop)'!J28*1,0)</f>
        <v>1284402</v>
      </c>
      <c r="D18" s="86">
        <f>ROUND(+'Exhibit No.__(JAP-Prof-Prop)'!L28*1,0)</f>
        <v>102891</v>
      </c>
      <c r="E18" s="86">
        <f>+'Sch 95'!F21</f>
        <v>-3675</v>
      </c>
      <c r="F18" s="86">
        <f>+'Sch 95a'!F21</f>
        <v>-2575</v>
      </c>
      <c r="G18" s="86">
        <f>+'Sch 120'!F21</f>
        <v>5847</v>
      </c>
      <c r="H18" s="86">
        <f>+'Sch 129'!F21</f>
        <v>894</v>
      </c>
      <c r="I18" s="86">
        <f>+'Sch 132'!F21</f>
        <v>-306</v>
      </c>
      <c r="J18" s="86">
        <f>+'Sch 140'!F21</f>
        <v>2823</v>
      </c>
      <c r="K18" s="86">
        <f>+'Sch 141'!C18</f>
        <v>1345</v>
      </c>
      <c r="L18" s="86">
        <f>+'Sch 142 Deferral &amp; K-Factor'!M21</f>
        <v>3703.71</v>
      </c>
      <c r="M18" s="86">
        <f>+'Sch 194'!F21</f>
        <v>-238</v>
      </c>
      <c r="N18" s="86">
        <f>SUM(E18:M18)</f>
        <v>7818.71</v>
      </c>
      <c r="O18" s="86">
        <f>SUM(N18,D18)</f>
        <v>110709.71</v>
      </c>
      <c r="P18" s="89"/>
      <c r="Q18" s="86">
        <f>ROUND(+'Exhibit No.__(JAP-Prof-Prop)'!N28*1,0)</f>
        <v>104149</v>
      </c>
      <c r="R18" s="86">
        <f t="shared" ref="R18:R20" si="12">+N18</f>
        <v>7818.71</v>
      </c>
      <c r="S18" s="86">
        <f>-E18</f>
        <v>3675</v>
      </c>
      <c r="T18" s="86">
        <f t="shared" ref="T18:U20" si="13">-K18</f>
        <v>-1345</v>
      </c>
      <c r="U18" s="86">
        <f t="shared" si="13"/>
        <v>-3703.71</v>
      </c>
      <c r="V18" s="86">
        <f>+'Sch 142 Deferral &amp; K-Factor'!I21</f>
        <v>-131.10499999999999</v>
      </c>
      <c r="W18" s="86">
        <f t="shared" ref="W18:W20" si="14">SUM(S18:V18)</f>
        <v>-1504.8150000000001</v>
      </c>
      <c r="X18" s="86">
        <f t="shared" ref="X18:X20" si="15">SUM(Q18,R18,W18)</f>
        <v>110462.895</v>
      </c>
      <c r="Y18" s="86">
        <f>+Q18-D18</f>
        <v>1258</v>
      </c>
      <c r="Z18" s="86">
        <f t="shared" ref="Z18:Z20" si="16">+X18-O18</f>
        <v>-246.81500000000233</v>
      </c>
      <c r="AA18" s="11">
        <f>+Y18/D18</f>
        <v>1.2226530989104974E-2</v>
      </c>
      <c r="AB18" s="11">
        <f>+Z18/O18</f>
        <v>-2.2293889126798572E-3</v>
      </c>
      <c r="AC18" s="11"/>
      <c r="AD18" s="11"/>
      <c r="AE18" s="11"/>
      <c r="AF18" s="11"/>
      <c r="AH18" s="335"/>
    </row>
    <row r="19" spans="1:34">
      <c r="A19" s="3">
        <f t="shared" si="3"/>
        <v>11</v>
      </c>
      <c r="B19" s="3">
        <v>35</v>
      </c>
      <c r="C19" s="9">
        <f>ROUND(+'Exhibit No.__(JAP-Prof-Prop)'!J29*1,0)</f>
        <v>4453</v>
      </c>
      <c r="D19" s="86">
        <f>ROUND(+'Exhibit No.__(JAP-Prof-Prop)'!L29*1,0)</f>
        <v>248</v>
      </c>
      <c r="E19" s="86">
        <f>+'Sch 95'!F22</f>
        <v>-11</v>
      </c>
      <c r="F19" s="86">
        <f>+'Sch 95a'!F22</f>
        <v>-6</v>
      </c>
      <c r="G19" s="86">
        <f>+'Sch 120'!F22</f>
        <v>14</v>
      </c>
      <c r="H19" s="86">
        <f>+'Sch 129'!F22</f>
        <v>2</v>
      </c>
      <c r="I19" s="86">
        <f>+'Sch 132'!F22</f>
        <v>-1</v>
      </c>
      <c r="J19" s="86">
        <f>+'Sch 140'!F22</f>
        <v>10</v>
      </c>
      <c r="K19" s="86">
        <f>+'Sch 141'!C19</f>
        <v>0</v>
      </c>
      <c r="L19" s="86">
        <f>+'Sch 142 Deferral &amp; K-Factor'!M22</f>
        <v>23</v>
      </c>
      <c r="M19" s="86">
        <f>+'Sch 194'!F22</f>
        <v>-33</v>
      </c>
      <c r="N19" s="86">
        <f>SUM(E19:M19)</f>
        <v>-2</v>
      </c>
      <c r="O19" s="86">
        <f>SUM(N19,D19)</f>
        <v>246</v>
      </c>
      <c r="P19" s="89"/>
      <c r="Q19" s="86">
        <f>ROUND(+'Exhibit No.__(JAP-Prof-Prop)'!N29*1,0)</f>
        <v>255</v>
      </c>
      <c r="R19" s="86">
        <f t="shared" si="12"/>
        <v>-2</v>
      </c>
      <c r="S19" s="86">
        <f>-E19</f>
        <v>11</v>
      </c>
      <c r="T19" s="86">
        <f t="shared" si="13"/>
        <v>0</v>
      </c>
      <c r="U19" s="86">
        <f t="shared" si="13"/>
        <v>-23</v>
      </c>
      <c r="V19" s="86">
        <f>+'Sch 142 Deferral &amp; K-Factor'!I22</f>
        <v>6</v>
      </c>
      <c r="W19" s="86">
        <f t="shared" si="14"/>
        <v>-6</v>
      </c>
      <c r="X19" s="86">
        <f t="shared" si="15"/>
        <v>247</v>
      </c>
      <c r="Y19" s="86">
        <f>+Q19-D19</f>
        <v>7</v>
      </c>
      <c r="Z19" s="86">
        <f t="shared" si="16"/>
        <v>1</v>
      </c>
      <c r="AA19" s="11">
        <f>+Y19/D19</f>
        <v>2.8225806451612902E-2</v>
      </c>
      <c r="AB19" s="11">
        <f>+Z19/O19</f>
        <v>4.0650406504065045E-3</v>
      </c>
      <c r="AC19" s="11"/>
      <c r="AD19" s="11"/>
      <c r="AE19" s="11"/>
      <c r="AF19" s="11"/>
      <c r="AH19" s="335"/>
    </row>
    <row r="20" spans="1:34">
      <c r="A20" s="3">
        <f t="shared" si="3"/>
        <v>12</v>
      </c>
      <c r="B20" s="3">
        <v>43</v>
      </c>
      <c r="C20" s="9">
        <f>ROUND(+'Exhibit No.__(JAP-Prof-Prop)'!J30*1,0)</f>
        <v>119660</v>
      </c>
      <c r="D20" s="86">
        <f>ROUND(+'Exhibit No.__(JAP-Prof-Prop)'!L30*1,0)</f>
        <v>10338</v>
      </c>
      <c r="E20" s="86">
        <f>+'Sch 95'!F23</f>
        <v>-336</v>
      </c>
      <c r="F20" s="86">
        <f>+'Sch 95a'!F23</f>
        <v>-217</v>
      </c>
      <c r="G20" s="86">
        <f>+'Sch 120'!F23</f>
        <v>509</v>
      </c>
      <c r="H20" s="86">
        <f>+'Sch 129'!F23</f>
        <v>92</v>
      </c>
      <c r="I20" s="86">
        <f>+'Sch 132'!F23</f>
        <v>-28</v>
      </c>
      <c r="J20" s="86">
        <f>+'Sch 140'!F23</f>
        <v>451</v>
      </c>
      <c r="K20" s="86">
        <f>+'Sch 141'!C20</f>
        <v>206</v>
      </c>
      <c r="L20" s="86">
        <f>+'Sch 142 Deferral &amp; K-Factor'!M23</f>
        <v>617</v>
      </c>
      <c r="M20" s="86">
        <f>+'Sch 194'!F23</f>
        <v>0</v>
      </c>
      <c r="N20" s="86">
        <f>SUM(E20:M20)</f>
        <v>1294</v>
      </c>
      <c r="O20" s="86">
        <f>SUM(N20,D20)</f>
        <v>11632</v>
      </c>
      <c r="P20" s="89"/>
      <c r="Q20" s="86">
        <f>ROUND(+'Exhibit No.__(JAP-Prof-Prop)'!N30*1,0)</f>
        <v>10532</v>
      </c>
      <c r="R20" s="86">
        <f t="shared" si="12"/>
        <v>1294</v>
      </c>
      <c r="S20" s="86">
        <f>-E20</f>
        <v>336</v>
      </c>
      <c r="T20" s="86">
        <f t="shared" si="13"/>
        <v>-206</v>
      </c>
      <c r="U20" s="86">
        <f t="shared" si="13"/>
        <v>-617</v>
      </c>
      <c r="V20" s="86">
        <f>+'Sch 142 Deferral &amp; K-Factor'!I23</f>
        <v>160</v>
      </c>
      <c r="W20" s="86">
        <f t="shared" si="14"/>
        <v>-327</v>
      </c>
      <c r="X20" s="86">
        <f t="shared" si="15"/>
        <v>11499</v>
      </c>
      <c r="Y20" s="86">
        <f>+Q20-D20</f>
        <v>194</v>
      </c>
      <c r="Z20" s="86">
        <f t="shared" si="16"/>
        <v>-133</v>
      </c>
      <c r="AA20" s="11">
        <f>+Y20/D20</f>
        <v>1.8765718707680401E-2</v>
      </c>
      <c r="AB20" s="11">
        <f>+Z20/O20</f>
        <v>-1.1433975240715268E-2</v>
      </c>
      <c r="AC20" s="11"/>
      <c r="AD20" s="11"/>
      <c r="AE20" s="11"/>
      <c r="AF20" s="11"/>
      <c r="AH20" s="335"/>
    </row>
    <row r="21" spans="1:34">
      <c r="A21" s="3">
        <f t="shared" si="3"/>
        <v>13</v>
      </c>
      <c r="B21" s="2" t="s">
        <v>300</v>
      </c>
      <c r="C21" s="13">
        <f t="shared" ref="C21:O21" si="17">SUM(C18:C20)</f>
        <v>1408515</v>
      </c>
      <c r="D21" s="87">
        <f t="shared" si="17"/>
        <v>113477</v>
      </c>
      <c r="E21" s="87">
        <f t="shared" si="17"/>
        <v>-4022</v>
      </c>
      <c r="F21" s="87">
        <f t="shared" si="17"/>
        <v>-2798</v>
      </c>
      <c r="G21" s="87">
        <f t="shared" si="17"/>
        <v>6370</v>
      </c>
      <c r="H21" s="87">
        <f t="shared" si="17"/>
        <v>988</v>
      </c>
      <c r="I21" s="87">
        <f t="shared" si="17"/>
        <v>-335</v>
      </c>
      <c r="J21" s="87">
        <f t="shared" si="17"/>
        <v>3284</v>
      </c>
      <c r="K21" s="87">
        <f t="shared" si="17"/>
        <v>1551</v>
      </c>
      <c r="L21" s="87">
        <f t="shared" si="17"/>
        <v>4343.71</v>
      </c>
      <c r="M21" s="87">
        <f t="shared" si="17"/>
        <v>-271</v>
      </c>
      <c r="N21" s="87">
        <f t="shared" si="17"/>
        <v>9110.7099999999991</v>
      </c>
      <c r="O21" s="87">
        <f t="shared" si="17"/>
        <v>122587.71</v>
      </c>
      <c r="P21" s="89"/>
      <c r="Q21" s="87">
        <f t="shared" ref="Q21:Z21" si="18">SUM(Q18:Q20)</f>
        <v>114936</v>
      </c>
      <c r="R21" s="87">
        <f t="shared" si="18"/>
        <v>9110.7099999999991</v>
      </c>
      <c r="S21" s="87">
        <f t="shared" si="18"/>
        <v>4022</v>
      </c>
      <c r="T21" s="87">
        <f t="shared" si="18"/>
        <v>-1551</v>
      </c>
      <c r="U21" s="87">
        <f t="shared" si="18"/>
        <v>-4343.71</v>
      </c>
      <c r="V21" s="87">
        <f t="shared" si="18"/>
        <v>34.89500000000001</v>
      </c>
      <c r="W21" s="87">
        <f t="shared" ref="W21" si="19">SUM(W18:W20)</f>
        <v>-1837.8150000000001</v>
      </c>
      <c r="X21" s="87">
        <f t="shared" si="18"/>
        <v>122208.895</v>
      </c>
      <c r="Y21" s="87">
        <f t="shared" si="18"/>
        <v>1459</v>
      </c>
      <c r="Z21" s="87">
        <f t="shared" si="18"/>
        <v>-378.81500000000233</v>
      </c>
      <c r="AA21" s="332">
        <f>+Y21/D21</f>
        <v>1.2857230980727372E-2</v>
      </c>
      <c r="AB21" s="332">
        <f>+Z21/O21</f>
        <v>-3.0901547961047831E-3</v>
      </c>
      <c r="AC21" s="11"/>
      <c r="AD21" s="11"/>
      <c r="AE21" s="11"/>
      <c r="AF21" s="11"/>
      <c r="AH21" s="335"/>
    </row>
    <row r="22" spans="1:34">
      <c r="A22" s="3">
        <f t="shared" si="3"/>
        <v>14</v>
      </c>
      <c r="B22" s="3"/>
      <c r="C22" s="9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9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11"/>
      <c r="AB22" s="11"/>
      <c r="AH22" s="335"/>
    </row>
    <row r="23" spans="1:34">
      <c r="A23" s="3">
        <f t="shared" si="3"/>
        <v>15</v>
      </c>
      <c r="B23" s="3">
        <v>40</v>
      </c>
      <c r="C23" s="13">
        <f>ROUND(+'Exhibit No.__(JAP-Prof-Prop)'!J33*1,0)</f>
        <v>621679</v>
      </c>
      <c r="D23" s="87">
        <f>ROUND(+'Exhibit No.__(JAP-Prof-Prop)'!L33*1,0)</f>
        <v>43551</v>
      </c>
      <c r="E23" s="87">
        <f>+'Sch 95'!F26</f>
        <v>-1976</v>
      </c>
      <c r="F23" s="87">
        <f>+'Sch 95a'!F26</f>
        <v>-1324</v>
      </c>
      <c r="G23" s="87">
        <f>+'Sch 120'!F26</f>
        <v>3197</v>
      </c>
      <c r="H23" s="87">
        <f>+'Sch 129'!F26</f>
        <v>417</v>
      </c>
      <c r="I23" s="87">
        <f>+'Sch 132'!F26</f>
        <v>-81</v>
      </c>
      <c r="J23" s="87">
        <f>+'Sch 140'!F26</f>
        <v>1461</v>
      </c>
      <c r="K23" s="87">
        <f>+'Sch 141'!C23</f>
        <v>319</v>
      </c>
      <c r="L23" s="87">
        <f>+'Sch 142 Deferral &amp; K-Factor'!M26</f>
        <v>3273.323999999986</v>
      </c>
      <c r="M23" s="87">
        <f>+'Sch 194'!F26</f>
        <v>0</v>
      </c>
      <c r="N23" s="87">
        <f>SUM(E23:M23)</f>
        <v>5286.323999999986</v>
      </c>
      <c r="O23" s="87">
        <f>SUM(N23,D23)</f>
        <v>48837.323999999986</v>
      </c>
      <c r="P23" s="89"/>
      <c r="Q23" s="87">
        <f>ROUND(+'Exhibit No.__(JAP-Prof-Prop)'!N33*1,0)</f>
        <v>45113</v>
      </c>
      <c r="R23" s="87">
        <f>+N23</f>
        <v>5286.323999999986</v>
      </c>
      <c r="S23" s="87">
        <f>-E23</f>
        <v>1976</v>
      </c>
      <c r="T23" s="87">
        <f>-K23</f>
        <v>-319</v>
      </c>
      <c r="U23" s="87">
        <f>-L23</f>
        <v>-3273.323999999986</v>
      </c>
      <c r="V23" s="87">
        <f>+'Sch 142 Deferral &amp; K-Factor'!I26-'Sch 142 Deferral &amp; K-Factor'!I43</f>
        <v>906.98700000000099</v>
      </c>
      <c r="W23" s="87">
        <f>SUM(S23:V23)</f>
        <v>-709.33699999998498</v>
      </c>
      <c r="X23" s="87">
        <f>SUM(Q23,R23,W23)</f>
        <v>49689.987000000001</v>
      </c>
      <c r="Y23" s="87">
        <f>+Q23-D23</f>
        <v>1562</v>
      </c>
      <c r="Z23" s="87">
        <f>+X23-O23</f>
        <v>852.66300000001502</v>
      </c>
      <c r="AA23" s="332">
        <f>+Y23/D23</f>
        <v>3.5865996188376846E-2</v>
      </c>
      <c r="AB23" s="332">
        <f>+Z23/O23</f>
        <v>1.7459248995706958E-2</v>
      </c>
      <c r="AC23" s="11"/>
      <c r="AD23" s="11"/>
      <c r="AE23" s="11"/>
      <c r="AF23" s="11"/>
      <c r="AH23" s="335"/>
    </row>
    <row r="24" spans="1:34">
      <c r="A24" s="3">
        <f t="shared" si="3"/>
        <v>16</v>
      </c>
      <c r="B24" s="3"/>
      <c r="C24" s="9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9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11"/>
      <c r="AB24" s="11"/>
      <c r="AH24" s="335"/>
    </row>
    <row r="25" spans="1:34">
      <c r="A25" s="3">
        <f t="shared" si="3"/>
        <v>17</v>
      </c>
      <c r="B25" s="3">
        <v>46</v>
      </c>
      <c r="C25" s="9">
        <f>ROUND(+'Exhibit No.__(JAP-Prof-Prop)'!J36*1,0)</f>
        <v>64275</v>
      </c>
      <c r="D25" s="86">
        <f>ROUND(+'Exhibit No.__(JAP-Prof-Prop)'!L36*1,0)</f>
        <v>4202</v>
      </c>
      <c r="E25" s="86">
        <f>+'Sch 95'!F28</f>
        <v>-172</v>
      </c>
      <c r="F25" s="86">
        <f>+'Sch 95a'!F28</f>
        <v>-66</v>
      </c>
      <c r="G25" s="86">
        <f>+'Sch 120'!F28</f>
        <v>187</v>
      </c>
      <c r="H25" s="86">
        <f>+'Sch 129'!F28</f>
        <v>38</v>
      </c>
      <c r="I25" s="86">
        <f>+'Sch 132'!F28</f>
        <v>-7</v>
      </c>
      <c r="J25" s="86">
        <f>+'Sch 140'!F28</f>
        <v>94</v>
      </c>
      <c r="K25" s="86">
        <f>+'Sch 141'!C25</f>
        <v>20</v>
      </c>
      <c r="L25" s="86">
        <f>+'Sch 142 Deferral &amp; K-Factor'!M28</f>
        <v>332</v>
      </c>
      <c r="M25" s="86">
        <f>+'Sch 194'!F28</f>
        <v>0</v>
      </c>
      <c r="N25" s="86">
        <f>SUM(E25:M25)</f>
        <v>426</v>
      </c>
      <c r="O25" s="86">
        <f>SUM(N25,D25)</f>
        <v>4628</v>
      </c>
      <c r="P25" s="89"/>
      <c r="Q25" s="86">
        <f>ROUND(+'Exhibit No.__(JAP-Prof-Prop)'!N36*1,0)</f>
        <v>4256</v>
      </c>
      <c r="R25" s="86">
        <f t="shared" ref="R25:R26" si="20">+N25</f>
        <v>426</v>
      </c>
      <c r="S25" s="86">
        <f>-E25</f>
        <v>172</v>
      </c>
      <c r="T25" s="86">
        <f>-K25</f>
        <v>-20</v>
      </c>
      <c r="U25" s="86">
        <f>-L25</f>
        <v>-332</v>
      </c>
      <c r="V25" s="86">
        <f>+'Sch 142 Deferral &amp; K-Factor'!I28</f>
        <v>86</v>
      </c>
      <c r="W25" s="86">
        <f t="shared" ref="W25:W26" si="21">SUM(S25:V25)</f>
        <v>-94</v>
      </c>
      <c r="X25" s="86">
        <f t="shared" ref="X25:X26" si="22">SUM(Q25,R25,W25)</f>
        <v>4588</v>
      </c>
      <c r="Y25" s="86">
        <f>+Q25-D25</f>
        <v>54</v>
      </c>
      <c r="Z25" s="86">
        <f t="shared" ref="Z25:Z26" si="23">+X25-O25</f>
        <v>-40</v>
      </c>
      <c r="AA25" s="11">
        <f>+Y25/D25</f>
        <v>1.285102332222751E-2</v>
      </c>
      <c r="AB25" s="11">
        <f>+Z25/O25</f>
        <v>-8.6430423509075201E-3</v>
      </c>
      <c r="AC25" s="11"/>
      <c r="AD25" s="11"/>
      <c r="AE25" s="11"/>
      <c r="AF25" s="11"/>
      <c r="AH25" s="335"/>
    </row>
    <row r="26" spans="1:34">
      <c r="A26" s="3">
        <f t="shared" si="3"/>
        <v>18</v>
      </c>
      <c r="B26" s="3">
        <v>49</v>
      </c>
      <c r="C26" s="9">
        <f>ROUND(+'Exhibit No.__(JAP-Prof-Prop)'!J37*1,0)</f>
        <v>567984</v>
      </c>
      <c r="D26" s="86">
        <f>ROUND(+'Exhibit No.__(JAP-Prof-Prop)'!L37*1,0)</f>
        <v>36158</v>
      </c>
      <c r="E26" s="86">
        <f>+'Sch 95'!F29</f>
        <v>-1325</v>
      </c>
      <c r="F26" s="86">
        <f>+'Sch 95a'!F29</f>
        <v>-1158</v>
      </c>
      <c r="G26" s="86">
        <f>+'Sch 120'!F29</f>
        <v>2514</v>
      </c>
      <c r="H26" s="86">
        <f>+'Sch 129'!F29</f>
        <v>327</v>
      </c>
      <c r="I26" s="86">
        <f>+'Sch 132'!F29</f>
        <v>-62</v>
      </c>
      <c r="J26" s="86">
        <f>+'Sch 140'!F29</f>
        <v>833</v>
      </c>
      <c r="K26" s="86">
        <f>+'Sch 141'!C26</f>
        <v>201</v>
      </c>
      <c r="L26" s="86">
        <f>+'Sch 142 Deferral &amp; K-Factor'!M29</f>
        <v>2928</v>
      </c>
      <c r="M26" s="86">
        <f>+'Sch 194'!F29</f>
        <v>0</v>
      </c>
      <c r="N26" s="86">
        <f>SUM(E26:M26)</f>
        <v>4258</v>
      </c>
      <c r="O26" s="86">
        <f>SUM(N26,D26)</f>
        <v>40416</v>
      </c>
      <c r="P26" s="89"/>
      <c r="Q26" s="86">
        <f>ROUND(+'Exhibit No.__(JAP-Prof-Prop)'!N37*1,0)</f>
        <v>36598</v>
      </c>
      <c r="R26" s="86">
        <f t="shared" si="20"/>
        <v>4258</v>
      </c>
      <c r="S26" s="86">
        <f>-E26</f>
        <v>1325</v>
      </c>
      <c r="T26" s="86">
        <f>-K26</f>
        <v>-201</v>
      </c>
      <c r="U26" s="86">
        <f>-L26</f>
        <v>-2928</v>
      </c>
      <c r="V26" s="86">
        <f>+'Sch 142 Deferral &amp; K-Factor'!I29</f>
        <v>758</v>
      </c>
      <c r="W26" s="86">
        <f t="shared" si="21"/>
        <v>-1046</v>
      </c>
      <c r="X26" s="86">
        <f t="shared" si="22"/>
        <v>39810</v>
      </c>
      <c r="Y26" s="86">
        <f>+Q26-D26</f>
        <v>440</v>
      </c>
      <c r="Z26" s="86">
        <f t="shared" si="23"/>
        <v>-606</v>
      </c>
      <c r="AA26" s="11">
        <f>+Y26/D26</f>
        <v>1.2168814646827812E-2</v>
      </c>
      <c r="AB26" s="11">
        <f>+Z26/O26</f>
        <v>-1.4994061757719715E-2</v>
      </c>
      <c r="AC26" s="11"/>
      <c r="AD26" s="11"/>
      <c r="AE26" s="11"/>
      <c r="AF26" s="11"/>
      <c r="AH26" s="335"/>
    </row>
    <row r="27" spans="1:34">
      <c r="A27" s="3">
        <f t="shared" si="3"/>
        <v>19</v>
      </c>
      <c r="B27" s="3" t="s">
        <v>20</v>
      </c>
      <c r="C27" s="13">
        <f>SUM(C25:C26)</f>
        <v>632259</v>
      </c>
      <c r="D27" s="87">
        <f>SUM(D25:D26)</f>
        <v>40360</v>
      </c>
      <c r="E27" s="87">
        <f t="shared" ref="E27:I27" si="24">SUM(E25:E26)</f>
        <v>-1497</v>
      </c>
      <c r="F27" s="87">
        <f t="shared" si="24"/>
        <v>-1224</v>
      </c>
      <c r="G27" s="87">
        <f>SUM(G25:G26)</f>
        <v>2701</v>
      </c>
      <c r="H27" s="87">
        <f t="shared" si="24"/>
        <v>365</v>
      </c>
      <c r="I27" s="87">
        <f t="shared" si="24"/>
        <v>-69</v>
      </c>
      <c r="J27" s="87">
        <f>SUM(J25:J26)</f>
        <v>927</v>
      </c>
      <c r="K27" s="87">
        <f t="shared" ref="K27:L27" si="25">SUM(K25:K26)</f>
        <v>221</v>
      </c>
      <c r="L27" s="87">
        <f t="shared" si="25"/>
        <v>3260</v>
      </c>
      <c r="M27" s="87">
        <f t="shared" ref="M27:X27" si="26">SUM(M25:M26)</f>
        <v>0</v>
      </c>
      <c r="N27" s="87">
        <f t="shared" ref="N27" si="27">SUM(N25:N26)</f>
        <v>4684</v>
      </c>
      <c r="O27" s="87">
        <f t="shared" si="26"/>
        <v>45044</v>
      </c>
      <c r="P27" s="89"/>
      <c r="Q27" s="87">
        <f>SUM(Q25:Q26)</f>
        <v>40854</v>
      </c>
      <c r="R27" s="87">
        <f t="shared" ref="R27" si="28">SUM(R25:R26)</f>
        <v>4684</v>
      </c>
      <c r="S27" s="87">
        <f t="shared" si="26"/>
        <v>1497</v>
      </c>
      <c r="T27" s="87">
        <f t="shared" si="26"/>
        <v>-221</v>
      </c>
      <c r="U27" s="87">
        <f t="shared" si="26"/>
        <v>-3260</v>
      </c>
      <c r="V27" s="87">
        <f t="shared" si="26"/>
        <v>844</v>
      </c>
      <c r="W27" s="87">
        <f t="shared" ref="W27" si="29">SUM(W25:W26)</f>
        <v>-1140</v>
      </c>
      <c r="X27" s="87">
        <f t="shared" si="26"/>
        <v>44398</v>
      </c>
      <c r="Y27" s="87">
        <f t="shared" ref="Y27:Z27" si="30">SUM(Y25:Y26)</f>
        <v>494</v>
      </c>
      <c r="Z27" s="87">
        <f t="shared" si="30"/>
        <v>-646</v>
      </c>
      <c r="AA27" s="332">
        <f>+Y27/D27</f>
        <v>1.22398414271556E-2</v>
      </c>
      <c r="AB27" s="332">
        <f>+Z27/O27</f>
        <v>-1.4341532723559187E-2</v>
      </c>
      <c r="AC27" s="11"/>
      <c r="AD27" s="11"/>
      <c r="AE27" s="11"/>
      <c r="AF27" s="11"/>
      <c r="AH27" s="335"/>
    </row>
    <row r="28" spans="1:34">
      <c r="A28" s="3">
        <f t="shared" si="3"/>
        <v>20</v>
      </c>
      <c r="B28" s="3"/>
      <c r="C28" s="9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9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11"/>
      <c r="AB28" s="11"/>
      <c r="AH28" s="335"/>
    </row>
    <row r="29" spans="1:34">
      <c r="A29" s="3">
        <f t="shared" si="3"/>
        <v>21</v>
      </c>
      <c r="B29" s="3" t="s">
        <v>21</v>
      </c>
      <c r="C29" s="13">
        <f>ROUND(+'Exhibit No.__(JAP-Prof-Prop)'!J42*1,0)</f>
        <v>77972</v>
      </c>
      <c r="D29" s="87">
        <f>ROUND(+'Exhibit No.__(JAP-Prof-Prop)'!L42*1,0)</f>
        <v>17167</v>
      </c>
      <c r="E29" s="87">
        <f>+'Sch 95'!F32</f>
        <v>-241</v>
      </c>
      <c r="F29" s="87">
        <f>+'Sch 95a'!F32</f>
        <v>-198</v>
      </c>
      <c r="G29" s="87">
        <f>+'Sch 120'!F32</f>
        <v>489</v>
      </c>
      <c r="H29" s="87">
        <f>+'Sch 129'!F32</f>
        <v>169</v>
      </c>
      <c r="I29" s="87">
        <f>+'Sch 132'!F32</f>
        <v>-109</v>
      </c>
      <c r="J29" s="87">
        <f>+'Sch 140'!F32</f>
        <v>797</v>
      </c>
      <c r="K29" s="87">
        <f>+'Sch 141'!C29</f>
        <v>611</v>
      </c>
      <c r="L29" s="87">
        <f>+'Sch 142 Deferral &amp; K-Factor'!M32</f>
        <v>1738</v>
      </c>
      <c r="M29" s="87">
        <f>+'Sch 194'!F32</f>
        <v>-15</v>
      </c>
      <c r="N29" s="87">
        <f>SUM(E29:M29)</f>
        <v>3241</v>
      </c>
      <c r="O29" s="87">
        <f>SUM(N29,D29)</f>
        <v>20408</v>
      </c>
      <c r="P29" s="89"/>
      <c r="Q29" s="87">
        <f>ROUND(+'Exhibit No.__(JAP-Prof-Prop)'!N42*1,0)</f>
        <v>17488</v>
      </c>
      <c r="R29" s="87">
        <f>+N29</f>
        <v>3241</v>
      </c>
      <c r="S29" s="87">
        <f>-E29</f>
        <v>241</v>
      </c>
      <c r="T29" s="87">
        <f>-K29</f>
        <v>-611</v>
      </c>
      <c r="U29" s="87">
        <f>-L29</f>
        <v>-1738</v>
      </c>
      <c r="V29" s="87">
        <f>+'Sch 142 Deferral &amp; K-Factor'!I32</f>
        <v>0</v>
      </c>
      <c r="W29" s="87">
        <f>SUM(S29:V29)</f>
        <v>-2108</v>
      </c>
      <c r="X29" s="87">
        <f>SUM(Q29,R29,W29)</f>
        <v>18621</v>
      </c>
      <c r="Y29" s="87">
        <f>+Q29-D29</f>
        <v>321</v>
      </c>
      <c r="Z29" s="87">
        <f>+X29-O29</f>
        <v>-1787</v>
      </c>
      <c r="AA29" s="332">
        <f>+Y29/D29</f>
        <v>1.8698666045319508E-2</v>
      </c>
      <c r="AB29" s="332">
        <f>+Z29/O29</f>
        <v>-8.7563700509604075E-2</v>
      </c>
      <c r="AC29" s="11"/>
      <c r="AD29" s="11"/>
      <c r="AE29" s="11"/>
      <c r="AF29" s="11"/>
      <c r="AH29" s="335"/>
    </row>
    <row r="30" spans="1:34">
      <c r="A30" s="3">
        <f t="shared" si="3"/>
        <v>22</v>
      </c>
      <c r="B30" s="3"/>
      <c r="C30" s="9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9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11"/>
      <c r="AB30" s="11"/>
      <c r="AH30" s="335"/>
    </row>
    <row r="31" spans="1:34">
      <c r="A31" s="3">
        <f t="shared" si="3"/>
        <v>23</v>
      </c>
      <c r="B31" s="3" t="s">
        <v>22</v>
      </c>
      <c r="C31" s="13">
        <f>ROUND(+'Exhibit No.__(JAP-Prof-Prop)'!J40*1,0)</f>
        <v>2098104</v>
      </c>
      <c r="D31" s="87">
        <f>ROUND(+'Exhibit No.__(JAP-Prof-Prop)'!L40*1,0)</f>
        <v>7513</v>
      </c>
      <c r="E31" s="87">
        <f>+'Sch 95'!F34</f>
        <v>0</v>
      </c>
      <c r="F31" s="87">
        <f>+'Sch 95a'!F34</f>
        <v>0</v>
      </c>
      <c r="G31" s="87">
        <f>+'Sch 120'!F34</f>
        <v>2270</v>
      </c>
      <c r="H31" s="87">
        <f>+'Sch 129'!F34</f>
        <v>69</v>
      </c>
      <c r="I31" s="87">
        <f>+'Sch 132'!F34</f>
        <v>-59</v>
      </c>
      <c r="J31" s="87">
        <f>+'Sch 140'!F34</f>
        <v>627</v>
      </c>
      <c r="K31" s="87">
        <f>+'Sch 141'!C31</f>
        <v>209</v>
      </c>
      <c r="L31" s="87">
        <f>+'Sch 142 Deferral &amp; K-Factor'!M34</f>
        <v>179</v>
      </c>
      <c r="M31" s="87">
        <f>+'Sch 194'!F34</f>
        <v>0</v>
      </c>
      <c r="N31" s="87">
        <f>SUM(E31:M31)</f>
        <v>3295</v>
      </c>
      <c r="O31" s="87">
        <f>SUM(N31,D31)</f>
        <v>10808</v>
      </c>
      <c r="P31" s="89"/>
      <c r="Q31" s="87">
        <f>ROUND(+'Exhibit No.__(JAP-Prof-Prop)'!N40*1,0)</f>
        <v>7958</v>
      </c>
      <c r="R31" s="87">
        <f>+N31</f>
        <v>3295</v>
      </c>
      <c r="S31" s="87">
        <f>-E31</f>
        <v>0</v>
      </c>
      <c r="T31" s="87">
        <f>-K31</f>
        <v>-209</v>
      </c>
      <c r="U31" s="87">
        <f>-L31</f>
        <v>-179</v>
      </c>
      <c r="V31" s="87">
        <f>+'Sch 142 Deferral &amp; K-Factor'!I34</f>
        <v>0</v>
      </c>
      <c r="W31" s="87">
        <f>SUM(S31:V31)</f>
        <v>-388</v>
      </c>
      <c r="X31" s="87">
        <f>SUM(Q31,R31,W31)</f>
        <v>10865</v>
      </c>
      <c r="Y31" s="87">
        <f>+Q31-D31</f>
        <v>445</v>
      </c>
      <c r="Z31" s="87">
        <f>+X31-O31</f>
        <v>57</v>
      </c>
      <c r="AA31" s="332">
        <f>+Y31/D31</f>
        <v>5.9230666844136831E-2</v>
      </c>
      <c r="AB31" s="332">
        <f>+Z31/O31</f>
        <v>5.2738712065136936E-3</v>
      </c>
      <c r="AC31" s="11"/>
      <c r="AD31" s="11"/>
      <c r="AE31" s="11"/>
      <c r="AF31" s="11"/>
      <c r="AH31" s="335"/>
    </row>
    <row r="32" spans="1:34">
      <c r="A32" s="3">
        <f t="shared" si="3"/>
        <v>24</v>
      </c>
      <c r="B32" s="3"/>
      <c r="C32" s="9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9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11"/>
      <c r="AB32" s="11"/>
      <c r="AH32" s="335"/>
    </row>
    <row r="33" spans="1:34" ht="13.8" thickBot="1">
      <c r="A33" s="3">
        <f t="shared" si="3"/>
        <v>25</v>
      </c>
      <c r="B33" s="3" t="s">
        <v>23</v>
      </c>
      <c r="C33" s="14">
        <f t="shared" ref="C33:O33" si="31">SUM(C10,C16,C21,C23,C27,C29,C31)</f>
        <v>22814380</v>
      </c>
      <c r="D33" s="88">
        <f t="shared" si="31"/>
        <v>1963183.746</v>
      </c>
      <c r="E33" s="88">
        <f t="shared" si="31"/>
        <v>-65821</v>
      </c>
      <c r="F33" s="88">
        <f t="shared" si="31"/>
        <v>-47100</v>
      </c>
      <c r="G33" s="88">
        <f t="shared" si="31"/>
        <v>113325</v>
      </c>
      <c r="H33" s="88">
        <f t="shared" si="31"/>
        <v>17779</v>
      </c>
      <c r="I33" s="88">
        <f t="shared" si="31"/>
        <v>-6081</v>
      </c>
      <c r="J33" s="88">
        <f t="shared" si="31"/>
        <v>62620</v>
      </c>
      <c r="K33" s="88">
        <f t="shared" si="31"/>
        <v>29746</v>
      </c>
      <c r="L33" s="88">
        <f t="shared" si="31"/>
        <v>143380.334</v>
      </c>
      <c r="M33" s="88">
        <f t="shared" si="31"/>
        <v>-79091</v>
      </c>
      <c r="N33" s="88">
        <f t="shared" si="31"/>
        <v>168757.33399999997</v>
      </c>
      <c r="O33" s="88">
        <f t="shared" si="31"/>
        <v>2131941.08</v>
      </c>
      <c r="P33" s="89"/>
      <c r="Q33" s="88">
        <f t="shared" ref="Q33:Z33" si="32">SUM(Q10,Q16,Q21,Q23,Q27,Q29,Q31)</f>
        <v>1996286</v>
      </c>
      <c r="R33" s="88">
        <f t="shared" si="32"/>
        <v>168757.33399999997</v>
      </c>
      <c r="S33" s="88">
        <f t="shared" si="32"/>
        <v>65821</v>
      </c>
      <c r="T33" s="88">
        <f t="shared" si="32"/>
        <v>-29746</v>
      </c>
      <c r="U33" s="88">
        <f t="shared" si="32"/>
        <v>-143380.334</v>
      </c>
      <c r="V33" s="88">
        <f t="shared" si="32"/>
        <v>21075.112000000001</v>
      </c>
      <c r="W33" s="88">
        <f t="shared" ref="W33" si="33">SUM(W10,W16,W21,W23,W27,W29,W31)</f>
        <v>-86230.221999999994</v>
      </c>
      <c r="X33" s="88">
        <f t="shared" si="32"/>
        <v>2078813.112</v>
      </c>
      <c r="Y33" s="88">
        <f t="shared" ref="Y33" si="34">SUM(Y10,Y16,Y21,Y23,Y27,Y29,Y31)</f>
        <v>33102.254000000001</v>
      </c>
      <c r="Z33" s="88">
        <f t="shared" si="32"/>
        <v>-53127.967999999993</v>
      </c>
      <c r="AA33" s="333">
        <f>+Y33/D33</f>
        <v>1.6861515926589177E-2</v>
      </c>
      <c r="AB33" s="333">
        <f>+Z33/O33</f>
        <v>-2.4919998258113207E-2</v>
      </c>
      <c r="AC33" s="10"/>
      <c r="AD33" s="10"/>
      <c r="AE33" s="10"/>
      <c r="AF33" s="11"/>
      <c r="AH33" s="335"/>
    </row>
    <row r="34" spans="1:34" ht="13.8" thickTop="1">
      <c r="A34" s="3">
        <f t="shared" si="3"/>
        <v>26</v>
      </c>
      <c r="B34" s="3"/>
      <c r="C34" s="15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334"/>
      <c r="AB34" s="334"/>
      <c r="AC34" s="10"/>
      <c r="AD34" s="10"/>
      <c r="AE34" s="10"/>
      <c r="AF34" s="11"/>
      <c r="AH34" s="335"/>
    </row>
    <row r="35" spans="1:34">
      <c r="A35" s="3">
        <f t="shared" si="3"/>
        <v>27</v>
      </c>
      <c r="B35" s="3">
        <v>5</v>
      </c>
      <c r="C35" s="13">
        <f>ROUND('Exhibit No.__(JAP-Prof-Prop)'!J46*1,0)</f>
        <v>6930</v>
      </c>
      <c r="D35" s="87">
        <f>ROUND('Exhibit No.__(JAP-Prof-Prop)'!L46*1,0)</f>
        <v>316</v>
      </c>
      <c r="E35" s="87">
        <f>+'Sch 95'!F38</f>
        <v>-22</v>
      </c>
      <c r="F35" s="87">
        <f>+'Sch 95a'!F38</f>
        <v>-17</v>
      </c>
      <c r="G35" s="87">
        <f>+'Sch 120'!F38</f>
        <v>0</v>
      </c>
      <c r="H35" s="87">
        <f>+'Sch 129'!F38</f>
        <v>0</v>
      </c>
      <c r="I35" s="87">
        <f>+'Sch 132'!F38</f>
        <v>0</v>
      </c>
      <c r="J35" s="87">
        <f>+'Sch 140'!F38</f>
        <v>0</v>
      </c>
      <c r="K35" s="87">
        <f>+'Sch 141'!C35</f>
        <v>0</v>
      </c>
      <c r="L35" s="87">
        <f>+'Sch 142 Deferral &amp; K-Factor'!M38</f>
        <v>0</v>
      </c>
      <c r="M35" s="87">
        <f>+'Sch 194'!F38</f>
        <v>0</v>
      </c>
      <c r="N35" s="87">
        <f>SUM(E35:M35)</f>
        <v>-39</v>
      </c>
      <c r="O35" s="87">
        <f>SUM(N35,D35)</f>
        <v>277</v>
      </c>
      <c r="P35" s="89"/>
      <c r="Q35" s="87">
        <f>ROUND('Exhibit No.__(JAP-Prof-Prop)'!N46*1,0)</f>
        <v>684</v>
      </c>
      <c r="R35" s="87">
        <f>+N35</f>
        <v>-39</v>
      </c>
      <c r="S35" s="87">
        <f>-E35</f>
        <v>22</v>
      </c>
      <c r="T35" s="87">
        <f>-K35</f>
        <v>0</v>
      </c>
      <c r="U35" s="87">
        <f>-L35</f>
        <v>0</v>
      </c>
      <c r="V35" s="87">
        <f>+'Sch 142 Deferral &amp; K-Factor'!I38</f>
        <v>0</v>
      </c>
      <c r="W35" s="87">
        <f>SUM(S35:V35)</f>
        <v>22</v>
      </c>
      <c r="X35" s="87">
        <f>SUM(Q35,R35,W35)</f>
        <v>667</v>
      </c>
      <c r="Y35" s="87">
        <f>+Q35-D35</f>
        <v>368</v>
      </c>
      <c r="Z35" s="87">
        <f>+X35-O35</f>
        <v>390</v>
      </c>
      <c r="AA35" s="332">
        <f>+Y35/D35</f>
        <v>1.1645569620253164</v>
      </c>
      <c r="AB35" s="332">
        <f>+Z35/O35</f>
        <v>1.407942238267148</v>
      </c>
      <c r="AC35" s="10"/>
      <c r="AD35" s="10"/>
      <c r="AE35" s="10"/>
      <c r="AF35" s="11"/>
      <c r="AH35" s="335"/>
    </row>
    <row r="36" spans="1:34">
      <c r="A36" s="3">
        <f t="shared" si="3"/>
        <v>28</v>
      </c>
      <c r="B36" s="3"/>
      <c r="C36" s="15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334"/>
      <c r="AB36" s="334"/>
      <c r="AC36" s="10"/>
      <c r="AD36" s="10"/>
      <c r="AE36" s="10"/>
      <c r="AF36" s="11"/>
      <c r="AH36" s="335"/>
    </row>
    <row r="37" spans="1:34" ht="13.8" thickBot="1">
      <c r="A37" s="3">
        <f t="shared" si="3"/>
        <v>29</v>
      </c>
      <c r="B37" s="3" t="s">
        <v>24</v>
      </c>
      <c r="C37" s="14">
        <f>+C35+C33</f>
        <v>22821310</v>
      </c>
      <c r="D37" s="88">
        <f>+D35+D33</f>
        <v>1963499.746</v>
      </c>
      <c r="E37" s="88">
        <f t="shared" ref="E37:I37" si="35">+E35+E33</f>
        <v>-65843</v>
      </c>
      <c r="F37" s="88">
        <f t="shared" si="35"/>
        <v>-47117</v>
      </c>
      <c r="G37" s="88">
        <f>+G35+G33</f>
        <v>113325</v>
      </c>
      <c r="H37" s="88">
        <f t="shared" si="35"/>
        <v>17779</v>
      </c>
      <c r="I37" s="88">
        <f t="shared" si="35"/>
        <v>-6081</v>
      </c>
      <c r="J37" s="88">
        <f>+J35+J33</f>
        <v>62620</v>
      </c>
      <c r="K37" s="88">
        <f t="shared" ref="K37:L37" si="36">+K35+K33</f>
        <v>29746</v>
      </c>
      <c r="L37" s="88">
        <f t="shared" si="36"/>
        <v>143380.334</v>
      </c>
      <c r="M37" s="88">
        <f t="shared" ref="M37:X37" si="37">+M35+M33</f>
        <v>-79091</v>
      </c>
      <c r="N37" s="88">
        <f t="shared" ref="N37" si="38">+N35+N33</f>
        <v>168718.33399999997</v>
      </c>
      <c r="O37" s="88">
        <f t="shared" si="37"/>
        <v>2132218.08</v>
      </c>
      <c r="P37" s="89"/>
      <c r="Q37" s="88">
        <f>+Q35+Q33</f>
        <v>1996970</v>
      </c>
      <c r="R37" s="88">
        <f t="shared" ref="R37" si="39">+R35+R33</f>
        <v>168718.33399999997</v>
      </c>
      <c r="S37" s="88">
        <f t="shared" si="37"/>
        <v>65843</v>
      </c>
      <c r="T37" s="88">
        <f t="shared" si="37"/>
        <v>-29746</v>
      </c>
      <c r="U37" s="88">
        <f t="shared" si="37"/>
        <v>-143380.334</v>
      </c>
      <c r="V37" s="88">
        <f t="shared" si="37"/>
        <v>21075.112000000001</v>
      </c>
      <c r="W37" s="88">
        <f t="shared" ref="W37" si="40">+W35+W33</f>
        <v>-86208.221999999994</v>
      </c>
      <c r="X37" s="88">
        <f t="shared" si="37"/>
        <v>2079480.112</v>
      </c>
      <c r="Y37" s="88">
        <f t="shared" ref="Y37:Z37" si="41">+Y35+Y33</f>
        <v>33470.254000000001</v>
      </c>
      <c r="Z37" s="88">
        <f t="shared" si="41"/>
        <v>-52737.967999999993</v>
      </c>
      <c r="AA37" s="333">
        <f>+Y37/D37</f>
        <v>1.7046222729687074E-2</v>
      </c>
      <c r="AB37" s="333">
        <f>+Z37/O37</f>
        <v>-2.4733852739866079E-2</v>
      </c>
      <c r="AC37" s="10"/>
      <c r="AD37" s="10"/>
      <c r="AE37" s="10"/>
      <c r="AF37" s="11"/>
      <c r="AH37" s="335"/>
    </row>
    <row r="38" spans="1:34" ht="13.8" thickTop="1"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9"/>
      <c r="Q38" s="86"/>
      <c r="R38" s="86"/>
      <c r="S38" s="86"/>
      <c r="T38" s="86"/>
      <c r="U38" s="86"/>
      <c r="V38" s="86"/>
      <c r="W38" s="86"/>
      <c r="X38" s="86"/>
      <c r="Y38" s="86"/>
      <c r="Z38" s="86"/>
      <c r="AH38" s="335"/>
    </row>
    <row r="39" spans="1:34">
      <c r="C39" s="551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H39" s="335"/>
    </row>
    <row r="40" spans="1:34">
      <c r="C40" s="551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X40" s="86"/>
      <c r="Y40" s="86"/>
      <c r="Z40" s="86"/>
      <c r="AA40" s="86"/>
      <c r="AH40" s="335"/>
    </row>
    <row r="41" spans="1:34">
      <c r="AH41" s="335"/>
    </row>
  </sheetData>
  <mergeCells count="5">
    <mergeCell ref="S6:U6"/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5" max="36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36"/>
  <sheetViews>
    <sheetView workbookViewId="0">
      <selection activeCell="O13" sqref="O13"/>
    </sheetView>
  </sheetViews>
  <sheetFormatPr defaultRowHeight="13.2"/>
  <cols>
    <col min="1" max="1" width="7.6640625" style="1" bestFit="1" customWidth="1"/>
    <col min="2" max="2" width="33.77734375" style="1" bestFit="1" customWidth="1"/>
    <col min="3" max="3" width="10.109375" style="1" bestFit="1" customWidth="1"/>
    <col min="4" max="4" width="14.77734375" style="1" bestFit="1" customWidth="1"/>
    <col min="5" max="5" width="13.77734375" style="1" bestFit="1" customWidth="1"/>
    <col min="6" max="7" width="10.77734375" style="1" bestFit="1" customWidth="1"/>
    <col min="8" max="8" width="11.88671875" style="1" bestFit="1" customWidth="1"/>
    <col min="9" max="9" width="8.44140625" style="1" bestFit="1" customWidth="1"/>
    <col min="10" max="16384" width="8.88671875" style="1"/>
  </cols>
  <sheetData>
    <row r="1" spans="1:9">
      <c r="A1" s="635" t="s">
        <v>0</v>
      </c>
      <c r="B1" s="635">
        <v>0</v>
      </c>
      <c r="C1" s="635">
        <v>0</v>
      </c>
      <c r="D1" s="635">
        <v>0</v>
      </c>
      <c r="E1" s="635">
        <v>0</v>
      </c>
      <c r="F1" s="635">
        <v>0</v>
      </c>
      <c r="G1" s="635">
        <v>0</v>
      </c>
      <c r="H1" s="635">
        <v>0</v>
      </c>
      <c r="I1" s="635">
        <v>0</v>
      </c>
    </row>
    <row r="2" spans="1:9">
      <c r="A2" s="635" t="s">
        <v>170</v>
      </c>
      <c r="B2" s="635">
        <v>0</v>
      </c>
      <c r="C2" s="635">
        <v>0</v>
      </c>
      <c r="D2" s="635">
        <v>0</v>
      </c>
      <c r="E2" s="635">
        <v>0</v>
      </c>
      <c r="F2" s="635">
        <v>0</v>
      </c>
      <c r="G2" s="635">
        <v>0</v>
      </c>
      <c r="H2" s="635">
        <v>0</v>
      </c>
      <c r="I2" s="635">
        <v>0</v>
      </c>
    </row>
    <row r="3" spans="1:9">
      <c r="A3" s="636" t="s">
        <v>707</v>
      </c>
      <c r="B3" s="635">
        <v>0</v>
      </c>
      <c r="C3" s="635">
        <v>0</v>
      </c>
      <c r="D3" s="635">
        <v>0</v>
      </c>
      <c r="E3" s="635">
        <v>0</v>
      </c>
      <c r="F3" s="635">
        <v>0</v>
      </c>
      <c r="G3" s="635">
        <v>0</v>
      </c>
      <c r="H3" s="635">
        <v>0</v>
      </c>
      <c r="I3" s="635">
        <v>0</v>
      </c>
    </row>
    <row r="4" spans="1:9">
      <c r="A4" s="339"/>
      <c r="B4" s="103"/>
      <c r="C4" s="103"/>
      <c r="D4" s="103"/>
      <c r="E4" s="103"/>
      <c r="F4" s="339"/>
      <c r="G4" s="339"/>
      <c r="H4" s="339"/>
      <c r="I4" s="339"/>
    </row>
    <row r="5" spans="1:9" ht="79.2">
      <c r="A5" s="104" t="s">
        <v>3</v>
      </c>
      <c r="B5" s="104" t="s">
        <v>171</v>
      </c>
      <c r="C5" s="104" t="s">
        <v>150</v>
      </c>
      <c r="D5" s="105" t="s">
        <v>708</v>
      </c>
      <c r="E5" s="105" t="s">
        <v>709</v>
      </c>
      <c r="F5" s="105" t="s">
        <v>710</v>
      </c>
      <c r="G5" s="105" t="s">
        <v>711</v>
      </c>
      <c r="H5" s="105" t="s">
        <v>172</v>
      </c>
      <c r="I5" s="105" t="s">
        <v>173</v>
      </c>
    </row>
    <row r="6" spans="1:9" ht="39.6">
      <c r="A6" s="106"/>
      <c r="B6" s="107" t="s">
        <v>174</v>
      </c>
      <c r="C6" s="108" t="s">
        <v>175</v>
      </c>
      <c r="D6" s="108" t="s">
        <v>176</v>
      </c>
      <c r="E6" s="108" t="s">
        <v>177</v>
      </c>
      <c r="F6" s="109" t="s">
        <v>178</v>
      </c>
      <c r="G6" s="109" t="s">
        <v>179</v>
      </c>
      <c r="H6" s="108" t="s">
        <v>180</v>
      </c>
      <c r="I6" s="108" t="s">
        <v>181</v>
      </c>
    </row>
    <row r="7" spans="1:9">
      <c r="A7" s="110">
        <v>1</v>
      </c>
      <c r="B7" s="111" t="s">
        <v>16</v>
      </c>
      <c r="C7" s="106"/>
      <c r="D7" s="106"/>
      <c r="E7" s="112"/>
      <c r="F7" s="110"/>
      <c r="G7" s="110"/>
      <c r="H7" s="112"/>
      <c r="I7" s="112"/>
    </row>
    <row r="8" spans="1:9">
      <c r="A8" s="110">
        <v>2</v>
      </c>
      <c r="B8" s="113" t="s">
        <v>16</v>
      </c>
      <c r="C8" s="558">
        <v>7</v>
      </c>
      <c r="D8" s="115">
        <v>10637302000</v>
      </c>
      <c r="E8" s="115">
        <v>1137477000</v>
      </c>
      <c r="F8" s="117">
        <v>3.6039999999999996E-3</v>
      </c>
      <c r="G8" s="117">
        <v>3.408E-3</v>
      </c>
      <c r="H8" s="116">
        <v>-2084911.1919999954</v>
      </c>
      <c r="I8" s="118">
        <v>-1.7731643627950508E-3</v>
      </c>
    </row>
    <row r="9" spans="1:9">
      <c r="A9" s="110">
        <v>3</v>
      </c>
      <c r="B9" s="119" t="s">
        <v>182</v>
      </c>
      <c r="C9" s="339"/>
      <c r="D9" s="120">
        <v>10637302000</v>
      </c>
      <c r="E9" s="120">
        <v>1137477000</v>
      </c>
      <c r="F9" s="122">
        <v>3.6039999999999996E-3</v>
      </c>
      <c r="G9" s="122">
        <v>3.408E-3</v>
      </c>
      <c r="H9" s="121">
        <v>-2084911.1919999954</v>
      </c>
      <c r="I9" s="123">
        <v>-1.7731643627950508E-3</v>
      </c>
    </row>
    <row r="10" spans="1:9">
      <c r="A10" s="110">
        <v>4</v>
      </c>
      <c r="B10" s="339"/>
      <c r="C10" s="339"/>
      <c r="D10" s="124"/>
      <c r="E10" s="124"/>
      <c r="F10" s="126"/>
      <c r="G10" s="126"/>
      <c r="H10" s="125"/>
      <c r="I10" s="127"/>
    </row>
    <row r="11" spans="1:9">
      <c r="A11" s="110">
        <v>5</v>
      </c>
      <c r="B11" s="339" t="s">
        <v>183</v>
      </c>
      <c r="C11" s="339"/>
      <c r="D11" s="124"/>
      <c r="E11" s="124"/>
      <c r="F11" s="126"/>
      <c r="G11" s="126"/>
      <c r="H11" s="125"/>
      <c r="I11" s="127"/>
    </row>
    <row r="12" spans="1:9">
      <c r="A12" s="110">
        <v>6</v>
      </c>
      <c r="B12" s="128" t="s">
        <v>184</v>
      </c>
      <c r="C12" s="559" t="s">
        <v>163</v>
      </c>
      <c r="D12" s="124">
        <v>3012037000</v>
      </c>
      <c r="E12" s="124">
        <v>313848000</v>
      </c>
      <c r="F12" s="117">
        <v>2.5469999999999998E-3</v>
      </c>
      <c r="G12" s="117">
        <v>2.5799999999999998E-3</v>
      </c>
      <c r="H12" s="125">
        <v>99397.221000000136</v>
      </c>
      <c r="I12" s="127">
        <v>3.0914819188478272E-4</v>
      </c>
    </row>
    <row r="13" spans="1:9">
      <c r="A13" s="110">
        <v>7</v>
      </c>
      <c r="B13" s="128" t="s">
        <v>185</v>
      </c>
      <c r="C13" s="559" t="s">
        <v>186</v>
      </c>
      <c r="D13" s="124">
        <v>2993580000</v>
      </c>
      <c r="E13" s="124">
        <v>288969000</v>
      </c>
      <c r="F13" s="117">
        <v>2.3180000000000002E-3</v>
      </c>
      <c r="G13" s="117">
        <v>2.421E-3</v>
      </c>
      <c r="H13" s="125">
        <v>308338.73999999941</v>
      </c>
      <c r="I13" s="127">
        <v>1.0420083829586443E-3</v>
      </c>
    </row>
    <row r="14" spans="1:9">
      <c r="A14" s="110">
        <v>8</v>
      </c>
      <c r="B14" s="128" t="s">
        <v>187</v>
      </c>
      <c r="C14" s="559" t="s">
        <v>258</v>
      </c>
      <c r="D14" s="124">
        <v>1913788000</v>
      </c>
      <c r="E14" s="124">
        <v>167599000</v>
      </c>
      <c r="F14" s="117">
        <v>2.2060000000000001E-3</v>
      </c>
      <c r="G14" s="117">
        <v>2.2239999999999998E-3</v>
      </c>
      <c r="H14" s="125">
        <v>34448.183999999594</v>
      </c>
      <c r="I14" s="127">
        <v>2.0048900206735834E-4</v>
      </c>
    </row>
    <row r="15" spans="1:9">
      <c r="A15" s="110">
        <v>9</v>
      </c>
      <c r="B15" s="113" t="s">
        <v>188</v>
      </c>
      <c r="C15" s="558">
        <v>29</v>
      </c>
      <c r="D15" s="124">
        <v>16193000</v>
      </c>
      <c r="E15" s="124">
        <v>1272000</v>
      </c>
      <c r="F15" s="117">
        <v>2.3180000000000002E-3</v>
      </c>
      <c r="G15" s="117">
        <v>2.421E-3</v>
      </c>
      <c r="H15" s="125">
        <v>1667.8789999999967</v>
      </c>
      <c r="I15" s="127">
        <v>1.2736418069451835E-3</v>
      </c>
    </row>
    <row r="16" spans="1:9">
      <c r="A16" s="110">
        <v>10</v>
      </c>
      <c r="B16" s="130" t="s">
        <v>18</v>
      </c>
      <c r="C16" s="339"/>
      <c r="D16" s="120">
        <v>7935598000</v>
      </c>
      <c r="E16" s="120">
        <v>771688000</v>
      </c>
      <c r="F16" s="122">
        <v>2.3779088080066557E-3</v>
      </c>
      <c r="G16" s="122">
        <v>2.4338405757196872E-3</v>
      </c>
      <c r="H16" s="121">
        <v>443852.02399999916</v>
      </c>
      <c r="I16" s="123">
        <v>5.6144135145251453E-4</v>
      </c>
    </row>
    <row r="17" spans="1:9">
      <c r="A17" s="110">
        <v>11</v>
      </c>
      <c r="B17" s="339"/>
      <c r="C17" s="339"/>
      <c r="D17" s="124"/>
      <c r="E17" s="124"/>
      <c r="F17" s="126"/>
      <c r="G17" s="126"/>
      <c r="H17" s="125"/>
      <c r="I17" s="127"/>
    </row>
    <row r="18" spans="1:9">
      <c r="A18" s="110">
        <v>12</v>
      </c>
      <c r="B18" s="339" t="s">
        <v>189</v>
      </c>
      <c r="C18" s="339"/>
      <c r="D18" s="124"/>
      <c r="E18" s="124"/>
      <c r="F18" s="126"/>
      <c r="G18" s="126"/>
      <c r="H18" s="125"/>
      <c r="I18" s="127"/>
    </row>
    <row r="19" spans="1:9">
      <c r="A19" s="110">
        <v>13</v>
      </c>
      <c r="B19" s="128" t="s">
        <v>190</v>
      </c>
      <c r="C19" s="559" t="s">
        <v>166</v>
      </c>
      <c r="D19" s="124">
        <v>1316672000</v>
      </c>
      <c r="E19" s="124">
        <v>113411000</v>
      </c>
      <c r="F19" s="117">
        <v>2.1980000000000003E-3</v>
      </c>
      <c r="G19" s="126">
        <v>2.2130000000000001E-3</v>
      </c>
      <c r="H19" s="125">
        <v>19750.079999999765</v>
      </c>
      <c r="I19" s="127">
        <v>1.6981275395654808E-4</v>
      </c>
    </row>
    <row r="20" spans="1:9">
      <c r="A20" s="110">
        <v>14</v>
      </c>
      <c r="B20" s="113" t="s">
        <v>188</v>
      </c>
      <c r="C20" s="558">
        <v>35</v>
      </c>
      <c r="D20" s="124">
        <v>5161000</v>
      </c>
      <c r="E20" s="124">
        <v>285000</v>
      </c>
      <c r="F20" s="117">
        <v>2.1980000000000003E-3</v>
      </c>
      <c r="G20" s="126">
        <v>2.2130000000000001E-3</v>
      </c>
      <c r="H20" s="125">
        <v>77.414999999999083</v>
      </c>
      <c r="I20" s="127">
        <v>2.6123367394145753E-4</v>
      </c>
    </row>
    <row r="21" spans="1:9">
      <c r="A21" s="110">
        <v>15</v>
      </c>
      <c r="B21" s="113" t="s">
        <v>191</v>
      </c>
      <c r="C21" s="558">
        <v>43</v>
      </c>
      <c r="D21" s="124">
        <v>123190000</v>
      </c>
      <c r="E21" s="124">
        <v>11739000</v>
      </c>
      <c r="F21" s="117">
        <v>3.7650000000000001E-3</v>
      </c>
      <c r="G21" s="126">
        <v>3.2399999999999998E-3</v>
      </c>
      <c r="H21" s="125">
        <v>-64674.750000000036</v>
      </c>
      <c r="I21" s="127">
        <v>-5.2999881293738236E-3</v>
      </c>
    </row>
    <row r="22" spans="1:9">
      <c r="A22" s="110">
        <v>16</v>
      </c>
      <c r="B22" s="119" t="s">
        <v>19</v>
      </c>
      <c r="C22" s="339"/>
      <c r="D22" s="120">
        <v>1445023000</v>
      </c>
      <c r="E22" s="120">
        <v>125435000</v>
      </c>
      <c r="F22" s="122">
        <v>2.3315886902838226E-3</v>
      </c>
      <c r="G22" s="122">
        <v>2.3005530216474064E-3</v>
      </c>
      <c r="H22" s="121">
        <v>-44847.255000000267</v>
      </c>
      <c r="I22" s="123">
        <v>-3.4818162178949373E-4</v>
      </c>
    </row>
    <row r="23" spans="1:9">
      <c r="A23" s="110">
        <v>17</v>
      </c>
      <c r="B23" s="339"/>
      <c r="C23" s="339"/>
      <c r="D23" s="124"/>
      <c r="E23" s="124"/>
      <c r="F23" s="126"/>
      <c r="G23" s="126"/>
      <c r="H23" s="125"/>
      <c r="I23" s="127"/>
    </row>
    <row r="24" spans="1:9">
      <c r="A24" s="110">
        <v>18</v>
      </c>
      <c r="B24" s="339" t="s">
        <v>80</v>
      </c>
      <c r="C24" s="558">
        <v>40</v>
      </c>
      <c r="D24" s="120">
        <v>679072000</v>
      </c>
      <c r="E24" s="120">
        <v>54431000</v>
      </c>
      <c r="F24" s="122">
        <v>2.3499999999999997E-3</v>
      </c>
      <c r="G24" s="122">
        <v>2.0669999999999998E-3</v>
      </c>
      <c r="H24" s="121">
        <v>-192177.37599999987</v>
      </c>
      <c r="I24" s="123">
        <v>-3.4300961351023808E-3</v>
      </c>
    </row>
    <row r="25" spans="1:9">
      <c r="A25" s="110">
        <v>19</v>
      </c>
      <c r="B25" s="339"/>
      <c r="C25" s="339"/>
      <c r="D25" s="124"/>
      <c r="E25" s="124"/>
      <c r="F25" s="126"/>
      <c r="G25" s="126"/>
      <c r="H25" s="125"/>
      <c r="I25" s="127"/>
    </row>
    <row r="26" spans="1:9">
      <c r="A26" s="110">
        <v>20</v>
      </c>
      <c r="B26" s="339" t="s">
        <v>192</v>
      </c>
      <c r="C26" s="339"/>
      <c r="D26" s="124"/>
      <c r="E26" s="124"/>
      <c r="F26" s="126"/>
      <c r="G26" s="126"/>
      <c r="H26" s="125"/>
      <c r="I26" s="127"/>
    </row>
    <row r="27" spans="1:9">
      <c r="A27" s="110">
        <v>21</v>
      </c>
      <c r="B27" s="128" t="s">
        <v>193</v>
      </c>
      <c r="C27" s="558">
        <v>46</v>
      </c>
      <c r="D27" s="124">
        <v>72776000</v>
      </c>
      <c r="E27" s="124">
        <v>5262000</v>
      </c>
      <c r="F27" s="126">
        <v>1.4659999999999999E-3</v>
      </c>
      <c r="G27" s="126">
        <v>1.621E-3</v>
      </c>
      <c r="H27" s="125">
        <v>11280.280000000013</v>
      </c>
      <c r="I27" s="127">
        <v>2.1011235155748314E-3</v>
      </c>
    </row>
    <row r="28" spans="1:9">
      <c r="A28" s="110">
        <v>22</v>
      </c>
      <c r="B28" s="128" t="s">
        <v>190</v>
      </c>
      <c r="C28" s="558">
        <v>49</v>
      </c>
      <c r="D28" s="124">
        <v>584007000</v>
      </c>
      <c r="E28" s="124">
        <v>41754000</v>
      </c>
      <c r="F28" s="126">
        <v>1.4659999999999999E-3</v>
      </c>
      <c r="G28" s="126">
        <v>1.621E-3</v>
      </c>
      <c r="H28" s="125">
        <v>90521.085000000108</v>
      </c>
      <c r="I28" s="127">
        <v>2.1244017199141514E-3</v>
      </c>
    </row>
    <row r="29" spans="1:9">
      <c r="A29" s="110">
        <v>23</v>
      </c>
      <c r="B29" s="130" t="s">
        <v>20</v>
      </c>
      <c r="C29" s="339"/>
      <c r="D29" s="120">
        <v>656783000</v>
      </c>
      <c r="E29" s="120">
        <v>47016000</v>
      </c>
      <c r="F29" s="122">
        <v>1.4659999999999999E-3</v>
      </c>
      <c r="G29" s="122">
        <v>1.621E-3</v>
      </c>
      <c r="H29" s="121">
        <v>101801.36500000012</v>
      </c>
      <c r="I29" s="123">
        <v>2.121796958235579E-3</v>
      </c>
    </row>
    <row r="30" spans="1:9">
      <c r="A30" s="110">
        <v>24</v>
      </c>
      <c r="B30" s="339"/>
      <c r="C30" s="339"/>
      <c r="D30" s="124"/>
      <c r="E30" s="124"/>
      <c r="F30" s="126"/>
      <c r="G30" s="126"/>
      <c r="H30" s="125"/>
      <c r="I30" s="127"/>
    </row>
    <row r="31" spans="1:9">
      <c r="A31" s="110">
        <v>25</v>
      </c>
      <c r="B31" s="339" t="s">
        <v>194</v>
      </c>
      <c r="C31" s="558" t="s">
        <v>21</v>
      </c>
      <c r="D31" s="120">
        <v>76506000</v>
      </c>
      <c r="E31" s="120">
        <v>19237000</v>
      </c>
      <c r="F31" s="122">
        <v>1.0231000000000001E-2</v>
      </c>
      <c r="G31" s="122">
        <v>9.1180000000000011E-3</v>
      </c>
      <c r="H31" s="121">
        <v>-85151.177999999956</v>
      </c>
      <c r="I31" s="123">
        <v>-4.2533623442871727E-3</v>
      </c>
    </row>
    <row r="32" spans="1:9">
      <c r="A32" s="110">
        <v>26</v>
      </c>
      <c r="B32" s="339"/>
      <c r="C32" s="339"/>
      <c r="D32" s="124"/>
      <c r="E32" s="124"/>
      <c r="F32" s="126"/>
      <c r="G32" s="126"/>
      <c r="H32" s="125"/>
      <c r="I32" s="127"/>
    </row>
    <row r="33" spans="1:9">
      <c r="A33" s="110">
        <v>27</v>
      </c>
      <c r="B33" s="119" t="s">
        <v>195</v>
      </c>
      <c r="C33" s="558" t="s">
        <v>22</v>
      </c>
      <c r="D33" s="120">
        <v>2088697000</v>
      </c>
      <c r="E33" s="120">
        <v>10776000</v>
      </c>
      <c r="F33" s="122">
        <v>2.99E-4</v>
      </c>
      <c r="G33" s="122">
        <v>2.9E-5</v>
      </c>
      <c r="H33" s="121">
        <v>-563948.19000000006</v>
      </c>
      <c r="I33" s="123">
        <v>-4.9466881340925396E-2</v>
      </c>
    </row>
    <row r="34" spans="1:9">
      <c r="A34" s="110">
        <v>28</v>
      </c>
      <c r="B34" s="339"/>
      <c r="C34" s="339"/>
      <c r="D34" s="124"/>
      <c r="E34" s="124"/>
      <c r="F34" s="126"/>
      <c r="G34" s="126"/>
      <c r="H34" s="125"/>
      <c r="I34" s="127"/>
    </row>
    <row r="35" spans="1:9" ht="13.8" thickBot="1">
      <c r="A35" s="110">
        <v>29</v>
      </c>
      <c r="B35" s="130" t="s">
        <v>196</v>
      </c>
      <c r="C35" s="339"/>
      <c r="D35" s="135">
        <v>23518981000</v>
      </c>
      <c r="E35" s="135">
        <v>2166060000</v>
      </c>
      <c r="F35" s="137">
        <v>2.7442549675090085E-3</v>
      </c>
      <c r="G35" s="137">
        <v>2.6411305250852489E-3</v>
      </c>
      <c r="H35" s="136">
        <v>-2425381.8019999964</v>
      </c>
      <c r="I35" s="138">
        <v>-1.0873215905553065E-3</v>
      </c>
    </row>
    <row r="36" spans="1:9" ht="13.8" thickTop="1"/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43"/>
  <sheetViews>
    <sheetView workbookViewId="0">
      <selection activeCell="D9" sqref="D9:L42"/>
    </sheetView>
  </sheetViews>
  <sheetFormatPr defaultRowHeight="13.2"/>
  <cols>
    <col min="1" max="1" width="7.77734375" style="1" bestFit="1" customWidth="1"/>
    <col min="2" max="2" width="7.6640625" style="1" bestFit="1" customWidth="1"/>
    <col min="3" max="3" width="21" style="1" bestFit="1" customWidth="1"/>
    <col min="4" max="4" width="15.109375" style="1" bestFit="1" customWidth="1"/>
    <col min="5" max="5" width="10.44140625" style="1" bestFit="1" customWidth="1"/>
    <col min="6" max="6" width="15.109375" style="1" bestFit="1" customWidth="1"/>
    <col min="7" max="7" width="2" style="1" bestFit="1" customWidth="1"/>
    <col min="8" max="8" width="10.88671875" style="1" bestFit="1" customWidth="1"/>
    <col min="9" max="9" width="11.5546875" style="1" bestFit="1" customWidth="1"/>
    <col min="10" max="10" width="2" style="1" bestFit="1" customWidth="1"/>
    <col min="11" max="11" width="12.44140625" style="1" bestFit="1" customWidth="1"/>
    <col min="12" max="12" width="13.21875" style="1" bestFit="1" customWidth="1"/>
    <col min="13" max="16384" width="8.88671875" style="1"/>
  </cols>
  <sheetData>
    <row r="1" spans="1:12">
      <c r="A1" s="637" t="s">
        <v>0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</row>
    <row r="2" spans="1:12">
      <c r="A2" s="638" t="s">
        <v>694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</row>
    <row r="3" spans="1:12">
      <c r="A3" s="637" t="s">
        <v>695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</row>
    <row r="4" spans="1:12">
      <c r="A4" s="637" t="s">
        <v>696</v>
      </c>
      <c r="B4" s="637"/>
      <c r="C4" s="637"/>
      <c r="D4" s="637"/>
      <c r="E4" s="637"/>
      <c r="F4" s="637"/>
      <c r="G4" s="637"/>
      <c r="H4" s="637"/>
      <c r="I4" s="637"/>
      <c r="J4" s="637"/>
      <c r="K4" s="637"/>
      <c r="L4" s="637"/>
    </row>
    <row r="5" spans="1:12">
      <c r="A5" s="637"/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</row>
    <row r="6" spans="1:12">
      <c r="A6" s="565"/>
      <c r="B6" s="566"/>
      <c r="C6" s="566"/>
      <c r="D6" s="637" t="s">
        <v>697</v>
      </c>
      <c r="E6" s="637"/>
      <c r="F6" s="637"/>
      <c r="G6" s="567"/>
      <c r="H6" s="567"/>
      <c r="I6" s="567"/>
      <c r="J6" s="567"/>
      <c r="K6" s="567"/>
      <c r="L6" s="567"/>
    </row>
    <row r="7" spans="1:12" ht="52.8">
      <c r="A7" s="568" t="s">
        <v>3</v>
      </c>
      <c r="B7" s="568" t="s">
        <v>4</v>
      </c>
      <c r="C7" s="568" t="s">
        <v>45</v>
      </c>
      <c r="D7" s="569" t="s">
        <v>698</v>
      </c>
      <c r="E7" s="570" t="s">
        <v>699</v>
      </c>
      <c r="F7" s="571" t="s">
        <v>5</v>
      </c>
      <c r="G7" s="572"/>
      <c r="H7" s="569" t="s">
        <v>702</v>
      </c>
      <c r="I7" s="569" t="s">
        <v>675</v>
      </c>
      <c r="J7" s="572"/>
      <c r="K7" s="570" t="s">
        <v>703</v>
      </c>
      <c r="L7" s="570" t="s">
        <v>704</v>
      </c>
    </row>
    <row r="8" spans="1:12" ht="39.6">
      <c r="A8" s="568"/>
      <c r="B8" s="568"/>
      <c r="C8" s="568"/>
      <c r="D8" s="573" t="s">
        <v>174</v>
      </c>
      <c r="E8" s="574" t="s">
        <v>175</v>
      </c>
      <c r="F8" s="573" t="s">
        <v>176</v>
      </c>
      <c r="G8" s="573"/>
      <c r="H8" s="573" t="s">
        <v>177</v>
      </c>
      <c r="I8" s="572" t="s">
        <v>178</v>
      </c>
      <c r="J8" s="573"/>
      <c r="K8" s="573" t="s">
        <v>705</v>
      </c>
      <c r="L8" s="573" t="s">
        <v>706</v>
      </c>
    </row>
    <row r="9" spans="1:12">
      <c r="A9" s="566">
        <v>1</v>
      </c>
      <c r="B9" s="566">
        <v>7</v>
      </c>
      <c r="C9" s="567"/>
      <c r="D9" s="575">
        <v>10637302000</v>
      </c>
      <c r="E9" s="576"/>
      <c r="F9" s="577">
        <v>1159444000</v>
      </c>
      <c r="G9" s="572"/>
      <c r="H9" s="578">
        <v>1.201E-3</v>
      </c>
      <c r="I9" s="579">
        <v>-1.1280000000000001E-3</v>
      </c>
      <c r="J9" s="572"/>
      <c r="K9" s="580">
        <v>12775000</v>
      </c>
      <c r="L9" s="580">
        <v>-11999000</v>
      </c>
    </row>
    <row r="10" spans="1:12">
      <c r="A10" s="566">
        <v>2</v>
      </c>
      <c r="B10" s="565" t="s">
        <v>262</v>
      </c>
      <c r="C10" s="567"/>
      <c r="D10" s="575">
        <v>2067000</v>
      </c>
      <c r="E10" s="576"/>
      <c r="F10" s="577">
        <v>176000</v>
      </c>
      <c r="G10" s="572"/>
      <c r="H10" s="578">
        <v>1.335E-3</v>
      </c>
      <c r="I10" s="579">
        <v>1.524E-3</v>
      </c>
      <c r="J10" s="572"/>
      <c r="K10" s="580">
        <v>3000</v>
      </c>
      <c r="L10" s="580">
        <v>3000</v>
      </c>
    </row>
    <row r="11" spans="1:12">
      <c r="A11" s="566">
        <v>3</v>
      </c>
      <c r="B11" s="566"/>
      <c r="C11" s="567" t="s">
        <v>16</v>
      </c>
      <c r="D11" s="581">
        <v>10639369000</v>
      </c>
      <c r="E11" s="576"/>
      <c r="F11" s="582">
        <v>1159620000</v>
      </c>
      <c r="G11" s="572"/>
      <c r="H11" s="583"/>
      <c r="I11" s="583"/>
      <c r="J11" s="572"/>
      <c r="K11" s="582">
        <v>12778000</v>
      </c>
      <c r="L11" s="582">
        <v>-11996000</v>
      </c>
    </row>
    <row r="12" spans="1:12">
      <c r="A12" s="566">
        <v>4</v>
      </c>
      <c r="B12" s="566"/>
      <c r="C12" s="567"/>
      <c r="D12" s="576"/>
      <c r="E12" s="576"/>
      <c r="F12" s="580"/>
      <c r="G12" s="584"/>
      <c r="H12" s="583"/>
      <c r="I12" s="583"/>
      <c r="J12" s="584"/>
      <c r="K12" s="580"/>
      <c r="L12" s="580"/>
    </row>
    <row r="13" spans="1:12">
      <c r="A13" s="566">
        <v>5</v>
      </c>
      <c r="B13" s="565" t="s">
        <v>700</v>
      </c>
      <c r="C13" s="567"/>
      <c r="D13" s="575">
        <v>253017000</v>
      </c>
      <c r="E13" s="576"/>
      <c r="F13" s="577">
        <v>25376000</v>
      </c>
      <c r="G13" s="584"/>
      <c r="H13" s="578">
        <v>1.335E-3</v>
      </c>
      <c r="I13" s="579">
        <v>1.369E-3</v>
      </c>
      <c r="J13" s="584"/>
      <c r="K13" s="580">
        <v>338000</v>
      </c>
      <c r="L13" s="580">
        <v>346000</v>
      </c>
    </row>
    <row r="14" spans="1:12">
      <c r="A14" s="566">
        <v>6</v>
      </c>
      <c r="B14" s="566">
        <v>24</v>
      </c>
      <c r="C14" s="567"/>
      <c r="D14" s="575">
        <v>2759020000</v>
      </c>
      <c r="E14" s="576"/>
      <c r="F14" s="577">
        <v>276708000</v>
      </c>
      <c r="G14" s="584"/>
      <c r="H14" s="578">
        <v>1.335E-3</v>
      </c>
      <c r="I14" s="579">
        <v>1.369E-3</v>
      </c>
      <c r="J14" s="584"/>
      <c r="K14" s="580">
        <v>3683000</v>
      </c>
      <c r="L14" s="580">
        <v>3777000</v>
      </c>
    </row>
    <row r="15" spans="1:12">
      <c r="A15" s="566">
        <v>7</v>
      </c>
      <c r="B15" s="565">
        <v>11</v>
      </c>
      <c r="C15" s="567"/>
      <c r="D15" s="575">
        <v>151312000</v>
      </c>
      <c r="E15" s="576"/>
      <c r="F15" s="577">
        <v>14014000</v>
      </c>
      <c r="G15" s="584"/>
      <c r="H15" s="578">
        <v>1.335E-3</v>
      </c>
      <c r="I15" s="579">
        <v>1.524E-3</v>
      </c>
      <c r="J15" s="584"/>
      <c r="K15" s="580">
        <v>202000</v>
      </c>
      <c r="L15" s="580">
        <v>231000</v>
      </c>
    </row>
    <row r="16" spans="1:12">
      <c r="A16" s="566">
        <v>8</v>
      </c>
      <c r="B16" s="565">
        <v>25</v>
      </c>
      <c r="C16" s="567"/>
      <c r="D16" s="575">
        <v>2840201000</v>
      </c>
      <c r="E16" s="576"/>
      <c r="F16" s="577">
        <v>263057000</v>
      </c>
      <c r="G16" s="584"/>
      <c r="H16" s="578">
        <v>1.335E-3</v>
      </c>
      <c r="I16" s="579">
        <v>1.524E-3</v>
      </c>
      <c r="J16" s="584"/>
      <c r="K16" s="580">
        <v>3792000</v>
      </c>
      <c r="L16" s="580">
        <v>4328000</v>
      </c>
    </row>
    <row r="17" spans="1:12">
      <c r="A17" s="566">
        <v>9</v>
      </c>
      <c r="B17" s="566">
        <v>12</v>
      </c>
      <c r="C17" s="567"/>
      <c r="D17" s="575">
        <v>20054000</v>
      </c>
      <c r="E17" s="576"/>
      <c r="F17" s="577"/>
      <c r="G17" s="584"/>
      <c r="H17" s="578"/>
      <c r="I17" s="579">
        <v>3.0400000000000002E-4</v>
      </c>
      <c r="J17" s="584"/>
      <c r="K17" s="580">
        <v>0</v>
      </c>
      <c r="L17" s="580">
        <v>6000</v>
      </c>
    </row>
    <row r="18" spans="1:12">
      <c r="A18" s="566">
        <v>10</v>
      </c>
      <c r="B18" s="565" t="s">
        <v>701</v>
      </c>
      <c r="C18" s="567"/>
      <c r="D18" s="575">
        <v>1893734000</v>
      </c>
      <c r="E18" s="576"/>
      <c r="F18" s="577"/>
      <c r="G18" s="584"/>
      <c r="H18" s="578"/>
      <c r="I18" s="579">
        <v>3.0400000000000002E-4</v>
      </c>
      <c r="J18" s="584"/>
      <c r="K18" s="580">
        <v>0</v>
      </c>
      <c r="L18" s="580">
        <v>576000</v>
      </c>
    </row>
    <row r="19" spans="1:12">
      <c r="A19" s="566">
        <v>11</v>
      </c>
      <c r="B19" s="566">
        <v>12</v>
      </c>
      <c r="C19" s="567"/>
      <c r="D19" s="575"/>
      <c r="E19" s="576">
        <v>47459</v>
      </c>
      <c r="F19" s="577">
        <v>1701000</v>
      </c>
      <c r="G19" s="584"/>
      <c r="H19" s="585">
        <v>-0.17</v>
      </c>
      <c r="I19" s="586">
        <v>-0.09</v>
      </c>
      <c r="J19" s="584"/>
      <c r="K19" s="580">
        <v>-8000</v>
      </c>
      <c r="L19" s="580">
        <v>-4000</v>
      </c>
    </row>
    <row r="20" spans="1:12">
      <c r="A20" s="566">
        <v>12</v>
      </c>
      <c r="B20" s="565" t="s">
        <v>701</v>
      </c>
      <c r="C20" s="567"/>
      <c r="D20" s="575"/>
      <c r="E20" s="576">
        <v>4359242</v>
      </c>
      <c r="F20" s="577">
        <v>160642000</v>
      </c>
      <c r="G20" s="584"/>
      <c r="H20" s="585">
        <v>-0.17</v>
      </c>
      <c r="I20" s="586">
        <v>-0.09</v>
      </c>
      <c r="J20" s="584"/>
      <c r="K20" s="580">
        <v>-741000</v>
      </c>
      <c r="L20" s="580">
        <v>-392000</v>
      </c>
    </row>
    <row r="21" spans="1:12">
      <c r="A21" s="566">
        <v>13</v>
      </c>
      <c r="B21" s="566">
        <v>29</v>
      </c>
      <c r="C21" s="567"/>
      <c r="D21" s="575">
        <v>16193000</v>
      </c>
      <c r="E21" s="576"/>
      <c r="F21" s="577">
        <v>1323000</v>
      </c>
      <c r="G21" s="584"/>
      <c r="H21" s="578">
        <v>1.335E-3</v>
      </c>
      <c r="I21" s="579">
        <v>1.524E-3</v>
      </c>
      <c r="J21" s="584"/>
      <c r="K21" s="580">
        <v>22000</v>
      </c>
      <c r="L21" s="580">
        <v>25000</v>
      </c>
    </row>
    <row r="22" spans="1:12">
      <c r="A22" s="566">
        <v>14</v>
      </c>
      <c r="B22" s="566"/>
      <c r="C22" s="587" t="s">
        <v>18</v>
      </c>
      <c r="D22" s="581">
        <v>7933531000</v>
      </c>
      <c r="E22" s="581">
        <v>4406701</v>
      </c>
      <c r="F22" s="582">
        <v>742821000</v>
      </c>
      <c r="G22" s="584"/>
      <c r="H22" s="583"/>
      <c r="I22" s="583"/>
      <c r="J22" s="584"/>
      <c r="K22" s="582">
        <v>7288000</v>
      </c>
      <c r="L22" s="582">
        <v>8893000</v>
      </c>
    </row>
    <row r="23" spans="1:12">
      <c r="A23" s="566">
        <v>15</v>
      </c>
      <c r="B23" s="566"/>
      <c r="C23" s="567"/>
      <c r="D23" s="576"/>
      <c r="E23" s="576"/>
      <c r="F23" s="580"/>
      <c r="G23" s="584"/>
      <c r="H23" s="583"/>
      <c r="I23" s="583"/>
      <c r="J23" s="584"/>
      <c r="K23" s="580"/>
      <c r="L23" s="580"/>
    </row>
    <row r="24" spans="1:12">
      <c r="A24" s="566">
        <v>16</v>
      </c>
      <c r="B24" s="566">
        <v>10</v>
      </c>
      <c r="C24" s="567"/>
      <c r="D24" s="575">
        <v>30336000</v>
      </c>
      <c r="E24" s="576"/>
      <c r="F24" s="580"/>
      <c r="G24" s="584"/>
      <c r="H24" s="578"/>
      <c r="I24" s="579">
        <v>1.5300000000000001E-4</v>
      </c>
      <c r="J24" s="584"/>
      <c r="K24" s="580">
        <v>0</v>
      </c>
      <c r="L24" s="580">
        <v>5000</v>
      </c>
    </row>
    <row r="25" spans="1:12">
      <c r="A25" s="566">
        <v>17</v>
      </c>
      <c r="B25" s="566">
        <v>31</v>
      </c>
      <c r="C25" s="567"/>
      <c r="D25" s="575">
        <v>1286336000</v>
      </c>
      <c r="E25" s="576"/>
      <c r="F25" s="580"/>
      <c r="G25" s="584"/>
      <c r="H25" s="578"/>
      <c r="I25" s="579">
        <v>1.5300000000000001E-4</v>
      </c>
      <c r="J25" s="584"/>
      <c r="K25" s="580">
        <v>0</v>
      </c>
      <c r="L25" s="580">
        <v>197000</v>
      </c>
    </row>
    <row r="26" spans="1:12">
      <c r="A26" s="566">
        <v>18</v>
      </c>
      <c r="B26" s="566">
        <v>10</v>
      </c>
      <c r="C26" s="567"/>
      <c r="D26" s="588"/>
      <c r="E26" s="576">
        <v>65163</v>
      </c>
      <c r="F26" s="577">
        <v>2531000</v>
      </c>
      <c r="G26" s="584"/>
      <c r="H26" s="585">
        <v>-0.04</v>
      </c>
      <c r="I26" s="586">
        <v>-0.11</v>
      </c>
      <c r="J26" s="584"/>
      <c r="K26" s="580">
        <v>-3000</v>
      </c>
      <c r="L26" s="580">
        <v>-7000</v>
      </c>
    </row>
    <row r="27" spans="1:12">
      <c r="A27" s="566">
        <v>19</v>
      </c>
      <c r="B27" s="566">
        <v>31</v>
      </c>
      <c r="C27" s="567"/>
      <c r="D27" s="588"/>
      <c r="E27" s="576">
        <v>3173045</v>
      </c>
      <c r="F27" s="577">
        <v>107316000</v>
      </c>
      <c r="G27" s="584"/>
      <c r="H27" s="585">
        <v>-0.04</v>
      </c>
      <c r="I27" s="586">
        <v>-0.11</v>
      </c>
      <c r="J27" s="584"/>
      <c r="K27" s="580">
        <v>-127000</v>
      </c>
      <c r="L27" s="580">
        <v>-349000</v>
      </c>
    </row>
    <row r="28" spans="1:12">
      <c r="A28" s="566">
        <v>20</v>
      </c>
      <c r="B28" s="566">
        <v>35</v>
      </c>
      <c r="C28" s="567"/>
      <c r="D28" s="575">
        <v>5161000</v>
      </c>
      <c r="E28" s="576"/>
      <c r="F28" s="577">
        <v>306000</v>
      </c>
      <c r="G28" s="584"/>
      <c r="H28" s="578">
        <v>1.335E-3</v>
      </c>
      <c r="I28" s="579">
        <v>1.524E-3</v>
      </c>
      <c r="J28" s="584"/>
      <c r="K28" s="580">
        <v>7000</v>
      </c>
      <c r="L28" s="580">
        <v>8000</v>
      </c>
    </row>
    <row r="29" spans="1:12">
      <c r="A29" s="566">
        <v>21</v>
      </c>
      <c r="B29" s="566">
        <v>43</v>
      </c>
      <c r="C29" s="567"/>
      <c r="D29" s="575">
        <v>123190000</v>
      </c>
      <c r="E29" s="576"/>
      <c r="F29" s="577">
        <v>11211000</v>
      </c>
      <c r="G29" s="584"/>
      <c r="H29" s="578">
        <v>1.335E-3</v>
      </c>
      <c r="I29" s="579">
        <v>1.524E-3</v>
      </c>
      <c r="J29" s="584"/>
      <c r="K29" s="580">
        <v>164000</v>
      </c>
      <c r="L29" s="580">
        <v>188000</v>
      </c>
    </row>
    <row r="30" spans="1:12">
      <c r="A30" s="566">
        <v>22</v>
      </c>
      <c r="B30" s="566"/>
      <c r="C30" s="567" t="s">
        <v>19</v>
      </c>
      <c r="D30" s="581">
        <v>1445023000</v>
      </c>
      <c r="E30" s="581">
        <v>3238208</v>
      </c>
      <c r="F30" s="582">
        <v>121364000</v>
      </c>
      <c r="G30" s="584"/>
      <c r="H30" s="583"/>
      <c r="I30" s="583"/>
      <c r="J30" s="584"/>
      <c r="K30" s="582">
        <v>41000</v>
      </c>
      <c r="L30" s="582">
        <v>42000</v>
      </c>
    </row>
    <row r="31" spans="1:12">
      <c r="A31" s="566">
        <v>23</v>
      </c>
      <c r="B31" s="566"/>
      <c r="C31" s="567"/>
      <c r="D31" s="576"/>
      <c r="E31" s="576"/>
      <c r="F31" s="580"/>
      <c r="G31" s="584"/>
      <c r="H31" s="583"/>
      <c r="I31" s="583"/>
      <c r="J31" s="584"/>
      <c r="K31" s="580"/>
      <c r="L31" s="580"/>
    </row>
    <row r="32" spans="1:12">
      <c r="A32" s="566">
        <v>24</v>
      </c>
      <c r="B32" s="566">
        <v>40</v>
      </c>
      <c r="C32" s="567"/>
      <c r="D32" s="589">
        <v>679072000</v>
      </c>
      <c r="E32" s="576"/>
      <c r="F32" s="577">
        <v>51132000</v>
      </c>
      <c r="G32" s="584"/>
      <c r="H32" s="578">
        <v>1.335E-3</v>
      </c>
      <c r="I32" s="579">
        <v>1.9119999999999999E-3</v>
      </c>
      <c r="J32" s="584"/>
      <c r="K32" s="580">
        <v>907000</v>
      </c>
      <c r="L32" s="580">
        <v>1298000</v>
      </c>
    </row>
    <row r="33" spans="1:12">
      <c r="A33" s="566">
        <v>25</v>
      </c>
      <c r="B33" s="566">
        <v>0</v>
      </c>
      <c r="C33" s="567"/>
      <c r="D33" s="576"/>
      <c r="E33" s="576"/>
      <c r="F33" s="577"/>
      <c r="G33" s="584"/>
      <c r="H33" s="583"/>
      <c r="I33" s="583"/>
      <c r="J33" s="584"/>
      <c r="K33" s="580"/>
      <c r="L33" s="580"/>
    </row>
    <row r="34" spans="1:12">
      <c r="A34" s="566">
        <v>26</v>
      </c>
      <c r="B34" s="566">
        <v>46</v>
      </c>
      <c r="C34" s="567"/>
      <c r="D34" s="575">
        <v>72776000</v>
      </c>
      <c r="E34" s="576"/>
      <c r="F34" s="577">
        <v>4993000</v>
      </c>
      <c r="G34" s="584"/>
      <c r="H34" s="578">
        <v>1.335E-3</v>
      </c>
      <c r="I34" s="579">
        <v>1.418E-3</v>
      </c>
      <c r="J34" s="584"/>
      <c r="K34" s="580">
        <v>97000</v>
      </c>
      <c r="L34" s="580">
        <v>103000</v>
      </c>
    </row>
    <row r="35" spans="1:12">
      <c r="A35" s="566">
        <v>27</v>
      </c>
      <c r="B35" s="566">
        <v>49</v>
      </c>
      <c r="C35" s="567"/>
      <c r="D35" s="575">
        <v>584007000</v>
      </c>
      <c r="E35" s="576"/>
      <c r="F35" s="577">
        <v>39323000</v>
      </c>
      <c r="G35" s="584"/>
      <c r="H35" s="578">
        <v>1.335E-3</v>
      </c>
      <c r="I35" s="579">
        <v>1.418E-3</v>
      </c>
      <c r="J35" s="584"/>
      <c r="K35" s="580">
        <v>780000</v>
      </c>
      <c r="L35" s="580">
        <v>828000</v>
      </c>
    </row>
    <row r="36" spans="1:12">
      <c r="A36" s="566">
        <v>28</v>
      </c>
      <c r="B36" s="566"/>
      <c r="C36" s="567" t="s">
        <v>20</v>
      </c>
      <c r="D36" s="581">
        <v>656783000</v>
      </c>
      <c r="E36" s="576"/>
      <c r="F36" s="582">
        <v>44316000</v>
      </c>
      <c r="G36" s="584"/>
      <c r="H36" s="583"/>
      <c r="I36" s="583"/>
      <c r="J36" s="584"/>
      <c r="K36" s="582">
        <v>877000</v>
      </c>
      <c r="L36" s="582">
        <v>931000</v>
      </c>
    </row>
    <row r="37" spans="1:12">
      <c r="A37" s="566">
        <v>29</v>
      </c>
      <c r="B37" s="566"/>
      <c r="C37" s="567"/>
      <c r="D37" s="576"/>
      <c r="E37" s="576"/>
      <c r="F37" s="580"/>
      <c r="G37" s="584"/>
      <c r="H37" s="590"/>
      <c r="I37" s="590"/>
      <c r="J37" s="584"/>
      <c r="K37" s="580"/>
      <c r="L37" s="580"/>
    </row>
    <row r="38" spans="1:12">
      <c r="A38" s="566">
        <v>30</v>
      </c>
      <c r="B38" s="566" t="s">
        <v>21</v>
      </c>
      <c r="C38" s="567"/>
      <c r="D38" s="589">
        <v>76506000</v>
      </c>
      <c r="E38" s="576"/>
      <c r="F38" s="577">
        <v>18910000</v>
      </c>
      <c r="G38" s="584"/>
      <c r="H38" s="590"/>
      <c r="I38" s="590"/>
      <c r="J38" s="584"/>
      <c r="K38" s="580"/>
      <c r="L38" s="580"/>
    </row>
    <row r="39" spans="1:12">
      <c r="A39" s="566">
        <v>31</v>
      </c>
      <c r="B39" s="566"/>
      <c r="C39" s="567"/>
      <c r="D39" s="576"/>
      <c r="E39" s="576"/>
      <c r="F39" s="577"/>
      <c r="G39" s="584"/>
      <c r="H39" s="590"/>
      <c r="I39" s="590"/>
      <c r="J39" s="584"/>
      <c r="K39" s="580"/>
      <c r="L39" s="580"/>
    </row>
    <row r="40" spans="1:12">
      <c r="A40" s="566">
        <v>32</v>
      </c>
      <c r="B40" s="566" t="s">
        <v>22</v>
      </c>
      <c r="C40" s="567"/>
      <c r="D40" s="589">
        <v>2088697000</v>
      </c>
      <c r="E40" s="576"/>
      <c r="F40" s="577">
        <v>8505000</v>
      </c>
      <c r="G40" s="584"/>
      <c r="H40" s="590"/>
      <c r="I40" s="590"/>
      <c r="J40" s="584"/>
      <c r="K40" s="580"/>
      <c r="L40" s="580"/>
    </row>
    <row r="41" spans="1:12">
      <c r="A41" s="566">
        <v>33</v>
      </c>
      <c r="B41" s="566"/>
      <c r="C41" s="567"/>
      <c r="D41" s="576"/>
      <c r="E41" s="576"/>
      <c r="F41" s="580"/>
      <c r="G41" s="584"/>
      <c r="H41" s="590"/>
      <c r="I41" s="590"/>
      <c r="J41" s="584"/>
      <c r="K41" s="580"/>
      <c r="L41" s="580"/>
    </row>
    <row r="42" spans="1:12" ht="13.8" thickBot="1">
      <c r="A42" s="566">
        <v>34</v>
      </c>
      <c r="B42" s="566"/>
      <c r="C42" s="587" t="s">
        <v>98</v>
      </c>
      <c r="D42" s="591">
        <v>23518981000</v>
      </c>
      <c r="E42" s="591">
        <v>7644909</v>
      </c>
      <c r="F42" s="592">
        <v>2146668000</v>
      </c>
      <c r="G42" s="584"/>
      <c r="H42" s="590"/>
      <c r="I42" s="590"/>
      <c r="J42" s="584"/>
      <c r="K42" s="592">
        <v>21891000</v>
      </c>
      <c r="L42" s="592">
        <v>-832000</v>
      </c>
    </row>
    <row r="43" spans="1:12" ht="13.8" thickTop="1"/>
  </sheetData>
  <mergeCells count="6">
    <mergeCell ref="D6:F6"/>
    <mergeCell ref="A1:L1"/>
    <mergeCell ref="A2:L2"/>
    <mergeCell ref="A3:L3"/>
    <mergeCell ref="A4:L4"/>
    <mergeCell ref="A5:L5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/>
  </sheetViews>
  <sheetFormatPr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2"/>
  <sheetViews>
    <sheetView topLeftCell="A4" zoomScale="80" zoomScaleNormal="80" workbookViewId="0"/>
  </sheetViews>
  <sheetFormatPr defaultRowHeight="13.2"/>
  <cols>
    <col min="1" max="1" width="8.33203125" style="1" bestFit="1" customWidth="1"/>
    <col min="2" max="2" width="22.5546875" style="1" bestFit="1" customWidth="1"/>
    <col min="3" max="3" width="11.6640625" style="1" bestFit="1" customWidth="1"/>
    <col min="4" max="5" width="15.109375" style="1" bestFit="1" customWidth="1"/>
    <col min="6" max="7" width="11.5546875" style="1" bestFit="1" customWidth="1"/>
    <col min="8" max="9" width="15.109375" style="1" bestFit="1" customWidth="1"/>
    <col min="10" max="10" width="13.33203125" style="1" bestFit="1" customWidth="1"/>
    <col min="11" max="11" width="13.109375" style="1" customWidth="1"/>
    <col min="12" max="16384" width="8.88671875" style="1"/>
  </cols>
  <sheetData>
    <row r="1" spans="1:11">
      <c r="A1" s="639" t="s">
        <v>0</v>
      </c>
      <c r="B1" s="640"/>
      <c r="C1" s="640"/>
      <c r="D1" s="640"/>
      <c r="E1" s="640"/>
      <c r="F1" s="640"/>
      <c r="G1" s="640"/>
      <c r="H1" s="640"/>
      <c r="I1" s="640"/>
      <c r="J1" s="640"/>
      <c r="K1" s="641"/>
    </row>
    <row r="2" spans="1:11">
      <c r="A2" s="642" t="s">
        <v>103</v>
      </c>
      <c r="B2" s="643"/>
      <c r="C2" s="643"/>
      <c r="D2" s="643"/>
      <c r="E2" s="643"/>
      <c r="F2" s="643"/>
      <c r="G2" s="643"/>
      <c r="H2" s="643"/>
      <c r="I2" s="643"/>
      <c r="J2" s="643"/>
      <c r="K2" s="644"/>
    </row>
    <row r="3" spans="1:11">
      <c r="A3" s="238"/>
      <c r="B3" s="239"/>
      <c r="C3" s="240"/>
      <c r="D3" s="241"/>
      <c r="E3" s="241"/>
      <c r="F3" s="239"/>
      <c r="G3" s="239"/>
      <c r="H3" s="241"/>
      <c r="I3" s="241"/>
      <c r="J3" s="239"/>
      <c r="K3" s="242"/>
    </row>
    <row r="4" spans="1:11" ht="93" thickBot="1">
      <c r="A4" s="243" t="s">
        <v>3</v>
      </c>
      <c r="B4" s="244" t="s">
        <v>104</v>
      </c>
      <c r="C4" s="91" t="s">
        <v>105</v>
      </c>
      <c r="D4" s="90" t="s">
        <v>106</v>
      </c>
      <c r="E4" s="90" t="s">
        <v>107</v>
      </c>
      <c r="F4" s="91" t="s">
        <v>108</v>
      </c>
      <c r="G4" s="91" t="s">
        <v>109</v>
      </c>
      <c r="H4" s="90" t="s">
        <v>110</v>
      </c>
      <c r="I4" s="90" t="s">
        <v>111</v>
      </c>
      <c r="J4" s="91" t="s">
        <v>112</v>
      </c>
      <c r="K4" s="245" t="s">
        <v>113</v>
      </c>
    </row>
    <row r="5" spans="1:11" ht="13.8" thickBot="1">
      <c r="A5" s="246"/>
      <c r="B5" s="94"/>
      <c r="C5" s="94"/>
      <c r="D5" s="92" t="s">
        <v>114</v>
      </c>
      <c r="E5" s="92" t="s">
        <v>115</v>
      </c>
      <c r="F5" s="93" t="s">
        <v>116</v>
      </c>
      <c r="G5" s="94" t="s">
        <v>117</v>
      </c>
      <c r="H5" s="247" t="s">
        <v>118</v>
      </c>
      <c r="I5" s="247" t="s">
        <v>119</v>
      </c>
      <c r="J5" s="93" t="s">
        <v>120</v>
      </c>
      <c r="K5" s="248" t="s">
        <v>121</v>
      </c>
    </row>
    <row r="6" spans="1:11">
      <c r="A6" s="249"/>
      <c r="B6" s="250"/>
      <c r="C6" s="251"/>
      <c r="D6" s="252"/>
      <c r="E6" s="252"/>
      <c r="F6" s="250"/>
      <c r="G6" s="250"/>
      <c r="H6" s="252"/>
      <c r="I6" s="252"/>
      <c r="J6" s="250"/>
      <c r="K6" s="253"/>
    </row>
    <row r="7" spans="1:11">
      <c r="A7" s="249">
        <v>1</v>
      </c>
      <c r="B7" s="239" t="s">
        <v>16</v>
      </c>
      <c r="C7" s="240">
        <v>7</v>
      </c>
      <c r="D7" s="241">
        <v>10218946000</v>
      </c>
      <c r="E7" s="95">
        <v>1152284000</v>
      </c>
      <c r="F7" s="254">
        <v>-1.4910177688613813E-3</v>
      </c>
      <c r="G7" s="254">
        <v>-3.3327342336791918E-3</v>
      </c>
      <c r="H7" s="95">
        <v>1137047369.9349651</v>
      </c>
      <c r="I7" s="95">
        <v>1118226968.8336809</v>
      </c>
      <c r="J7" s="95">
        <v>-18820401.101284266</v>
      </c>
      <c r="K7" s="255">
        <v>-1.6551993873712336E-2</v>
      </c>
    </row>
    <row r="8" spans="1:11">
      <c r="A8" s="249">
        <v>2</v>
      </c>
      <c r="B8" s="239"/>
      <c r="C8" s="240"/>
      <c r="D8" s="241"/>
      <c r="E8" s="95"/>
      <c r="F8" s="256"/>
      <c r="G8" s="256"/>
      <c r="H8" s="95"/>
      <c r="I8" s="95"/>
      <c r="J8" s="95"/>
      <c r="K8" s="255"/>
    </row>
    <row r="9" spans="1:11">
      <c r="A9" s="249">
        <v>3</v>
      </c>
      <c r="B9" s="257" t="s">
        <v>122</v>
      </c>
      <c r="C9" s="240" t="s">
        <v>123</v>
      </c>
      <c r="D9" s="241">
        <v>3004126000</v>
      </c>
      <c r="E9" s="95">
        <v>310502000</v>
      </c>
      <c r="F9" s="254">
        <v>-1.3751978320194281E-3</v>
      </c>
      <c r="G9" s="254">
        <v>-3.0738526317848651E-3</v>
      </c>
      <c r="H9" s="95">
        <v>306370732.4376868</v>
      </c>
      <c r="I9" s="95">
        <v>301267759.38868666</v>
      </c>
      <c r="J9" s="95">
        <v>-5102973.049000144</v>
      </c>
      <c r="K9" s="255">
        <v>-1.6656202791949279E-2</v>
      </c>
    </row>
    <row r="10" spans="1:11">
      <c r="A10" s="249">
        <v>4</v>
      </c>
      <c r="B10" s="258" t="s">
        <v>124</v>
      </c>
      <c r="C10" s="240" t="s">
        <v>125</v>
      </c>
      <c r="D10" s="241">
        <v>3156638000</v>
      </c>
      <c r="E10" s="95">
        <v>302625000</v>
      </c>
      <c r="F10" s="254">
        <v>-1.3701785329560988E-3</v>
      </c>
      <c r="G10" s="254">
        <v>-3.0626334564223842E-3</v>
      </c>
      <c r="H10" s="95">
        <v>298299842.37608653</v>
      </c>
      <c r="I10" s="95">
        <v>292957374.85138577</v>
      </c>
      <c r="J10" s="95">
        <v>-5342467.5247007608</v>
      </c>
      <c r="K10" s="255">
        <v>-1.7909722922230562E-2</v>
      </c>
    </row>
    <row r="11" spans="1:11">
      <c r="A11" s="249">
        <v>5</v>
      </c>
      <c r="B11" s="258" t="s">
        <v>126</v>
      </c>
      <c r="C11" s="240" t="s">
        <v>127</v>
      </c>
      <c r="D11" s="241">
        <v>1995632000</v>
      </c>
      <c r="E11" s="95">
        <v>174852000</v>
      </c>
      <c r="F11" s="254">
        <v>-1.4132684466317855E-3</v>
      </c>
      <c r="G11" s="254">
        <v>-3.1589483585196991E-3</v>
      </c>
      <c r="H11" s="95">
        <v>172031636.26331133</v>
      </c>
      <c r="I11" s="95">
        <v>168547901.56939062</v>
      </c>
      <c r="J11" s="95">
        <v>-3483734.6939207017</v>
      </c>
      <c r="K11" s="255">
        <v>-2.0250546757507457E-2</v>
      </c>
    </row>
    <row r="12" spans="1:11">
      <c r="A12" s="249">
        <v>6</v>
      </c>
      <c r="B12" s="258" t="s">
        <v>128</v>
      </c>
      <c r="C12" s="240">
        <v>29</v>
      </c>
      <c r="D12" s="241">
        <v>15510000</v>
      </c>
      <c r="E12" s="95">
        <v>1356000</v>
      </c>
      <c r="F12" s="254">
        <v>-1.2896623643887039E-3</v>
      </c>
      <c r="G12" s="254">
        <v>-2.8826631053284735E-3</v>
      </c>
      <c r="H12" s="95">
        <v>1335997.3367283312</v>
      </c>
      <c r="I12" s="95">
        <v>1311289.8952363555</v>
      </c>
      <c r="J12" s="95">
        <v>-24707.441491975682</v>
      </c>
      <c r="K12" s="255">
        <v>-1.849363079755886E-2</v>
      </c>
    </row>
    <row r="13" spans="1:11">
      <c r="A13" s="249">
        <v>7</v>
      </c>
      <c r="B13" s="239"/>
      <c r="C13" s="240"/>
      <c r="D13" s="241"/>
      <c r="E13" s="95"/>
      <c r="F13" s="256"/>
      <c r="G13" s="256"/>
      <c r="H13" s="95"/>
      <c r="I13" s="95"/>
      <c r="J13" s="95"/>
      <c r="K13" s="255"/>
    </row>
    <row r="14" spans="1:11">
      <c r="A14" s="249">
        <v>8</v>
      </c>
      <c r="B14" s="239" t="s">
        <v>129</v>
      </c>
      <c r="C14" s="240"/>
      <c r="D14" s="241">
        <v>8171906000</v>
      </c>
      <c r="E14" s="95">
        <v>789335000</v>
      </c>
      <c r="F14" s="254">
        <v>-1.382E-3</v>
      </c>
      <c r="G14" s="254">
        <v>-3.0899999999999999E-3</v>
      </c>
      <c r="H14" s="95">
        <v>778038208.41381311</v>
      </c>
      <c r="I14" s="95">
        <v>764084325.70469952</v>
      </c>
      <c r="J14" s="95">
        <v>-13953882.709113583</v>
      </c>
      <c r="K14" s="255">
        <v>-1.7934701095928658E-2</v>
      </c>
    </row>
    <row r="15" spans="1:11">
      <c r="A15" s="249">
        <v>9</v>
      </c>
      <c r="B15" s="239"/>
      <c r="C15" s="240"/>
      <c r="D15" s="241"/>
      <c r="E15" s="95"/>
      <c r="F15" s="256"/>
      <c r="G15" s="256"/>
      <c r="H15" s="95"/>
      <c r="I15" s="95"/>
      <c r="J15" s="95"/>
      <c r="K15" s="255"/>
    </row>
    <row r="16" spans="1:11">
      <c r="A16" s="249">
        <v>10</v>
      </c>
      <c r="B16" s="258" t="s">
        <v>130</v>
      </c>
      <c r="C16" s="240" t="s">
        <v>131</v>
      </c>
      <c r="D16" s="241">
        <v>1355303000</v>
      </c>
      <c r="E16" s="95">
        <v>117873000</v>
      </c>
      <c r="F16" s="254">
        <v>-1.2799276416233694E-3</v>
      </c>
      <c r="G16" s="254">
        <v>-2.8609039791175355E-3</v>
      </c>
      <c r="H16" s="95">
        <v>116138310.22752492</v>
      </c>
      <c r="I16" s="95">
        <v>113995608.25439006</v>
      </c>
      <c r="J16" s="95">
        <v>-2142701.9731348604</v>
      </c>
      <c r="K16" s="255">
        <v>-1.8449570765556374E-2</v>
      </c>
    </row>
    <row r="17" spans="1:11">
      <c r="A17" s="249">
        <v>11</v>
      </c>
      <c r="B17" s="258" t="s">
        <v>132</v>
      </c>
      <c r="C17" s="240">
        <v>35</v>
      </c>
      <c r="D17" s="241">
        <v>5236000</v>
      </c>
      <c r="E17" s="95">
        <v>313000</v>
      </c>
      <c r="F17" s="254">
        <v>-1.1131483796666273E-3</v>
      </c>
      <c r="G17" s="254">
        <v>-2.4881177069489314E-3</v>
      </c>
      <c r="H17" s="95">
        <v>307171.55508406553</v>
      </c>
      <c r="I17" s="95">
        <v>299972.21568641538</v>
      </c>
      <c r="J17" s="95">
        <v>-7199.3393976501538</v>
      </c>
      <c r="K17" s="255">
        <v>-2.3437519778417848E-2</v>
      </c>
    </row>
    <row r="18" spans="1:11">
      <c r="A18" s="249">
        <v>12</v>
      </c>
      <c r="B18" s="258" t="s">
        <v>133</v>
      </c>
      <c r="C18" s="240">
        <v>43</v>
      </c>
      <c r="D18" s="241">
        <v>120601000</v>
      </c>
      <c r="E18" s="95">
        <v>11454000</v>
      </c>
      <c r="F18" s="254">
        <v>-1.2555713092783738E-3</v>
      </c>
      <c r="G18" s="254">
        <v>-2.806462520197148E-3</v>
      </c>
      <c r="H18" s="95">
        <v>11302576.844529718</v>
      </c>
      <c r="I18" s="95">
        <v>11115537.813601704</v>
      </c>
      <c r="J18" s="95">
        <v>-187039.03092801385</v>
      </c>
      <c r="K18" s="255">
        <v>-1.6548352955329651E-2</v>
      </c>
    </row>
    <row r="19" spans="1:11">
      <c r="A19" s="249">
        <v>13</v>
      </c>
      <c r="B19" s="259"/>
      <c r="C19" s="240"/>
      <c r="D19" s="241"/>
      <c r="E19" s="95"/>
      <c r="F19" s="256"/>
      <c r="G19" s="256"/>
      <c r="H19" s="95"/>
      <c r="I19" s="95"/>
      <c r="J19" s="95"/>
      <c r="K19" s="255"/>
    </row>
    <row r="20" spans="1:11">
      <c r="A20" s="249">
        <v>14</v>
      </c>
      <c r="B20" s="259" t="s">
        <v>134</v>
      </c>
      <c r="C20" s="240"/>
      <c r="D20" s="241">
        <v>1481140000</v>
      </c>
      <c r="E20" s="95">
        <v>129640000</v>
      </c>
      <c r="F20" s="254">
        <v>-1.2769999999999999E-3</v>
      </c>
      <c r="G20" s="254">
        <v>-2.8549999999999999E-3</v>
      </c>
      <c r="H20" s="95">
        <v>127748058.6271387</v>
      </c>
      <c r="I20" s="95">
        <v>125411118.28367817</v>
      </c>
      <c r="J20" s="95">
        <v>-2336940.3434605245</v>
      </c>
      <c r="K20" s="255">
        <v>-1.8293353093383657E-2</v>
      </c>
    </row>
    <row r="21" spans="1:11">
      <c r="A21" s="249">
        <v>15</v>
      </c>
      <c r="B21" s="259"/>
      <c r="C21" s="240"/>
      <c r="D21" s="241"/>
      <c r="E21" s="95"/>
      <c r="F21" s="256"/>
      <c r="G21" s="256"/>
      <c r="H21" s="95"/>
      <c r="I21" s="95"/>
      <c r="J21" s="95"/>
      <c r="K21" s="255"/>
    </row>
    <row r="22" spans="1:11">
      <c r="A22" s="249">
        <v>16</v>
      </c>
      <c r="B22" s="259" t="s">
        <v>135</v>
      </c>
      <c r="C22" s="240">
        <v>40</v>
      </c>
      <c r="D22" s="241">
        <v>664520000</v>
      </c>
      <c r="E22" s="95">
        <v>50329000</v>
      </c>
      <c r="F22" s="254">
        <v>-1.4171811278215797E-3</v>
      </c>
      <c r="G22" s="254">
        <v>-3.1676940132121037E-3</v>
      </c>
      <c r="H22" s="95">
        <v>49387254.796940006</v>
      </c>
      <c r="I22" s="95">
        <v>48224003.97434029</v>
      </c>
      <c r="J22" s="95">
        <v>-1163250.8225997165</v>
      </c>
      <c r="K22" s="255">
        <v>-2.3553664348879552E-2</v>
      </c>
    </row>
    <row r="23" spans="1:11">
      <c r="A23" s="249">
        <v>17</v>
      </c>
      <c r="B23" s="259"/>
      <c r="C23" s="240"/>
      <c r="D23" s="241"/>
      <c r="E23" s="95"/>
      <c r="F23" s="256"/>
      <c r="G23" s="256"/>
      <c r="H23" s="95"/>
      <c r="I23" s="95"/>
      <c r="J23" s="95"/>
      <c r="K23" s="255"/>
    </row>
    <row r="24" spans="1:11">
      <c r="A24" s="249">
        <v>18</v>
      </c>
      <c r="B24" s="258" t="s">
        <v>136</v>
      </c>
      <c r="C24" s="240">
        <v>46</v>
      </c>
      <c r="D24" s="241">
        <v>69924000</v>
      </c>
      <c r="E24" s="95">
        <v>4438000</v>
      </c>
      <c r="F24" s="254">
        <v>-1.197599589820005E-3</v>
      </c>
      <c r="G24" s="254">
        <v>-2.6768836928625197E-3</v>
      </c>
      <c r="H24" s="95">
        <v>4354259.0462814262</v>
      </c>
      <c r="I24" s="95">
        <v>4250821.5846602814</v>
      </c>
      <c r="J24" s="95">
        <v>-103437.46162114479</v>
      </c>
      <c r="K24" s="255">
        <v>-2.3755468042141691E-2</v>
      </c>
    </row>
    <row r="25" spans="1:11">
      <c r="A25" s="249">
        <v>19</v>
      </c>
      <c r="B25" s="257" t="s">
        <v>137</v>
      </c>
      <c r="C25" s="240">
        <v>49</v>
      </c>
      <c r="D25" s="241">
        <v>625180000</v>
      </c>
      <c r="E25" s="95">
        <v>42974000</v>
      </c>
      <c r="F25" s="254">
        <v>-1.0434688233878085E-3</v>
      </c>
      <c r="G25" s="254">
        <v>-2.3323694338915728E-3</v>
      </c>
      <c r="H25" s="95">
        <v>42321644.160994411</v>
      </c>
      <c r="I25" s="95">
        <v>41515849.27731967</v>
      </c>
      <c r="J25" s="95">
        <v>-805794.88367474079</v>
      </c>
      <c r="K25" s="255">
        <v>-1.9039782117382827E-2</v>
      </c>
    </row>
    <row r="26" spans="1:11">
      <c r="A26" s="249">
        <v>20</v>
      </c>
      <c r="B26" s="239"/>
      <c r="C26" s="240"/>
      <c r="D26" s="241"/>
      <c r="E26" s="95"/>
      <c r="F26" s="256"/>
      <c r="G26" s="256"/>
      <c r="H26" s="95"/>
      <c r="I26" s="95"/>
      <c r="J26" s="95"/>
      <c r="K26" s="255"/>
    </row>
    <row r="27" spans="1:11">
      <c r="A27" s="249">
        <v>21</v>
      </c>
      <c r="B27" s="260" t="s">
        <v>138</v>
      </c>
      <c r="C27" s="240"/>
      <c r="D27" s="241">
        <v>695104000</v>
      </c>
      <c r="E27" s="95">
        <v>47412000</v>
      </c>
      <c r="F27" s="254">
        <v>-1.059E-3</v>
      </c>
      <c r="G27" s="254">
        <v>-2.3670000000000002E-3</v>
      </c>
      <c r="H27" s="241">
        <v>46675903.207275838</v>
      </c>
      <c r="I27" s="241">
        <v>45766670.861979954</v>
      </c>
      <c r="J27" s="95">
        <v>-909232.34529588558</v>
      </c>
      <c r="K27" s="255">
        <v>-1.9479694720811624E-2</v>
      </c>
    </row>
    <row r="28" spans="1:11">
      <c r="A28" s="249">
        <v>22</v>
      </c>
      <c r="B28" s="239"/>
      <c r="C28" s="240"/>
      <c r="D28" s="241"/>
      <c r="E28" s="95"/>
      <c r="F28" s="256"/>
      <c r="G28" s="256"/>
      <c r="H28" s="95"/>
      <c r="I28" s="95"/>
      <c r="J28" s="95"/>
      <c r="K28" s="255"/>
    </row>
    <row r="29" spans="1:11">
      <c r="A29" s="249">
        <v>23</v>
      </c>
      <c r="B29" s="239" t="s">
        <v>139</v>
      </c>
      <c r="C29" s="240" t="s">
        <v>21</v>
      </c>
      <c r="D29" s="241">
        <v>73625000</v>
      </c>
      <c r="E29" s="95">
        <v>18095000</v>
      </c>
      <c r="F29" s="254">
        <v>-1.3825767114784805E-3</v>
      </c>
      <c r="G29" s="254">
        <v>-3.0903459591569162E-3</v>
      </c>
      <c r="H29" s="95">
        <v>17993207.789617397</v>
      </c>
      <c r="I29" s="95">
        <v>17867473.278757073</v>
      </c>
      <c r="J29" s="95">
        <v>-125734.51086032391</v>
      </c>
      <c r="K29" s="255">
        <v>-6.9878874478888848E-3</v>
      </c>
    </row>
    <row r="30" spans="1:11">
      <c r="A30" s="249">
        <v>24</v>
      </c>
      <c r="B30" s="239"/>
      <c r="C30" s="240"/>
      <c r="D30" s="241"/>
      <c r="E30" s="95"/>
      <c r="F30" s="256"/>
      <c r="G30" s="256"/>
      <c r="H30" s="95"/>
      <c r="I30" s="95"/>
      <c r="J30" s="95"/>
      <c r="K30" s="261"/>
    </row>
    <row r="31" spans="1:11">
      <c r="A31" s="249">
        <v>25</v>
      </c>
      <c r="B31" s="239" t="s">
        <v>99</v>
      </c>
      <c r="C31" s="240">
        <v>5</v>
      </c>
      <c r="D31" s="241">
        <v>6995000</v>
      </c>
      <c r="E31" s="95">
        <v>322000</v>
      </c>
      <c r="F31" s="254">
        <v>-1.4059446330178271E-3</v>
      </c>
      <c r="G31" s="254">
        <v>-3.1425781147425484E-3</v>
      </c>
      <c r="H31" s="95">
        <v>312165.41729204031</v>
      </c>
      <c r="I31" s="95">
        <v>300017.6660873759</v>
      </c>
      <c r="J31" s="95">
        <v>-12147.751204664411</v>
      </c>
      <c r="K31" s="255">
        <v>-3.8914468201004526E-2</v>
      </c>
    </row>
    <row r="32" spans="1:11">
      <c r="A32" s="249">
        <v>26</v>
      </c>
      <c r="B32" s="239"/>
      <c r="C32" s="240"/>
      <c r="D32" s="241"/>
      <c r="E32" s="95"/>
      <c r="F32" s="254"/>
      <c r="G32" s="254"/>
      <c r="H32" s="95"/>
      <c r="I32" s="95"/>
      <c r="J32" s="95"/>
      <c r="K32" s="255"/>
    </row>
    <row r="33" spans="1:11">
      <c r="A33" s="249">
        <v>27</v>
      </c>
      <c r="B33" s="260" t="s">
        <v>140</v>
      </c>
      <c r="C33" s="240"/>
      <c r="D33" s="241">
        <v>21312236000</v>
      </c>
      <c r="E33" s="95">
        <v>2187417000</v>
      </c>
      <c r="F33" s="254">
        <v>-1.418E-3</v>
      </c>
      <c r="G33" s="254">
        <v>-3.1689999999999999E-3</v>
      </c>
      <c r="H33" s="95">
        <v>2157202168.1870422</v>
      </c>
      <c r="I33" s="95">
        <v>2119880578.6032233</v>
      </c>
      <c r="J33" s="95">
        <v>-37321589.583818965</v>
      </c>
      <c r="K33" s="255">
        <v>-1.7300970922339582E-2</v>
      </c>
    </row>
    <row r="34" spans="1:11">
      <c r="A34" s="249">
        <v>28</v>
      </c>
      <c r="B34" s="260"/>
      <c r="C34" s="240"/>
      <c r="D34" s="241"/>
      <c r="E34" s="95"/>
      <c r="F34" s="256"/>
      <c r="G34" s="256"/>
      <c r="H34" s="95"/>
      <c r="I34" s="95"/>
      <c r="J34" s="95"/>
      <c r="K34" s="255"/>
    </row>
    <row r="35" spans="1:11">
      <c r="A35" s="249">
        <v>29</v>
      </c>
      <c r="B35" s="260" t="s">
        <v>141</v>
      </c>
      <c r="C35" s="240" t="s">
        <v>142</v>
      </c>
      <c r="D35" s="241">
        <v>2020962000</v>
      </c>
      <c r="E35" s="95">
        <v>7882000</v>
      </c>
      <c r="F35" s="254">
        <v>0</v>
      </c>
      <c r="G35" s="254">
        <v>0</v>
      </c>
      <c r="H35" s="95">
        <v>7882000</v>
      </c>
      <c r="I35" s="95">
        <v>7882000</v>
      </c>
      <c r="J35" s="95">
        <v>0</v>
      </c>
      <c r="K35" s="255">
        <v>0</v>
      </c>
    </row>
    <row r="36" spans="1:11">
      <c r="A36" s="249">
        <v>30</v>
      </c>
      <c r="B36" s="239"/>
      <c r="C36" s="240"/>
      <c r="D36" s="241"/>
      <c r="E36" s="95"/>
      <c r="F36" s="256"/>
      <c r="G36" s="256"/>
      <c r="H36" s="95"/>
      <c r="I36" s="95"/>
      <c r="J36" s="95"/>
      <c r="K36" s="261"/>
    </row>
    <row r="37" spans="1:11">
      <c r="A37" s="249">
        <v>31</v>
      </c>
      <c r="B37" s="260" t="s">
        <v>23</v>
      </c>
      <c r="C37" s="240"/>
      <c r="D37" s="241">
        <v>23333198000</v>
      </c>
      <c r="E37" s="95">
        <v>2195299000</v>
      </c>
      <c r="F37" s="254"/>
      <c r="G37" s="254"/>
      <c r="H37" s="95">
        <v>2165084168.1870422</v>
      </c>
      <c r="I37" s="95">
        <v>2127762578.6032233</v>
      </c>
      <c r="J37" s="95">
        <v>-37321589.583818965</v>
      </c>
      <c r="K37" s="255">
        <v>-1.7237939352293459E-2</v>
      </c>
    </row>
    <row r="38" spans="1:11" ht="13.8" thickBot="1">
      <c r="A38" s="262"/>
      <c r="B38" s="263"/>
      <c r="C38" s="264"/>
      <c r="D38" s="265"/>
      <c r="E38" s="265"/>
      <c r="F38" s="263"/>
      <c r="G38" s="263"/>
      <c r="H38" s="265"/>
      <c r="I38" s="265"/>
      <c r="J38" s="263"/>
      <c r="K38" s="266"/>
    </row>
    <row r="41" spans="1:11">
      <c r="A41" s="239"/>
      <c r="B41" s="239"/>
      <c r="C41" s="240"/>
      <c r="D41" s="241"/>
      <c r="E41" s="241"/>
      <c r="F41" s="239"/>
      <c r="G41" s="239"/>
      <c r="H41" s="241"/>
      <c r="I41" s="241"/>
      <c r="J41" s="239"/>
      <c r="K41" s="239"/>
    </row>
    <row r="42" spans="1:11">
      <c r="A42" s="645"/>
      <c r="B42" s="645"/>
      <c r="C42" s="645"/>
      <c r="D42" s="645"/>
      <c r="E42" s="645"/>
      <c r="F42" s="645"/>
      <c r="G42" s="645"/>
      <c r="H42" s="645"/>
      <c r="I42" s="645"/>
      <c r="J42" s="645"/>
      <c r="K42" s="645"/>
    </row>
  </sheetData>
  <mergeCells count="3">
    <mergeCell ref="A1:K1"/>
    <mergeCell ref="A2:K2"/>
    <mergeCell ref="A42:K42"/>
  </mergeCells>
  <printOptions horizontalCentered="1"/>
  <pageMargins left="0.7" right="0.7" top="0.75" bottom="0.71" header="0.3" footer="0.3"/>
  <pageSetup scale="81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6"/>
  <sheetViews>
    <sheetView zoomScale="90" zoomScaleNormal="90" workbookViewId="0">
      <pane xSplit="3" ySplit="5" topLeftCell="D6" activePane="bottomRight" state="frozen"/>
      <selection pane="topRight"/>
      <selection pane="bottomLeft"/>
      <selection pane="bottomRight" activeCell="D7" sqref="D7:K33"/>
    </sheetView>
  </sheetViews>
  <sheetFormatPr defaultRowHeight="13.2"/>
  <cols>
    <col min="1" max="1" width="3.5546875" style="1" bestFit="1" customWidth="1"/>
    <col min="2" max="2" width="22.5546875" style="1" bestFit="1" customWidth="1"/>
    <col min="3" max="3" width="8.6640625" style="1" bestFit="1" customWidth="1"/>
    <col min="4" max="5" width="15.109375" style="1" bestFit="1" customWidth="1"/>
    <col min="6" max="7" width="10.88671875" style="1" bestFit="1" customWidth="1"/>
    <col min="8" max="9" width="15.109375" style="1" bestFit="1" customWidth="1"/>
    <col min="10" max="10" width="13.33203125" style="1" bestFit="1" customWidth="1"/>
    <col min="11" max="11" width="12.33203125" style="1" bestFit="1" customWidth="1"/>
    <col min="12" max="16384" width="8.88671875" style="1"/>
  </cols>
  <sheetData>
    <row r="1" spans="1:11">
      <c r="A1" s="454"/>
      <c r="B1" s="455" t="s">
        <v>143</v>
      </c>
      <c r="C1" s="455"/>
      <c r="D1" s="456"/>
      <c r="E1" s="456"/>
      <c r="F1" s="455"/>
      <c r="G1" s="455"/>
      <c r="H1" s="456"/>
      <c r="I1" s="456"/>
      <c r="J1" s="455"/>
      <c r="K1" s="457"/>
    </row>
    <row r="2" spans="1:11">
      <c r="A2" s="458"/>
      <c r="B2" s="459" t="s">
        <v>144</v>
      </c>
      <c r="C2" s="459"/>
      <c r="D2" s="460"/>
      <c r="E2" s="460"/>
      <c r="F2" s="459"/>
      <c r="G2" s="459"/>
      <c r="H2" s="460"/>
      <c r="I2" s="460"/>
      <c r="J2" s="459"/>
      <c r="K2" s="461"/>
    </row>
    <row r="3" spans="1:11">
      <c r="A3" s="458"/>
      <c r="B3" s="96"/>
      <c r="C3" s="462"/>
      <c r="D3" s="463"/>
      <c r="E3" s="463"/>
      <c r="F3" s="96"/>
      <c r="G3" s="96"/>
      <c r="H3" s="463"/>
      <c r="I3" s="463"/>
      <c r="J3" s="96"/>
      <c r="K3" s="464"/>
    </row>
    <row r="4" spans="1:11" ht="66">
      <c r="A4" s="465" t="s">
        <v>3</v>
      </c>
      <c r="B4" s="466" t="s">
        <v>104</v>
      </c>
      <c r="C4" s="466" t="s">
        <v>145</v>
      </c>
      <c r="D4" s="467" t="s">
        <v>564</v>
      </c>
      <c r="E4" s="467" t="s">
        <v>565</v>
      </c>
      <c r="F4" s="468" t="s">
        <v>566</v>
      </c>
      <c r="G4" s="468" t="s">
        <v>567</v>
      </c>
      <c r="H4" s="469" t="s">
        <v>146</v>
      </c>
      <c r="I4" s="469" t="s">
        <v>568</v>
      </c>
      <c r="J4" s="470" t="s">
        <v>112</v>
      </c>
      <c r="K4" s="471" t="s">
        <v>113</v>
      </c>
    </row>
    <row r="5" spans="1:11">
      <c r="A5" s="472"/>
      <c r="B5" s="473"/>
      <c r="C5" s="473"/>
      <c r="D5" s="99" t="s">
        <v>114</v>
      </c>
      <c r="E5" s="99" t="s">
        <v>115</v>
      </c>
      <c r="F5" s="100" t="s">
        <v>116</v>
      </c>
      <c r="G5" s="100" t="s">
        <v>117</v>
      </c>
      <c r="H5" s="474" t="s">
        <v>118</v>
      </c>
      <c r="I5" s="475" t="s">
        <v>119</v>
      </c>
      <c r="J5" s="473" t="s">
        <v>120</v>
      </c>
      <c r="K5" s="476" t="s">
        <v>121</v>
      </c>
    </row>
    <row r="6" spans="1:11">
      <c r="A6" s="477">
        <v>1</v>
      </c>
      <c r="B6" s="96"/>
      <c r="C6" s="462"/>
      <c r="D6" s="463"/>
      <c r="E6" s="463"/>
      <c r="F6" s="96"/>
      <c r="G6" s="96"/>
      <c r="H6" s="463"/>
      <c r="I6" s="463"/>
      <c r="J6" s="96"/>
      <c r="K6" s="464"/>
    </row>
    <row r="7" spans="1:11">
      <c r="A7" s="477">
        <v>2</v>
      </c>
      <c r="B7" s="478" t="s">
        <v>16</v>
      </c>
      <c r="C7" s="462">
        <v>7</v>
      </c>
      <c r="D7" s="463">
        <v>10241335000</v>
      </c>
      <c r="E7" s="479">
        <v>1080488000</v>
      </c>
      <c r="F7" s="101">
        <v>5.0330000000000001E-3</v>
      </c>
      <c r="G7" s="480">
        <v>6.0749999999999997E-3</v>
      </c>
      <c r="H7" s="479">
        <v>1132032639.0550001</v>
      </c>
      <c r="I7" s="479">
        <v>1142704110.125</v>
      </c>
      <c r="J7" s="479">
        <v>10671471.069999933</v>
      </c>
      <c r="K7" s="481">
        <v>9.426822780399937E-3</v>
      </c>
    </row>
    <row r="8" spans="1:11">
      <c r="A8" s="477">
        <v>3</v>
      </c>
      <c r="B8" s="478"/>
      <c r="C8" s="462"/>
      <c r="D8" s="463"/>
      <c r="E8" s="479"/>
      <c r="F8" s="101"/>
      <c r="G8" s="480"/>
      <c r="H8" s="479"/>
      <c r="I8" s="479"/>
      <c r="J8" s="479"/>
      <c r="K8" s="481"/>
    </row>
    <row r="9" spans="1:11">
      <c r="A9" s="477">
        <v>4</v>
      </c>
      <c r="B9" s="482" t="s">
        <v>122</v>
      </c>
      <c r="C9" s="453" t="s">
        <v>569</v>
      </c>
      <c r="D9" s="463">
        <v>3023839000</v>
      </c>
      <c r="E9" s="479">
        <v>308616000</v>
      </c>
      <c r="F9" s="101">
        <v>4.1229999999999999E-3</v>
      </c>
      <c r="G9" s="480">
        <v>4.6410000000000002E-3</v>
      </c>
      <c r="H9" s="479">
        <v>321083288.19700003</v>
      </c>
      <c r="I9" s="479">
        <v>322649636.79900002</v>
      </c>
      <c r="J9" s="479">
        <v>1566348.6019999981</v>
      </c>
      <c r="K9" s="481">
        <v>4.8783249068975769E-3</v>
      </c>
    </row>
    <row r="10" spans="1:11">
      <c r="A10" s="477">
        <v>5</v>
      </c>
      <c r="B10" s="483" t="s">
        <v>124</v>
      </c>
      <c r="C10" s="453" t="s">
        <v>570</v>
      </c>
      <c r="D10" s="463">
        <v>3179766000</v>
      </c>
      <c r="E10" s="479">
        <v>301326000</v>
      </c>
      <c r="F10" s="101">
        <v>4.0790000000000002E-3</v>
      </c>
      <c r="G10" s="480">
        <v>4.4990000000000004E-3</v>
      </c>
      <c r="H10" s="479">
        <v>314296265.514</v>
      </c>
      <c r="I10" s="479">
        <v>315631767.23400003</v>
      </c>
      <c r="J10" s="479">
        <v>1335501.7200000286</v>
      </c>
      <c r="K10" s="481">
        <v>4.2491810006585655E-3</v>
      </c>
    </row>
    <row r="11" spans="1:11">
      <c r="A11" s="477">
        <v>6</v>
      </c>
      <c r="B11" s="483" t="s">
        <v>126</v>
      </c>
      <c r="C11" s="453" t="s">
        <v>571</v>
      </c>
      <c r="D11" s="463">
        <v>1995365000</v>
      </c>
      <c r="E11" s="479">
        <v>174160000</v>
      </c>
      <c r="F11" s="101">
        <v>4.3269999999999992E-3</v>
      </c>
      <c r="G11" s="480">
        <v>4.7999999999999996E-3</v>
      </c>
      <c r="H11" s="479">
        <v>182793944.35499999</v>
      </c>
      <c r="I11" s="479">
        <v>183737752</v>
      </c>
      <c r="J11" s="479">
        <v>943807.64500001073</v>
      </c>
      <c r="K11" s="481">
        <v>5.1632325585527234E-3</v>
      </c>
    </row>
    <row r="12" spans="1:11">
      <c r="A12" s="477">
        <v>7</v>
      </c>
      <c r="B12" s="483" t="s">
        <v>128</v>
      </c>
      <c r="C12" s="462">
        <v>29</v>
      </c>
      <c r="D12" s="463">
        <v>15535000</v>
      </c>
      <c r="E12" s="479">
        <v>1224000</v>
      </c>
      <c r="F12" s="101">
        <v>4.0340000000000003E-3</v>
      </c>
      <c r="G12" s="480">
        <v>4.5799999999999999E-3</v>
      </c>
      <c r="H12" s="479">
        <v>1286668.19</v>
      </c>
      <c r="I12" s="479">
        <v>1295150.3</v>
      </c>
      <c r="J12" s="479">
        <v>8482.1100000001024</v>
      </c>
      <c r="K12" s="481">
        <v>6.5923056666226457E-3</v>
      </c>
    </row>
    <row r="13" spans="1:11">
      <c r="A13" s="477">
        <v>8</v>
      </c>
      <c r="B13" s="478"/>
      <c r="C13" s="462"/>
      <c r="D13" s="463"/>
      <c r="E13" s="479"/>
      <c r="F13" s="101"/>
      <c r="G13" s="480"/>
      <c r="H13" s="479"/>
      <c r="I13" s="479"/>
      <c r="J13" s="479"/>
      <c r="K13" s="481"/>
    </row>
    <row r="14" spans="1:11">
      <c r="A14" s="477">
        <v>9</v>
      </c>
      <c r="B14" s="478" t="s">
        <v>129</v>
      </c>
      <c r="C14" s="462"/>
      <c r="D14" s="463">
        <v>8214505000</v>
      </c>
      <c r="E14" s="479">
        <v>785326000</v>
      </c>
      <c r="F14" s="101">
        <v>4.1549999999999998E-3</v>
      </c>
      <c r="G14" s="480">
        <v>4.6249999999999998E-3</v>
      </c>
      <c r="H14" s="479">
        <v>819460166.25600004</v>
      </c>
      <c r="I14" s="479">
        <v>823314306.33299994</v>
      </c>
      <c r="J14" s="479">
        <v>3854140.0770000378</v>
      </c>
      <c r="K14" s="481">
        <v>4.7032671455027155E-3</v>
      </c>
    </row>
    <row r="15" spans="1:11">
      <c r="A15" s="477">
        <v>10</v>
      </c>
      <c r="B15" s="478"/>
      <c r="C15" s="462"/>
      <c r="D15" s="463"/>
      <c r="E15" s="479"/>
      <c r="F15" s="101"/>
      <c r="G15" s="480"/>
      <c r="H15" s="479"/>
      <c r="I15" s="479"/>
      <c r="J15" s="479"/>
      <c r="K15" s="481"/>
    </row>
    <row r="16" spans="1:11">
      <c r="A16" s="477">
        <v>11</v>
      </c>
      <c r="B16" s="483" t="s">
        <v>130</v>
      </c>
      <c r="C16" s="453" t="s">
        <v>572</v>
      </c>
      <c r="D16" s="463">
        <v>1353508000</v>
      </c>
      <c r="E16" s="479">
        <v>116603000</v>
      </c>
      <c r="F16" s="101">
        <v>4.0079999999999994E-3</v>
      </c>
      <c r="G16" s="480">
        <v>4.5519999999999996E-3</v>
      </c>
      <c r="H16" s="479">
        <v>122027860.064</v>
      </c>
      <c r="I16" s="479">
        <v>122764168.41599999</v>
      </c>
      <c r="J16" s="479">
        <v>736308.35199999809</v>
      </c>
      <c r="K16" s="481">
        <v>6.0339364438073912E-3</v>
      </c>
    </row>
    <row r="17" spans="1:11">
      <c r="A17" s="477">
        <v>12</v>
      </c>
      <c r="B17" s="483" t="s">
        <v>132</v>
      </c>
      <c r="C17" s="462">
        <v>35</v>
      </c>
      <c r="D17" s="463">
        <v>5247000</v>
      </c>
      <c r="E17" s="479">
        <v>259000</v>
      </c>
      <c r="F17" s="101">
        <v>2.7390000000000001E-3</v>
      </c>
      <c r="G17" s="480">
        <v>3.1359999999999999E-3</v>
      </c>
      <c r="H17" s="479">
        <v>273371.533</v>
      </c>
      <c r="I17" s="479">
        <v>275454.592</v>
      </c>
      <c r="J17" s="479">
        <v>2083.0590000000084</v>
      </c>
      <c r="K17" s="481">
        <v>7.6198826452058138E-3</v>
      </c>
    </row>
    <row r="18" spans="1:11">
      <c r="A18" s="477">
        <v>13</v>
      </c>
      <c r="B18" s="483" t="s">
        <v>133</v>
      </c>
      <c r="C18" s="462">
        <v>43</v>
      </c>
      <c r="D18" s="463">
        <v>121248000</v>
      </c>
      <c r="E18" s="479">
        <v>11408000</v>
      </c>
      <c r="F18" s="101">
        <v>3.8540000000000002E-3</v>
      </c>
      <c r="G18" s="480">
        <v>4.2500000000000003E-3</v>
      </c>
      <c r="H18" s="479">
        <v>11875289.791999999</v>
      </c>
      <c r="I18" s="479">
        <v>11923304</v>
      </c>
      <c r="J18" s="479">
        <v>48014.208000000566</v>
      </c>
      <c r="K18" s="481">
        <v>4.0432030578610549E-3</v>
      </c>
    </row>
    <row r="19" spans="1:11">
      <c r="A19" s="477">
        <v>14</v>
      </c>
      <c r="B19" s="484"/>
      <c r="C19" s="462"/>
      <c r="D19" s="463"/>
      <c r="E19" s="479"/>
      <c r="F19" s="101"/>
      <c r="G19" s="480"/>
      <c r="H19" s="479"/>
      <c r="I19" s="479"/>
      <c r="J19" s="479"/>
      <c r="K19" s="481"/>
    </row>
    <row r="20" spans="1:11">
      <c r="A20" s="477">
        <v>15</v>
      </c>
      <c r="B20" s="484" t="s">
        <v>134</v>
      </c>
      <c r="C20" s="462"/>
      <c r="D20" s="463">
        <v>1480003000</v>
      </c>
      <c r="E20" s="479">
        <v>128270000</v>
      </c>
      <c r="F20" s="101">
        <v>3.9909999999999998E-3</v>
      </c>
      <c r="G20" s="480">
        <v>4.522E-3</v>
      </c>
      <c r="H20" s="479">
        <v>134176521.389</v>
      </c>
      <c r="I20" s="479">
        <v>134962927.00799999</v>
      </c>
      <c r="J20" s="479">
        <v>786405.61899999867</v>
      </c>
      <c r="K20" s="481">
        <v>5.8609778436577459E-3</v>
      </c>
    </row>
    <row r="21" spans="1:11">
      <c r="A21" s="477">
        <v>16</v>
      </c>
      <c r="B21" s="484"/>
      <c r="C21" s="462"/>
      <c r="D21" s="463"/>
      <c r="E21" s="479"/>
      <c r="F21" s="101"/>
      <c r="G21" s="480"/>
      <c r="H21" s="479"/>
      <c r="I21" s="479"/>
      <c r="J21" s="479"/>
      <c r="K21" s="481"/>
    </row>
    <row r="22" spans="1:11">
      <c r="A22" s="477">
        <v>17</v>
      </c>
      <c r="B22" s="484" t="s">
        <v>135</v>
      </c>
      <c r="C22" s="462">
        <v>40</v>
      </c>
      <c r="D22" s="463">
        <v>665916000</v>
      </c>
      <c r="E22" s="479">
        <v>53700000</v>
      </c>
      <c r="F22" s="101">
        <v>4.2200000000000007E-3</v>
      </c>
      <c r="G22" s="480">
        <v>5.1419999999999999E-3</v>
      </c>
      <c r="H22" s="479">
        <v>56510165.520000003</v>
      </c>
      <c r="I22" s="479">
        <v>57124140.071999997</v>
      </c>
      <c r="J22" s="479">
        <v>613974.55199999362</v>
      </c>
      <c r="K22" s="481">
        <v>1.0864851418329265E-2</v>
      </c>
    </row>
    <row r="23" spans="1:11">
      <c r="A23" s="477">
        <v>18</v>
      </c>
      <c r="B23" s="484"/>
      <c r="C23" s="462"/>
      <c r="D23" s="463"/>
      <c r="E23" s="479"/>
      <c r="F23" s="101"/>
      <c r="G23" s="480"/>
      <c r="H23" s="479"/>
      <c r="I23" s="479"/>
      <c r="J23" s="479"/>
      <c r="K23" s="481"/>
    </row>
    <row r="24" spans="1:11">
      <c r="A24" s="477">
        <v>19</v>
      </c>
      <c r="B24" s="483" t="s">
        <v>136</v>
      </c>
      <c r="C24" s="462">
        <v>46</v>
      </c>
      <c r="D24" s="463">
        <v>60247000</v>
      </c>
      <c r="E24" s="479">
        <v>4285000</v>
      </c>
      <c r="F24" s="101">
        <v>2.836E-3</v>
      </c>
      <c r="G24" s="480">
        <v>2.9169999999999999E-3</v>
      </c>
      <c r="H24" s="479">
        <v>4455860.4919999996</v>
      </c>
      <c r="I24" s="479">
        <v>4460740.4989999998</v>
      </c>
      <c r="J24" s="479">
        <v>4880.0070000002161</v>
      </c>
      <c r="K24" s="481">
        <v>1.0951884621975315E-3</v>
      </c>
    </row>
    <row r="25" spans="1:11">
      <c r="A25" s="477">
        <v>20</v>
      </c>
      <c r="B25" s="482" t="s">
        <v>137</v>
      </c>
      <c r="C25" s="462">
        <v>49</v>
      </c>
      <c r="D25" s="463">
        <v>625691000</v>
      </c>
      <c r="E25" s="479">
        <v>43079000</v>
      </c>
      <c r="F25" s="101">
        <v>3.79E-3</v>
      </c>
      <c r="G25" s="480">
        <v>4.4260000000000002E-3</v>
      </c>
      <c r="H25" s="479">
        <v>45450368.890000001</v>
      </c>
      <c r="I25" s="479">
        <v>45848308.365999997</v>
      </c>
      <c r="J25" s="479">
        <v>397939.47599999607</v>
      </c>
      <c r="K25" s="481">
        <v>8.7554729635549947E-3</v>
      </c>
    </row>
    <row r="26" spans="1:11">
      <c r="A26" s="477">
        <v>21</v>
      </c>
      <c r="B26" s="478"/>
      <c r="C26" s="462"/>
      <c r="D26" s="463"/>
      <c r="E26" s="479"/>
      <c r="F26" s="101"/>
      <c r="G26" s="480"/>
      <c r="H26" s="479"/>
      <c r="I26" s="479"/>
      <c r="J26" s="479"/>
      <c r="K26" s="481"/>
    </row>
    <row r="27" spans="1:11">
      <c r="A27" s="477">
        <v>22</v>
      </c>
      <c r="B27" s="478" t="s">
        <v>138</v>
      </c>
      <c r="C27" s="462"/>
      <c r="D27" s="463">
        <v>685938000</v>
      </c>
      <c r="E27" s="479">
        <v>47364000</v>
      </c>
      <c r="F27" s="101">
        <v>3.7060000000000001E-3</v>
      </c>
      <c r="G27" s="101">
        <v>4.2929999999999999E-3</v>
      </c>
      <c r="H27" s="463">
        <v>49906229.381999999</v>
      </c>
      <c r="I27" s="463">
        <v>50309048.864999995</v>
      </c>
      <c r="J27" s="479">
        <v>402819.48299999628</v>
      </c>
      <c r="K27" s="481">
        <v>8.0715271016905104E-3</v>
      </c>
    </row>
    <row r="28" spans="1:11">
      <c r="A28" s="477">
        <v>23</v>
      </c>
      <c r="B28" s="478"/>
      <c r="C28" s="462"/>
      <c r="D28" s="463"/>
      <c r="E28" s="479"/>
      <c r="F28" s="101"/>
      <c r="G28" s="480"/>
      <c r="H28" s="463"/>
      <c r="I28" s="463"/>
      <c r="J28" s="479"/>
      <c r="K28" s="481"/>
    </row>
    <row r="29" spans="1:11">
      <c r="A29" s="477">
        <v>24</v>
      </c>
      <c r="B29" s="478" t="s">
        <v>573</v>
      </c>
      <c r="C29" s="462" t="s">
        <v>142</v>
      </c>
      <c r="D29" s="463">
        <v>2021501000</v>
      </c>
      <c r="E29" s="479">
        <v>10428000</v>
      </c>
      <c r="F29" s="101">
        <v>1.0820000000000001E-3</v>
      </c>
      <c r="G29" s="480">
        <v>1.0820000000000001E-3</v>
      </c>
      <c r="H29" s="479">
        <v>12615264.082</v>
      </c>
      <c r="I29" s="479">
        <v>12615264.082</v>
      </c>
      <c r="J29" s="479">
        <v>0</v>
      </c>
      <c r="K29" s="481">
        <v>0</v>
      </c>
    </row>
    <row r="30" spans="1:11">
      <c r="A30" s="477">
        <v>25</v>
      </c>
      <c r="B30" s="96"/>
      <c r="C30" s="462"/>
      <c r="D30" s="463"/>
      <c r="E30" s="479"/>
      <c r="F30" s="101"/>
      <c r="G30" s="480"/>
      <c r="H30" s="479"/>
      <c r="I30" s="479"/>
      <c r="J30" s="479"/>
      <c r="K30" s="481"/>
    </row>
    <row r="31" spans="1:11">
      <c r="A31" s="477">
        <v>26</v>
      </c>
      <c r="B31" s="96" t="s">
        <v>139</v>
      </c>
      <c r="C31" s="453" t="s">
        <v>21</v>
      </c>
      <c r="D31" s="463">
        <v>72916000</v>
      </c>
      <c r="E31" s="479">
        <v>19062000</v>
      </c>
      <c r="F31" s="101">
        <v>4.2750000000000002E-3</v>
      </c>
      <c r="G31" s="480">
        <v>6.2750000000000002E-3</v>
      </c>
      <c r="H31" s="479">
        <v>19373715.899999999</v>
      </c>
      <c r="I31" s="479">
        <v>19519547.899999999</v>
      </c>
      <c r="J31" s="479">
        <v>145832</v>
      </c>
      <c r="K31" s="481">
        <v>7.5273117843128899E-3</v>
      </c>
    </row>
    <row r="32" spans="1:11">
      <c r="A32" s="477">
        <v>27</v>
      </c>
      <c r="B32" s="96"/>
      <c r="C32" s="462"/>
      <c r="D32" s="463"/>
      <c r="E32" s="479"/>
      <c r="F32" s="101"/>
      <c r="G32" s="480"/>
      <c r="H32" s="479"/>
      <c r="I32" s="479"/>
      <c r="J32" s="479"/>
      <c r="K32" s="485"/>
    </row>
    <row r="33" spans="1:11">
      <c r="A33" s="477">
        <v>28</v>
      </c>
      <c r="B33" s="478" t="s">
        <v>23</v>
      </c>
      <c r="C33" s="462"/>
      <c r="D33" s="463">
        <v>23382114000</v>
      </c>
      <c r="E33" s="479">
        <v>2124638000</v>
      </c>
      <c r="F33" s="480">
        <v>4.2529999999999998E-3</v>
      </c>
      <c r="G33" s="480">
        <v>4.9569999999999996E-3</v>
      </c>
      <c r="H33" s="479">
        <v>2211459437.5019999</v>
      </c>
      <c r="I33" s="479">
        <v>2227934080.303</v>
      </c>
      <c r="J33" s="479">
        <v>16474642.80099996</v>
      </c>
      <c r="K33" s="481">
        <v>7.4496698974543417E-3</v>
      </c>
    </row>
    <row r="34" spans="1:11" ht="13.8" thickBot="1">
      <c r="A34" s="486"/>
      <c r="B34" s="487"/>
      <c r="C34" s="488"/>
      <c r="D34" s="489"/>
      <c r="E34" s="489"/>
      <c r="F34" s="490"/>
      <c r="G34" s="487"/>
      <c r="H34" s="489"/>
      <c r="I34" s="489"/>
      <c r="J34" s="487"/>
      <c r="K34" s="491"/>
    </row>
    <row r="35" spans="1:11">
      <c r="A35" s="96"/>
      <c r="B35" s="96"/>
      <c r="C35" s="462"/>
      <c r="D35" s="463"/>
      <c r="E35" s="463"/>
      <c r="F35" s="96"/>
      <c r="G35" s="96"/>
      <c r="H35" s="463"/>
      <c r="I35" s="463"/>
      <c r="J35" s="96"/>
      <c r="K35" s="96"/>
    </row>
    <row r="36" spans="1:11">
      <c r="A36" s="96"/>
      <c r="B36" s="634" t="s">
        <v>574</v>
      </c>
      <c r="C36" s="634"/>
      <c r="D36" s="634"/>
      <c r="E36" s="634"/>
      <c r="F36" s="634"/>
      <c r="G36" s="634"/>
      <c r="H36" s="634"/>
      <c r="I36" s="634"/>
      <c r="J36" s="634"/>
      <c r="K36" s="634"/>
    </row>
  </sheetData>
  <mergeCells count="1">
    <mergeCell ref="B36:K36"/>
  </mergeCells>
  <printOptions horizontalCentered="1"/>
  <pageMargins left="0.7" right="0.7" top="0.75" bottom="0.71" header="0.3" footer="0.3"/>
  <pageSetup scale="89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7"/>
  <sheetViews>
    <sheetView zoomScale="80" zoomScaleNormal="80" workbookViewId="0">
      <pane xSplit="2" ySplit="7" topLeftCell="C8" activePane="bottomRight" state="frozen"/>
      <selection activeCell="L29" sqref="L29"/>
      <selection pane="topRight" activeCell="L29" sqref="L29"/>
      <selection pane="bottomLeft" activeCell="L29" sqref="L29"/>
      <selection pane="bottomRight" activeCell="L29" sqref="L29"/>
    </sheetView>
  </sheetViews>
  <sheetFormatPr defaultRowHeight="13.2"/>
  <cols>
    <col min="1" max="1" width="22.5546875" style="1" bestFit="1" customWidth="1"/>
    <col min="2" max="2" width="11.5546875" style="1" bestFit="1" customWidth="1"/>
    <col min="3" max="4" width="15.109375" style="1" bestFit="1" customWidth="1"/>
    <col min="5" max="6" width="10.88671875" style="1" bestFit="1" customWidth="1"/>
    <col min="7" max="7" width="11.5546875" style="1" bestFit="1" customWidth="1"/>
    <col min="8" max="9" width="15.109375" style="1" bestFit="1" customWidth="1"/>
    <col min="10" max="10" width="11.44140625" style="1" bestFit="1" customWidth="1"/>
    <col min="11" max="11" width="8.5546875" style="1" bestFit="1" customWidth="1"/>
    <col min="12" max="16384" width="8.88671875" style="1"/>
  </cols>
  <sheetData>
    <row r="1" spans="1:11">
      <c r="A1" s="543" t="s">
        <v>615</v>
      </c>
      <c r="B1" s="209"/>
      <c r="C1" s="210"/>
      <c r="D1" s="210"/>
      <c r="E1" s="209"/>
      <c r="F1" s="209"/>
      <c r="G1" s="209"/>
      <c r="H1" s="210"/>
      <c r="I1" s="210"/>
      <c r="J1" s="209"/>
      <c r="K1" s="211"/>
    </row>
    <row r="2" spans="1:11">
      <c r="A2" s="544" t="s">
        <v>147</v>
      </c>
      <c r="B2" s="212"/>
      <c r="C2" s="213"/>
      <c r="D2" s="213"/>
      <c r="E2" s="212"/>
      <c r="F2" s="212"/>
      <c r="G2" s="212"/>
      <c r="H2" s="213"/>
      <c r="I2" s="213"/>
      <c r="J2" s="212"/>
      <c r="K2" s="214"/>
    </row>
    <row r="3" spans="1:11">
      <c r="A3" s="544" t="s">
        <v>148</v>
      </c>
      <c r="B3" s="212"/>
      <c r="C3" s="213"/>
      <c r="D3" s="213"/>
      <c r="E3" s="212"/>
      <c r="F3" s="212"/>
      <c r="G3" s="212"/>
      <c r="H3" s="213"/>
      <c r="I3" s="213"/>
      <c r="J3" s="212"/>
      <c r="K3" s="214"/>
    </row>
    <row r="4" spans="1:11">
      <c r="A4" s="544" t="s">
        <v>616</v>
      </c>
      <c r="B4" s="212"/>
      <c r="C4" s="213"/>
      <c r="D4" s="213"/>
      <c r="E4" s="212"/>
      <c r="F4" s="212"/>
      <c r="G4" s="212"/>
      <c r="H4" s="213"/>
      <c r="I4" s="213"/>
      <c r="J4" s="212"/>
      <c r="K4" s="214"/>
    </row>
    <row r="5" spans="1:11">
      <c r="A5" s="544"/>
      <c r="B5" s="212"/>
      <c r="C5" s="213"/>
      <c r="D5" s="213"/>
      <c r="E5" s="212"/>
      <c r="F5" s="212"/>
      <c r="G5" s="212"/>
      <c r="H5" s="213"/>
      <c r="I5" s="213"/>
      <c r="J5" s="212"/>
      <c r="K5" s="214"/>
    </row>
    <row r="6" spans="1:11" ht="93" thickBot="1">
      <c r="A6" s="215" t="s">
        <v>149</v>
      </c>
      <c r="B6" s="216" t="s">
        <v>150</v>
      </c>
      <c r="C6" s="97" t="s">
        <v>609</v>
      </c>
      <c r="D6" s="97" t="s">
        <v>610</v>
      </c>
      <c r="E6" s="217" t="s">
        <v>611</v>
      </c>
      <c r="F6" s="217" t="s">
        <v>612</v>
      </c>
      <c r="G6" s="217" t="s">
        <v>151</v>
      </c>
      <c r="H6" s="97" t="s">
        <v>613</v>
      </c>
      <c r="I6" s="97" t="s">
        <v>614</v>
      </c>
      <c r="J6" s="217" t="s">
        <v>152</v>
      </c>
      <c r="K6" s="218" t="s">
        <v>153</v>
      </c>
    </row>
    <row r="7" spans="1:11" ht="27" thickBot="1">
      <c r="A7" s="215"/>
      <c r="B7" s="216"/>
      <c r="C7" s="219" t="s">
        <v>154</v>
      </c>
      <c r="D7" s="219" t="s">
        <v>155</v>
      </c>
      <c r="E7" s="216" t="s">
        <v>156</v>
      </c>
      <c r="F7" s="216" t="s">
        <v>157</v>
      </c>
      <c r="G7" s="217" t="s">
        <v>158</v>
      </c>
      <c r="H7" s="97" t="s">
        <v>159</v>
      </c>
      <c r="I7" s="97" t="s">
        <v>160</v>
      </c>
      <c r="J7" s="217" t="s">
        <v>161</v>
      </c>
      <c r="K7" s="218" t="s">
        <v>162</v>
      </c>
    </row>
    <row r="8" spans="1:11">
      <c r="A8" s="220"/>
      <c r="B8" s="144"/>
      <c r="C8" s="221"/>
      <c r="D8" s="221"/>
      <c r="E8" s="141"/>
      <c r="F8" s="141"/>
      <c r="G8" s="141"/>
      <c r="H8" s="221"/>
      <c r="I8" s="221"/>
      <c r="J8" s="141"/>
      <c r="K8" s="222"/>
    </row>
    <row r="9" spans="1:11">
      <c r="A9" s="223" t="s">
        <v>16</v>
      </c>
      <c r="B9" s="144">
        <v>7</v>
      </c>
      <c r="C9" s="148">
        <v>10274594000</v>
      </c>
      <c r="D9" s="150">
        <v>1114810000</v>
      </c>
      <c r="E9" s="224">
        <v>9.1299999999999997E-4</v>
      </c>
      <c r="F9" s="224">
        <v>9.3700000000000001E-4</v>
      </c>
      <c r="G9" s="224">
        <v>2.4000000000000041E-5</v>
      </c>
      <c r="H9" s="152">
        <v>1124190704.322</v>
      </c>
      <c r="I9" s="152">
        <v>1124437294.5780001</v>
      </c>
      <c r="J9" s="152">
        <v>246590.25600004196</v>
      </c>
      <c r="K9" s="225">
        <v>2.1934913271566382E-4</v>
      </c>
    </row>
    <row r="10" spans="1:11">
      <c r="A10" s="223"/>
      <c r="B10" s="144"/>
      <c r="C10" s="148"/>
      <c r="D10" s="150"/>
      <c r="E10" s="226"/>
      <c r="F10" s="226"/>
      <c r="G10" s="224" t="s">
        <v>25</v>
      </c>
      <c r="H10" s="152"/>
      <c r="I10" s="152"/>
      <c r="J10" s="152"/>
      <c r="K10" s="225"/>
    </row>
    <row r="11" spans="1:11">
      <c r="A11" s="227" t="s">
        <v>122</v>
      </c>
      <c r="B11" s="228" t="s">
        <v>163</v>
      </c>
      <c r="C11" s="148">
        <v>3043338000</v>
      </c>
      <c r="D11" s="150">
        <v>314792000</v>
      </c>
      <c r="E11" s="224">
        <v>8.3500000000000002E-4</v>
      </c>
      <c r="F11" s="224">
        <v>8.5499999999999997E-4</v>
      </c>
      <c r="G11" s="224">
        <v>1.9999999999999944E-5</v>
      </c>
      <c r="H11" s="152">
        <v>317333187.23000002</v>
      </c>
      <c r="I11" s="152">
        <v>317394053.99000001</v>
      </c>
      <c r="J11" s="152">
        <v>60866.759999990463</v>
      </c>
      <c r="K11" s="225">
        <v>1.9180710511653741E-4</v>
      </c>
    </row>
    <row r="12" spans="1:11">
      <c r="A12" s="229" t="s">
        <v>124</v>
      </c>
      <c r="B12" s="230" t="s">
        <v>164</v>
      </c>
      <c r="C12" s="148">
        <v>3206200000</v>
      </c>
      <c r="D12" s="150">
        <v>308120000</v>
      </c>
      <c r="E12" s="224">
        <v>7.7700000000000002E-4</v>
      </c>
      <c r="F12" s="224">
        <v>7.94E-4</v>
      </c>
      <c r="G12" s="224">
        <v>1.699999999999998E-5</v>
      </c>
      <c r="H12" s="152">
        <v>310611217.39999998</v>
      </c>
      <c r="I12" s="152">
        <v>310665722.80000001</v>
      </c>
      <c r="J12" s="152">
        <v>54505.400000035763</v>
      </c>
      <c r="K12" s="225">
        <v>1.754778866528977E-4</v>
      </c>
    </row>
    <row r="13" spans="1:11">
      <c r="A13" s="229" t="s">
        <v>126</v>
      </c>
      <c r="B13" s="230" t="s">
        <v>165</v>
      </c>
      <c r="C13" s="148">
        <v>1993202000</v>
      </c>
      <c r="D13" s="150">
        <v>172854000</v>
      </c>
      <c r="E13" s="224">
        <v>7.1000000000000002E-4</v>
      </c>
      <c r="F13" s="224">
        <v>7.0699999999999995E-4</v>
      </c>
      <c r="G13" s="224">
        <v>-3.0000000000000729E-6</v>
      </c>
      <c r="H13" s="152">
        <v>174269173.41999999</v>
      </c>
      <c r="I13" s="152">
        <v>174263193.81400001</v>
      </c>
      <c r="J13" s="152">
        <v>-5979.6059999763966</v>
      </c>
      <c r="K13" s="225">
        <v>-3.4312471234170364E-5</v>
      </c>
    </row>
    <row r="14" spans="1:11">
      <c r="A14" s="229" t="s">
        <v>128</v>
      </c>
      <c r="B14" s="144">
        <v>29</v>
      </c>
      <c r="C14" s="148">
        <v>15635000</v>
      </c>
      <c r="D14" s="150">
        <v>1256000</v>
      </c>
      <c r="E14" s="224">
        <v>7.0699999999999995E-4</v>
      </c>
      <c r="F14" s="224">
        <v>7.1199999999999996E-4</v>
      </c>
      <c r="G14" s="224">
        <v>5.0000000000000131E-6</v>
      </c>
      <c r="H14" s="152">
        <v>1267053.9450000001</v>
      </c>
      <c r="I14" s="152">
        <v>1267132.1200000001</v>
      </c>
      <c r="J14" s="152">
        <v>78.175000000046566</v>
      </c>
      <c r="K14" s="225">
        <v>6.1698241269472206E-5</v>
      </c>
    </row>
    <row r="15" spans="1:11">
      <c r="A15" s="223"/>
      <c r="B15" s="144"/>
      <c r="C15" s="148"/>
      <c r="D15" s="150"/>
      <c r="E15" s="226"/>
      <c r="F15" s="226"/>
      <c r="G15" s="224" t="s">
        <v>25</v>
      </c>
      <c r="H15" s="152"/>
      <c r="I15" s="152"/>
      <c r="J15" s="152"/>
      <c r="K15" s="225"/>
    </row>
    <row r="16" spans="1:11">
      <c r="A16" s="223" t="s">
        <v>129</v>
      </c>
      <c r="B16" s="144"/>
      <c r="C16" s="148">
        <v>8258375000</v>
      </c>
      <c r="D16" s="150">
        <v>797022000</v>
      </c>
      <c r="E16" s="224">
        <v>7.8207056412429865E-4</v>
      </c>
      <c r="F16" s="224">
        <v>7.9532628683003342E-4</v>
      </c>
      <c r="G16" s="224">
        <v>1.3255722705734769E-5</v>
      </c>
      <c r="H16" s="152">
        <v>803480631.995</v>
      </c>
      <c r="I16" s="152">
        <v>803590102.72399998</v>
      </c>
      <c r="J16" s="152">
        <v>109470.72900004988</v>
      </c>
      <c r="K16" s="225">
        <v>1.3624563510415905E-4</v>
      </c>
    </row>
    <row r="17" spans="1:11">
      <c r="A17" s="223"/>
      <c r="B17" s="144"/>
      <c r="C17" s="148"/>
      <c r="D17" s="150"/>
      <c r="E17" s="226"/>
      <c r="F17" s="226"/>
      <c r="G17" s="224" t="s">
        <v>25</v>
      </c>
      <c r="H17" s="152"/>
      <c r="I17" s="152"/>
      <c r="J17" s="152"/>
      <c r="K17" s="225"/>
    </row>
    <row r="18" spans="1:11">
      <c r="A18" s="229" t="s">
        <v>130</v>
      </c>
      <c r="B18" s="228" t="s">
        <v>166</v>
      </c>
      <c r="C18" s="148">
        <v>1348358000</v>
      </c>
      <c r="D18" s="150">
        <v>114709000</v>
      </c>
      <c r="E18" s="224">
        <v>7.0500000000000001E-4</v>
      </c>
      <c r="F18" s="224">
        <v>6.96E-4</v>
      </c>
      <c r="G18" s="224">
        <v>-9.0000000000000019E-6</v>
      </c>
      <c r="H18" s="152">
        <v>115659592.39</v>
      </c>
      <c r="I18" s="152">
        <v>115647457.168</v>
      </c>
      <c r="J18" s="152">
        <v>-12135.222000002861</v>
      </c>
      <c r="K18" s="225">
        <v>-1.0492188109295187E-4</v>
      </c>
    </row>
    <row r="19" spans="1:11">
      <c r="A19" s="229" t="s">
        <v>132</v>
      </c>
      <c r="B19" s="144">
        <v>35</v>
      </c>
      <c r="C19" s="148">
        <v>5346000</v>
      </c>
      <c r="D19" s="150">
        <v>272000</v>
      </c>
      <c r="E19" s="224">
        <v>9.3999999999999997E-4</v>
      </c>
      <c r="F19" s="224">
        <v>4.64E-4</v>
      </c>
      <c r="G19" s="224">
        <v>-4.7599999999999997E-4</v>
      </c>
      <c r="H19" s="152">
        <v>277025.24</v>
      </c>
      <c r="I19" s="152">
        <v>274480.54399999999</v>
      </c>
      <c r="J19" s="152">
        <v>-2544.6959999999963</v>
      </c>
      <c r="K19" s="225">
        <v>-9.1857911575132876E-3</v>
      </c>
    </row>
    <row r="20" spans="1:11">
      <c r="A20" s="229" t="s">
        <v>133</v>
      </c>
      <c r="B20" s="144">
        <v>43</v>
      </c>
      <c r="C20" s="148">
        <v>121622000</v>
      </c>
      <c r="D20" s="150">
        <v>11584000</v>
      </c>
      <c r="E20" s="224">
        <v>7.7700000000000002E-4</v>
      </c>
      <c r="F20" s="224">
        <v>7.6999999999999996E-4</v>
      </c>
      <c r="G20" s="224">
        <v>-7.0000000000000617E-6</v>
      </c>
      <c r="H20" s="152">
        <v>11678500.294</v>
      </c>
      <c r="I20" s="152">
        <v>11677648.939999999</v>
      </c>
      <c r="J20" s="152">
        <v>-851.35400000028312</v>
      </c>
      <c r="K20" s="225">
        <v>-7.2899257487511355E-5</v>
      </c>
    </row>
    <row r="21" spans="1:11">
      <c r="A21" s="231"/>
      <c r="B21" s="144"/>
      <c r="C21" s="148"/>
      <c r="D21" s="150"/>
      <c r="E21" s="226"/>
      <c r="F21" s="226"/>
      <c r="G21" s="224" t="s">
        <v>25</v>
      </c>
      <c r="H21" s="152"/>
      <c r="I21" s="152"/>
      <c r="J21" s="152"/>
      <c r="K21" s="225"/>
    </row>
    <row r="22" spans="1:11">
      <c r="A22" s="231" t="s">
        <v>134</v>
      </c>
      <c r="B22" s="144"/>
      <c r="C22" s="148">
        <v>1475326000</v>
      </c>
      <c r="D22" s="150">
        <v>126565000</v>
      </c>
      <c r="E22" s="224">
        <v>7.1178703825459249E-4</v>
      </c>
      <c r="F22" s="224">
        <v>7.0125968904499421E-4</v>
      </c>
      <c r="G22" s="224">
        <v>-1.052734920959828E-5</v>
      </c>
      <c r="H22" s="152">
        <v>127615117.92399999</v>
      </c>
      <c r="I22" s="152">
        <v>127599586.652</v>
      </c>
      <c r="J22" s="152">
        <v>-15531.27200000314</v>
      </c>
      <c r="K22" s="225">
        <v>-1.2170401322868852E-4</v>
      </c>
    </row>
    <row r="23" spans="1:11">
      <c r="A23" s="231"/>
      <c r="B23" s="144"/>
      <c r="C23" s="148"/>
      <c r="D23" s="150"/>
      <c r="E23" s="226"/>
      <c r="F23" s="226"/>
      <c r="G23" s="224" t="s">
        <v>25</v>
      </c>
      <c r="H23" s="152"/>
      <c r="I23" s="152"/>
      <c r="J23" s="152"/>
      <c r="K23" s="225"/>
    </row>
    <row r="24" spans="1:11">
      <c r="A24" s="223" t="s">
        <v>167</v>
      </c>
      <c r="B24" s="144">
        <v>40</v>
      </c>
      <c r="C24" s="148">
        <v>667128000</v>
      </c>
      <c r="D24" s="150">
        <v>55262000</v>
      </c>
      <c r="E24" s="224">
        <v>6.1399999999999996E-4</v>
      </c>
      <c r="F24" s="224">
        <v>6.7000000000000002E-4</v>
      </c>
      <c r="G24" s="224">
        <v>5.600000000000006E-5</v>
      </c>
      <c r="H24" s="152">
        <v>55671616.592</v>
      </c>
      <c r="I24" s="152">
        <v>55708975.759999998</v>
      </c>
      <c r="J24" s="152">
        <v>37359.167999997735</v>
      </c>
      <c r="K24" s="225">
        <v>6.7106310696510719E-4</v>
      </c>
    </row>
    <row r="25" spans="1:11">
      <c r="A25" s="231"/>
      <c r="B25" s="144"/>
      <c r="C25" s="148"/>
      <c r="D25" s="150"/>
      <c r="E25" s="226"/>
      <c r="F25" s="226"/>
      <c r="G25" s="224" t="s">
        <v>25</v>
      </c>
      <c r="H25" s="152"/>
      <c r="I25" s="152"/>
      <c r="J25" s="152"/>
      <c r="K25" s="225"/>
    </row>
    <row r="26" spans="1:11">
      <c r="A26" s="229" t="s">
        <v>136</v>
      </c>
      <c r="B26" s="144">
        <v>46</v>
      </c>
      <c r="C26" s="148">
        <v>68729000</v>
      </c>
      <c r="D26" s="150">
        <v>4972000</v>
      </c>
      <c r="E26" s="224">
        <v>6.0999999999999997E-4</v>
      </c>
      <c r="F26" s="224">
        <v>5.9800000000000001E-4</v>
      </c>
      <c r="G26" s="224">
        <v>-1.1999999999999966E-5</v>
      </c>
      <c r="H26" s="152">
        <v>5013924.6900000004</v>
      </c>
      <c r="I26" s="152">
        <v>5013099.9419999998</v>
      </c>
      <c r="J26" s="152">
        <v>-824.7480000006035</v>
      </c>
      <c r="K26" s="225">
        <v>-1.6449150136728588E-4</v>
      </c>
    </row>
    <row r="27" spans="1:11">
      <c r="A27" s="227" t="s">
        <v>137</v>
      </c>
      <c r="B27" s="144">
        <v>49</v>
      </c>
      <c r="C27" s="148">
        <v>625464000</v>
      </c>
      <c r="D27" s="150">
        <v>44217000</v>
      </c>
      <c r="E27" s="224">
        <v>5.5999999999999995E-4</v>
      </c>
      <c r="F27" s="224">
        <v>5.7600000000000001E-4</v>
      </c>
      <c r="G27" s="224">
        <v>1.6000000000000064E-5</v>
      </c>
      <c r="H27" s="152">
        <v>44567259.840000004</v>
      </c>
      <c r="I27" s="152">
        <v>44577267.263999999</v>
      </c>
      <c r="J27" s="152">
        <v>10007.423999994993</v>
      </c>
      <c r="K27" s="225">
        <v>2.2454654012659604E-4</v>
      </c>
    </row>
    <row r="28" spans="1:11">
      <c r="A28" s="223"/>
      <c r="B28" s="144"/>
      <c r="C28" s="148"/>
      <c r="D28" s="150"/>
      <c r="E28" s="226"/>
      <c r="F28" s="226"/>
      <c r="G28" s="224" t="s">
        <v>25</v>
      </c>
      <c r="H28" s="152"/>
      <c r="I28" s="152"/>
      <c r="J28" s="152"/>
      <c r="K28" s="225"/>
    </row>
    <row r="29" spans="1:11">
      <c r="A29" s="223" t="s">
        <v>138</v>
      </c>
      <c r="B29" s="144"/>
      <c r="C29" s="148">
        <v>694193000</v>
      </c>
      <c r="D29" s="150">
        <v>49189000</v>
      </c>
      <c r="E29" s="224">
        <v>5.6495028039752805E-4</v>
      </c>
      <c r="F29" s="224">
        <v>5.781781233749119E-4</v>
      </c>
      <c r="G29" s="224">
        <v>1.3227842977383848E-5</v>
      </c>
      <c r="H29" s="221">
        <v>49581184.530000001</v>
      </c>
      <c r="I29" s="221">
        <v>49590367.206</v>
      </c>
      <c r="J29" s="152">
        <v>9182.6759999943897</v>
      </c>
      <c r="K29" s="225">
        <v>1.852048531522728E-4</v>
      </c>
    </row>
    <row r="30" spans="1:11">
      <c r="A30" s="223"/>
      <c r="B30" s="144"/>
      <c r="C30" s="148"/>
      <c r="D30" s="150"/>
      <c r="E30" s="226"/>
      <c r="F30" s="226"/>
      <c r="G30" s="224"/>
      <c r="H30" s="221"/>
      <c r="I30" s="221"/>
      <c r="J30" s="152"/>
      <c r="K30" s="225"/>
    </row>
    <row r="31" spans="1:11">
      <c r="A31" s="223" t="s">
        <v>139</v>
      </c>
      <c r="B31" s="230" t="s">
        <v>168</v>
      </c>
      <c r="C31" s="148">
        <v>72060000</v>
      </c>
      <c r="D31" s="150">
        <v>18998000</v>
      </c>
      <c r="E31" s="224">
        <v>1.98E-3</v>
      </c>
      <c r="F31" s="224">
        <v>2.1689999999999999E-3</v>
      </c>
      <c r="G31" s="224">
        <v>1.8899999999999993E-4</v>
      </c>
      <c r="H31" s="152">
        <v>19140678.800000001</v>
      </c>
      <c r="I31" s="152">
        <v>19154298.140000001</v>
      </c>
      <c r="J31" s="152">
        <v>13619.339999999851</v>
      </c>
      <c r="K31" s="225">
        <v>7.1153902859494463E-4</v>
      </c>
    </row>
    <row r="32" spans="1:11">
      <c r="A32" s="223"/>
      <c r="B32" s="144"/>
      <c r="C32" s="148"/>
      <c r="D32" s="150"/>
      <c r="E32" s="141"/>
      <c r="F32" s="141"/>
      <c r="G32" s="224" t="s">
        <v>25</v>
      </c>
      <c r="H32" s="152"/>
      <c r="I32" s="152"/>
      <c r="J32" s="152"/>
      <c r="K32" s="225"/>
    </row>
    <row r="33" spans="1:11">
      <c r="A33" s="223" t="s">
        <v>169</v>
      </c>
      <c r="B33" s="230" t="s">
        <v>142</v>
      </c>
      <c r="C33" s="148">
        <v>2022739000</v>
      </c>
      <c r="D33" s="150">
        <v>10384000</v>
      </c>
      <c r="E33" s="224">
        <v>3.1999999999999999E-5</v>
      </c>
      <c r="F33" s="224">
        <v>3.3000000000000003E-5</v>
      </c>
      <c r="G33" s="224">
        <v>1.000000000000004E-6</v>
      </c>
      <c r="H33" s="152">
        <v>10448727.648</v>
      </c>
      <c r="I33" s="152">
        <v>10450750.387</v>
      </c>
      <c r="J33" s="152">
        <v>2022.7390000000596</v>
      </c>
      <c r="K33" s="225">
        <v>1.9358711109550584E-4</v>
      </c>
    </row>
    <row r="34" spans="1:11">
      <c r="A34" s="223"/>
      <c r="B34" s="144"/>
      <c r="C34" s="148"/>
      <c r="D34" s="150"/>
      <c r="E34" s="226"/>
      <c r="F34" s="226"/>
      <c r="G34" s="224" t="s">
        <v>25</v>
      </c>
      <c r="H34" s="152"/>
      <c r="I34" s="152"/>
      <c r="J34" s="152"/>
      <c r="K34" s="225"/>
    </row>
    <row r="35" spans="1:11">
      <c r="A35" s="223" t="s">
        <v>23</v>
      </c>
      <c r="B35" s="144"/>
      <c r="C35" s="221">
        <v>23464415000</v>
      </c>
      <c r="D35" s="152">
        <v>2172230000</v>
      </c>
      <c r="E35" s="224">
        <v>7.6280025779461671E-4</v>
      </c>
      <c r="F35" s="224">
        <v>7.799629970318896E-4</v>
      </c>
      <c r="G35" s="224">
        <v>1.7162739237272886E-5</v>
      </c>
      <c r="H35" s="152">
        <v>2190128661.8109999</v>
      </c>
      <c r="I35" s="152">
        <v>2190531375.447</v>
      </c>
      <c r="J35" s="152">
        <v>402713.63600008073</v>
      </c>
      <c r="K35" s="225">
        <v>1.8387670232445616E-4</v>
      </c>
    </row>
    <row r="36" spans="1:11" ht="13.8" thickBot="1">
      <c r="A36" s="232"/>
      <c r="B36" s="233"/>
      <c r="C36" s="234"/>
      <c r="D36" s="234"/>
      <c r="E36" s="235"/>
      <c r="F36" s="235"/>
      <c r="G36" s="235"/>
      <c r="H36" s="234"/>
      <c r="I36" s="234"/>
      <c r="J36" s="236"/>
      <c r="K36" s="237"/>
    </row>
    <row r="37" spans="1:11">
      <c r="A37" s="147"/>
      <c r="B37" s="144"/>
      <c r="C37" s="221"/>
      <c r="D37" s="221"/>
      <c r="E37" s="141"/>
      <c r="F37" s="141"/>
      <c r="G37" s="141"/>
      <c r="H37" s="221"/>
      <c r="I37" s="221"/>
      <c r="J37" s="141"/>
      <c r="K37" s="141"/>
    </row>
  </sheetData>
  <printOptions horizontalCentered="1"/>
  <pageMargins left="0.7" right="0.7" top="0.75" bottom="0.71" header="0.3" footer="0.3"/>
  <pageSetup scale="8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1"/>
  <sheetViews>
    <sheetView zoomScale="90" zoomScaleNormal="90" workbookViewId="0">
      <selection activeCell="L29" sqref="L29"/>
    </sheetView>
  </sheetViews>
  <sheetFormatPr defaultRowHeight="13.2"/>
  <cols>
    <col min="1" max="1" width="7.77734375" bestFit="1" customWidth="1"/>
    <col min="2" max="2" width="60.5546875" bestFit="1" customWidth="1"/>
    <col min="3" max="3" width="13.88671875" bestFit="1" customWidth="1"/>
    <col min="4" max="5" width="15.109375" bestFit="1" customWidth="1"/>
    <col min="6" max="7" width="11.5546875" bestFit="1" customWidth="1"/>
    <col min="8" max="9" width="15.109375" bestFit="1" customWidth="1"/>
    <col min="10" max="10" width="9.88671875" bestFit="1" customWidth="1"/>
    <col min="11" max="11" width="8" bestFit="1" customWidth="1"/>
  </cols>
  <sheetData>
    <row r="1" spans="1:11">
      <c r="A1" s="632" t="s">
        <v>0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</row>
    <row r="2" spans="1:11">
      <c r="A2" s="633" t="s">
        <v>230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</row>
    <row r="3" spans="1:11">
      <c r="A3" s="633" t="s">
        <v>231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</row>
    <row r="4" spans="1:11">
      <c r="A4" s="632" t="s">
        <v>232</v>
      </c>
      <c r="B4" s="632"/>
      <c r="C4" s="632"/>
      <c r="D4" s="632"/>
      <c r="E4" s="632"/>
      <c r="F4" s="632"/>
      <c r="G4" s="632"/>
      <c r="H4" s="632"/>
      <c r="I4" s="632"/>
      <c r="J4" s="632"/>
      <c r="K4" s="632"/>
    </row>
    <row r="5" spans="1:11">
      <c r="A5" s="166"/>
    </row>
    <row r="7" spans="1:11" ht="79.2">
      <c r="A7" s="269" t="s">
        <v>3</v>
      </c>
      <c r="B7" s="269" t="s">
        <v>45</v>
      </c>
      <c r="C7" s="269" t="s">
        <v>233</v>
      </c>
      <c r="D7" s="270" t="s">
        <v>628</v>
      </c>
      <c r="E7" s="270" t="s">
        <v>629</v>
      </c>
      <c r="F7" s="270" t="s">
        <v>626</v>
      </c>
      <c r="G7" s="271" t="s">
        <v>627</v>
      </c>
      <c r="H7" s="269" t="s">
        <v>234</v>
      </c>
      <c r="I7" s="270" t="s">
        <v>235</v>
      </c>
      <c r="J7" s="270" t="s">
        <v>236</v>
      </c>
      <c r="K7" s="269" t="s">
        <v>237</v>
      </c>
    </row>
    <row r="8" spans="1:11">
      <c r="A8" s="272" t="s">
        <v>114</v>
      </c>
      <c r="B8" s="272" t="s">
        <v>115</v>
      </c>
      <c r="C8" s="272" t="s">
        <v>116</v>
      </c>
      <c r="D8" s="273" t="s">
        <v>117</v>
      </c>
      <c r="E8" s="272" t="s">
        <v>238</v>
      </c>
      <c r="F8" s="272" t="s">
        <v>239</v>
      </c>
      <c r="G8" s="274" t="s">
        <v>240</v>
      </c>
      <c r="H8" s="275" t="s">
        <v>241</v>
      </c>
      <c r="I8" s="275" t="s">
        <v>242</v>
      </c>
      <c r="J8" s="273" t="s">
        <v>243</v>
      </c>
      <c r="K8" s="276" t="s">
        <v>244</v>
      </c>
    </row>
    <row r="9" spans="1:11">
      <c r="A9" s="272"/>
      <c r="B9" s="272"/>
      <c r="C9" s="272"/>
      <c r="D9" s="276"/>
      <c r="E9" s="272"/>
      <c r="F9" s="272"/>
      <c r="G9" s="274"/>
      <c r="H9" s="272"/>
      <c r="I9" s="272"/>
      <c r="J9" s="276"/>
      <c r="K9" s="276"/>
    </row>
    <row r="10" spans="1:11">
      <c r="A10" s="277">
        <v>1</v>
      </c>
      <c r="B10" t="s">
        <v>16</v>
      </c>
      <c r="C10" s="277">
        <v>7</v>
      </c>
      <c r="D10" s="278">
        <v>10589868000</v>
      </c>
      <c r="E10" s="279">
        <v>1156336000</v>
      </c>
      <c r="F10" s="280">
        <v>-3.6600000000000001E-4</v>
      </c>
      <c r="G10" s="281">
        <v>-3.4600000000000001E-4</v>
      </c>
      <c r="H10" s="282">
        <v>1152460108</v>
      </c>
      <c r="I10" s="282">
        <v>1152671906</v>
      </c>
      <c r="J10" s="279">
        <v>211798</v>
      </c>
      <c r="K10" s="547">
        <v>1.8377902933886195E-4</v>
      </c>
    </row>
    <row r="11" spans="1:11">
      <c r="A11" s="277">
        <v>2</v>
      </c>
      <c r="B11" s="166" t="s">
        <v>245</v>
      </c>
      <c r="C11" s="277" t="s">
        <v>123</v>
      </c>
      <c r="D11" s="278">
        <v>2956760000</v>
      </c>
      <c r="E11" s="279">
        <v>309034000</v>
      </c>
      <c r="F11" s="280">
        <v>-2.6600000000000001E-4</v>
      </c>
      <c r="G11" s="281">
        <v>-2.63E-4</v>
      </c>
      <c r="H11" s="282">
        <v>308247502</v>
      </c>
      <c r="I11" s="282">
        <v>308256372</v>
      </c>
      <c r="J11" s="279">
        <v>8870</v>
      </c>
      <c r="K11" s="547">
        <v>2.8775577879622201E-5</v>
      </c>
    </row>
    <row r="12" spans="1:11">
      <c r="A12" s="277">
        <v>3</v>
      </c>
      <c r="B12" s="166" t="s">
        <v>246</v>
      </c>
      <c r="C12" s="283" t="s">
        <v>247</v>
      </c>
      <c r="D12" s="278">
        <v>2962293000</v>
      </c>
      <c r="E12" s="279">
        <v>288521000</v>
      </c>
      <c r="F12" s="280">
        <v>-2.4000000000000001E-4</v>
      </c>
      <c r="G12" s="281">
        <v>-2.4499999999999999E-4</v>
      </c>
      <c r="H12" s="282">
        <v>287810050</v>
      </c>
      <c r="I12" s="282">
        <v>287795238</v>
      </c>
      <c r="J12" s="279">
        <v>-14812</v>
      </c>
      <c r="K12" s="547">
        <v>-5.1464498894322833E-5</v>
      </c>
    </row>
    <row r="13" spans="1:11">
      <c r="A13" s="277">
        <v>4</v>
      </c>
      <c r="B13" s="166" t="s">
        <v>248</v>
      </c>
      <c r="C13" s="277" t="s">
        <v>197</v>
      </c>
      <c r="D13" s="278">
        <v>1891461000</v>
      </c>
      <c r="E13" s="279">
        <v>165868000</v>
      </c>
      <c r="F13" s="280">
        <v>-2.0900000000000001E-4</v>
      </c>
      <c r="G13" s="281">
        <v>-2.02E-4</v>
      </c>
      <c r="H13" s="282">
        <v>165472685</v>
      </c>
      <c r="I13" s="282">
        <v>165485925</v>
      </c>
      <c r="J13" s="279">
        <v>13240</v>
      </c>
      <c r="K13" s="547">
        <v>8.0013205804933907E-5</v>
      </c>
    </row>
    <row r="14" spans="1:11">
      <c r="A14" s="277">
        <v>5</v>
      </c>
      <c r="B14" s="284" t="s">
        <v>189</v>
      </c>
      <c r="C14" s="283" t="s">
        <v>249</v>
      </c>
      <c r="D14" s="278">
        <v>1428898000</v>
      </c>
      <c r="E14" s="279">
        <v>124017000</v>
      </c>
      <c r="F14" s="280">
        <v>-2.34E-4</v>
      </c>
      <c r="G14" s="281">
        <v>-2.3800000000000001E-4</v>
      </c>
      <c r="H14" s="282">
        <v>123682638</v>
      </c>
      <c r="I14" s="282">
        <v>123676922</v>
      </c>
      <c r="J14" s="279">
        <v>-5716</v>
      </c>
      <c r="K14" s="547">
        <v>-4.6215055665290706E-5</v>
      </c>
    </row>
    <row r="15" spans="1:11">
      <c r="A15" s="277">
        <v>6</v>
      </c>
      <c r="B15" s="284" t="s">
        <v>250</v>
      </c>
      <c r="C15" s="277">
        <v>40</v>
      </c>
      <c r="D15" s="278">
        <v>681789000</v>
      </c>
      <c r="E15" s="279">
        <v>57022000</v>
      </c>
      <c r="F15" s="280">
        <v>-1.2899999999999999E-4</v>
      </c>
      <c r="G15" s="281">
        <v>-1.3100000000000001E-4</v>
      </c>
      <c r="H15" s="282">
        <v>56934049</v>
      </c>
      <c r="I15" s="282">
        <v>56932686</v>
      </c>
      <c r="J15" s="279">
        <v>-1363</v>
      </c>
      <c r="K15" s="547">
        <v>-2.3939980098727917E-5</v>
      </c>
    </row>
    <row r="16" spans="1:11">
      <c r="A16" s="277">
        <v>7</v>
      </c>
      <c r="B16" s="284" t="s">
        <v>192</v>
      </c>
      <c r="C16" s="277" t="s">
        <v>251</v>
      </c>
      <c r="D16" s="278">
        <v>648998000</v>
      </c>
      <c r="E16" s="279">
        <v>46431000</v>
      </c>
      <c r="F16" s="280">
        <v>-8.5000000000000006E-5</v>
      </c>
      <c r="G16" s="281">
        <v>-1.1E-4</v>
      </c>
      <c r="H16" s="282">
        <v>46375835</v>
      </c>
      <c r="I16" s="282">
        <v>46359610</v>
      </c>
      <c r="J16" s="279">
        <v>-16225</v>
      </c>
      <c r="K16" s="547">
        <v>-3.4985892976374444E-4</v>
      </c>
    </row>
    <row r="17" spans="1:11">
      <c r="A17" s="277">
        <v>8</v>
      </c>
      <c r="B17" s="284" t="s">
        <v>169</v>
      </c>
      <c r="C17" s="277">
        <v>449</v>
      </c>
      <c r="D17" s="278">
        <v>2089170000</v>
      </c>
      <c r="E17" s="279">
        <v>10853000</v>
      </c>
      <c r="F17" s="280">
        <v>-3.1000000000000001E-5</v>
      </c>
      <c r="G17" s="281">
        <v>-2.8E-5</v>
      </c>
      <c r="H17" s="282">
        <v>10788236</v>
      </c>
      <c r="I17" s="282">
        <v>10794503</v>
      </c>
      <c r="J17" s="279">
        <v>6267</v>
      </c>
      <c r="K17" s="547">
        <v>5.8091053996223293E-4</v>
      </c>
    </row>
    <row r="18" spans="1:11">
      <c r="A18" s="277">
        <v>9</v>
      </c>
      <c r="B18" t="s">
        <v>194</v>
      </c>
      <c r="C18" s="277" t="s">
        <v>21</v>
      </c>
      <c r="D18" s="278">
        <v>76423000</v>
      </c>
      <c r="E18" s="279">
        <v>20326000</v>
      </c>
      <c r="F18" s="280">
        <v>-1.5399999999999999E-3</v>
      </c>
      <c r="G18" s="281">
        <v>-1.395E-3</v>
      </c>
      <c r="H18" s="282">
        <v>20208309</v>
      </c>
      <c r="I18" s="282">
        <v>20219390</v>
      </c>
      <c r="J18" s="279">
        <v>11081</v>
      </c>
      <c r="K18" s="547">
        <v>5.4833880459765336E-4</v>
      </c>
    </row>
    <row r="19" spans="1:11">
      <c r="A19" s="277">
        <v>10</v>
      </c>
      <c r="B19" t="s">
        <v>99</v>
      </c>
      <c r="C19" s="277"/>
      <c r="D19" s="278">
        <v>6991000</v>
      </c>
      <c r="E19" s="279">
        <v>277000</v>
      </c>
      <c r="F19" s="280">
        <v>0</v>
      </c>
      <c r="G19" s="281">
        <v>0</v>
      </c>
      <c r="H19" s="282">
        <v>277000</v>
      </c>
      <c r="I19" s="282">
        <v>277000</v>
      </c>
      <c r="J19" s="279">
        <v>0</v>
      </c>
      <c r="K19" s="547">
        <v>0</v>
      </c>
    </row>
    <row r="20" spans="1:11">
      <c r="A20" s="277">
        <v>11</v>
      </c>
      <c r="C20" s="277"/>
      <c r="D20" s="278"/>
      <c r="E20" s="277"/>
      <c r="F20" s="277"/>
      <c r="G20" s="285"/>
      <c r="H20" s="277"/>
      <c r="I20" s="277"/>
      <c r="K20" s="548"/>
    </row>
    <row r="21" spans="1:11">
      <c r="A21" s="277">
        <v>12</v>
      </c>
      <c r="B21" s="166" t="s">
        <v>23</v>
      </c>
      <c r="C21" s="277"/>
      <c r="D21" s="278">
        <v>23332651000</v>
      </c>
      <c r="E21" s="286">
        <v>2178685000</v>
      </c>
      <c r="F21" s="286"/>
      <c r="G21" s="287"/>
      <c r="H21" s="286">
        <v>2172256412</v>
      </c>
      <c r="I21" s="286">
        <v>2172469552</v>
      </c>
      <c r="J21" s="167">
        <v>213140</v>
      </c>
      <c r="K21" s="547">
        <v>9.7829654126227523E-5</v>
      </c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4"/>
  <sheetViews>
    <sheetView topLeftCell="G1" workbookViewId="0">
      <selection activeCell="L29" sqref="L29"/>
    </sheetView>
  </sheetViews>
  <sheetFormatPr defaultRowHeight="13.2"/>
  <cols>
    <col min="1" max="1" width="7.77734375" bestFit="1" customWidth="1"/>
    <col min="2" max="2" width="22.5546875" bestFit="1" customWidth="1"/>
    <col min="3" max="3" width="10.5546875" bestFit="1" customWidth="1"/>
    <col min="4" max="5" width="15.109375" bestFit="1" customWidth="1"/>
    <col min="6" max="7" width="11.5546875" bestFit="1" customWidth="1"/>
    <col min="8" max="9" width="15.109375" bestFit="1" customWidth="1"/>
    <col min="10" max="10" width="11.44140625" bestFit="1" customWidth="1"/>
  </cols>
  <sheetData>
    <row r="1" spans="1:11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>
      <c r="A2" s="171" t="s">
        <v>254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>
      <c r="A3" s="174"/>
      <c r="B3" s="159"/>
      <c r="C3" s="175"/>
      <c r="D3" s="148"/>
      <c r="E3" s="148"/>
      <c r="F3" s="148"/>
      <c r="G3" s="159"/>
      <c r="H3" s="159"/>
      <c r="I3" s="148"/>
      <c r="J3" s="159"/>
      <c r="K3" s="176"/>
    </row>
    <row r="4" spans="1:11">
      <c r="A4" s="184"/>
      <c r="B4" s="185"/>
      <c r="C4" s="185"/>
      <c r="D4" s="186"/>
      <c r="E4" s="186"/>
      <c r="F4" s="187"/>
      <c r="G4" s="185"/>
      <c r="H4" s="186"/>
      <c r="I4" s="186"/>
      <c r="J4" s="185"/>
      <c r="K4" s="188"/>
    </row>
    <row r="5" spans="1:11">
      <c r="A5" s="177"/>
      <c r="B5" s="100"/>
      <c r="C5" s="100"/>
      <c r="D5" s="178"/>
      <c r="E5" s="178"/>
      <c r="F5" s="178"/>
      <c r="G5" s="179"/>
      <c r="H5" s="178"/>
      <c r="I5" s="178"/>
      <c r="J5" s="179"/>
      <c r="K5" s="180"/>
    </row>
    <row r="6" spans="1:11" ht="66.599999999999994" thickBot="1">
      <c r="A6" s="181" t="s">
        <v>3</v>
      </c>
      <c r="B6" s="182" t="s">
        <v>104</v>
      </c>
      <c r="C6" s="182" t="s">
        <v>145</v>
      </c>
      <c r="D6" s="98" t="s">
        <v>630</v>
      </c>
      <c r="E6" s="97" t="s">
        <v>631</v>
      </c>
      <c r="F6" s="97" t="s">
        <v>632</v>
      </c>
      <c r="G6" s="97" t="s">
        <v>633</v>
      </c>
      <c r="H6" s="97" t="s">
        <v>634</v>
      </c>
      <c r="I6" s="97" t="s">
        <v>255</v>
      </c>
      <c r="J6" s="182" t="s">
        <v>215</v>
      </c>
      <c r="K6" s="183" t="s">
        <v>216</v>
      </c>
    </row>
    <row r="7" spans="1:11" ht="26.4">
      <c r="A7" s="184"/>
      <c r="B7" s="185"/>
      <c r="C7" s="185"/>
      <c r="D7" s="186" t="s">
        <v>114</v>
      </c>
      <c r="E7" s="186" t="s">
        <v>115</v>
      </c>
      <c r="F7" s="187" t="s">
        <v>116</v>
      </c>
      <c r="G7" s="185" t="s">
        <v>117</v>
      </c>
      <c r="H7" s="186" t="s">
        <v>256</v>
      </c>
      <c r="I7" s="186" t="s">
        <v>257</v>
      </c>
      <c r="J7" s="185" t="s">
        <v>120</v>
      </c>
      <c r="K7" s="188" t="s">
        <v>121</v>
      </c>
    </row>
    <row r="8" spans="1:11">
      <c r="A8" s="174"/>
      <c r="B8" s="159"/>
      <c r="C8" s="175"/>
      <c r="D8" s="148"/>
      <c r="E8" s="148"/>
      <c r="F8" s="148"/>
      <c r="G8" s="159"/>
      <c r="H8" s="159"/>
      <c r="I8" s="148"/>
      <c r="J8" s="159"/>
      <c r="K8" s="176"/>
    </row>
    <row r="9" spans="1:11">
      <c r="A9" s="174">
        <v>1</v>
      </c>
      <c r="B9" s="159" t="s">
        <v>16</v>
      </c>
      <c r="C9" s="175">
        <v>7</v>
      </c>
      <c r="D9" s="148">
        <v>10589868000</v>
      </c>
      <c r="E9" s="288">
        <v>1152460000</v>
      </c>
      <c r="F9" s="101">
        <v>0</v>
      </c>
      <c r="G9" s="101">
        <v>-3.4999999999999997E-5</v>
      </c>
      <c r="H9" s="150">
        <v>1152460000</v>
      </c>
      <c r="I9" s="150">
        <v>1152089354.6199999</v>
      </c>
      <c r="J9" s="150">
        <v>-370645.38000011444</v>
      </c>
      <c r="K9" s="289">
        <v>-3.2161235964815651E-4</v>
      </c>
    </row>
    <row r="10" spans="1:11">
      <c r="A10" s="174">
        <v>2</v>
      </c>
      <c r="B10" s="159"/>
      <c r="C10" s="175"/>
      <c r="D10" s="148"/>
      <c r="E10" s="288"/>
      <c r="F10" s="101"/>
      <c r="G10" s="101"/>
      <c r="H10" s="190"/>
      <c r="I10" s="150"/>
      <c r="J10" s="150"/>
      <c r="K10" s="289"/>
    </row>
    <row r="11" spans="1:11">
      <c r="A11" s="174">
        <v>3</v>
      </c>
      <c r="B11" s="191" t="s">
        <v>122</v>
      </c>
      <c r="C11" s="139" t="s">
        <v>163</v>
      </c>
      <c r="D11" s="148">
        <v>2956760000</v>
      </c>
      <c r="E11" s="288">
        <v>308247000</v>
      </c>
      <c r="F11" s="101">
        <v>0</v>
      </c>
      <c r="G11" s="101">
        <v>-2.8E-5</v>
      </c>
      <c r="H11" s="150">
        <v>308247000</v>
      </c>
      <c r="I11" s="150">
        <v>308164210.72000003</v>
      </c>
      <c r="J11" s="150">
        <v>-82789.27999997139</v>
      </c>
      <c r="K11" s="289">
        <v>-2.685809756460611E-4</v>
      </c>
    </row>
    <row r="12" spans="1:11">
      <c r="A12" s="174">
        <v>4</v>
      </c>
      <c r="B12" s="192" t="s">
        <v>124</v>
      </c>
      <c r="C12" s="139" t="s">
        <v>164</v>
      </c>
      <c r="D12" s="148">
        <v>2946226000</v>
      </c>
      <c r="E12" s="288">
        <v>286518000</v>
      </c>
      <c r="F12" s="101">
        <v>0</v>
      </c>
      <c r="G12" s="101">
        <v>-2.9E-5</v>
      </c>
      <c r="H12" s="150">
        <v>286518000</v>
      </c>
      <c r="I12" s="150">
        <v>286432559.44599998</v>
      </c>
      <c r="J12" s="150">
        <v>-85440.554000020027</v>
      </c>
      <c r="K12" s="289">
        <v>-2.9820309369749901E-4</v>
      </c>
    </row>
    <row r="13" spans="1:11">
      <c r="A13" s="174">
        <v>5</v>
      </c>
      <c r="B13" s="192" t="s">
        <v>126</v>
      </c>
      <c r="C13" s="139" t="s">
        <v>258</v>
      </c>
      <c r="D13" s="148">
        <v>1891461000</v>
      </c>
      <c r="E13" s="288">
        <v>165473000</v>
      </c>
      <c r="F13" s="101">
        <v>0</v>
      </c>
      <c r="G13" s="101">
        <v>-3.0000000000000001E-5</v>
      </c>
      <c r="H13" s="150">
        <v>165473000</v>
      </c>
      <c r="I13" s="150">
        <v>165416256.16999999</v>
      </c>
      <c r="J13" s="150">
        <v>-56743.830000013113</v>
      </c>
      <c r="K13" s="289">
        <v>-3.429189656319346E-4</v>
      </c>
    </row>
    <row r="14" spans="1:11">
      <c r="A14" s="174">
        <v>6</v>
      </c>
      <c r="B14" s="192" t="s">
        <v>128</v>
      </c>
      <c r="C14" s="175">
        <v>29</v>
      </c>
      <c r="D14" s="148">
        <v>16067000</v>
      </c>
      <c r="E14" s="288">
        <v>1292000</v>
      </c>
      <c r="F14" s="101">
        <v>0</v>
      </c>
      <c r="G14" s="101">
        <v>-2.5999999999999998E-5</v>
      </c>
      <c r="H14" s="150">
        <v>1292000</v>
      </c>
      <c r="I14" s="150">
        <v>1291582.2579999999</v>
      </c>
      <c r="J14" s="150">
        <v>-417.74200000008568</v>
      </c>
      <c r="K14" s="289">
        <v>-3.2332972136229544E-4</v>
      </c>
    </row>
    <row r="15" spans="1:11">
      <c r="A15" s="174">
        <v>7</v>
      </c>
      <c r="B15" s="159"/>
      <c r="C15" s="175"/>
      <c r="D15" s="148"/>
      <c r="E15" s="288"/>
      <c r="F15" s="101"/>
      <c r="G15" s="101"/>
      <c r="H15" s="190"/>
      <c r="I15" s="150"/>
      <c r="J15" s="150"/>
      <c r="K15" s="289"/>
    </row>
    <row r="16" spans="1:11">
      <c r="A16" s="174">
        <v>8</v>
      </c>
      <c r="B16" s="159" t="s">
        <v>129</v>
      </c>
      <c r="C16" s="175"/>
      <c r="D16" s="148">
        <v>7810514000</v>
      </c>
      <c r="E16" s="288">
        <v>761530000</v>
      </c>
      <c r="F16" s="101">
        <v>0</v>
      </c>
      <c r="G16" s="101">
        <v>-2.8857435759029431E-5</v>
      </c>
      <c r="H16" s="150">
        <v>761530000</v>
      </c>
      <c r="I16" s="150">
        <v>761304608.59399998</v>
      </c>
      <c r="J16" s="150">
        <v>-225391.40600000462</v>
      </c>
      <c r="K16" s="289">
        <v>-2.9597180150487128E-4</v>
      </c>
    </row>
    <row r="17" spans="1:11">
      <c r="A17" s="174">
        <v>9</v>
      </c>
      <c r="B17" s="159"/>
      <c r="C17" s="175"/>
      <c r="D17" s="148"/>
      <c r="E17" s="288"/>
      <c r="F17" s="101"/>
      <c r="G17" s="101"/>
      <c r="H17" s="190"/>
      <c r="I17" s="150"/>
      <c r="J17" s="150"/>
      <c r="K17" s="289"/>
    </row>
    <row r="18" spans="1:11">
      <c r="A18" s="174">
        <v>10</v>
      </c>
      <c r="B18" s="192" t="s">
        <v>130</v>
      </c>
      <c r="C18" s="139" t="s">
        <v>166</v>
      </c>
      <c r="D18" s="148">
        <v>1303207000</v>
      </c>
      <c r="E18" s="288">
        <v>111849000</v>
      </c>
      <c r="F18" s="101">
        <v>0</v>
      </c>
      <c r="G18" s="101">
        <v>-2.8E-5</v>
      </c>
      <c r="H18" s="150">
        <v>111849000</v>
      </c>
      <c r="I18" s="150">
        <v>111812510.204</v>
      </c>
      <c r="J18" s="150">
        <v>-36489.796000003815</v>
      </c>
      <c r="K18" s="289">
        <v>-3.2624159357708891E-4</v>
      </c>
    </row>
    <row r="19" spans="1:11">
      <c r="A19" s="174">
        <v>11</v>
      </c>
      <c r="B19" s="192" t="s">
        <v>132</v>
      </c>
      <c r="C19" s="175">
        <v>35</v>
      </c>
      <c r="D19" s="148">
        <v>5141000</v>
      </c>
      <c r="E19" s="288">
        <v>260000</v>
      </c>
      <c r="F19" s="101">
        <v>0</v>
      </c>
      <c r="G19" s="101">
        <v>-1.9000000000000001E-5</v>
      </c>
      <c r="H19" s="150">
        <v>260000</v>
      </c>
      <c r="I19" s="150">
        <v>259902.321</v>
      </c>
      <c r="J19" s="150">
        <v>-97.679000000003725</v>
      </c>
      <c r="K19" s="289">
        <v>-3.7568846153847589E-4</v>
      </c>
    </row>
    <row r="20" spans="1:11">
      <c r="A20" s="174">
        <v>12</v>
      </c>
      <c r="B20" s="192" t="s">
        <v>133</v>
      </c>
      <c r="C20" s="175">
        <v>43</v>
      </c>
      <c r="D20" s="148">
        <v>120550000</v>
      </c>
      <c r="E20" s="288">
        <v>11574000</v>
      </c>
      <c r="F20" s="101">
        <v>0</v>
      </c>
      <c r="G20" s="101">
        <v>-2.5000000000000001E-5</v>
      </c>
      <c r="H20" s="150">
        <v>11574000</v>
      </c>
      <c r="I20" s="150">
        <v>11570986.25</v>
      </c>
      <c r="J20" s="150">
        <v>-3013.75</v>
      </c>
      <c r="K20" s="289">
        <v>-2.6038966649386555E-4</v>
      </c>
    </row>
    <row r="21" spans="1:11">
      <c r="A21" s="174">
        <v>13</v>
      </c>
      <c r="B21" s="193"/>
      <c r="C21" s="175"/>
      <c r="D21" s="148"/>
      <c r="E21" s="288"/>
      <c r="F21" s="101"/>
      <c r="G21" s="101"/>
      <c r="H21" s="190"/>
      <c r="I21" s="150"/>
      <c r="J21" s="150"/>
      <c r="K21" s="289"/>
    </row>
    <row r="22" spans="1:11">
      <c r="A22" s="174">
        <v>14</v>
      </c>
      <c r="B22" s="193" t="s">
        <v>134</v>
      </c>
      <c r="C22" s="175"/>
      <c r="D22" s="148">
        <v>1428898000</v>
      </c>
      <c r="E22" s="288">
        <v>123683000</v>
      </c>
      <c r="F22" s="101">
        <v>0</v>
      </c>
      <c r="G22" s="101">
        <v>-2.7714521960279878E-5</v>
      </c>
      <c r="H22" s="150">
        <v>123683000</v>
      </c>
      <c r="I22" s="150">
        <v>123643398.77499999</v>
      </c>
      <c r="J22" s="150">
        <v>-39601.225000003818</v>
      </c>
      <c r="K22" s="289">
        <v>-3.2018325072971887E-4</v>
      </c>
    </row>
    <row r="23" spans="1:11">
      <c r="A23" s="174">
        <v>15</v>
      </c>
      <c r="B23" s="193"/>
      <c r="C23" s="175"/>
      <c r="D23" s="148"/>
      <c r="E23" s="288"/>
      <c r="F23" s="101"/>
      <c r="G23" s="101"/>
      <c r="H23" s="190"/>
      <c r="I23" s="150"/>
      <c r="J23" s="150"/>
      <c r="K23" s="289"/>
    </row>
    <row r="24" spans="1:11">
      <c r="A24" s="174">
        <v>16</v>
      </c>
      <c r="B24" s="194" t="s">
        <v>80</v>
      </c>
      <c r="C24" s="175">
        <v>40</v>
      </c>
      <c r="D24" s="148">
        <v>681789000</v>
      </c>
      <c r="E24" s="288">
        <v>56934000</v>
      </c>
      <c r="F24" s="101">
        <v>0</v>
      </c>
      <c r="G24" s="101">
        <v>-3.0000000000000001E-5</v>
      </c>
      <c r="H24" s="150">
        <v>56934000</v>
      </c>
      <c r="I24" s="150">
        <v>56913546.329999998</v>
      </c>
      <c r="J24" s="150">
        <v>-20453.670000001788</v>
      </c>
      <c r="K24" s="289">
        <v>-3.5925229212775824E-4</v>
      </c>
    </row>
    <row r="25" spans="1:11">
      <c r="A25" s="174">
        <v>17</v>
      </c>
      <c r="B25" s="193"/>
      <c r="C25" s="175"/>
      <c r="D25" s="148"/>
      <c r="E25" s="288"/>
      <c r="F25" s="101"/>
      <c r="G25" s="101"/>
      <c r="H25" s="190"/>
      <c r="I25" s="150"/>
      <c r="J25" s="150"/>
      <c r="K25" s="289"/>
    </row>
    <row r="26" spans="1:11">
      <c r="A26" s="174">
        <v>16</v>
      </c>
      <c r="B26" s="192" t="s">
        <v>136</v>
      </c>
      <c r="C26" s="175">
        <v>46</v>
      </c>
      <c r="D26" s="148">
        <v>72699000</v>
      </c>
      <c r="E26" s="288">
        <v>5303000</v>
      </c>
      <c r="F26" s="101">
        <v>0</v>
      </c>
      <c r="G26" s="101">
        <v>-1.4E-5</v>
      </c>
      <c r="H26" s="150">
        <v>5303000</v>
      </c>
      <c r="I26" s="150">
        <v>5301982.2139999997</v>
      </c>
      <c r="J26" s="150">
        <v>-1017.7860000003129</v>
      </c>
      <c r="K26" s="289">
        <v>-1.9192645672266886E-4</v>
      </c>
    </row>
    <row r="27" spans="1:11">
      <c r="A27" s="174">
        <v>17</v>
      </c>
      <c r="B27" s="191" t="s">
        <v>137</v>
      </c>
      <c r="C27" s="175">
        <v>49</v>
      </c>
      <c r="D27" s="148">
        <v>576299000</v>
      </c>
      <c r="E27" s="288">
        <v>41073000</v>
      </c>
      <c r="F27" s="101">
        <v>0</v>
      </c>
      <c r="G27" s="101">
        <v>-2.8E-5</v>
      </c>
      <c r="H27" s="150">
        <v>41073000</v>
      </c>
      <c r="I27" s="150">
        <v>41056863.627999999</v>
      </c>
      <c r="J27" s="150">
        <v>-16136.372000001371</v>
      </c>
      <c r="K27" s="289">
        <v>-3.9287054756169187E-4</v>
      </c>
    </row>
    <row r="28" spans="1:11">
      <c r="A28" s="174">
        <v>18</v>
      </c>
      <c r="B28" s="159"/>
      <c r="C28" s="175"/>
      <c r="D28" s="148"/>
      <c r="E28" s="288"/>
      <c r="F28" s="101"/>
      <c r="G28" s="101"/>
      <c r="H28" s="190"/>
      <c r="I28" s="150"/>
      <c r="J28" s="150"/>
      <c r="K28" s="289"/>
    </row>
    <row r="29" spans="1:11">
      <c r="A29" s="174">
        <v>19</v>
      </c>
      <c r="B29" s="194" t="s">
        <v>138</v>
      </c>
      <c r="C29" s="175"/>
      <c r="D29" s="148">
        <v>648998000</v>
      </c>
      <c r="E29" s="288">
        <v>46376000</v>
      </c>
      <c r="F29" s="101">
        <v>0</v>
      </c>
      <c r="G29" s="101">
        <v>-2.6431757879068966E-5</v>
      </c>
      <c r="H29" s="148">
        <v>46376000</v>
      </c>
      <c r="I29" s="148">
        <v>46358845.842</v>
      </c>
      <c r="J29" s="150">
        <v>-17154.158000001684</v>
      </c>
      <c r="K29" s="289">
        <v>-3.6989300500262385E-4</v>
      </c>
    </row>
    <row r="30" spans="1:11">
      <c r="A30" s="174">
        <v>20</v>
      </c>
      <c r="B30" s="159"/>
      <c r="C30" s="175"/>
      <c r="D30" s="148"/>
      <c r="E30" s="288"/>
      <c r="F30" s="101"/>
      <c r="G30" s="101"/>
      <c r="H30" s="190"/>
      <c r="I30" s="150"/>
      <c r="J30" s="150"/>
      <c r="K30" s="289"/>
    </row>
    <row r="31" spans="1:11">
      <c r="A31" s="174">
        <v>21</v>
      </c>
      <c r="B31" s="159" t="s">
        <v>139</v>
      </c>
      <c r="C31" s="175" t="s">
        <v>21</v>
      </c>
      <c r="D31" s="148">
        <v>76423000</v>
      </c>
      <c r="E31" s="288">
        <v>20208000</v>
      </c>
      <c r="F31" s="101">
        <v>0</v>
      </c>
      <c r="G31" s="101">
        <v>-3.4999999999999997E-5</v>
      </c>
      <c r="H31" s="150">
        <v>20208000</v>
      </c>
      <c r="I31" s="150">
        <v>20205325.195</v>
      </c>
      <c r="J31" s="150">
        <v>-2674.804999999702</v>
      </c>
      <c r="K31" s="289">
        <v>-1.3236366785430038E-4</v>
      </c>
    </row>
    <row r="32" spans="1:11">
      <c r="A32" s="174">
        <v>22</v>
      </c>
      <c r="B32" s="159"/>
      <c r="C32" s="175"/>
      <c r="D32" s="148"/>
      <c r="E32" s="288"/>
      <c r="F32" s="101"/>
      <c r="G32" s="101"/>
      <c r="H32" s="159"/>
      <c r="I32" s="150"/>
      <c r="J32" s="150"/>
      <c r="K32" s="289"/>
    </row>
    <row r="33" spans="1:11">
      <c r="A33" s="174">
        <v>23</v>
      </c>
      <c r="B33" s="195" t="s">
        <v>219</v>
      </c>
      <c r="C33" s="139" t="s">
        <v>220</v>
      </c>
      <c r="D33" s="148">
        <v>6991000</v>
      </c>
      <c r="E33" s="288">
        <v>277000</v>
      </c>
      <c r="F33" s="101">
        <v>0</v>
      </c>
      <c r="G33" s="101">
        <v>-3.4E-5</v>
      </c>
      <c r="H33" s="150">
        <v>277000</v>
      </c>
      <c r="I33" s="150">
        <v>276762.30599999998</v>
      </c>
      <c r="J33" s="150">
        <v>-237.6940000000177</v>
      </c>
      <c r="K33" s="289">
        <v>-8.581010830325549E-4</v>
      </c>
    </row>
    <row r="34" spans="1:11">
      <c r="A34" s="174">
        <v>24</v>
      </c>
      <c r="B34" s="195"/>
      <c r="C34" s="139"/>
      <c r="D34" s="148"/>
      <c r="E34" s="288"/>
      <c r="F34" s="101"/>
      <c r="G34" s="101"/>
      <c r="H34" s="190"/>
      <c r="I34" s="150"/>
      <c r="J34" s="150"/>
      <c r="K34" s="289"/>
    </row>
    <row r="35" spans="1:11">
      <c r="A35" s="174">
        <v>25</v>
      </c>
      <c r="B35" s="192" t="s">
        <v>140</v>
      </c>
      <c r="C35" s="175"/>
      <c r="D35" s="148">
        <v>21243481000</v>
      </c>
      <c r="E35" s="288">
        <v>2161468000</v>
      </c>
      <c r="F35" s="101">
        <v>0</v>
      </c>
      <c r="G35" s="101">
        <v>-3.1828980288117567E-5</v>
      </c>
      <c r="H35" s="150">
        <v>2161468000</v>
      </c>
      <c r="I35" s="150">
        <v>2160791841.6620002</v>
      </c>
      <c r="J35" s="150">
        <v>-676158.33800012607</v>
      </c>
      <c r="K35" s="289">
        <v>-3.1282366336218072E-4</v>
      </c>
    </row>
    <row r="36" spans="1:11">
      <c r="A36" s="174">
        <v>26</v>
      </c>
      <c r="B36" s="194"/>
      <c r="C36" s="175"/>
      <c r="D36" s="148"/>
      <c r="E36" s="288"/>
      <c r="F36" s="190"/>
      <c r="G36" s="190"/>
      <c r="H36" s="190"/>
      <c r="I36" s="150"/>
      <c r="J36" s="150"/>
      <c r="K36" s="289"/>
    </row>
    <row r="37" spans="1:11">
      <c r="A37" s="174">
        <v>27</v>
      </c>
      <c r="B37" s="194" t="s">
        <v>221</v>
      </c>
      <c r="C37" s="175"/>
      <c r="D37" s="148"/>
      <c r="E37" s="288"/>
      <c r="F37" s="150"/>
      <c r="G37" s="190"/>
      <c r="H37" s="190"/>
      <c r="I37" s="150"/>
      <c r="J37" s="150"/>
      <c r="K37" s="289"/>
    </row>
    <row r="38" spans="1:11">
      <c r="A38" s="174">
        <v>28</v>
      </c>
      <c r="B38" s="192" t="s">
        <v>141</v>
      </c>
      <c r="C38" s="139" t="s">
        <v>142</v>
      </c>
      <c r="D38" s="148">
        <v>2089170000</v>
      </c>
      <c r="E38" s="288">
        <v>10788000</v>
      </c>
      <c r="F38" s="150"/>
      <c r="G38" s="190"/>
      <c r="H38" s="150">
        <v>10788000</v>
      </c>
      <c r="I38" s="150">
        <v>10788000</v>
      </c>
      <c r="J38" s="150">
        <v>0</v>
      </c>
      <c r="K38" s="289"/>
    </row>
    <row r="39" spans="1:11">
      <c r="A39" s="174">
        <v>29</v>
      </c>
      <c r="B39" s="191"/>
      <c r="C39" s="175"/>
      <c r="D39" s="148"/>
      <c r="E39" s="288"/>
      <c r="F39" s="150"/>
      <c r="G39" s="190"/>
      <c r="H39" s="190"/>
      <c r="I39" s="150"/>
      <c r="J39" s="150"/>
      <c r="K39" s="289"/>
    </row>
    <row r="40" spans="1:11">
      <c r="A40" s="174">
        <v>30</v>
      </c>
      <c r="B40" s="194"/>
      <c r="C40" s="175"/>
      <c r="D40" s="148"/>
      <c r="E40" s="288"/>
      <c r="F40" s="150"/>
      <c r="G40" s="190"/>
      <c r="H40" s="190"/>
      <c r="I40" s="150"/>
      <c r="J40" s="150"/>
      <c r="K40" s="289"/>
    </row>
    <row r="41" spans="1:11">
      <c r="A41" s="174">
        <v>31</v>
      </c>
      <c r="B41" s="194" t="s">
        <v>23</v>
      </c>
      <c r="C41" s="175"/>
      <c r="D41" s="148">
        <v>23332651000</v>
      </c>
      <c r="E41" s="288">
        <v>2172256000</v>
      </c>
      <c r="F41" s="150"/>
      <c r="G41" s="190"/>
      <c r="H41" s="150">
        <v>2172256000</v>
      </c>
      <c r="I41" s="150">
        <v>2171579841.6620002</v>
      </c>
      <c r="J41" s="150">
        <v>-676158.33800012607</v>
      </c>
      <c r="K41" s="289"/>
    </row>
    <row r="42" spans="1:11" ht="13.8" thickBot="1">
      <c r="A42" s="196"/>
      <c r="B42" s="197"/>
      <c r="C42" s="198"/>
      <c r="D42" s="199"/>
      <c r="E42" s="200"/>
      <c r="F42" s="200"/>
      <c r="G42" s="197"/>
      <c r="H42" s="197"/>
      <c r="I42" s="199"/>
      <c r="J42" s="197"/>
      <c r="K42" s="201"/>
    </row>
    <row r="43" spans="1:11">
      <c r="A43" s="175"/>
      <c r="B43" s="159"/>
      <c r="C43" s="175"/>
      <c r="D43" s="148"/>
      <c r="E43" s="148"/>
      <c r="F43" s="148"/>
      <c r="G43" s="159"/>
      <c r="H43" s="159"/>
      <c r="I43" s="148"/>
      <c r="J43" s="150"/>
      <c r="K43" s="159"/>
    </row>
    <row r="44" spans="1:11">
      <c r="A44" s="646"/>
      <c r="B44" s="646"/>
      <c r="C44" s="646"/>
      <c r="D44" s="646"/>
      <c r="E44" s="646"/>
      <c r="F44" s="646"/>
      <c r="G44" s="646"/>
      <c r="H44" s="646"/>
      <c r="I44" s="646"/>
      <c r="J44" s="646"/>
      <c r="K44" s="646"/>
    </row>
  </sheetData>
  <mergeCells count="1">
    <mergeCell ref="A44:K44"/>
  </mergeCells>
  <printOptions horizontalCentered="1"/>
  <pageMargins left="0.7" right="0.7" top="0.75" bottom="0.71" header="0.3" footer="0.3"/>
  <pageSetup scale="8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6"/>
  <sheetViews>
    <sheetView zoomScale="80" zoomScaleNormal="8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RowHeight="13.2"/>
  <cols>
    <col min="1" max="1" width="7.6640625" style="1" bestFit="1" customWidth="1"/>
    <col min="2" max="2" width="33.6640625" style="1" bestFit="1" customWidth="1"/>
    <col min="3" max="3" width="11" style="1" bestFit="1" customWidth="1"/>
    <col min="4" max="5" width="14.6640625" style="1" bestFit="1" customWidth="1"/>
    <col min="6" max="7" width="10.6640625" style="1" bestFit="1" customWidth="1"/>
    <col min="8" max="8" width="11.33203125" style="1" bestFit="1" customWidth="1"/>
    <col min="9" max="9" width="8.44140625" style="1" bestFit="1" customWidth="1"/>
    <col min="10" max="16384" width="8.88671875" style="1"/>
  </cols>
  <sheetData>
    <row r="1" spans="1:9">
      <c r="A1" s="635" t="s">
        <v>0</v>
      </c>
      <c r="B1" s="635"/>
      <c r="C1" s="635"/>
      <c r="D1" s="635"/>
      <c r="E1" s="635"/>
      <c r="F1" s="635"/>
      <c r="G1" s="635"/>
      <c r="H1" s="635"/>
      <c r="I1" s="635"/>
    </row>
    <row r="2" spans="1:9">
      <c r="A2" s="635" t="s">
        <v>170</v>
      </c>
      <c r="B2" s="635"/>
      <c r="C2" s="635"/>
      <c r="D2" s="635"/>
      <c r="E2" s="635"/>
      <c r="F2" s="635"/>
      <c r="G2" s="635"/>
      <c r="H2" s="635"/>
      <c r="I2" s="635"/>
    </row>
    <row r="3" spans="1:9">
      <c r="A3" s="636" t="s">
        <v>579</v>
      </c>
      <c r="B3" s="635"/>
      <c r="C3" s="635"/>
      <c r="D3" s="635"/>
      <c r="E3" s="635"/>
      <c r="F3" s="635"/>
      <c r="G3" s="635"/>
      <c r="H3" s="635"/>
      <c r="I3" s="635"/>
    </row>
    <row r="4" spans="1:9">
      <c r="A4" s="102"/>
      <c r="B4" s="103"/>
      <c r="C4" s="103"/>
      <c r="D4" s="103"/>
      <c r="E4" s="103"/>
      <c r="F4" s="102"/>
      <c r="G4" s="102"/>
      <c r="H4" s="102"/>
      <c r="I4" s="102"/>
    </row>
    <row r="5" spans="1:9" ht="92.4">
      <c r="A5" s="104" t="s">
        <v>3</v>
      </c>
      <c r="B5" s="104" t="s">
        <v>171</v>
      </c>
      <c r="C5" s="104" t="s">
        <v>150</v>
      </c>
      <c r="D5" s="105" t="s">
        <v>575</v>
      </c>
      <c r="E5" s="105" t="s">
        <v>576</v>
      </c>
      <c r="F5" s="105" t="s">
        <v>577</v>
      </c>
      <c r="G5" s="105" t="s">
        <v>578</v>
      </c>
      <c r="H5" s="105" t="s">
        <v>172</v>
      </c>
      <c r="I5" s="105" t="s">
        <v>173</v>
      </c>
    </row>
    <row r="6" spans="1:9" ht="39.6">
      <c r="A6" s="106"/>
      <c r="B6" s="107" t="s">
        <v>174</v>
      </c>
      <c r="C6" s="108" t="s">
        <v>175</v>
      </c>
      <c r="D6" s="108" t="s">
        <v>176</v>
      </c>
      <c r="E6" s="108" t="s">
        <v>177</v>
      </c>
      <c r="F6" s="109" t="s">
        <v>178</v>
      </c>
      <c r="G6" s="109" t="s">
        <v>179</v>
      </c>
      <c r="H6" s="108" t="s">
        <v>180</v>
      </c>
      <c r="I6" s="108" t="s">
        <v>181</v>
      </c>
    </row>
    <row r="7" spans="1:9">
      <c r="A7" s="110">
        <v>1</v>
      </c>
      <c r="B7" s="111" t="s">
        <v>16</v>
      </c>
      <c r="C7" s="106"/>
      <c r="D7" s="106"/>
      <c r="E7" s="112"/>
      <c r="F7" s="110"/>
      <c r="G7" s="110"/>
      <c r="H7" s="112"/>
      <c r="I7" s="112"/>
    </row>
    <row r="8" spans="1:9">
      <c r="A8" s="110">
        <v>2</v>
      </c>
      <c r="B8" s="113" t="s">
        <v>16</v>
      </c>
      <c r="C8" s="114">
        <v>7</v>
      </c>
      <c r="D8" s="115">
        <v>10241335000</v>
      </c>
      <c r="E8" s="116">
        <v>1080488000</v>
      </c>
      <c r="F8" s="117">
        <v>3.5560000000000001E-3</v>
      </c>
      <c r="G8" s="117">
        <v>3.6039999999999996E-3</v>
      </c>
      <c r="H8" s="116">
        <v>491584.0799999942</v>
      </c>
      <c r="I8" s="118">
        <v>4.4013014307490837E-4</v>
      </c>
    </row>
    <row r="9" spans="1:9">
      <c r="A9" s="110">
        <v>3</v>
      </c>
      <c r="B9" s="119" t="s">
        <v>182</v>
      </c>
      <c r="C9" s="102"/>
      <c r="D9" s="120">
        <v>10241335000</v>
      </c>
      <c r="E9" s="121">
        <v>1080488000</v>
      </c>
      <c r="F9" s="122">
        <v>3.5560000000000001E-3</v>
      </c>
      <c r="G9" s="122">
        <v>3.6039999999999996E-3</v>
      </c>
      <c r="H9" s="121">
        <v>491584.0799999942</v>
      </c>
      <c r="I9" s="123">
        <v>4.4013014307490837E-4</v>
      </c>
    </row>
    <row r="10" spans="1:9">
      <c r="A10" s="110">
        <v>4</v>
      </c>
      <c r="B10" s="102"/>
      <c r="C10" s="102"/>
      <c r="D10" s="124"/>
      <c r="E10" s="125"/>
      <c r="F10" s="126"/>
      <c r="G10" s="126"/>
      <c r="H10" s="125"/>
      <c r="I10" s="127"/>
    </row>
    <row r="11" spans="1:9">
      <c r="A11" s="110">
        <v>5</v>
      </c>
      <c r="B11" s="102" t="s">
        <v>183</v>
      </c>
      <c r="C11" s="102"/>
      <c r="D11" s="124"/>
      <c r="E11" s="125"/>
      <c r="F11" s="126"/>
      <c r="G11" s="126"/>
      <c r="H11" s="125"/>
      <c r="I11" s="127"/>
    </row>
    <row r="12" spans="1:9">
      <c r="A12" s="110">
        <v>6</v>
      </c>
      <c r="B12" s="128" t="s">
        <v>184</v>
      </c>
      <c r="C12" s="129" t="s">
        <v>163</v>
      </c>
      <c r="D12" s="124">
        <v>3021009000</v>
      </c>
      <c r="E12" s="125">
        <v>308327000</v>
      </c>
      <c r="F12" s="117">
        <v>2.6909999999999998E-3</v>
      </c>
      <c r="G12" s="117">
        <v>2.5469999999999998E-3</v>
      </c>
      <c r="H12" s="125">
        <v>-435025.29600000009</v>
      </c>
      <c r="I12" s="127">
        <v>-1.3746762906916932E-3</v>
      </c>
    </row>
    <row r="13" spans="1:9">
      <c r="A13" s="110">
        <v>7</v>
      </c>
      <c r="B13" s="128" t="s">
        <v>185</v>
      </c>
      <c r="C13" s="129" t="s">
        <v>186</v>
      </c>
      <c r="D13" s="124">
        <v>3176981000</v>
      </c>
      <c r="E13" s="125">
        <v>301061000</v>
      </c>
      <c r="F13" s="117">
        <v>2.5000000000000001E-3</v>
      </c>
      <c r="G13" s="117">
        <v>2.3180000000000002E-3</v>
      </c>
      <c r="H13" s="125">
        <v>-578210.54199999955</v>
      </c>
      <c r="I13" s="127">
        <v>-1.8712106202114346E-3</v>
      </c>
    </row>
    <row r="14" spans="1:9">
      <c r="A14" s="110">
        <v>8</v>
      </c>
      <c r="B14" s="128" t="s">
        <v>187</v>
      </c>
      <c r="C14" s="129" t="s">
        <v>165</v>
      </c>
      <c r="D14" s="124">
        <v>1993671000</v>
      </c>
      <c r="E14" s="125">
        <v>173929000</v>
      </c>
      <c r="F14" s="117">
        <v>2.366E-3</v>
      </c>
      <c r="G14" s="117">
        <v>2.2060000000000001E-3</v>
      </c>
      <c r="H14" s="125">
        <v>-318987.36</v>
      </c>
      <c r="I14" s="127">
        <v>-1.7855833005724487E-3</v>
      </c>
    </row>
    <row r="15" spans="1:9">
      <c r="A15" s="110">
        <v>9</v>
      </c>
      <c r="B15" s="113" t="s">
        <v>188</v>
      </c>
      <c r="C15" s="114">
        <v>29</v>
      </c>
      <c r="D15" s="124">
        <v>15518000</v>
      </c>
      <c r="E15" s="125">
        <v>1224000</v>
      </c>
      <c r="F15" s="117">
        <v>2.539E-3</v>
      </c>
      <c r="G15" s="117">
        <v>2.3180000000000002E-3</v>
      </c>
      <c r="H15" s="125">
        <v>-3429.4779999999973</v>
      </c>
      <c r="I15" s="127">
        <v>-2.7144827067235163E-3</v>
      </c>
    </row>
    <row r="16" spans="1:9">
      <c r="A16" s="110">
        <v>10</v>
      </c>
      <c r="B16" s="130" t="s">
        <v>18</v>
      </c>
      <c r="C16" s="102"/>
      <c r="D16" s="120">
        <v>8207179000</v>
      </c>
      <c r="E16" s="121">
        <v>784541000</v>
      </c>
      <c r="F16" s="122">
        <v>2.537828589701772E-3</v>
      </c>
      <c r="G16" s="122">
        <v>2.3750865956499792E-3</v>
      </c>
      <c r="H16" s="121">
        <v>-1335652.6759999995</v>
      </c>
      <c r="I16" s="123">
        <v>-1.6584348171156248E-3</v>
      </c>
    </row>
    <row r="17" spans="1:9">
      <c r="A17" s="110">
        <v>11</v>
      </c>
      <c r="B17" s="102"/>
      <c r="C17" s="102"/>
      <c r="D17" s="124"/>
      <c r="E17" s="125"/>
      <c r="F17" s="126"/>
      <c r="G17" s="126"/>
      <c r="H17" s="125"/>
      <c r="I17" s="127"/>
    </row>
    <row r="18" spans="1:9">
      <c r="A18" s="110">
        <v>12</v>
      </c>
      <c r="B18" s="102" t="s">
        <v>189</v>
      </c>
      <c r="C18" s="102"/>
      <c r="D18" s="124"/>
      <c r="E18" s="125"/>
      <c r="F18" s="126"/>
      <c r="G18" s="126"/>
      <c r="H18" s="125"/>
      <c r="I18" s="127"/>
    </row>
    <row r="19" spans="1:9">
      <c r="A19" s="110">
        <v>13</v>
      </c>
      <c r="B19" s="128" t="s">
        <v>190</v>
      </c>
      <c r="C19" s="129" t="s">
        <v>166</v>
      </c>
      <c r="D19" s="124">
        <v>1352689000</v>
      </c>
      <c r="E19" s="125">
        <v>116434000</v>
      </c>
      <c r="F19" s="117">
        <v>2.3020000000000002E-3</v>
      </c>
      <c r="G19" s="126">
        <v>2.1980000000000003E-3</v>
      </c>
      <c r="H19" s="125">
        <v>-140679.6559999999</v>
      </c>
      <c r="I19" s="127">
        <v>-1.1767640224199048E-3</v>
      </c>
    </row>
    <row r="20" spans="1:9">
      <c r="A20" s="110">
        <v>14</v>
      </c>
      <c r="B20" s="113" t="s">
        <v>188</v>
      </c>
      <c r="C20" s="114">
        <v>35</v>
      </c>
      <c r="D20" s="124">
        <v>5242000</v>
      </c>
      <c r="E20" s="125">
        <v>259000</v>
      </c>
      <c r="F20" s="117">
        <v>2.3020000000000002E-3</v>
      </c>
      <c r="G20" s="126">
        <v>2.1980000000000003E-3</v>
      </c>
      <c r="H20" s="125">
        <v>-545.16799999999967</v>
      </c>
      <c r="I20" s="127">
        <v>-2.0111921814896555E-3</v>
      </c>
    </row>
    <row r="21" spans="1:9">
      <c r="A21" s="110">
        <v>15</v>
      </c>
      <c r="B21" s="113" t="s">
        <v>191</v>
      </c>
      <c r="C21" s="114">
        <v>43</v>
      </c>
      <c r="D21" s="124">
        <v>121131000</v>
      </c>
      <c r="E21" s="125">
        <v>11396000</v>
      </c>
      <c r="F21" s="117">
        <v>4.0610000000000004E-3</v>
      </c>
      <c r="G21" s="126">
        <v>3.7650000000000001E-3</v>
      </c>
      <c r="H21" s="125">
        <v>-35854.776000000034</v>
      </c>
      <c r="I21" s="127">
        <v>-3.0160698540731804E-3</v>
      </c>
    </row>
    <row r="22" spans="1:9">
      <c r="A22" s="110">
        <v>16</v>
      </c>
      <c r="B22" s="119" t="s">
        <v>19</v>
      </c>
      <c r="C22" s="102"/>
      <c r="D22" s="120">
        <v>1479062000</v>
      </c>
      <c r="E22" s="121">
        <v>128089000</v>
      </c>
      <c r="F22" s="122">
        <v>2.4460571314792751E-3</v>
      </c>
      <c r="G22" s="122">
        <v>2.3263328738078594E-3</v>
      </c>
      <c r="H22" s="121">
        <v>-177079.59999999995</v>
      </c>
      <c r="I22" s="123">
        <v>-1.3444978215205615E-3</v>
      </c>
    </row>
    <row r="23" spans="1:9">
      <c r="A23" s="110">
        <v>17</v>
      </c>
      <c r="B23" s="102"/>
      <c r="C23" s="102"/>
      <c r="D23" s="131"/>
      <c r="E23" s="132"/>
      <c r="F23" s="133"/>
      <c r="G23" s="133"/>
      <c r="H23" s="132"/>
      <c r="I23" s="134"/>
    </row>
    <row r="24" spans="1:9">
      <c r="A24" s="110">
        <v>18</v>
      </c>
      <c r="B24" s="102" t="s">
        <v>80</v>
      </c>
      <c r="C24" s="114">
        <v>40</v>
      </c>
      <c r="D24" s="120">
        <v>665337000</v>
      </c>
      <c r="E24" s="121">
        <v>53652000</v>
      </c>
      <c r="F24" s="122">
        <v>2.294E-3</v>
      </c>
      <c r="G24" s="122">
        <v>2.3499999999999997E-3</v>
      </c>
      <c r="H24" s="121">
        <v>37258.871999999748</v>
      </c>
      <c r="I24" s="123">
        <v>6.7524522188069209E-4</v>
      </c>
    </row>
    <row r="25" spans="1:9">
      <c r="A25" s="110">
        <v>19</v>
      </c>
      <c r="B25" s="102"/>
      <c r="C25" s="102"/>
      <c r="D25" s="131"/>
      <c r="E25" s="132"/>
      <c r="F25" s="133"/>
      <c r="G25" s="133"/>
      <c r="H25" s="132"/>
      <c r="I25" s="134"/>
    </row>
    <row r="26" spans="1:9">
      <c r="A26" s="110">
        <v>20</v>
      </c>
      <c r="B26" s="102" t="s">
        <v>192</v>
      </c>
      <c r="C26" s="102"/>
      <c r="D26" s="124"/>
      <c r="E26" s="125"/>
      <c r="F26" s="126"/>
      <c r="G26" s="126"/>
      <c r="H26" s="125"/>
      <c r="I26" s="127"/>
    </row>
    <row r="27" spans="1:9">
      <c r="A27" s="110">
        <v>21</v>
      </c>
      <c r="B27" s="128" t="s">
        <v>193</v>
      </c>
      <c r="C27" s="114">
        <v>46</v>
      </c>
      <c r="D27" s="124">
        <v>69576000</v>
      </c>
      <c r="E27" s="125">
        <v>4947000</v>
      </c>
      <c r="F27" s="126">
        <v>1.529E-3</v>
      </c>
      <c r="G27" s="126">
        <v>1.4659999999999999E-3</v>
      </c>
      <c r="H27" s="125">
        <v>-4383.2880000000087</v>
      </c>
      <c r="I27" s="127">
        <v>-8.6739697429355489E-4</v>
      </c>
    </row>
    <row r="28" spans="1:9">
      <c r="A28" s="110">
        <v>22</v>
      </c>
      <c r="B28" s="128" t="s">
        <v>190</v>
      </c>
      <c r="C28" s="114">
        <v>49</v>
      </c>
      <c r="D28" s="124">
        <v>625215000</v>
      </c>
      <c r="E28" s="125">
        <v>43047000</v>
      </c>
      <c r="F28" s="126">
        <v>1.529E-3</v>
      </c>
      <c r="G28" s="126">
        <v>1.4659999999999999E-3</v>
      </c>
      <c r="H28" s="125">
        <v>-39388.545000000078</v>
      </c>
      <c r="I28" s="127">
        <v>-8.9513411388723169E-4</v>
      </c>
    </row>
    <row r="29" spans="1:9">
      <c r="A29" s="110">
        <v>23</v>
      </c>
      <c r="B29" s="130" t="s">
        <v>20</v>
      </c>
      <c r="C29" s="102"/>
      <c r="D29" s="120">
        <v>694791000</v>
      </c>
      <c r="E29" s="121">
        <v>47994000</v>
      </c>
      <c r="F29" s="122">
        <v>1.529E-3</v>
      </c>
      <c r="G29" s="122">
        <v>1.4659999999999999E-3</v>
      </c>
      <c r="H29" s="121">
        <v>-43771.833000000086</v>
      </c>
      <c r="I29" s="123">
        <v>-8.9227686104741708E-4</v>
      </c>
    </row>
    <row r="30" spans="1:9">
      <c r="A30" s="110">
        <v>24</v>
      </c>
      <c r="B30" s="102"/>
      <c r="C30" s="102"/>
      <c r="D30" s="131"/>
      <c r="E30" s="132"/>
      <c r="F30" s="133"/>
      <c r="G30" s="133"/>
      <c r="H30" s="132"/>
      <c r="I30" s="134"/>
    </row>
    <row r="31" spans="1:9">
      <c r="A31" s="110">
        <v>25</v>
      </c>
      <c r="B31" s="102" t="s">
        <v>194</v>
      </c>
      <c r="C31" s="114" t="s">
        <v>21</v>
      </c>
      <c r="D31" s="120">
        <v>72907000</v>
      </c>
      <c r="E31" s="121">
        <v>19060000</v>
      </c>
      <c r="F31" s="122">
        <v>8.3000000000000001E-3</v>
      </c>
      <c r="G31" s="122">
        <v>1.0218666811478866E-2</v>
      </c>
      <c r="H31" s="121">
        <v>139884.2412244897</v>
      </c>
      <c r="I31" s="123">
        <v>7.1133145186320799E-3</v>
      </c>
    </row>
    <row r="32" spans="1:9">
      <c r="A32" s="110">
        <v>26</v>
      </c>
      <c r="B32" s="102"/>
      <c r="C32" s="114"/>
      <c r="D32" s="131"/>
      <c r="E32" s="132"/>
      <c r="F32" s="133"/>
      <c r="G32" s="133"/>
      <c r="H32" s="132"/>
      <c r="I32" s="134"/>
    </row>
    <row r="33" spans="1:9">
      <c r="A33" s="110">
        <v>27</v>
      </c>
      <c r="B33" s="119" t="s">
        <v>195</v>
      </c>
      <c r="C33" s="114" t="s">
        <v>22</v>
      </c>
      <c r="D33" s="120">
        <v>2021503000</v>
      </c>
      <c r="E33" s="121">
        <v>10428000</v>
      </c>
      <c r="F33" s="122">
        <v>2.92E-4</v>
      </c>
      <c r="G33" s="122">
        <v>2.99E-4</v>
      </c>
      <c r="H33" s="121">
        <v>14150.521000000015</v>
      </c>
      <c r="I33" s="123">
        <v>1.2842768965326027E-3</v>
      </c>
    </row>
    <row r="34" spans="1:9">
      <c r="A34" s="110">
        <v>28</v>
      </c>
      <c r="B34" s="102"/>
      <c r="C34" s="102"/>
      <c r="D34" s="131"/>
      <c r="E34" s="132"/>
      <c r="F34" s="133"/>
      <c r="G34" s="133"/>
      <c r="H34" s="132"/>
      <c r="I34" s="134"/>
    </row>
    <row r="35" spans="1:9" ht="13.8" thickBot="1">
      <c r="A35" s="110">
        <v>29</v>
      </c>
      <c r="B35" s="130" t="s">
        <v>196</v>
      </c>
      <c r="C35" s="102"/>
      <c r="D35" s="135">
        <v>23382114000</v>
      </c>
      <c r="E35" s="136">
        <v>2124252000</v>
      </c>
      <c r="F35" s="137">
        <v>2.7648696098650448E-3</v>
      </c>
      <c r="G35" s="137">
        <v>2.7275065897901488E-3</v>
      </c>
      <c r="H35" s="136">
        <v>-873626.39477551577</v>
      </c>
      <c r="I35" s="138">
        <v>-3.9911654102465908E-4</v>
      </c>
    </row>
    <row r="36" spans="1:9" ht="13.8" thickTop="1"/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0"/>
  <sheetViews>
    <sheetView zoomScale="90" zoomScaleNormal="90" workbookViewId="0">
      <pane xSplit="1" ySplit="9" topLeftCell="G10" activePane="bottomRight" state="frozen"/>
      <selection pane="topRight"/>
      <selection pane="bottomLeft"/>
      <selection pane="bottomRight" activeCell="G11" sqref="G11"/>
    </sheetView>
  </sheetViews>
  <sheetFormatPr defaultRowHeight="13.2"/>
  <cols>
    <col min="1" max="1" width="4.6640625" style="1" bestFit="1" customWidth="1"/>
    <col min="2" max="2" width="63.44140625" style="1" bestFit="1" customWidth="1"/>
    <col min="3" max="3" width="14.44140625" style="1" bestFit="1" customWidth="1"/>
    <col min="4" max="4" width="6.33203125" style="1" bestFit="1" customWidth="1"/>
    <col min="5" max="5" width="13.5546875" style="1" bestFit="1" customWidth="1"/>
    <col min="6" max="6" width="8.88671875" style="1"/>
    <col min="7" max="7" width="11" style="1" bestFit="1" customWidth="1"/>
    <col min="8" max="8" width="10.88671875" style="1" bestFit="1" customWidth="1"/>
    <col min="9" max="16384" width="8.88671875" style="1"/>
  </cols>
  <sheetData>
    <row r="1" spans="1:8">
      <c r="A1" s="506"/>
      <c r="B1" s="647" t="s">
        <v>0</v>
      </c>
      <c r="C1" s="647"/>
      <c r="D1" s="647"/>
      <c r="E1" s="647"/>
      <c r="F1" s="647"/>
      <c r="G1" s="647"/>
      <c r="H1" s="647"/>
    </row>
    <row r="2" spans="1:8">
      <c r="A2" s="506"/>
      <c r="B2" s="648" t="s">
        <v>585</v>
      </c>
      <c r="C2" s="649"/>
      <c r="D2" s="649"/>
      <c r="E2" s="649"/>
      <c r="F2" s="649"/>
      <c r="G2" s="649"/>
      <c r="H2" s="649"/>
    </row>
    <row r="3" spans="1:8">
      <c r="A3" s="506"/>
      <c r="B3" s="647" t="s">
        <v>277</v>
      </c>
      <c r="C3" s="647"/>
      <c r="D3" s="647"/>
      <c r="E3" s="647"/>
      <c r="F3" s="647"/>
      <c r="G3" s="647"/>
      <c r="H3" s="647"/>
    </row>
    <row r="4" spans="1:8">
      <c r="A4" s="506"/>
      <c r="B4" s="648" t="s">
        <v>580</v>
      </c>
      <c r="C4" s="649"/>
      <c r="D4" s="649"/>
      <c r="E4" s="649"/>
      <c r="F4" s="649"/>
      <c r="G4" s="649"/>
      <c r="H4" s="649"/>
    </row>
    <row r="5" spans="1:8">
      <c r="A5" s="506"/>
      <c r="B5" s="507"/>
      <c r="C5" s="507"/>
      <c r="D5" s="507"/>
      <c r="E5" s="507"/>
      <c r="F5" s="508"/>
      <c r="G5" s="509"/>
      <c r="H5" s="509"/>
    </row>
    <row r="6" spans="1:8">
      <c r="A6" s="506"/>
      <c r="B6" s="507"/>
      <c r="C6" s="507"/>
      <c r="D6" s="507"/>
      <c r="E6" s="175" t="s">
        <v>278</v>
      </c>
      <c r="F6" s="508"/>
      <c r="G6" s="650" t="s">
        <v>279</v>
      </c>
      <c r="H6" s="650"/>
    </row>
    <row r="7" spans="1:8">
      <c r="A7" s="510" t="s">
        <v>38</v>
      </c>
      <c r="B7" s="506"/>
      <c r="C7" s="175"/>
      <c r="D7" s="175"/>
      <c r="E7" s="175" t="s">
        <v>280</v>
      </c>
      <c r="F7" s="175"/>
      <c r="G7" s="511" t="s">
        <v>281</v>
      </c>
      <c r="H7" s="506"/>
    </row>
    <row r="8" spans="1:8">
      <c r="A8" s="512" t="s">
        <v>44</v>
      </c>
      <c r="B8" s="513"/>
      <c r="C8" s="514"/>
      <c r="D8" s="514" t="s">
        <v>282</v>
      </c>
      <c r="E8" s="514" t="s">
        <v>283</v>
      </c>
      <c r="F8" s="175"/>
      <c r="G8" s="514" t="s">
        <v>284</v>
      </c>
      <c r="H8" s="514" t="s">
        <v>285</v>
      </c>
    </row>
    <row r="9" spans="1:8">
      <c r="A9" s="515"/>
      <c r="B9" s="159"/>
      <c r="C9" s="175" t="s">
        <v>174</v>
      </c>
      <c r="D9" s="175" t="s">
        <v>175</v>
      </c>
      <c r="E9" s="516" t="s">
        <v>176</v>
      </c>
      <c r="F9" s="516"/>
      <c r="G9" s="516" t="s">
        <v>177</v>
      </c>
      <c r="H9" s="516" t="s">
        <v>178</v>
      </c>
    </row>
    <row r="10" spans="1:8">
      <c r="A10" s="516">
        <v>1</v>
      </c>
      <c r="B10" s="517" t="s">
        <v>286</v>
      </c>
      <c r="C10" s="506"/>
      <c r="D10" s="175"/>
      <c r="E10" s="516"/>
      <c r="F10" s="175"/>
      <c r="G10" s="518"/>
      <c r="H10" s="518"/>
    </row>
    <row r="11" spans="1:8">
      <c r="A11" s="516">
        <v>2</v>
      </c>
      <c r="B11" s="506"/>
      <c r="C11" s="159" t="s">
        <v>213</v>
      </c>
      <c r="D11" s="159" t="s">
        <v>287</v>
      </c>
      <c r="E11" s="519">
        <v>9.2040000000000038E-3</v>
      </c>
      <c r="F11" s="520"/>
      <c r="G11" s="519">
        <v>1.201E-3</v>
      </c>
      <c r="H11" s="521">
        <v>8.0030000000000032E-3</v>
      </c>
    </row>
    <row r="12" spans="1:8">
      <c r="A12" s="516">
        <v>3</v>
      </c>
      <c r="B12" s="506"/>
      <c r="C12" s="506"/>
      <c r="D12" s="159"/>
      <c r="E12" s="519"/>
      <c r="F12" s="520"/>
      <c r="G12" s="521"/>
      <c r="H12" s="521"/>
    </row>
    <row r="13" spans="1:8">
      <c r="A13" s="516">
        <v>4</v>
      </c>
      <c r="B13" s="517" t="s">
        <v>288</v>
      </c>
      <c r="C13" s="506"/>
      <c r="D13" s="159"/>
      <c r="E13" s="519"/>
      <c r="F13" s="520"/>
      <c r="G13" s="521"/>
      <c r="H13" s="521"/>
    </row>
    <row r="14" spans="1:8">
      <c r="A14" s="516">
        <v>5</v>
      </c>
      <c r="B14" s="506"/>
      <c r="C14" s="159" t="s">
        <v>213</v>
      </c>
      <c r="D14" s="159" t="s">
        <v>287</v>
      </c>
      <c r="E14" s="519">
        <v>5.1560000000000009E-3</v>
      </c>
      <c r="F14" s="520"/>
      <c r="G14" s="519">
        <v>1.335E-3</v>
      </c>
      <c r="H14" s="521">
        <v>3.8210000000000006E-3</v>
      </c>
    </row>
    <row r="15" spans="1:8">
      <c r="A15" s="516">
        <v>6</v>
      </c>
      <c r="B15" s="506"/>
      <c r="C15" s="506"/>
      <c r="D15" s="175"/>
      <c r="E15" s="522"/>
      <c r="F15" s="175"/>
      <c r="G15" s="518"/>
      <c r="H15" s="518"/>
    </row>
    <row r="16" spans="1:8">
      <c r="A16" s="516">
        <v>7</v>
      </c>
      <c r="B16" s="517" t="s">
        <v>289</v>
      </c>
      <c r="C16" s="506"/>
      <c r="D16" s="523"/>
      <c r="E16" s="522"/>
      <c r="F16" s="506"/>
      <c r="G16" s="506"/>
      <c r="H16" s="506"/>
    </row>
    <row r="17" spans="1:8">
      <c r="A17" s="516">
        <v>8</v>
      </c>
      <c r="B17" s="506"/>
      <c r="C17" s="159" t="s">
        <v>290</v>
      </c>
      <c r="D17" s="159" t="s">
        <v>291</v>
      </c>
      <c r="E17" s="524">
        <v>1.17</v>
      </c>
      <c r="F17" s="506"/>
      <c r="G17" s="524">
        <v>-0.17</v>
      </c>
      <c r="H17" s="525">
        <v>1.3399999999999999</v>
      </c>
    </row>
    <row r="18" spans="1:8">
      <c r="A18" s="516">
        <v>9</v>
      </c>
      <c r="B18" s="506"/>
      <c r="C18" s="159"/>
      <c r="D18" s="159"/>
      <c r="E18" s="526"/>
      <c r="F18" s="506"/>
      <c r="G18" s="506"/>
      <c r="H18" s="527"/>
    </row>
    <row r="19" spans="1:8">
      <c r="A19" s="516">
        <v>10</v>
      </c>
      <c r="B19" s="517" t="s">
        <v>292</v>
      </c>
      <c r="C19" s="506"/>
      <c r="D19" s="523"/>
      <c r="E19" s="526"/>
      <c r="F19" s="506"/>
      <c r="G19" s="506"/>
      <c r="H19" s="527"/>
    </row>
    <row r="20" spans="1:8">
      <c r="A20" s="516">
        <v>11</v>
      </c>
      <c r="B20" s="159"/>
      <c r="C20" s="159" t="s">
        <v>290</v>
      </c>
      <c r="D20" s="159" t="s">
        <v>293</v>
      </c>
      <c r="E20" s="524">
        <v>1.129999999999999</v>
      </c>
      <c r="F20" s="506"/>
      <c r="G20" s="524">
        <v>-0.04</v>
      </c>
      <c r="H20" s="525">
        <v>1.169999999999999</v>
      </c>
    </row>
  </sheetData>
  <mergeCells count="5">
    <mergeCell ref="B1:H1"/>
    <mergeCell ref="B2:H2"/>
    <mergeCell ref="B3:H3"/>
    <mergeCell ref="B4:H4"/>
    <mergeCell ref="G6:H6"/>
  </mergeCells>
  <printOptions horizontalCentered="1"/>
  <pageMargins left="0.7" right="0.7" top="0.75" bottom="0.71" header="0.3" footer="0.3"/>
  <pageSetup scale="9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workbookViewId="0"/>
  </sheetViews>
  <sheetFormatPr defaultRowHeight="15.6"/>
  <cols>
    <col min="1" max="16384" width="8.88671875" style="336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selection activeCell="D18" sqref="D18"/>
    </sheetView>
  </sheetViews>
  <sheetFormatPr defaultRowHeight="13.2"/>
  <cols>
    <col min="1" max="1" width="7.6640625" style="1" bestFit="1" customWidth="1"/>
    <col min="2" max="2" width="8.44140625" style="1" bestFit="1" customWidth="1"/>
    <col min="3" max="3" width="75.109375" style="1" bestFit="1" customWidth="1"/>
    <col min="4" max="4" width="12.44140625" style="1" bestFit="1" customWidth="1"/>
    <col min="5" max="16384" width="8.88671875" style="1"/>
  </cols>
  <sheetData>
    <row r="1" spans="1:4">
      <c r="A1" s="651" t="s">
        <v>0</v>
      </c>
      <c r="B1" s="651"/>
      <c r="C1" s="651"/>
      <c r="D1" s="651"/>
    </row>
    <row r="2" spans="1:4">
      <c r="A2" s="651" t="s">
        <v>198</v>
      </c>
      <c r="B2" s="651"/>
      <c r="C2" s="651"/>
      <c r="D2" s="651"/>
    </row>
    <row r="3" spans="1:4">
      <c r="A3" s="651" t="s">
        <v>199</v>
      </c>
      <c r="B3" s="651"/>
      <c r="C3" s="651"/>
      <c r="D3" s="651"/>
    </row>
    <row r="4" spans="1:4">
      <c r="A4" s="652" t="s">
        <v>607</v>
      </c>
      <c r="B4" s="651"/>
      <c r="C4" s="651"/>
      <c r="D4" s="651"/>
    </row>
    <row r="5" spans="1:4">
      <c r="A5" s="652" t="s">
        <v>608</v>
      </c>
      <c r="B5" s="651"/>
      <c r="C5" s="651"/>
      <c r="D5" s="651"/>
    </row>
    <row r="6" spans="1:4">
      <c r="A6" s="140"/>
      <c r="B6" s="140"/>
      <c r="C6" s="141"/>
      <c r="D6" s="141"/>
    </row>
    <row r="7" spans="1:4">
      <c r="A7" s="142" t="s">
        <v>3</v>
      </c>
      <c r="B7" s="142"/>
      <c r="C7" s="142" t="s">
        <v>45</v>
      </c>
      <c r="D7" s="143" t="s">
        <v>200</v>
      </c>
    </row>
    <row r="8" spans="1:4">
      <c r="A8" s="144">
        <v>1</v>
      </c>
      <c r="B8" s="140"/>
      <c r="C8" s="145" t="s">
        <v>600</v>
      </c>
      <c r="D8" s="146">
        <v>10907855</v>
      </c>
    </row>
    <row r="9" spans="1:4">
      <c r="A9" s="144">
        <v>2</v>
      </c>
      <c r="B9" s="147"/>
      <c r="C9" s="140"/>
      <c r="D9" s="148"/>
    </row>
    <row r="10" spans="1:4">
      <c r="A10" s="144">
        <v>3</v>
      </c>
      <c r="B10" s="145"/>
      <c r="C10" s="145" t="s">
        <v>601</v>
      </c>
      <c r="D10" s="149">
        <v>75268651.353983968</v>
      </c>
    </row>
    <row r="11" spans="1:4">
      <c r="A11" s="144">
        <v>4</v>
      </c>
      <c r="B11" s="147"/>
      <c r="C11" s="140"/>
      <c r="D11" s="150"/>
    </row>
    <row r="12" spans="1:4">
      <c r="A12" s="144">
        <v>5</v>
      </c>
      <c r="B12" s="147"/>
      <c r="C12" s="151" t="s">
        <v>602</v>
      </c>
      <c r="D12" s="152">
        <v>1827804.9350000001</v>
      </c>
    </row>
    <row r="13" spans="1:4">
      <c r="A13" s="144">
        <v>6</v>
      </c>
      <c r="B13" s="140" t="s">
        <v>201</v>
      </c>
      <c r="C13" s="153" t="s">
        <v>202</v>
      </c>
      <c r="D13" s="154">
        <v>77096456.288983971</v>
      </c>
    </row>
    <row r="14" spans="1:4">
      <c r="A14" s="144">
        <v>7</v>
      </c>
      <c r="B14" s="140"/>
      <c r="C14" s="153"/>
      <c r="D14" s="150"/>
    </row>
    <row r="15" spans="1:4">
      <c r="A15" s="144">
        <v>8</v>
      </c>
      <c r="B15" s="147"/>
      <c r="C15" s="155" t="s">
        <v>203</v>
      </c>
      <c r="D15" s="156">
        <v>0.95437899999999998</v>
      </c>
    </row>
    <row r="16" spans="1:4" ht="13.8" thickBot="1">
      <c r="A16" s="144">
        <v>9</v>
      </c>
      <c r="B16" s="140" t="s">
        <v>204</v>
      </c>
      <c r="C16" s="157" t="s">
        <v>205</v>
      </c>
      <c r="D16" s="158">
        <v>80781802.919997171</v>
      </c>
    </row>
    <row r="17" spans="1:4" ht="13.8" thickTop="1">
      <c r="A17" s="144">
        <v>10</v>
      </c>
      <c r="B17" s="147"/>
      <c r="C17" s="141"/>
      <c r="D17" s="159"/>
    </row>
    <row r="18" spans="1:4" ht="13.8" thickBot="1">
      <c r="A18" s="144">
        <v>11</v>
      </c>
      <c r="B18" s="140" t="s">
        <v>206</v>
      </c>
      <c r="C18" s="145" t="s">
        <v>603</v>
      </c>
      <c r="D18" s="160">
        <v>7.4058380000000005E-3</v>
      </c>
    </row>
    <row r="19" spans="1:4" ht="13.8" thickTop="1">
      <c r="A19" s="144">
        <v>12</v>
      </c>
      <c r="B19" s="147"/>
      <c r="C19" s="141"/>
      <c r="D19" s="159"/>
    </row>
    <row r="20" spans="1:4">
      <c r="A20" s="144">
        <v>13</v>
      </c>
      <c r="B20" s="147"/>
      <c r="C20" s="161" t="s">
        <v>207</v>
      </c>
      <c r="D20" s="159"/>
    </row>
    <row r="21" spans="1:4">
      <c r="A21" s="144">
        <v>14</v>
      </c>
      <c r="B21" s="147"/>
      <c r="C21" s="141" t="s">
        <v>604</v>
      </c>
      <c r="D21" s="159"/>
    </row>
    <row r="22" spans="1:4">
      <c r="A22" s="144">
        <v>15</v>
      </c>
      <c r="B22" s="147"/>
      <c r="C22" s="140" t="s">
        <v>208</v>
      </c>
      <c r="D22" s="159"/>
    </row>
    <row r="23" spans="1:4">
      <c r="A23" s="144">
        <v>16</v>
      </c>
      <c r="B23" s="147"/>
      <c r="C23" s="151" t="s">
        <v>605</v>
      </c>
      <c r="D23" s="162">
        <v>97.419999999999987</v>
      </c>
    </row>
    <row r="24" spans="1:4">
      <c r="A24" s="144">
        <v>17</v>
      </c>
      <c r="B24" s="147"/>
      <c r="C24" s="151" t="s">
        <v>606</v>
      </c>
      <c r="D24" s="162">
        <v>96.859999999999985</v>
      </c>
    </row>
    <row r="25" spans="1:4">
      <c r="A25" s="144">
        <v>18</v>
      </c>
      <c r="B25" s="140" t="s">
        <v>209</v>
      </c>
      <c r="C25" s="151" t="s">
        <v>210</v>
      </c>
      <c r="D25" s="163">
        <v>-0.56000000000000227</v>
      </c>
    </row>
    <row r="26" spans="1:4" ht="13.8" thickBot="1">
      <c r="A26" s="144">
        <v>19</v>
      </c>
      <c r="B26" s="140" t="s">
        <v>211</v>
      </c>
      <c r="C26" s="164" t="s">
        <v>212</v>
      </c>
      <c r="D26" s="542">
        <v>-5.7483063026072916E-3</v>
      </c>
    </row>
    <row r="27" spans="1:4" ht="13.8" thickTop="1">
      <c r="A27" s="141"/>
      <c r="B27" s="147"/>
      <c r="C27" s="141"/>
      <c r="D27" s="141"/>
    </row>
    <row r="28" spans="1:4">
      <c r="A28" s="141"/>
      <c r="B28" s="141"/>
      <c r="C28" s="141"/>
      <c r="D28" s="141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4"/>
  <sheetViews>
    <sheetView zoomScale="90" zoomScaleNormal="90" zoomScaleSheetLayoutView="75" workbookViewId="0">
      <selection activeCell="J23" sqref="J23"/>
    </sheetView>
  </sheetViews>
  <sheetFormatPr defaultColWidth="9.44140625" defaultRowHeight="13.8"/>
  <cols>
    <col min="1" max="1" width="9.44140625" style="337"/>
    <col min="2" max="2" width="6.77734375" style="337" bestFit="1" customWidth="1"/>
    <col min="3" max="3" width="2.21875" style="337" bestFit="1" customWidth="1"/>
    <col min="4" max="4" width="10.21875" style="337" bestFit="1" customWidth="1"/>
    <col min="5" max="5" width="1.33203125" style="337" customWidth="1"/>
    <col min="6" max="6" width="9" style="337" bestFit="1" customWidth="1"/>
    <col min="7" max="7" width="1.21875" style="337" bestFit="1" customWidth="1"/>
    <col min="8" max="8" width="10.21875" style="337" bestFit="1" customWidth="1"/>
    <col min="9" max="9" width="1.21875" style="337" bestFit="1" customWidth="1"/>
    <col min="10" max="10" width="8.6640625" style="337" bestFit="1" customWidth="1"/>
    <col min="11" max="11" width="2" style="337" customWidth="1"/>
    <col min="12" max="12" width="10" style="337" customWidth="1"/>
    <col min="13" max="13" width="9.44140625" style="337"/>
    <col min="14" max="14" width="32.5546875" style="337" bestFit="1" customWidth="1"/>
    <col min="15" max="15" width="14.44140625" style="337" bestFit="1" customWidth="1"/>
    <col min="16" max="16" width="1.5546875" style="337" bestFit="1" customWidth="1"/>
    <col min="17" max="17" width="15.77734375" style="337" bestFit="1" customWidth="1"/>
    <col min="18" max="18" width="1.5546875" style="337" bestFit="1" customWidth="1"/>
    <col min="19" max="19" width="8.5546875" style="337" bestFit="1" customWidth="1"/>
    <col min="20" max="20" width="5.109375" style="337" customWidth="1"/>
    <col min="21" max="16384" width="9.44140625" style="337"/>
  </cols>
  <sheetData>
    <row r="1" spans="1:20" ht="17.399999999999999">
      <c r="B1" s="605" t="s">
        <v>0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</row>
    <row r="2" spans="1:20" ht="17.399999999999999">
      <c r="A2" s="384"/>
      <c r="B2" s="605" t="s">
        <v>372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  <c r="T2" s="384"/>
    </row>
    <row r="3" spans="1:20" ht="17.399999999999999">
      <c r="A3" s="384"/>
      <c r="B3" s="606" t="s">
        <v>371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T3" s="384"/>
    </row>
    <row r="4" spans="1:20" ht="17.399999999999999">
      <c r="A4" s="384"/>
      <c r="B4" s="606" t="s">
        <v>63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T4" s="384"/>
    </row>
    <row r="6" spans="1:20" ht="14.4">
      <c r="F6" s="607" t="s">
        <v>370</v>
      </c>
      <c r="G6" s="602"/>
      <c r="H6" s="602"/>
      <c r="I6" s="602"/>
      <c r="J6" s="602"/>
      <c r="K6" s="602"/>
      <c r="L6" s="602"/>
      <c r="M6" s="384"/>
      <c r="N6" s="383"/>
    </row>
    <row r="7" spans="1:20" ht="14.4" thickBot="1">
      <c r="D7" s="382" t="s">
        <v>49</v>
      </c>
      <c r="F7" s="381" t="s">
        <v>25</v>
      </c>
      <c r="G7" s="380"/>
      <c r="H7" s="380" t="s">
        <v>25</v>
      </c>
      <c r="J7" s="602" t="s">
        <v>369</v>
      </c>
      <c r="K7" s="602"/>
      <c r="L7" s="602"/>
      <c r="M7" s="380"/>
    </row>
    <row r="8" spans="1:20" ht="16.8">
      <c r="B8" s="377" t="s">
        <v>368</v>
      </c>
      <c r="D8" s="379" t="s">
        <v>367</v>
      </c>
      <c r="F8" s="379" t="s">
        <v>643</v>
      </c>
      <c r="G8" s="379"/>
      <c r="H8" s="379" t="s">
        <v>644</v>
      </c>
      <c r="I8" s="378" t="s">
        <v>25</v>
      </c>
      <c r="J8" s="377" t="s">
        <v>366</v>
      </c>
      <c r="L8" s="376" t="s">
        <v>49</v>
      </c>
      <c r="N8" s="375"/>
      <c r="O8" s="374" t="s">
        <v>365</v>
      </c>
      <c r="P8" s="373"/>
      <c r="Q8" s="372" t="s">
        <v>364</v>
      </c>
      <c r="S8" s="363"/>
    </row>
    <row r="9" spans="1:20">
      <c r="B9" s="348">
        <v>0</v>
      </c>
      <c r="D9" s="347">
        <v>5.7419848979944474E-3</v>
      </c>
      <c r="F9" s="346">
        <f>ROUND((($B9*O$11+$O$9)),2)</f>
        <v>7.49</v>
      </c>
      <c r="H9" s="346">
        <f>ROUND((($B9*Q$11+$Q$9)),2)</f>
        <v>7.49</v>
      </c>
      <c r="J9" s="345">
        <f>H9-F9</f>
        <v>0</v>
      </c>
      <c r="L9" s="344">
        <f>(H9-F9)/F9</f>
        <v>0</v>
      </c>
      <c r="N9" s="368" t="s">
        <v>363</v>
      </c>
      <c r="O9" s="371">
        <f>SUM(O17,O30)</f>
        <v>7.49</v>
      </c>
      <c r="P9" s="366"/>
      <c r="Q9" s="370">
        <f>SUM(Q17,Q30)</f>
        <v>7.49</v>
      </c>
      <c r="R9" s="369"/>
      <c r="S9" s="363">
        <f>(Q9-O9)/O9</f>
        <v>0</v>
      </c>
    </row>
    <row r="10" spans="1:20">
      <c r="B10" s="348">
        <v>50</v>
      </c>
      <c r="D10" s="347">
        <v>8.1833144872857384E-3</v>
      </c>
      <c r="F10" s="346">
        <f>ROUND((($B10*O$11+$O$9)),2)</f>
        <v>12.14</v>
      </c>
      <c r="H10" s="346">
        <f>ROUND((($B10*Q$11+$Q$9)),2)</f>
        <v>11.77</v>
      </c>
      <c r="J10" s="345">
        <f>H10-F10</f>
        <v>-0.37000000000000099</v>
      </c>
      <c r="L10" s="344">
        <f>(H10-F10)/F10</f>
        <v>-3.0477759472817213E-2</v>
      </c>
      <c r="N10" s="368"/>
      <c r="O10" s="367"/>
      <c r="P10" s="366"/>
      <c r="Q10" s="365"/>
      <c r="S10" s="363"/>
    </row>
    <row r="11" spans="1:20">
      <c r="B11" s="348">
        <v>100</v>
      </c>
      <c r="D11" s="347">
        <v>1.1031546417228269E-2</v>
      </c>
      <c r="F11" s="346">
        <f>ROUND((($B11*O$11+$O$9)),2)</f>
        <v>16.78</v>
      </c>
      <c r="H11" s="346">
        <f>ROUND((($B11*Q$11+$Q$9)),2)</f>
        <v>16.05</v>
      </c>
      <c r="J11" s="345">
        <f>H11-F11</f>
        <v>-0.73000000000000043</v>
      </c>
      <c r="L11" s="344">
        <f>(H11-F11)/F11</f>
        <v>-4.3504171632896327E-2</v>
      </c>
      <c r="N11" s="368" t="s">
        <v>362</v>
      </c>
      <c r="O11" s="367">
        <f>SUM(O18,O23:O29,O31,O33:O35)</f>
        <v>9.2901161999999995E-2</v>
      </c>
      <c r="P11" s="366"/>
      <c r="Q11" s="365">
        <f>SUM(Q18,Q23:Q29,Q31,Q33:Q35)</f>
        <v>8.5554161999999989E-2</v>
      </c>
      <c r="S11" s="363">
        <f>(Q11-O11)/O11</f>
        <v>-7.9084048485852168E-2</v>
      </c>
    </row>
    <row r="12" spans="1:20">
      <c r="D12" s="347"/>
      <c r="N12" s="368" t="s">
        <v>361</v>
      </c>
      <c r="O12" s="367">
        <f>SUM(O19,O23:O29,O32,O33:O35)</f>
        <v>0.11273616199999999</v>
      </c>
      <c r="P12" s="366"/>
      <c r="Q12" s="365">
        <f>SUM(Q19,Q23:Q29,Q32,Q33:Q35)</f>
        <v>0.10451516199999999</v>
      </c>
      <c r="S12" s="363">
        <f>(Q12-O12)/O12</f>
        <v>-7.2922475398798772E-2</v>
      </c>
    </row>
    <row r="13" spans="1:20" ht="14.4" thickBot="1">
      <c r="B13" s="348">
        <v>150</v>
      </c>
      <c r="D13" s="347">
        <v>1.4908688935828765E-2</v>
      </c>
      <c r="F13" s="346">
        <f>ROUND((($B13*O$11+$O$9)),2)</f>
        <v>21.43</v>
      </c>
      <c r="H13" s="346">
        <f>ROUND((($B13*Q$11+$Q$9)),2)</f>
        <v>20.32</v>
      </c>
      <c r="J13" s="345">
        <f>H13-F13</f>
        <v>-1.1099999999999994</v>
      </c>
      <c r="L13" s="344">
        <f>(H13-F13)/F13</f>
        <v>-5.1796546896873519E-2</v>
      </c>
      <c r="N13" s="362"/>
      <c r="O13" s="361"/>
      <c r="P13" s="360"/>
      <c r="Q13" s="359"/>
      <c r="S13" s="363"/>
    </row>
    <row r="14" spans="1:20">
      <c r="B14" s="348">
        <v>200</v>
      </c>
      <c r="D14" s="347">
        <v>2.0516728812595968E-2</v>
      </c>
      <c r="F14" s="346">
        <f>ROUND((($B14*O$11+$O$9)),2)</f>
        <v>26.07</v>
      </c>
      <c r="H14" s="346">
        <f>ROUND((($B14*Q$11+$Q$9)),2)</f>
        <v>24.6</v>
      </c>
      <c r="J14" s="345">
        <f>H14-F14</f>
        <v>-1.4699999999999989</v>
      </c>
      <c r="L14" s="344">
        <f>(H14-F14)/F14</f>
        <v>-5.638665132336014E-2</v>
      </c>
      <c r="R14" s="364"/>
      <c r="S14" s="363"/>
    </row>
    <row r="15" spans="1:20">
      <c r="B15" s="348">
        <v>300</v>
      </c>
      <c r="D15" s="347">
        <v>6.3392310525435244E-2</v>
      </c>
      <c r="F15" s="346">
        <f>ROUND((($B15*O$11+$O$9)),2)</f>
        <v>35.36</v>
      </c>
      <c r="H15" s="346">
        <f>ROUND((($B15*Q$11+$Q$9)),2)</f>
        <v>33.159999999999997</v>
      </c>
      <c r="J15" s="345">
        <f>H15-F15</f>
        <v>-2.2000000000000028</v>
      </c>
      <c r="L15" s="344">
        <f>(H15-F15)/F15</f>
        <v>-6.2217194570135831E-2</v>
      </c>
    </row>
    <row r="16" spans="1:20">
      <c r="D16" s="347"/>
      <c r="F16" s="351"/>
      <c r="H16" s="351"/>
      <c r="S16" s="337" t="s">
        <v>25</v>
      </c>
    </row>
    <row r="17" spans="2:18">
      <c r="B17" s="348">
        <v>400</v>
      </c>
      <c r="D17" s="347">
        <v>8.9366412179571794E-2</v>
      </c>
      <c r="F17" s="346">
        <f>ROUND((($B17*O$11+$O$9)),2)</f>
        <v>44.65</v>
      </c>
      <c r="H17" s="346">
        <f>ROUND((($B17*Q$11+$Q$9)),2)</f>
        <v>41.71</v>
      </c>
      <c r="J17" s="345">
        <f>H17-F17</f>
        <v>-2.9399999999999977</v>
      </c>
      <c r="L17" s="344">
        <f>(H17-F17)/F17</f>
        <v>-6.5845464725643843E-2</v>
      </c>
      <c r="N17" s="337" t="str">
        <f>+N9</f>
        <v>Basic 1 Phase</v>
      </c>
      <c r="O17" s="354">
        <f>+'[2]Exhibit No.__(JAP-Tariff)'!$F$8</f>
        <v>7.49</v>
      </c>
      <c r="P17" s="354"/>
      <c r="Q17" s="354">
        <f>+'[3]Exhibit No.__(JAP-Tariff)'!$F$8</f>
        <v>7.49</v>
      </c>
    </row>
    <row r="18" spans="2:18">
      <c r="B18" s="348">
        <v>500</v>
      </c>
      <c r="D18" s="347">
        <v>0.10259225843382799</v>
      </c>
      <c r="F18" s="346">
        <f>ROUND((($B18*O$11+$O$9)),2)</f>
        <v>53.94</v>
      </c>
      <c r="H18" s="346">
        <f>ROUND((($B18*Q$11+$Q$9)),2)</f>
        <v>50.27</v>
      </c>
      <c r="J18" s="345">
        <f>H18-F18</f>
        <v>-3.6699999999999946</v>
      </c>
      <c r="L18" s="344">
        <f>(H18-F18)/F18</f>
        <v>-6.8038561364478958E-2</v>
      </c>
      <c r="N18" s="337" t="str">
        <f>+N11</f>
        <v>Energy - First 600</v>
      </c>
      <c r="O18" s="354">
        <f>+'[2]Exhibit No.__(JAP-Tariff)'!$F$11</f>
        <v>9.1361999999999999E-2</v>
      </c>
      <c r="P18" s="354"/>
      <c r="Q18" s="354">
        <f>+'[3]Exhibit No.__(JAP-Tariff)'!$F$11</f>
        <v>8.7335999999999997E-2</v>
      </c>
      <c r="R18" s="337" t="s">
        <v>25</v>
      </c>
    </row>
    <row r="19" spans="2:18">
      <c r="B19" s="348">
        <v>600</v>
      </c>
      <c r="D19" s="347">
        <v>0.10260180180545389</v>
      </c>
      <c r="F19" s="346">
        <f>ROUND((($B19*O$11+$O$9)),2)</f>
        <v>63.23</v>
      </c>
      <c r="H19" s="346">
        <f>ROUND((($B19*Q$11+$Q$9)),2)</f>
        <v>58.82</v>
      </c>
      <c r="J19" s="345">
        <f>H19-F19</f>
        <v>-4.4099999999999966</v>
      </c>
      <c r="L19" s="344">
        <f>(H19-F19)/F19</f>
        <v>-6.97453740313142E-2</v>
      </c>
      <c r="N19" s="337" t="str">
        <f>+N12</f>
        <v>Energy - Over 600</v>
      </c>
      <c r="O19" s="354">
        <f>+'[2]Exhibit No.__(JAP-Tariff)'!$F$12</f>
        <v>0.111197</v>
      </c>
      <c r="P19" s="354"/>
      <c r="Q19" s="354">
        <f>+'[3]Exhibit No.__(JAP-Tariff)'!$F$12</f>
        <v>0.106297</v>
      </c>
    </row>
    <row r="20" spans="2:18">
      <c r="B20" s="348">
        <v>700</v>
      </c>
      <c r="D20" s="347">
        <v>9.354041267396912E-2</v>
      </c>
      <c r="F20" s="346">
        <f>ROUND((((600*O$11)+(($B20-600)*O$12)+$O$9)),2)</f>
        <v>74.5</v>
      </c>
      <c r="H20" s="346">
        <f>ROUND((((600*Q$11)+(($B20-600)*Q$12)+$Q$9)),2)</f>
        <v>69.27</v>
      </c>
      <c r="J20" s="345">
        <f>H20-F20</f>
        <v>-5.230000000000004</v>
      </c>
      <c r="L20" s="344">
        <f>(H20-F20)/F20</f>
        <v>-7.0201342281879242E-2</v>
      </c>
      <c r="N20" s="357"/>
      <c r="O20" s="357"/>
      <c r="P20" s="357"/>
      <c r="Q20" s="358"/>
    </row>
    <row r="21" spans="2:18">
      <c r="D21" s="347"/>
      <c r="F21" s="351"/>
      <c r="H21" s="351"/>
    </row>
    <row r="22" spans="2:18">
      <c r="B22" s="348">
        <v>800</v>
      </c>
      <c r="D22" s="347">
        <v>8.0786329905573828E-2</v>
      </c>
      <c r="F22" s="346">
        <f>ROUND((((600*O$11)+(($B22-600)*O$12)+$O$9)),2)</f>
        <v>85.78</v>
      </c>
      <c r="H22" s="346">
        <f>ROUND((((600*Q$11)+(($B22-600)*Q$12)+$Q$9)),2)</f>
        <v>79.73</v>
      </c>
      <c r="J22" s="345">
        <f>H22-F22</f>
        <v>-6.0499999999999972</v>
      </c>
      <c r="L22" s="344">
        <f>(H22-F22)/F22</f>
        <v>-7.0529260899976645E-2</v>
      </c>
    </row>
    <row r="23" spans="2:18">
      <c r="B23" s="348">
        <v>900</v>
      </c>
      <c r="C23" s="337" t="s">
        <v>357</v>
      </c>
      <c r="D23" s="347">
        <v>6.7617321607992248E-2</v>
      </c>
      <c r="F23" s="346">
        <f>ROUND((((600*O$11)+(($B23-600)*O$12)+$O$9)),2)</f>
        <v>97.05</v>
      </c>
      <c r="H23" s="346">
        <f>ROUND((((600*Q$11)+(($B23-600)*Q$12)+$Q$9)),2)</f>
        <v>90.18</v>
      </c>
      <c r="J23" s="345">
        <f>H23-F23</f>
        <v>-6.8699999999999903</v>
      </c>
      <c r="L23" s="344">
        <f>(H23-F23)/F23</f>
        <v>-7.078825347758877E-2</v>
      </c>
      <c r="N23" s="353" t="s">
        <v>360</v>
      </c>
      <c r="O23" s="354">
        <v>0</v>
      </c>
      <c r="P23" s="357"/>
      <c r="Q23" s="354">
        <v>0</v>
      </c>
    </row>
    <row r="24" spans="2:18">
      <c r="B24" s="348">
        <v>1000</v>
      </c>
      <c r="D24" s="347">
        <v>5.6054386745895232E-2</v>
      </c>
      <c r="F24" s="346">
        <f>ROUND((((600*O$11)+(($B24-600)*O$12)+$O$9)),2)</f>
        <v>108.33</v>
      </c>
      <c r="H24" s="346">
        <f>ROUND((((600*Q$11)+(($B24-600)*Q$12)+$Q$9)),2)</f>
        <v>100.63</v>
      </c>
      <c r="J24" s="345">
        <f>H24-F24</f>
        <v>-7.7000000000000028</v>
      </c>
      <c r="L24" s="344">
        <f>(H24-F24)/F24</f>
        <v>-7.107911012646545E-2</v>
      </c>
      <c r="N24" s="493" t="s">
        <v>359</v>
      </c>
      <c r="O24" s="494">
        <f>+'Sch 95a'!$E$7</f>
        <v>-2.4910000000000002E-3</v>
      </c>
      <c r="P24" s="357"/>
      <c r="Q24" s="494">
        <f>+'Sch 95a'!$H$7</f>
        <v>-2.0720000000000001E-3</v>
      </c>
    </row>
    <row r="25" spans="2:18">
      <c r="B25" s="348">
        <v>1100</v>
      </c>
      <c r="D25" s="347">
        <v>4.6059014014314552E-2</v>
      </c>
      <c r="F25" s="346">
        <f>ROUND((((600*O$11)+(($B25-600)*O$12)+$O$9)),2)</f>
        <v>119.6</v>
      </c>
      <c r="H25" s="346">
        <f>ROUND((((600*Q$11)+(($B25-600)*Q$12)+$Q$9)),2)</f>
        <v>111.08</v>
      </c>
      <c r="J25" s="345">
        <f>H25-F25</f>
        <v>-8.519999999999996</v>
      </c>
      <c r="L25" s="344">
        <f>(H25-F25)/F25</f>
        <v>-7.1237458193979905E-2</v>
      </c>
      <c r="N25" s="493" t="s">
        <v>358</v>
      </c>
      <c r="O25" s="494">
        <f>+'Sch 120'!$E$7</f>
        <v>6.0749999999999997E-3</v>
      </c>
      <c r="P25" s="357"/>
      <c r="Q25" s="494">
        <f>+'Sch 120'!$H$7</f>
        <v>4.8599999999999997E-3</v>
      </c>
    </row>
    <row r="26" spans="2:18">
      <c r="B26" s="348">
        <v>1200</v>
      </c>
      <c r="D26" s="347">
        <v>3.7802646284051784E-2</v>
      </c>
      <c r="F26" s="346">
        <f>ROUND((((600*O$11)+(($B26-600)*O$12)+$O$9)),2)</f>
        <v>130.87</v>
      </c>
      <c r="H26" s="346">
        <f>ROUND((((600*Q$11)+(($B26-600)*Q$12)+$Q$9)),2)</f>
        <v>121.53</v>
      </c>
      <c r="J26" s="345">
        <f>H26-F26</f>
        <v>-9.3400000000000034</v>
      </c>
      <c r="L26" s="344">
        <f>(H26-F26)/F26</f>
        <v>-7.1368533659356637E-2</v>
      </c>
      <c r="N26" s="353" t="s">
        <v>227</v>
      </c>
      <c r="O26" s="354">
        <f>+'Sch 129'!$E$7</f>
        <v>9.3700000000000001E-4</v>
      </c>
      <c r="P26" s="337" t="s">
        <v>25</v>
      </c>
      <c r="Q26" s="354">
        <f t="shared" ref="Q26:Q28" si="0">+O26</f>
        <v>9.3700000000000001E-4</v>
      </c>
    </row>
    <row r="27" spans="2:18">
      <c r="B27" s="348"/>
      <c r="D27" s="347"/>
      <c r="F27" s="351"/>
      <c r="H27" s="351"/>
      <c r="L27" s="355"/>
      <c r="N27" s="357" t="s">
        <v>228</v>
      </c>
      <c r="O27" s="352">
        <f>+'Sch 132'!$E$7</f>
        <v>-3.4600000000000001E-4</v>
      </c>
      <c r="Q27" s="352">
        <f t="shared" si="0"/>
        <v>-3.4600000000000001E-4</v>
      </c>
    </row>
    <row r="28" spans="2:18">
      <c r="B28" s="348">
        <v>1300</v>
      </c>
      <c r="D28" s="347">
        <v>3.093167207725165E-2</v>
      </c>
      <c r="F28" s="346">
        <f>ROUND((((600*O$11)+(($B28-600)*O$12)+$O$9)),2)</f>
        <v>142.15</v>
      </c>
      <c r="H28" s="346">
        <f>ROUND((((600*Q$11)+(($B28-600)*Q$12)+$Q$9)),2)</f>
        <v>131.97999999999999</v>
      </c>
      <c r="J28" s="345">
        <f>H28-F28</f>
        <v>-10.170000000000016</v>
      </c>
      <c r="L28" s="344">
        <f>(H28-F28)/F28</f>
        <v>-7.1544143510376468E-2</v>
      </c>
      <c r="N28" s="357" t="s">
        <v>356</v>
      </c>
      <c r="O28" s="352">
        <f>+'Sch 137'!$E$7</f>
        <v>-3.4999999999999997E-5</v>
      </c>
      <c r="Q28" s="352">
        <f t="shared" si="0"/>
        <v>-3.4999999999999997E-5</v>
      </c>
    </row>
    <row r="29" spans="2:18">
      <c r="B29" s="348">
        <v>1400</v>
      </c>
      <c r="D29" s="347">
        <v>2.5532488466244209E-2</v>
      </c>
      <c r="F29" s="346">
        <f>ROUND((((600*O$11)+(($B29-600)*O$12)+$O$9)),2)</f>
        <v>153.41999999999999</v>
      </c>
      <c r="H29" s="346">
        <f>ROUND((((600*Q$11)+(($B29-600)*Q$12)+$Q$9)),2)</f>
        <v>142.43</v>
      </c>
      <c r="J29" s="345">
        <f>H29-F29</f>
        <v>-10.989999999999981</v>
      </c>
      <c r="L29" s="344">
        <f>(H29-F29)/F29</f>
        <v>-7.1633424586103389E-2</v>
      </c>
      <c r="N29" s="493" t="s">
        <v>259</v>
      </c>
      <c r="O29" s="496">
        <f>+'Sch 140'!$E$7</f>
        <v>3.6039999999999996E-3</v>
      </c>
      <c r="Q29" s="496">
        <f>+'Sch 140'!$H$7</f>
        <v>3.408E-3</v>
      </c>
    </row>
    <row r="30" spans="2:18">
      <c r="B30" s="348">
        <v>1600</v>
      </c>
      <c r="C30" s="337" t="s">
        <v>25</v>
      </c>
      <c r="D30" s="347">
        <v>3.8812385674841791E-2</v>
      </c>
      <c r="F30" s="346">
        <f>ROUND((((600*O$11)+(($B30-600)*O$12)+$O$9)),2)</f>
        <v>175.97</v>
      </c>
      <c r="H30" s="346">
        <f>ROUND((((600*Q$11)+(($B30-600)*Q$12)+$Q$9)),2)</f>
        <v>163.34</v>
      </c>
      <c r="J30" s="345">
        <f>H30-F30</f>
        <v>-12.629999999999995</v>
      </c>
      <c r="L30" s="344">
        <f>(H30-F30)/F30</f>
        <v>-7.1773597772347528E-2</v>
      </c>
      <c r="N30" s="353" t="s">
        <v>355</v>
      </c>
      <c r="O30" s="356">
        <v>0</v>
      </c>
      <c r="Q30" s="356">
        <v>0</v>
      </c>
    </row>
    <row r="31" spans="2:18">
      <c r="B31" s="348">
        <v>2000</v>
      </c>
      <c r="D31" s="347">
        <v>4.6644706777373153E-2</v>
      </c>
      <c r="F31" s="346">
        <f>ROUND((((600*O$11)+(($B31-600)*O$12)+$O$9)),2)</f>
        <v>221.06</v>
      </c>
      <c r="H31" s="346">
        <f>ROUND((((600*Q$11)+(($B31-600)*Q$12)+$Q$9)),2)</f>
        <v>205.14</v>
      </c>
      <c r="J31" s="345">
        <f>H31-F31</f>
        <v>-15.920000000000016</v>
      </c>
      <c r="L31" s="344">
        <f>(H31-F31)/F31</f>
        <v>-7.2016647064145553E-2</v>
      </c>
      <c r="N31" s="353" t="s">
        <v>354</v>
      </c>
      <c r="O31" s="352">
        <v>0</v>
      </c>
      <c r="Q31" s="352">
        <v>0</v>
      </c>
    </row>
    <row r="32" spans="2:18">
      <c r="B32" s="348">
        <v>2500</v>
      </c>
      <c r="D32" s="347">
        <v>2.8462894737708876E-2</v>
      </c>
      <c r="F32" s="346">
        <f>ROUND((((600*O$11)+(($B32-600)*O$12)+$O$9)),2)</f>
        <v>277.43</v>
      </c>
      <c r="H32" s="346">
        <f>ROUND((((600*Q$11)+(($B32-600)*Q$12)+$Q$9)),2)</f>
        <v>257.39999999999998</v>
      </c>
      <c r="J32" s="345">
        <f>H32-F32</f>
        <v>-20.03000000000003</v>
      </c>
      <c r="L32" s="344">
        <f>(H32-F32)/F32</f>
        <v>-7.2198392387268967E-2</v>
      </c>
      <c r="N32" s="353" t="s">
        <v>353</v>
      </c>
      <c r="O32" s="352">
        <v>0</v>
      </c>
      <c r="Q32" s="352">
        <v>0</v>
      </c>
    </row>
    <row r="33" spans="2:17">
      <c r="D33" s="347"/>
      <c r="F33" s="351"/>
      <c r="H33" s="351"/>
      <c r="N33" s="493" t="s">
        <v>274</v>
      </c>
      <c r="O33" s="496">
        <f>+'Sch 142 Deferral &amp; K-Factor'!$F$7</f>
        <v>1.201E-3</v>
      </c>
      <c r="Q33" s="496">
        <f>+'Sch 142 Deferral &amp; K-Factor'!$O$7</f>
        <v>-1.1280000000000001E-3</v>
      </c>
    </row>
    <row r="34" spans="2:17">
      <c r="B34" s="348">
        <v>3000</v>
      </c>
      <c r="D34" s="347">
        <v>1.3600909204615715E-2</v>
      </c>
      <c r="F34" s="346">
        <f>ROUND((((600*O$11)+(($B34-600)*O$12)+$O$9)),2)</f>
        <v>333.8</v>
      </c>
      <c r="H34" s="346">
        <f>ROUND((((600*Q$11)+(($B34-600)*Q$12)+$Q$9)),2)</f>
        <v>309.66000000000003</v>
      </c>
      <c r="J34" s="345">
        <f>H34-F34</f>
        <v>-24.139999999999986</v>
      </c>
      <c r="L34" s="344">
        <f>(H34-F34)/F34</f>
        <v>-7.2318753744757297E-2</v>
      </c>
      <c r="N34" s="353"/>
      <c r="O34" s="352"/>
      <c r="Q34" s="354"/>
    </row>
    <row r="35" spans="2:17">
      <c r="B35" s="348">
        <v>4000</v>
      </c>
      <c r="D35" s="347">
        <v>1.0247638670045864E-2</v>
      </c>
      <c r="F35" s="346">
        <f>ROUND((((600*O$11)+(($B35-600)*O$12)+$O$9)),2)</f>
        <v>446.53</v>
      </c>
      <c r="H35" s="346">
        <f>ROUND((((600*Q$11)+(($B35-600)*Q$12)+$Q$9)),2)</f>
        <v>414.17</v>
      </c>
      <c r="J35" s="345">
        <f>H35-F35</f>
        <v>-32.359999999999957</v>
      </c>
      <c r="L35" s="344">
        <f>(H35-F35)/F35</f>
        <v>-7.2469934830806354E-2</v>
      </c>
      <c r="N35" s="353" t="s">
        <v>352</v>
      </c>
      <c r="O35" s="352">
        <f>+'Sch 194'!$E$7</f>
        <v>-7.4058380000000005E-3</v>
      </c>
      <c r="Q35" s="352">
        <f>+O35</f>
        <v>-7.4058380000000005E-3</v>
      </c>
    </row>
    <row r="36" spans="2:17">
      <c r="B36" s="348">
        <v>5000</v>
      </c>
      <c r="D36" s="347">
        <v>2.9912135950987272E-3</v>
      </c>
      <c r="F36" s="346">
        <f>ROUND((((600*O$11)+(($B36-600)*O$12)+$O$9)),2)</f>
        <v>559.27</v>
      </c>
      <c r="H36" s="346">
        <f>ROUND((((600*Q$11)+(($B36-600)*Q$12)+$Q$9)),2)</f>
        <v>518.69000000000005</v>
      </c>
      <c r="J36" s="345">
        <f>H36-F36</f>
        <v>-40.579999999999927</v>
      </c>
      <c r="L36" s="344">
        <f>(H36-F36)/F36</f>
        <v>-7.2558871385913659E-2</v>
      </c>
    </row>
    <row r="37" spans="2:17">
      <c r="B37" s="348" t="s">
        <v>351</v>
      </c>
      <c r="D37" s="347">
        <v>2.5809330698011489E-3</v>
      </c>
      <c r="F37" s="346"/>
      <c r="H37" s="346"/>
      <c r="J37" s="345"/>
      <c r="L37" s="344"/>
      <c r="N37" s="440" t="s">
        <v>618</v>
      </c>
      <c r="O37" s="349">
        <f>+'Tax Reform Impacts'!F9</f>
        <v>-3.9935562296297002E-2</v>
      </c>
    </row>
    <row r="38" spans="2:17">
      <c r="B38" s="343"/>
      <c r="C38" s="341"/>
      <c r="D38" s="342"/>
      <c r="E38" s="341"/>
      <c r="F38" s="342"/>
      <c r="G38" s="341"/>
      <c r="H38" s="342"/>
      <c r="I38" s="341"/>
      <c r="J38" s="341"/>
      <c r="K38" s="341"/>
      <c r="L38" s="340"/>
      <c r="N38" s="440"/>
      <c r="O38" s="349"/>
    </row>
    <row r="39" spans="2:17">
      <c r="B39" s="339"/>
    </row>
    <row r="40" spans="2:17">
      <c r="B40" s="603" t="s">
        <v>350</v>
      </c>
      <c r="C40" s="603"/>
      <c r="D40" s="603"/>
      <c r="E40" s="603"/>
      <c r="F40" s="603"/>
      <c r="G40" s="603"/>
      <c r="H40" s="603"/>
      <c r="I40" s="603"/>
      <c r="J40" s="603"/>
      <c r="K40" s="603"/>
      <c r="L40" s="603"/>
    </row>
    <row r="41" spans="2:17">
      <c r="B41" s="604" t="s">
        <v>349</v>
      </c>
      <c r="C41" s="603"/>
      <c r="D41" s="603"/>
      <c r="E41" s="603"/>
      <c r="F41" s="603"/>
      <c r="G41" s="603"/>
      <c r="H41" s="603"/>
      <c r="I41" s="603"/>
      <c r="J41" s="603"/>
      <c r="K41" s="603"/>
      <c r="L41" s="603"/>
    </row>
    <row r="42" spans="2:17" ht="15.6">
      <c r="B42" s="601" t="s">
        <v>619</v>
      </c>
      <c r="C42" s="601"/>
      <c r="D42" s="601"/>
      <c r="E42" s="601"/>
      <c r="F42" s="601"/>
      <c r="G42" s="601"/>
      <c r="H42" s="601"/>
      <c r="I42" s="601"/>
      <c r="J42" s="601"/>
      <c r="K42" s="601"/>
      <c r="L42" s="601"/>
    </row>
    <row r="43" spans="2:17" ht="14.4">
      <c r="B43" s="601" t="s">
        <v>645</v>
      </c>
      <c r="C43" s="601"/>
      <c r="D43" s="601"/>
      <c r="E43" s="601"/>
      <c r="F43" s="601"/>
      <c r="G43" s="601"/>
      <c r="H43" s="601"/>
      <c r="I43" s="601"/>
      <c r="J43" s="601"/>
      <c r="K43" s="601"/>
      <c r="L43" s="601"/>
    </row>
    <row r="44" spans="2:17" ht="14.4">
      <c r="B44" s="601" t="s">
        <v>646</v>
      </c>
      <c r="C44" s="601"/>
      <c r="D44" s="601"/>
      <c r="E44" s="601"/>
      <c r="F44" s="601"/>
      <c r="G44" s="601"/>
      <c r="H44" s="601"/>
      <c r="I44" s="601"/>
      <c r="J44" s="601"/>
      <c r="K44" s="601"/>
      <c r="L44" s="601"/>
    </row>
  </sheetData>
  <mergeCells count="11">
    <mergeCell ref="B1:L1"/>
    <mergeCell ref="B2:L2"/>
    <mergeCell ref="B3:L3"/>
    <mergeCell ref="B4:L4"/>
    <mergeCell ref="F6:L6"/>
    <mergeCell ref="B43:L43"/>
    <mergeCell ref="B44:L44"/>
    <mergeCell ref="B42:L42"/>
    <mergeCell ref="J7:L7"/>
    <mergeCell ref="B40:L40"/>
    <mergeCell ref="B41:L41"/>
  </mergeCells>
  <printOptions horizontalCentered="1"/>
  <pageMargins left="0.7" right="0.7" top="0.75" bottom="0.71" header="0.3" footer="0.3"/>
  <pageSetup scale="8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8"/>
  <sheetViews>
    <sheetView topLeftCell="A10" zoomScale="80" zoomScaleNormal="80" zoomScaleSheetLayoutView="75" workbookViewId="0">
      <selection activeCell="Y23" sqref="Y23"/>
    </sheetView>
  </sheetViews>
  <sheetFormatPr defaultColWidth="9.44140625" defaultRowHeight="13.8"/>
  <cols>
    <col min="1" max="1" width="1.6640625" style="337" customWidth="1"/>
    <col min="2" max="2" width="8.44140625" style="337" customWidth="1"/>
    <col min="3" max="3" width="3.77734375" style="337" customWidth="1"/>
    <col min="4" max="4" width="12.5546875" style="337" bestFit="1" customWidth="1"/>
    <col min="5" max="5" width="1.77734375" style="337" customWidth="1"/>
    <col min="6" max="6" width="12" style="337" bestFit="1" customWidth="1"/>
    <col min="7" max="7" width="1.77734375" style="337" customWidth="1"/>
    <col min="8" max="8" width="12.5546875" style="337" bestFit="1" customWidth="1"/>
    <col min="9" max="9" width="1.77734375" style="337" customWidth="1"/>
    <col min="10" max="10" width="12.6640625" style="337" customWidth="1"/>
    <col min="11" max="11" width="1.77734375" style="337" customWidth="1"/>
    <col min="12" max="12" width="10.44140625" style="337" customWidth="1"/>
    <col min="13" max="13" width="2.21875" style="337" hidden="1" customWidth="1"/>
    <col min="14" max="14" width="8" style="337" customWidth="1"/>
    <col min="15" max="15" width="1.77734375" style="337" customWidth="1"/>
    <col min="16" max="16" width="9.6640625" style="337" customWidth="1"/>
    <col min="17" max="17" width="1.77734375" style="337" hidden="1" customWidth="1"/>
    <col min="18" max="18" width="12" style="337" bestFit="1" customWidth="1"/>
    <col min="19" max="19" width="3.44140625" style="337" customWidth="1"/>
    <col min="20" max="20" width="22.6640625" style="337" customWidth="1"/>
    <col min="21" max="21" width="11.88671875" style="337" bestFit="1" customWidth="1"/>
    <col min="22" max="22" width="11.77734375" style="337" bestFit="1" customWidth="1"/>
    <col min="23" max="23" width="12.21875" style="337" bestFit="1" customWidth="1"/>
    <col min="24" max="24" width="11.88671875" style="337" bestFit="1" customWidth="1"/>
    <col min="25" max="25" width="11.77734375" style="337" bestFit="1" customWidth="1"/>
    <col min="26" max="26" width="2.88671875" style="385" customWidth="1"/>
    <col min="27" max="27" width="6.5546875" style="337" customWidth="1"/>
    <col min="28" max="28" width="8.6640625" style="337" customWidth="1"/>
    <col min="29" max="16384" width="9.44140625" style="337"/>
  </cols>
  <sheetData>
    <row r="1" spans="1:28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</row>
    <row r="2" spans="1:28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28" ht="20.399999999999999">
      <c r="B3" s="417" t="s">
        <v>392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</row>
    <row r="4" spans="1:28" ht="20.399999999999999">
      <c r="B4" s="417" t="s">
        <v>391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</row>
    <row r="5" spans="1:28">
      <c r="A5" s="386"/>
    </row>
    <row r="6" spans="1:28" ht="16.2">
      <c r="A6" s="386"/>
      <c r="B6" s="390"/>
      <c r="C6" s="390"/>
      <c r="D6" s="415" t="s">
        <v>390</v>
      </c>
      <c r="E6" s="415"/>
      <c r="F6" s="415"/>
      <c r="G6" s="415"/>
      <c r="H6" s="415"/>
      <c r="I6" s="415"/>
      <c r="J6" s="415"/>
      <c r="K6" s="390"/>
      <c r="L6" s="414" t="s">
        <v>389</v>
      </c>
      <c r="M6" s="414"/>
      <c r="N6" s="414"/>
      <c r="O6" s="387"/>
      <c r="P6" s="414" t="s">
        <v>388</v>
      </c>
      <c r="Q6" s="414"/>
      <c r="R6" s="414"/>
    </row>
    <row r="7" spans="1:28" ht="16.2" thickBot="1">
      <c r="A7" s="386"/>
      <c r="B7" s="390"/>
      <c r="C7" s="390"/>
      <c r="D7" s="412" t="s">
        <v>649</v>
      </c>
      <c r="E7" s="412"/>
      <c r="F7" s="412"/>
      <c r="G7" s="413"/>
      <c r="H7" s="412" t="s">
        <v>650</v>
      </c>
      <c r="I7" s="412"/>
      <c r="J7" s="412"/>
      <c r="K7" s="390"/>
      <c r="L7" s="412" t="s">
        <v>37</v>
      </c>
      <c r="M7" s="412"/>
      <c r="N7" s="412"/>
      <c r="O7" s="387"/>
      <c r="P7" s="412" t="s">
        <v>37</v>
      </c>
      <c r="Q7" s="412"/>
      <c r="R7" s="412"/>
    </row>
    <row r="8" spans="1:28" ht="15.6">
      <c r="A8" s="386"/>
      <c r="B8" s="411" t="s">
        <v>368</v>
      </c>
      <c r="C8" s="390"/>
      <c r="D8" s="410" t="s">
        <v>387</v>
      </c>
      <c r="E8" s="409"/>
      <c r="F8" s="408" t="s">
        <v>386</v>
      </c>
      <c r="G8" s="390"/>
      <c r="H8" s="410" t="s">
        <v>387</v>
      </c>
      <c r="I8" s="409"/>
      <c r="J8" s="408" t="s">
        <v>386</v>
      </c>
      <c r="K8" s="390"/>
      <c r="L8" s="410" t="s">
        <v>387</v>
      </c>
      <c r="M8" s="409"/>
      <c r="N8" s="408" t="s">
        <v>386</v>
      </c>
      <c r="O8" s="387"/>
      <c r="P8" s="410" t="s">
        <v>387</v>
      </c>
      <c r="Q8" s="409"/>
      <c r="R8" s="408" t="s">
        <v>386</v>
      </c>
      <c r="T8" s="608" t="s">
        <v>385</v>
      </c>
      <c r="U8" s="609"/>
      <c r="V8" s="610"/>
      <c r="W8" s="611" t="s">
        <v>384</v>
      </c>
      <c r="X8" s="609"/>
      <c r="Y8" s="610"/>
    </row>
    <row r="9" spans="1:28" ht="15.6">
      <c r="A9" s="386"/>
      <c r="B9" s="390"/>
      <c r="C9" s="390"/>
      <c r="D9" s="407"/>
      <c r="E9" s="407"/>
      <c r="F9" s="407"/>
      <c r="G9" s="407"/>
      <c r="H9" s="407"/>
      <c r="I9" s="407"/>
      <c r="J9" s="407"/>
      <c r="K9" s="387"/>
      <c r="L9" s="387"/>
      <c r="M9" s="387"/>
      <c r="N9" s="387"/>
      <c r="O9" s="387"/>
      <c r="P9" s="387"/>
      <c r="Q9" s="387"/>
      <c r="R9" s="387"/>
      <c r="T9" s="400"/>
      <c r="U9" s="406" t="s">
        <v>383</v>
      </c>
      <c r="V9" s="405" t="s">
        <v>382</v>
      </c>
      <c r="W9" s="364"/>
      <c r="X9" s="406" t="s">
        <v>383</v>
      </c>
      <c r="Y9" s="405" t="s">
        <v>382</v>
      </c>
    </row>
    <row r="10" spans="1:28" ht="15.6">
      <c r="A10" s="386"/>
      <c r="B10" s="393">
        <v>500</v>
      </c>
      <c r="C10" s="388"/>
      <c r="D10" s="391">
        <f>ROUND($U$10+$B10*$U$14,2)</f>
        <v>59.72</v>
      </c>
      <c r="E10" s="391"/>
      <c r="F10" s="391">
        <f>ROUND($V$10+$B10*$V$14,2)</f>
        <v>75.3</v>
      </c>
      <c r="G10" s="391"/>
      <c r="H10" s="391">
        <f>ROUND($X$10+$B10*$X$14,2)</f>
        <v>57.97</v>
      </c>
      <c r="I10" s="391"/>
      <c r="J10" s="391">
        <f>ROUND($Y$10+$B10*$Y$14,2)</f>
        <v>73.069999999999993</v>
      </c>
      <c r="K10" s="390"/>
      <c r="L10" s="391">
        <f>H10-D10</f>
        <v>-1.75</v>
      </c>
      <c r="M10" s="391"/>
      <c r="N10" s="391">
        <f>J10-F10</f>
        <v>-2.230000000000004</v>
      </c>
      <c r="O10" s="387"/>
      <c r="P10" s="389">
        <f>ROUND(H10/D10-1,4)</f>
        <v>-2.93E-2</v>
      </c>
      <c r="Q10" s="390"/>
      <c r="R10" s="389">
        <f>ROUND(J10/F10-1,4)</f>
        <v>-2.9600000000000001E-2</v>
      </c>
      <c r="T10" s="400" t="s">
        <v>381</v>
      </c>
      <c r="U10" s="371">
        <f>SUM(U17,V29)</f>
        <v>10.11</v>
      </c>
      <c r="V10" s="370">
        <f>SUM(V17,V30)</f>
        <v>25.69</v>
      </c>
      <c r="W10" s="400" t="str">
        <f>+T10</f>
        <v>Basic Charge</v>
      </c>
      <c r="X10" s="371">
        <f>SUM(X17,Y29)</f>
        <v>9.8000000000000007</v>
      </c>
      <c r="Y10" s="370">
        <f>SUM(Y17,Y30)</f>
        <v>24.9</v>
      </c>
      <c r="Z10" s="397"/>
      <c r="AA10" s="363">
        <f>(X10-U10)/U10</f>
        <v>-3.0662710187932617E-2</v>
      </c>
      <c r="AB10" s="363">
        <f>(Y10-V10)/V10</f>
        <v>-3.0751265083690256E-2</v>
      </c>
    </row>
    <row r="11" spans="1:28" ht="15.6">
      <c r="A11" s="386"/>
      <c r="B11" s="393">
        <f>+B10+500</f>
        <v>1000</v>
      </c>
      <c r="C11" s="388"/>
      <c r="D11" s="391">
        <f>ROUND($U$10+$B11*$U$14,2)</f>
        <v>109.33</v>
      </c>
      <c r="E11" s="391"/>
      <c r="F11" s="391">
        <f>ROUND($V$10+$B11*$V$14,2)</f>
        <v>124.91</v>
      </c>
      <c r="G11" s="391"/>
      <c r="H11" s="391">
        <f>ROUND($X$10+$B11*$X$14,2)</f>
        <v>106.14</v>
      </c>
      <c r="I11" s="391"/>
      <c r="J11" s="391">
        <f>ROUND($Y$10+$B11*$Y$14,2)</f>
        <v>121.24</v>
      </c>
      <c r="K11" s="390"/>
      <c r="L11" s="391">
        <f>H11-D11</f>
        <v>-3.1899999999999977</v>
      </c>
      <c r="M11" s="391"/>
      <c r="N11" s="391">
        <f>J11-F11</f>
        <v>-3.6700000000000017</v>
      </c>
      <c r="O11" s="387"/>
      <c r="P11" s="389">
        <f>ROUND(H11/D11-1,4)</f>
        <v>-2.92E-2</v>
      </c>
      <c r="Q11" s="390"/>
      <c r="R11" s="389">
        <f>ROUND(J11/F11-1,4)</f>
        <v>-2.9399999999999999E-2</v>
      </c>
      <c r="T11" s="400"/>
      <c r="U11" s="403"/>
      <c r="V11" s="402"/>
      <c r="W11" s="404"/>
      <c r="X11" s="403"/>
      <c r="Y11" s="402"/>
    </row>
    <row r="12" spans="1:28" ht="15.6">
      <c r="A12" s="386"/>
      <c r="B12" s="393">
        <f>+B11+500</f>
        <v>1500</v>
      </c>
      <c r="C12" s="388"/>
      <c r="D12" s="391">
        <f>ROUND($U$10+$B12*$U$14,2)</f>
        <v>158.94</v>
      </c>
      <c r="E12" s="391"/>
      <c r="F12" s="391">
        <f>ROUND($V$10+$B12*$V$14,2)</f>
        <v>174.52</v>
      </c>
      <c r="G12" s="391"/>
      <c r="H12" s="391">
        <f>ROUND($X$10+$B12*$X$14,2)</f>
        <v>154.32</v>
      </c>
      <c r="I12" s="391"/>
      <c r="J12" s="391">
        <f>ROUND($Y$10+$B12*$Y$14,2)</f>
        <v>169.42</v>
      </c>
      <c r="K12" s="390"/>
      <c r="L12" s="391">
        <f>H12-D12</f>
        <v>-4.6200000000000045</v>
      </c>
      <c r="M12" s="391"/>
      <c r="N12" s="391">
        <f>J12-F12</f>
        <v>-5.1000000000000227</v>
      </c>
      <c r="O12" s="387"/>
      <c r="P12" s="389">
        <f>ROUND(H12/D12-1,4)</f>
        <v>-2.9100000000000001E-2</v>
      </c>
      <c r="Q12" s="390"/>
      <c r="R12" s="389">
        <f>ROUND(J12/F12-1,4)</f>
        <v>-2.92E-2</v>
      </c>
      <c r="T12" s="401" t="s">
        <v>380</v>
      </c>
      <c r="U12" s="367">
        <f>SUM(U18,V22:V28,V31,V33:V34)</f>
        <v>0.100684</v>
      </c>
      <c r="V12" s="365">
        <f>U12</f>
        <v>0.100684</v>
      </c>
      <c r="W12" s="400" t="str">
        <f>+T12</f>
        <v xml:space="preserve">Winter kWh </v>
      </c>
      <c r="X12" s="367">
        <f>SUM(X18,Y22:Y28,Y31,Y33:Y34)</f>
        <v>9.7761999999999988E-2</v>
      </c>
      <c r="Y12" s="365">
        <f>X12</f>
        <v>9.7761999999999988E-2</v>
      </c>
      <c r="AA12" s="363">
        <f t="shared" ref="AA12:AB14" si="0">(X12-U12)/U12</f>
        <v>-2.9021492987962416E-2</v>
      </c>
      <c r="AB12" s="363">
        <f t="shared" si="0"/>
        <v>-2.9021492987962416E-2</v>
      </c>
    </row>
    <row r="13" spans="1:28" ht="15.6">
      <c r="A13" s="386"/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T13" s="400" t="s">
        <v>379</v>
      </c>
      <c r="U13" s="367">
        <f>SUM(U19,V22:V28,V32,V33:V34)</f>
        <v>9.7444000000000003E-2</v>
      </c>
      <c r="V13" s="365">
        <f>U13</f>
        <v>9.7444000000000003E-2</v>
      </c>
      <c r="W13" s="400" t="str">
        <f>+T13</f>
        <v>Summer kWh</v>
      </c>
      <c r="X13" s="367">
        <f>SUM(X19,Y22:Y28,Y32,Y33:Y34)</f>
        <v>9.4625000000000001E-2</v>
      </c>
      <c r="Y13" s="365">
        <f>X13</f>
        <v>9.4625000000000001E-2</v>
      </c>
      <c r="AA13" s="363">
        <f t="shared" si="0"/>
        <v>-2.8929436394236709E-2</v>
      </c>
      <c r="AB13" s="363">
        <f t="shared" si="0"/>
        <v>-2.8929436394236709E-2</v>
      </c>
    </row>
    <row r="14" spans="1:28" ht="15.6">
      <c r="A14" s="386"/>
      <c r="B14" s="393">
        <v>2500</v>
      </c>
      <c r="C14" s="388"/>
      <c r="D14" s="391">
        <f>ROUND($U$10+$B14*$U$14,2)</f>
        <v>258.16000000000003</v>
      </c>
      <c r="E14" s="391"/>
      <c r="F14" s="391">
        <f>ROUND($V$10+$B14*$V$14,2)</f>
        <v>273.74</v>
      </c>
      <c r="G14" s="391"/>
      <c r="H14" s="391">
        <f>ROUND($X$10+$B14*$X$14,2)</f>
        <v>250.66</v>
      </c>
      <c r="I14" s="391"/>
      <c r="J14" s="391">
        <f>ROUND($Y$10+$B14*$Y$14,2)</f>
        <v>265.76</v>
      </c>
      <c r="K14" s="390"/>
      <c r="L14" s="391">
        <f>H14-D14</f>
        <v>-7.5000000000000284</v>
      </c>
      <c r="M14" s="391"/>
      <c r="N14" s="391">
        <f>J14-F14</f>
        <v>-7.9800000000000182</v>
      </c>
      <c r="O14" s="387"/>
      <c r="P14" s="389">
        <f>ROUND(H14/D14-1,4)</f>
        <v>-2.9100000000000001E-2</v>
      </c>
      <c r="Q14" s="390"/>
      <c r="R14" s="389">
        <f>ROUND(J14/F14-1,4)</f>
        <v>-2.92E-2</v>
      </c>
      <c r="T14" s="400" t="s">
        <v>378</v>
      </c>
      <c r="U14" s="367">
        <f>ROUND(SUM(U20,V22:V28,V33:V34)+AVERAGE(V31:V32),6)</f>
        <v>9.9220000000000003E-2</v>
      </c>
      <c r="V14" s="365">
        <f>U14</f>
        <v>9.9220000000000003E-2</v>
      </c>
      <c r="W14" s="400" t="str">
        <f>+T14</f>
        <v>Average kWh</v>
      </c>
      <c r="X14" s="367">
        <f>ROUND(SUM(X20,Y22:Y28,Y33:Y34)+AVERAGE(Y31:Y32),6)</f>
        <v>9.6343999999999999E-2</v>
      </c>
      <c r="Y14" s="365">
        <f>X14</f>
        <v>9.6343999999999999E-2</v>
      </c>
      <c r="AA14" s="363">
        <f t="shared" si="0"/>
        <v>-2.8986091513807734E-2</v>
      </c>
      <c r="AB14" s="363">
        <f t="shared" si="0"/>
        <v>-2.8986091513807734E-2</v>
      </c>
    </row>
    <row r="15" spans="1:28" ht="16.2" thickBot="1">
      <c r="A15" s="386"/>
      <c r="B15" s="393">
        <f>+B14+500</f>
        <v>3000</v>
      </c>
      <c r="C15" s="388"/>
      <c r="D15" s="391">
        <f>ROUND($U$10+$B15*$U$14,2)</f>
        <v>307.77</v>
      </c>
      <c r="E15" s="391"/>
      <c r="F15" s="391">
        <f>ROUND($V$10+$B15*$V$14,2)</f>
        <v>323.35000000000002</v>
      </c>
      <c r="G15" s="391"/>
      <c r="H15" s="391">
        <f>ROUND($X$10+$B15*$X$14,2)</f>
        <v>298.83</v>
      </c>
      <c r="I15" s="391"/>
      <c r="J15" s="391">
        <f>ROUND($Y$10+$B15*$Y$14,2)</f>
        <v>313.93</v>
      </c>
      <c r="K15" s="390"/>
      <c r="L15" s="391">
        <f>H15-D15</f>
        <v>-8.9399999999999977</v>
      </c>
      <c r="M15" s="391"/>
      <c r="N15" s="391">
        <f>J15-F15</f>
        <v>-9.4200000000000159</v>
      </c>
      <c r="O15" s="387"/>
      <c r="P15" s="389">
        <f>ROUND(H15/D15-1,4)</f>
        <v>-2.9000000000000001E-2</v>
      </c>
      <c r="Q15" s="390"/>
      <c r="R15" s="389">
        <f>ROUND(J15/F15-1,4)</f>
        <v>-2.9100000000000001E-2</v>
      </c>
      <c r="T15" s="399" t="s">
        <v>25</v>
      </c>
      <c r="U15" s="360" t="s">
        <v>25</v>
      </c>
      <c r="V15" s="398" t="s">
        <v>25</v>
      </c>
      <c r="W15" s="399" t="s">
        <v>25</v>
      </c>
      <c r="X15" s="360" t="s">
        <v>25</v>
      </c>
      <c r="Y15" s="398" t="s">
        <v>25</v>
      </c>
    </row>
    <row r="16" spans="1:28" ht="15.6">
      <c r="A16" s="386"/>
      <c r="B16" s="393">
        <f>+B15+500</f>
        <v>3500</v>
      </c>
      <c r="C16" s="388"/>
      <c r="D16" s="391">
        <f>ROUND($U$10+$B16*$U$14,2)</f>
        <v>357.38</v>
      </c>
      <c r="E16" s="391"/>
      <c r="F16" s="391">
        <f>ROUND($V$10+$B16*$V$14,2)</f>
        <v>372.96</v>
      </c>
      <c r="G16" s="391"/>
      <c r="H16" s="391">
        <f>ROUND($X$10+$B16*$X$14,2)</f>
        <v>347</v>
      </c>
      <c r="I16" s="391"/>
      <c r="J16" s="391">
        <f>ROUND($Y$10+$B16*$Y$14,2)</f>
        <v>362.1</v>
      </c>
      <c r="K16" s="390"/>
      <c r="L16" s="391">
        <f>H16-D16</f>
        <v>-10.379999999999995</v>
      </c>
      <c r="M16" s="391"/>
      <c r="N16" s="391">
        <f>J16-F16</f>
        <v>-10.859999999999957</v>
      </c>
      <c r="O16" s="387"/>
      <c r="P16" s="389">
        <f>ROUND(H16/D16-1,4)</f>
        <v>-2.9000000000000001E-2</v>
      </c>
      <c r="Q16" s="390"/>
      <c r="R16" s="389">
        <f>ROUND(J16/F16-1,4)</f>
        <v>-2.9100000000000001E-2</v>
      </c>
      <c r="AA16" s="345"/>
    </row>
    <row r="17" spans="1:27" ht="15.6">
      <c r="A17" s="386"/>
      <c r="B17" s="387"/>
      <c r="C17" s="388"/>
      <c r="D17" s="396"/>
      <c r="E17" s="396"/>
      <c r="F17" s="396"/>
      <c r="G17" s="396"/>
      <c r="H17" s="396"/>
      <c r="I17" s="396"/>
      <c r="J17" s="396"/>
      <c r="K17" s="387"/>
      <c r="L17" s="391"/>
      <c r="M17" s="391"/>
      <c r="N17" s="391"/>
      <c r="O17" s="387"/>
      <c r="P17" s="389"/>
      <c r="Q17" s="387"/>
      <c r="R17" s="387"/>
      <c r="T17" s="337" t="str">
        <f>+T10</f>
        <v>Basic Charge</v>
      </c>
      <c r="U17" s="354">
        <f>+'[2]Exhibit No.__(JAP-Tariff)'!$F$15</f>
        <v>10.11</v>
      </c>
      <c r="V17" s="354">
        <f>+'[2]Exhibit No.__(JAP-Tariff)'!$F$16</f>
        <v>25.69</v>
      </c>
      <c r="X17" s="354">
        <f>+'[3]Exhibit No.__(JAP-Tariff)'!$F$15</f>
        <v>9.8000000000000007</v>
      </c>
      <c r="Y17" s="354">
        <f>+'[3]Exhibit No.__(JAP-Tariff)'!$F$16</f>
        <v>24.9</v>
      </c>
      <c r="AA17" s="369"/>
    </row>
    <row r="18" spans="1:27" ht="15.6">
      <c r="A18" s="386"/>
      <c r="B18" s="393">
        <f>+B16+500</f>
        <v>4000</v>
      </c>
      <c r="C18" s="388"/>
      <c r="D18" s="391">
        <f>ROUND($U$10+$B18*$U$14,2)</f>
        <v>406.99</v>
      </c>
      <c r="E18" s="391"/>
      <c r="F18" s="391">
        <f>ROUND($V$10+$B18*$V$14,2)</f>
        <v>422.57</v>
      </c>
      <c r="G18" s="391"/>
      <c r="H18" s="391">
        <f>ROUND($X$10+$B18*$X$14,2)</f>
        <v>395.18</v>
      </c>
      <c r="I18" s="391"/>
      <c r="J18" s="391">
        <f>ROUND($Y$10+$B18*$Y$14,2)</f>
        <v>410.28</v>
      </c>
      <c r="K18" s="390"/>
      <c r="L18" s="391">
        <f>H18-D18</f>
        <v>-11.810000000000002</v>
      </c>
      <c r="M18" s="391"/>
      <c r="N18" s="391">
        <f>J18-F18</f>
        <v>-12.29000000000002</v>
      </c>
      <c r="O18" s="387"/>
      <c r="P18" s="389">
        <f>ROUND(H18/D18-1,4)</f>
        <v>-2.9000000000000001E-2</v>
      </c>
      <c r="Q18" s="390"/>
      <c r="R18" s="389">
        <f>ROUND(J18/F18-1,4)</f>
        <v>-2.9100000000000001E-2</v>
      </c>
      <c r="T18" s="337" t="str">
        <f>+T12</f>
        <v xml:space="preserve">Winter kWh </v>
      </c>
      <c r="U18" s="354">
        <f>+'[2]Exhibit No.__(JAP-Tariff)'!$F$18</f>
        <v>9.3608999999999998E-2</v>
      </c>
      <c r="V18" s="354">
        <f>+U18</f>
        <v>9.3608999999999998E-2</v>
      </c>
      <c r="X18" s="354">
        <f>+'[3]Exhibit No.__(JAP-Tariff)'!$F$18</f>
        <v>9.071499999999999E-2</v>
      </c>
      <c r="Y18" s="354">
        <f>+X18</f>
        <v>9.071499999999999E-2</v>
      </c>
      <c r="AA18" s="369"/>
    </row>
    <row r="19" spans="1:27" ht="15.6">
      <c r="B19" s="393">
        <f>+B18+500</f>
        <v>4500</v>
      </c>
      <c r="C19" s="388"/>
      <c r="D19" s="391">
        <f>ROUND($U$10+$B19*$U$14,2)</f>
        <v>456.6</v>
      </c>
      <c r="E19" s="391"/>
      <c r="F19" s="391">
        <f>ROUND($V$10+$B19*$V$14,2)</f>
        <v>472.18</v>
      </c>
      <c r="G19" s="391"/>
      <c r="H19" s="391">
        <f>ROUND($X$10+$B19*$X$14,2)</f>
        <v>443.35</v>
      </c>
      <c r="I19" s="391"/>
      <c r="J19" s="391">
        <f>ROUND($Y$10+$B19*$Y$14,2)</f>
        <v>458.45</v>
      </c>
      <c r="K19" s="390"/>
      <c r="L19" s="391">
        <f>H19-D19</f>
        <v>-13.25</v>
      </c>
      <c r="M19" s="391"/>
      <c r="N19" s="391">
        <f>J19-F19</f>
        <v>-13.730000000000018</v>
      </c>
      <c r="O19" s="387"/>
      <c r="P19" s="389">
        <f>ROUND(H19/D19-1,4)</f>
        <v>-2.9000000000000001E-2</v>
      </c>
      <c r="Q19" s="390"/>
      <c r="R19" s="389">
        <f>ROUND(J19/F19-1,4)</f>
        <v>-2.9100000000000001E-2</v>
      </c>
      <c r="T19" s="337" t="str">
        <f>+T13</f>
        <v>Summer kWh</v>
      </c>
      <c r="U19" s="354">
        <f>+'[2]Exhibit No.__(JAP-Tariff)'!$F$19</f>
        <v>9.0369000000000005E-2</v>
      </c>
      <c r="V19" s="354">
        <f>+U19</f>
        <v>9.0369000000000005E-2</v>
      </c>
      <c r="X19" s="354">
        <f>+'[3]Exhibit No.__(JAP-Tariff)'!$F$19</f>
        <v>8.7578000000000003E-2</v>
      </c>
      <c r="Y19" s="354">
        <f>+X19</f>
        <v>8.7578000000000003E-2</v>
      </c>
      <c r="Z19" s="397"/>
      <c r="AA19" s="345"/>
    </row>
    <row r="20" spans="1:27" ht="15.6">
      <c r="A20" s="386"/>
      <c r="B20" s="393">
        <f>+B19+500</f>
        <v>5000</v>
      </c>
      <c r="C20" s="388"/>
      <c r="D20" s="391">
        <f>ROUND($U$10+$B20*$U$14,2)</f>
        <v>506.21</v>
      </c>
      <c r="E20" s="391"/>
      <c r="F20" s="391">
        <f>ROUND($V$10+$B20*$V$14,2)</f>
        <v>521.79</v>
      </c>
      <c r="G20" s="391"/>
      <c r="H20" s="391">
        <f>ROUND($X$10+$B20*$X$14,2)</f>
        <v>491.52</v>
      </c>
      <c r="I20" s="391"/>
      <c r="J20" s="391">
        <f>ROUND($Y$10+$B20*$Y$14,2)</f>
        <v>506.62</v>
      </c>
      <c r="K20" s="390"/>
      <c r="L20" s="391">
        <f>H20-D20</f>
        <v>-14.689999999999998</v>
      </c>
      <c r="M20" s="391"/>
      <c r="N20" s="391">
        <f>J20-F20</f>
        <v>-15.169999999999959</v>
      </c>
      <c r="O20" s="387"/>
      <c r="P20" s="389">
        <f>ROUND(H20/D20-1,4)</f>
        <v>-2.9000000000000001E-2</v>
      </c>
      <c r="Q20" s="390"/>
      <c r="R20" s="389">
        <f>ROUND(J20/F20-1,4)</f>
        <v>-2.9100000000000001E-2</v>
      </c>
      <c r="T20" s="337" t="str">
        <f>+T14</f>
        <v>Average kWh</v>
      </c>
      <c r="U20" s="354">
        <f>+'[2]Exhibit No.__(JAP-SV RD)'!$G$27</f>
        <v>9.2145000000000005E-2</v>
      </c>
      <c r="V20" s="354">
        <f>+U20</f>
        <v>9.2145000000000005E-2</v>
      </c>
      <c r="X20" s="354">
        <f>+'[3]Exhibit No.__(JAP-SV RD)'!$G$27</f>
        <v>8.9297000000000001E-2</v>
      </c>
      <c r="Y20" s="354">
        <f>+X20</f>
        <v>8.9297000000000001E-2</v>
      </c>
    </row>
    <row r="21" spans="1:27" ht="15.6">
      <c r="A21" s="386"/>
      <c r="B21" s="387"/>
      <c r="C21" s="388"/>
      <c r="D21" s="396"/>
      <c r="E21" s="396"/>
      <c r="F21" s="396"/>
      <c r="G21" s="396"/>
      <c r="H21" s="396"/>
      <c r="I21" s="396"/>
      <c r="J21" s="396"/>
      <c r="K21" s="387"/>
      <c r="L21" s="391"/>
      <c r="M21" s="391"/>
      <c r="N21" s="391"/>
      <c r="O21" s="387"/>
      <c r="P21" s="389"/>
      <c r="Q21" s="387"/>
      <c r="R21" s="387"/>
    </row>
    <row r="22" spans="1:27" ht="15.6">
      <c r="A22" s="386"/>
      <c r="B22" s="393">
        <f>+B20+1000</f>
        <v>6000</v>
      </c>
      <c r="C22" s="392"/>
      <c r="D22" s="391">
        <f>ROUND($U$10+$B22*$U$14,2)</f>
        <v>605.42999999999995</v>
      </c>
      <c r="E22" s="391"/>
      <c r="F22" s="391">
        <f>ROUND($V$10+$B22*$V$14,2)</f>
        <v>621.01</v>
      </c>
      <c r="G22" s="391"/>
      <c r="H22" s="391">
        <f>ROUND($X$10+$B22*$X$14,2)</f>
        <v>587.86</v>
      </c>
      <c r="I22" s="391"/>
      <c r="J22" s="391">
        <f>ROUND($Y$10+$B22*$Y$14,2)</f>
        <v>602.96</v>
      </c>
      <c r="K22" s="390"/>
      <c r="L22" s="391">
        <f>H22-D22</f>
        <v>-17.569999999999936</v>
      </c>
      <c r="M22" s="391"/>
      <c r="N22" s="391">
        <f>J22-F22</f>
        <v>-18.049999999999955</v>
      </c>
      <c r="O22" s="387"/>
      <c r="P22" s="389">
        <f>ROUND(H22/D22-1,4)</f>
        <v>-2.9000000000000001E-2</v>
      </c>
      <c r="Q22" s="390"/>
      <c r="R22" s="389">
        <f>ROUND(J22/F22-1,4)</f>
        <v>-2.9100000000000001E-2</v>
      </c>
      <c r="T22" s="353" t="s">
        <v>360</v>
      </c>
      <c r="V22" s="354">
        <v>0</v>
      </c>
      <c r="Y22" s="354">
        <v>0</v>
      </c>
    </row>
    <row r="23" spans="1:27" ht="15.6">
      <c r="B23" s="393">
        <f>+B22+1000</f>
        <v>7000</v>
      </c>
      <c r="C23" s="392"/>
      <c r="D23" s="391">
        <f>ROUND($U$10+$B23*$U$14,2)</f>
        <v>704.65</v>
      </c>
      <c r="E23" s="391"/>
      <c r="F23" s="391">
        <f>ROUND($V$10+$B23*$V$14,2)</f>
        <v>720.23</v>
      </c>
      <c r="G23" s="391"/>
      <c r="H23" s="391">
        <f>ROUND($X$10+$B23*$X$14,2)</f>
        <v>684.21</v>
      </c>
      <c r="I23" s="391"/>
      <c r="J23" s="391">
        <f>ROUND($Y$10+$B23*$Y$14,2)</f>
        <v>699.31</v>
      </c>
      <c r="K23" s="390"/>
      <c r="L23" s="391">
        <f>H23-D23</f>
        <v>-20.439999999999941</v>
      </c>
      <c r="M23" s="391"/>
      <c r="N23" s="391">
        <f>J23-F23</f>
        <v>-20.920000000000073</v>
      </c>
      <c r="O23" s="387"/>
      <c r="P23" s="389">
        <f>ROUND(H23/D23-1,4)</f>
        <v>-2.9000000000000001E-2</v>
      </c>
      <c r="Q23" s="390"/>
      <c r="R23" s="389">
        <f>ROUND(J23/F23-1,4)</f>
        <v>-2.9000000000000001E-2</v>
      </c>
      <c r="T23" s="493" t="s">
        <v>359</v>
      </c>
      <c r="U23" s="497"/>
      <c r="V23" s="494">
        <f>+'Sch 95a'!$E$11</f>
        <v>-2.0119999999999999E-3</v>
      </c>
      <c r="W23" s="383"/>
      <c r="X23" s="383"/>
      <c r="Y23" s="494">
        <f>+'Sch 95a'!$H$11</f>
        <v>-1.6739999999999999E-3</v>
      </c>
    </row>
    <row r="24" spans="1:27" ht="15.6">
      <c r="A24" s="386"/>
      <c r="B24" s="393">
        <f>+B23+1000</f>
        <v>8000</v>
      </c>
      <c r="C24" s="392"/>
      <c r="D24" s="391">
        <f>ROUND($U$10+$B24*$U$14,2)</f>
        <v>803.87</v>
      </c>
      <c r="E24" s="391"/>
      <c r="F24" s="391">
        <f>ROUND($V$10+$B24*$V$14,2)</f>
        <v>819.45</v>
      </c>
      <c r="G24" s="391"/>
      <c r="H24" s="391">
        <f>ROUND($X$10+$B24*$X$14,2)</f>
        <v>780.55</v>
      </c>
      <c r="I24" s="391"/>
      <c r="J24" s="391">
        <f>ROUND($Y$10+$B24*$Y$14,2)</f>
        <v>795.65</v>
      </c>
      <c r="K24" s="390"/>
      <c r="L24" s="391">
        <f>H24-D24</f>
        <v>-23.32000000000005</v>
      </c>
      <c r="M24" s="391"/>
      <c r="N24" s="391">
        <f>J24-F24</f>
        <v>-23.800000000000068</v>
      </c>
      <c r="O24" s="387"/>
      <c r="P24" s="389">
        <f>ROUND(H24/D24-1,4)</f>
        <v>-2.9000000000000001E-2</v>
      </c>
      <c r="Q24" s="390"/>
      <c r="R24" s="389">
        <f>ROUND(J24/F24-1,4)</f>
        <v>-2.9000000000000001E-2</v>
      </c>
      <c r="T24" s="493" t="s">
        <v>358</v>
      </c>
      <c r="U24" s="497"/>
      <c r="V24" s="494">
        <f>+'Sch 120'!$E$11</f>
        <v>4.6410000000000002E-3</v>
      </c>
      <c r="Y24" s="494">
        <f>+'Sch 120'!$H$11</f>
        <v>4.2079999999999999E-3</v>
      </c>
    </row>
    <row r="25" spans="1:27" ht="15.6">
      <c r="A25" s="386"/>
      <c r="B25" s="394"/>
      <c r="C25" s="395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T25" s="353" t="s">
        <v>227</v>
      </c>
      <c r="V25" s="354">
        <f>+'Sch 129'!E11</f>
        <v>8.5499999999999997E-4</v>
      </c>
      <c r="Y25" s="354">
        <f t="shared" ref="Y25:Y27" si="1">+V25</f>
        <v>8.5499999999999997E-4</v>
      </c>
    </row>
    <row r="26" spans="1:27" ht="15.6">
      <c r="A26" s="386"/>
      <c r="B26" s="393">
        <f>+B24+1000</f>
        <v>9000</v>
      </c>
      <c r="C26" s="392"/>
      <c r="D26" s="391">
        <f>ROUND($U$10+$B26*$U$14,2)</f>
        <v>903.09</v>
      </c>
      <c r="E26" s="391"/>
      <c r="F26" s="391">
        <f>ROUND($V$10+$B26*$V$14,2)</f>
        <v>918.67</v>
      </c>
      <c r="G26" s="391"/>
      <c r="H26" s="391">
        <f>ROUND($X$10+$B26*$X$14,2)</f>
        <v>876.9</v>
      </c>
      <c r="I26" s="391"/>
      <c r="J26" s="391">
        <f>ROUND($Y$10+$B26*$Y$14,2)</f>
        <v>892</v>
      </c>
      <c r="K26" s="390"/>
      <c r="L26" s="391">
        <f>H26-D26</f>
        <v>-26.190000000000055</v>
      </c>
      <c r="M26" s="391"/>
      <c r="N26" s="391">
        <f>J26-F26</f>
        <v>-26.669999999999959</v>
      </c>
      <c r="O26" s="387"/>
      <c r="P26" s="389">
        <f>ROUND(H26/D26-1,4)</f>
        <v>-2.9000000000000001E-2</v>
      </c>
      <c r="Q26" s="390"/>
      <c r="R26" s="389">
        <f>ROUND(J26/F26-1,4)</f>
        <v>-2.9000000000000001E-2</v>
      </c>
      <c r="T26" s="357" t="s">
        <v>228</v>
      </c>
      <c r="V26" s="354">
        <f>+'Sch 132'!E11</f>
        <v>-2.63E-4</v>
      </c>
      <c r="Y26" s="352">
        <f t="shared" si="1"/>
        <v>-2.63E-4</v>
      </c>
    </row>
    <row r="27" spans="1:27" ht="15.6">
      <c r="B27" s="393">
        <f>+B26+1000</f>
        <v>10000</v>
      </c>
      <c r="C27" s="392"/>
      <c r="D27" s="391">
        <f>ROUND($U$10+$B27*$U$14,2)</f>
        <v>1002.31</v>
      </c>
      <c r="E27" s="391"/>
      <c r="F27" s="391">
        <f>ROUND($V$10+$B27*$V$14,2)</f>
        <v>1017.89</v>
      </c>
      <c r="G27" s="391"/>
      <c r="H27" s="391">
        <f>ROUND($X$10+$B27*$X$14,2)</f>
        <v>973.24</v>
      </c>
      <c r="I27" s="391"/>
      <c r="J27" s="391">
        <f>ROUND($Y$10+$B27*$Y$14,2)</f>
        <v>988.34</v>
      </c>
      <c r="K27" s="390"/>
      <c r="L27" s="391">
        <f>H27-D27</f>
        <v>-29.069999999999936</v>
      </c>
      <c r="M27" s="391"/>
      <c r="N27" s="391">
        <f>J27-F27</f>
        <v>-29.549999999999955</v>
      </c>
      <c r="O27" s="387"/>
      <c r="P27" s="389">
        <f>ROUND(H27/D27-1,4)</f>
        <v>-2.9000000000000001E-2</v>
      </c>
      <c r="Q27" s="390"/>
      <c r="R27" s="389">
        <f>ROUND(J27/F27-1,4)</f>
        <v>-2.9000000000000001E-2</v>
      </c>
      <c r="T27" s="357" t="s">
        <v>356</v>
      </c>
      <c r="V27" s="354">
        <f>+'Sch 137'!E11</f>
        <v>-2.8E-5</v>
      </c>
      <c r="Y27" s="352">
        <f t="shared" si="1"/>
        <v>-2.8E-5</v>
      </c>
    </row>
    <row r="28" spans="1:27" ht="15.6">
      <c r="A28" s="386"/>
      <c r="B28" s="393">
        <f>+B27+1000</f>
        <v>11000</v>
      </c>
      <c r="C28" s="392"/>
      <c r="D28" s="391">
        <f>ROUND($U$10+$B28*$U$14,2)</f>
        <v>1101.53</v>
      </c>
      <c r="E28" s="391"/>
      <c r="F28" s="391">
        <f>ROUND($V$10+$B28*$V$14,2)</f>
        <v>1117.1099999999999</v>
      </c>
      <c r="G28" s="391"/>
      <c r="H28" s="391">
        <f>ROUND($X$10+$B28*$X$14,2)</f>
        <v>1069.58</v>
      </c>
      <c r="I28" s="391"/>
      <c r="J28" s="391">
        <f>ROUND($Y$10+$B28*$Y$14,2)</f>
        <v>1084.68</v>
      </c>
      <c r="K28" s="390"/>
      <c r="L28" s="391">
        <f>H28-D28</f>
        <v>-31.950000000000045</v>
      </c>
      <c r="M28" s="391"/>
      <c r="N28" s="391">
        <f>J28-F28</f>
        <v>-32.429999999999836</v>
      </c>
      <c r="O28" s="387"/>
      <c r="P28" s="389">
        <f>ROUND(H28/D28-1,4)</f>
        <v>-2.9000000000000001E-2</v>
      </c>
      <c r="Q28" s="390"/>
      <c r="R28" s="389">
        <f>ROUND(J28/F28-1,4)</f>
        <v>-2.9000000000000001E-2</v>
      </c>
      <c r="T28" s="495" t="s">
        <v>259</v>
      </c>
      <c r="U28" s="497"/>
      <c r="V28" s="496">
        <f>+'Sch 140'!$E$11</f>
        <v>2.5469999999999998E-3</v>
      </c>
      <c r="Y28" s="496">
        <f>+'Sch 140'!$H$11</f>
        <v>2.5799999999999998E-3</v>
      </c>
    </row>
    <row r="29" spans="1:27" ht="15.6">
      <c r="A29" s="386"/>
      <c r="B29" s="387"/>
      <c r="C29" s="388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T29" s="353" t="s">
        <v>377</v>
      </c>
      <c r="V29" s="492">
        <v>0</v>
      </c>
      <c r="Y29" s="356">
        <v>0</v>
      </c>
    </row>
    <row r="30" spans="1:27" ht="15.6">
      <c r="A30" s="386"/>
      <c r="B30" s="393">
        <f>+B28+1000</f>
        <v>12000</v>
      </c>
      <c r="C30" s="392"/>
      <c r="D30" s="391">
        <f>ROUND($U$10+$B30*$U$14,2)</f>
        <v>1200.75</v>
      </c>
      <c r="E30" s="391"/>
      <c r="F30" s="391">
        <f>ROUND($V$10+$B30*$V$14,2)</f>
        <v>1216.33</v>
      </c>
      <c r="G30" s="391"/>
      <c r="H30" s="391">
        <f>ROUND($X$10+$B30*$X$14,2)</f>
        <v>1165.93</v>
      </c>
      <c r="I30" s="391"/>
      <c r="J30" s="391">
        <f>ROUND($Y$10+$B30*$Y$14,2)</f>
        <v>1181.03</v>
      </c>
      <c r="K30" s="390"/>
      <c r="L30" s="391">
        <f>H30-D30</f>
        <v>-34.819999999999936</v>
      </c>
      <c r="M30" s="391"/>
      <c r="N30" s="391">
        <f>J30-F30</f>
        <v>-35.299999999999955</v>
      </c>
      <c r="O30" s="387"/>
      <c r="P30" s="389">
        <f>ROUND(H30/D30-1,4)</f>
        <v>-2.9000000000000001E-2</v>
      </c>
      <c r="Q30" s="390"/>
      <c r="R30" s="389">
        <f>ROUND(J30/F30-1,4)</f>
        <v>-2.9000000000000001E-2</v>
      </c>
      <c r="T30" s="353" t="s">
        <v>376</v>
      </c>
      <c r="V30" s="502">
        <v>0</v>
      </c>
      <c r="Y30" s="352">
        <v>0</v>
      </c>
    </row>
    <row r="31" spans="1:27" ht="15.6">
      <c r="B31" s="393">
        <f>+B30+1000</f>
        <v>13000</v>
      </c>
      <c r="C31" s="392"/>
      <c r="D31" s="391">
        <f>ROUND($U$10+$B31*$U$14,2)</f>
        <v>1299.97</v>
      </c>
      <c r="E31" s="391"/>
      <c r="F31" s="391">
        <f>ROUND($V$10+$B31*$V$14,2)</f>
        <v>1315.55</v>
      </c>
      <c r="G31" s="391"/>
      <c r="H31" s="391">
        <f>ROUND($X$10+$B31*$X$14,2)</f>
        <v>1262.27</v>
      </c>
      <c r="I31" s="391"/>
      <c r="J31" s="391">
        <f>ROUND($Y$10+$B31*$Y$14,2)</f>
        <v>1277.3699999999999</v>
      </c>
      <c r="K31" s="390"/>
      <c r="L31" s="391">
        <f>H31-D31</f>
        <v>-37.700000000000045</v>
      </c>
      <c r="M31" s="391"/>
      <c r="N31" s="391">
        <f>J31-F31</f>
        <v>-38.180000000000064</v>
      </c>
      <c r="O31" s="387"/>
      <c r="P31" s="389">
        <f>ROUND(H31/D31-1,4)</f>
        <v>-2.9000000000000001E-2</v>
      </c>
      <c r="Q31" s="390"/>
      <c r="R31" s="389">
        <f>ROUND(J31/F31-1,4)</f>
        <v>-2.9000000000000001E-2</v>
      </c>
      <c r="T31" s="353" t="s">
        <v>375</v>
      </c>
      <c r="V31" s="502">
        <v>0</v>
      </c>
      <c r="Y31" s="352">
        <v>0</v>
      </c>
    </row>
    <row r="32" spans="1:27" ht="15.6">
      <c r="A32" s="386"/>
      <c r="B32" s="393">
        <f>+B31+1000</f>
        <v>14000</v>
      </c>
      <c r="C32" s="392"/>
      <c r="D32" s="391">
        <f>ROUND($U$10+$B32*$U$14,2)</f>
        <v>1399.19</v>
      </c>
      <c r="E32" s="391"/>
      <c r="F32" s="391">
        <f>ROUND($V$10+$B32*$V$14,2)</f>
        <v>1414.77</v>
      </c>
      <c r="G32" s="391"/>
      <c r="H32" s="391">
        <f>ROUND($X$10+$B32*$X$14,2)</f>
        <v>1358.62</v>
      </c>
      <c r="I32" s="391"/>
      <c r="J32" s="391">
        <f>ROUND($Y$10+$B32*$Y$14,2)</f>
        <v>1373.72</v>
      </c>
      <c r="K32" s="390"/>
      <c r="L32" s="391">
        <f>H32-D32</f>
        <v>-40.570000000000164</v>
      </c>
      <c r="M32" s="391"/>
      <c r="N32" s="391">
        <f>J32-F32</f>
        <v>-41.049999999999955</v>
      </c>
      <c r="O32" s="387"/>
      <c r="P32" s="389">
        <f>ROUND(H32/D32-1,4)</f>
        <v>-2.9000000000000001E-2</v>
      </c>
      <c r="Q32" s="390"/>
      <c r="R32" s="389">
        <f>ROUND(J32/F32-1,4)</f>
        <v>-2.9000000000000001E-2</v>
      </c>
      <c r="T32" s="353" t="s">
        <v>374</v>
      </c>
      <c r="V32" s="502">
        <v>0</v>
      </c>
      <c r="Y32" s="352">
        <v>0</v>
      </c>
    </row>
    <row r="33" spans="1:25" ht="15.6">
      <c r="A33" s="386"/>
      <c r="B33" s="387"/>
      <c r="C33" s="388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T33" s="495" t="s">
        <v>274</v>
      </c>
      <c r="U33" s="497"/>
      <c r="V33" s="496">
        <f>+'Sch 142 Deferral &amp; K-Factor'!$F$12</f>
        <v>1.335E-3</v>
      </c>
      <c r="Y33" s="496">
        <f>+'Sch 142 Deferral &amp; K-Factor'!$O$12</f>
        <v>1.369E-3</v>
      </c>
    </row>
    <row r="34" spans="1:25" ht="15.6">
      <c r="A34" s="386"/>
      <c r="B34" s="393">
        <f>+B32+1000</f>
        <v>15000</v>
      </c>
      <c r="C34" s="392"/>
      <c r="D34" s="391">
        <f>ROUND($U$10+$B34*$U$14,2)</f>
        <v>1498.41</v>
      </c>
      <c r="E34" s="391"/>
      <c r="F34" s="391">
        <f>ROUND($V$10+$B34*$V$14,2)</f>
        <v>1513.99</v>
      </c>
      <c r="G34" s="391"/>
      <c r="H34" s="391">
        <f>ROUND($X$10+$B34*$X$14,2)</f>
        <v>1454.96</v>
      </c>
      <c r="I34" s="391"/>
      <c r="J34" s="391">
        <f>ROUND($Y$10+$B34*$Y$14,2)</f>
        <v>1470.06</v>
      </c>
      <c r="K34" s="390"/>
      <c r="L34" s="391">
        <f>H34-D34</f>
        <v>-43.450000000000045</v>
      </c>
      <c r="M34" s="391"/>
      <c r="N34" s="391">
        <f>J34-F34</f>
        <v>-43.930000000000064</v>
      </c>
      <c r="O34" s="387"/>
      <c r="P34" s="389">
        <f>ROUND(H34/D34-1,4)</f>
        <v>-2.9000000000000001E-2</v>
      </c>
      <c r="Q34" s="390"/>
      <c r="R34" s="389">
        <f>ROUND(J34/F34-1,4)</f>
        <v>-2.9000000000000001E-2</v>
      </c>
      <c r="T34" s="353"/>
      <c r="V34" s="352"/>
      <c r="Y34" s="354"/>
    </row>
    <row r="35" spans="1:25" ht="15.6">
      <c r="B35" s="393">
        <f>+B34+1000</f>
        <v>16000</v>
      </c>
      <c r="C35" s="392"/>
      <c r="D35" s="391">
        <f>ROUND($U$10+$B35*$U$14,2)</f>
        <v>1597.63</v>
      </c>
      <c r="E35" s="391"/>
      <c r="F35" s="391">
        <f>ROUND($V$10+$B35*$V$14,2)</f>
        <v>1613.21</v>
      </c>
      <c r="G35" s="391"/>
      <c r="H35" s="391">
        <f>ROUND($X$10+$B35*$X$14,2)</f>
        <v>1551.3</v>
      </c>
      <c r="I35" s="391"/>
      <c r="J35" s="391">
        <f>ROUND($Y$10+$B35*$Y$14,2)</f>
        <v>1566.4</v>
      </c>
      <c r="K35" s="390"/>
      <c r="L35" s="391">
        <f>H35-D35</f>
        <v>-46.330000000000155</v>
      </c>
      <c r="M35" s="391"/>
      <c r="N35" s="391">
        <f>J35-F35</f>
        <v>-46.809999999999945</v>
      </c>
      <c r="O35" s="387"/>
      <c r="P35" s="389">
        <f>ROUND(H35/D35-1,4)</f>
        <v>-2.9000000000000001E-2</v>
      </c>
      <c r="Q35" s="390"/>
      <c r="R35" s="389">
        <f>ROUND(J35/F35-1,4)</f>
        <v>-2.9000000000000001E-2</v>
      </c>
      <c r="U35" s="338" t="s">
        <v>25</v>
      </c>
    </row>
    <row r="36" spans="1:25" ht="15.6">
      <c r="A36" s="386"/>
      <c r="B36" s="393">
        <f>+B35+1000</f>
        <v>17000</v>
      </c>
      <c r="C36" s="392"/>
      <c r="D36" s="391">
        <f>ROUND($U$10+$B36*$U$14,2)</f>
        <v>1696.85</v>
      </c>
      <c r="E36" s="391"/>
      <c r="F36" s="391">
        <f>ROUND($V$10+$B36*$V$14,2)</f>
        <v>1712.43</v>
      </c>
      <c r="G36" s="391"/>
      <c r="H36" s="391">
        <f>ROUND($X$10+$B36*$X$14,2)</f>
        <v>1647.65</v>
      </c>
      <c r="I36" s="391"/>
      <c r="J36" s="391">
        <f>ROUND($Y$10+$B36*$Y$14,2)</f>
        <v>1662.75</v>
      </c>
      <c r="K36" s="390"/>
      <c r="L36" s="391">
        <f>H36-D36</f>
        <v>-49.199999999999818</v>
      </c>
      <c r="M36" s="391"/>
      <c r="N36" s="391">
        <f>J36-F36</f>
        <v>-49.680000000000064</v>
      </c>
      <c r="O36" s="387"/>
      <c r="P36" s="389">
        <f>ROUND(H36/D36-1,4)</f>
        <v>-2.9000000000000001E-2</v>
      </c>
      <c r="Q36" s="390"/>
      <c r="R36" s="389">
        <f>ROUND(J36/F36-1,4)</f>
        <v>-2.9000000000000001E-2</v>
      </c>
      <c r="T36" s="350" t="s">
        <v>620</v>
      </c>
      <c r="U36" s="349">
        <f>+'Tax Reform Impacts'!F12</f>
        <v>-2.9061318406286583E-2</v>
      </c>
    </row>
    <row r="37" spans="1:25" ht="15.6">
      <c r="A37" s="386"/>
      <c r="B37" s="387"/>
      <c r="C37" s="388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T37" s="350"/>
      <c r="U37" s="349"/>
    </row>
    <row r="38" spans="1:25" ht="15.6">
      <c r="A38" s="386"/>
      <c r="B38" s="393">
        <f>+B36+1000</f>
        <v>18000</v>
      </c>
      <c r="C38" s="392"/>
      <c r="D38" s="391">
        <f>ROUND($U$10+$B38*$U$14,2)</f>
        <v>1796.07</v>
      </c>
      <c r="E38" s="391"/>
      <c r="F38" s="391">
        <f>ROUND($V$10+$B38*$V$14,2)</f>
        <v>1811.65</v>
      </c>
      <c r="G38" s="391"/>
      <c r="H38" s="391">
        <f>ROUND($X$10+$B38*$X$14,2)</f>
        <v>1743.99</v>
      </c>
      <c r="I38" s="391"/>
      <c r="J38" s="391">
        <f>ROUND($Y$10+$B38*$Y$14,2)</f>
        <v>1759.09</v>
      </c>
      <c r="K38" s="390"/>
      <c r="L38" s="391">
        <f>H38-D38</f>
        <v>-52.079999999999927</v>
      </c>
      <c r="M38" s="391"/>
      <c r="N38" s="391">
        <f>J38-F38</f>
        <v>-52.560000000000173</v>
      </c>
      <c r="O38" s="387"/>
      <c r="P38" s="389">
        <f>ROUND(H38/D38-1,4)</f>
        <v>-2.9000000000000001E-2</v>
      </c>
      <c r="Q38" s="390"/>
      <c r="R38" s="389">
        <f>ROUND(J38/F38-1,4)</f>
        <v>-2.9000000000000001E-2</v>
      </c>
    </row>
    <row r="39" spans="1:25" ht="15.6">
      <c r="A39" s="386"/>
      <c r="B39" s="393">
        <f>+B38+1000</f>
        <v>19000</v>
      </c>
      <c r="C39" s="392"/>
      <c r="D39" s="391">
        <f>ROUND($U$10+$B39*$U$14,2)</f>
        <v>1895.29</v>
      </c>
      <c r="E39" s="391"/>
      <c r="F39" s="391">
        <f>ROUND($V$10+$B39*$V$14,2)</f>
        <v>1910.87</v>
      </c>
      <c r="G39" s="391"/>
      <c r="H39" s="391">
        <f>ROUND($X$10+$B39*$X$14,2)</f>
        <v>1840.34</v>
      </c>
      <c r="I39" s="391"/>
      <c r="J39" s="391">
        <f>ROUND($Y$10+$B39*$Y$14,2)</f>
        <v>1855.44</v>
      </c>
      <c r="K39" s="390"/>
      <c r="L39" s="391">
        <f>H39-D39</f>
        <v>-54.950000000000045</v>
      </c>
      <c r="M39" s="391"/>
      <c r="N39" s="391">
        <f>J39-F39</f>
        <v>-55.429999999999836</v>
      </c>
      <c r="O39" s="387"/>
      <c r="P39" s="389">
        <f>ROUND(H39/D39-1,4)</f>
        <v>-2.9000000000000001E-2</v>
      </c>
      <c r="Q39" s="390"/>
      <c r="R39" s="389">
        <f>ROUND(J39/F39-1,4)</f>
        <v>-2.9000000000000001E-2</v>
      </c>
    </row>
    <row r="40" spans="1:25" ht="15.6">
      <c r="A40" s="386"/>
      <c r="B40" s="393">
        <f>+B39+1000</f>
        <v>20000</v>
      </c>
      <c r="C40" s="392"/>
      <c r="D40" s="391">
        <f>ROUND($U$10+$B40*$U$14,2)</f>
        <v>1994.51</v>
      </c>
      <c r="E40" s="391"/>
      <c r="F40" s="391">
        <f>ROUND($V$10+$B40*$V$14,2)</f>
        <v>2010.09</v>
      </c>
      <c r="G40" s="391"/>
      <c r="H40" s="391">
        <f>ROUND($X$10+$B40*$X$14,2)</f>
        <v>1936.68</v>
      </c>
      <c r="I40" s="391"/>
      <c r="J40" s="391">
        <f>ROUND($Y$10+$B40*$Y$14,2)</f>
        <v>1951.78</v>
      </c>
      <c r="K40" s="390"/>
      <c r="L40" s="391">
        <f>H40-D40</f>
        <v>-57.829999999999927</v>
      </c>
      <c r="M40" s="391"/>
      <c r="N40" s="391">
        <f>J40-F40</f>
        <v>-58.309999999999945</v>
      </c>
      <c r="O40" s="387"/>
      <c r="P40" s="389">
        <f>ROUND(H40/D40-1,4)</f>
        <v>-2.9000000000000001E-2</v>
      </c>
      <c r="Q40" s="390"/>
      <c r="R40" s="389">
        <f>ROUND(J40/F40-1,4)</f>
        <v>-2.9000000000000001E-2</v>
      </c>
    </row>
    <row r="41" spans="1:25" ht="15.6">
      <c r="A41" s="386"/>
      <c r="B41" s="387"/>
      <c r="C41" s="388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</row>
    <row r="42" spans="1:25">
      <c r="A42" s="386"/>
      <c r="B42" s="601" t="s">
        <v>350</v>
      </c>
      <c r="C42" s="601"/>
      <c r="D42" s="601"/>
      <c r="E42" s="601"/>
      <c r="F42" s="601"/>
      <c r="G42" s="601"/>
      <c r="H42" s="601"/>
      <c r="I42" s="601"/>
      <c r="J42" s="601"/>
      <c r="K42" s="601"/>
      <c r="L42" s="601"/>
      <c r="M42" s="601"/>
      <c r="N42" s="601"/>
      <c r="O42" s="601"/>
      <c r="P42" s="601"/>
      <c r="Q42" s="601"/>
      <c r="R42" s="601"/>
    </row>
    <row r="43" spans="1:25" ht="15.6" customHeight="1">
      <c r="A43" s="386"/>
      <c r="B43" s="601" t="s">
        <v>621</v>
      </c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</row>
    <row r="44" spans="1:25">
      <c r="A44" s="386"/>
      <c r="B44" s="554" t="s">
        <v>373</v>
      </c>
      <c r="C44" s="554"/>
      <c r="D44" s="554"/>
      <c r="E44" s="554"/>
      <c r="F44" s="554"/>
      <c r="G44" s="554"/>
      <c r="H44" s="554"/>
      <c r="I44" s="554"/>
      <c r="J44" s="554"/>
      <c r="K44" s="554"/>
      <c r="L44" s="554"/>
      <c r="M44" s="554"/>
      <c r="N44" s="554"/>
      <c r="O44" s="554"/>
      <c r="P44" s="554"/>
      <c r="Q44" s="554"/>
      <c r="R44" s="554"/>
    </row>
    <row r="45" spans="1:25">
      <c r="A45" s="386"/>
      <c r="B45" s="554" t="s">
        <v>647</v>
      </c>
      <c r="C45" s="554"/>
      <c r="D45" s="554"/>
      <c r="E45" s="554"/>
      <c r="F45" s="554"/>
      <c r="G45" s="554"/>
      <c r="H45" s="554"/>
      <c r="I45" s="554"/>
      <c r="J45" s="554"/>
      <c r="K45" s="554"/>
      <c r="L45" s="554"/>
      <c r="M45" s="554"/>
      <c r="N45" s="554"/>
      <c r="O45" s="554"/>
      <c r="P45" s="554"/>
      <c r="Q45" s="554"/>
      <c r="R45" s="554"/>
    </row>
    <row r="46" spans="1:25">
      <c r="A46" s="386"/>
      <c r="B46" s="554" t="s">
        <v>648</v>
      </c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</row>
    <row r="47" spans="1:25">
      <c r="A47" s="386"/>
    </row>
    <row r="48" spans="1:25">
      <c r="M48" s="338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5"/>
  <sheetViews>
    <sheetView topLeftCell="A31" zoomScale="80" zoomScaleNormal="80" zoomScaleSheetLayoutView="75" workbookViewId="0">
      <selection activeCell="Q40" sqref="Q40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41.109375" style="337" bestFit="1" customWidth="1"/>
    <col min="15" max="15" width="16.88671875" style="337" customWidth="1"/>
    <col min="16" max="16" width="24" style="337" bestFit="1" customWidth="1"/>
    <col min="17" max="17" width="11.88671875" style="337" bestFit="1" customWidth="1"/>
    <col min="18" max="18" width="2.44140625" style="337" customWidth="1"/>
    <col min="19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407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415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651</v>
      </c>
      <c r="H8" s="422"/>
      <c r="I8" s="422" t="s">
        <v>652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50</v>
      </c>
      <c r="C10" s="390"/>
      <c r="D10" s="390">
        <v>300</v>
      </c>
      <c r="E10" s="393">
        <f>ROUND((B$10*D10),0)</f>
        <v>15000</v>
      </c>
      <c r="F10" s="390"/>
      <c r="G10" s="391">
        <f>+O$10+IF($E10&lt;20000,$E10*O$14,20000*O$14+($E10-20000)*O$16)+IF($B10&gt;50,($B10-50)*O$22,0)</f>
        <v>1485.5</v>
      </c>
      <c r="H10" s="391"/>
      <c r="I10" s="391">
        <f>+Q$10+IF($E10&lt;20000,$E10*Q$14,20000*Q$14+($E10-20000)*Q$16)+IF($B10&gt;50,($B10-50)*Q$22,0)</f>
        <v>1456.09</v>
      </c>
      <c r="J10" s="390"/>
      <c r="K10" s="388">
        <f>ROUND((+I10-G10)/G10,3)</f>
        <v>-0.02</v>
      </c>
      <c r="L10" s="386"/>
      <c r="M10" s="386"/>
      <c r="N10" s="400" t="s">
        <v>381</v>
      </c>
      <c r="O10" s="370">
        <f>SUM(O27,O46)</f>
        <v>53.75</v>
      </c>
      <c r="P10" s="400" t="str">
        <f>+N10</f>
        <v>Basic Charge</v>
      </c>
      <c r="Q10" s="370">
        <f>SUM(Q27,Q46)</f>
        <v>52.3</v>
      </c>
      <c r="R10" s="397"/>
      <c r="S10" s="363">
        <f>(Q10-O10)/O10</f>
        <v>-2.6976744186046564E-2</v>
      </c>
    </row>
    <row r="11" spans="1:19" ht="15.6">
      <c r="A11" s="386"/>
      <c r="B11" s="390">
        <f>+B10</f>
        <v>50</v>
      </c>
      <c r="C11" s="390"/>
      <c r="D11" s="390">
        <v>500</v>
      </c>
      <c r="E11" s="393">
        <f>ROUND((B$10*D11),0)</f>
        <v>25000</v>
      </c>
      <c r="F11" s="390"/>
      <c r="G11" s="391">
        <f>+O$10+IF($E11&lt;20000,$E11*O$14,20000*O$14+($E11-20000)*O$16)+IF($B11&gt;50,($B11-50)*O$22,0)</f>
        <v>2316.1749999999997</v>
      </c>
      <c r="H11" s="391"/>
      <c r="I11" s="391">
        <f>+Q$10+IF($E11&lt;20000,$E11*Q$14,20000*Q$14+($E11-20000)*Q$16)+IF($B11&gt;50,($B11-50)*Q$22,0)</f>
        <v>2279.4250000000002</v>
      </c>
      <c r="J11" s="390"/>
      <c r="K11" s="388">
        <f>ROUND((+I11-G11)/G11,3)</f>
        <v>-1.6E-2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50</v>
      </c>
      <c r="C12" s="390"/>
      <c r="D12" s="390">
        <v>700</v>
      </c>
      <c r="E12" s="393">
        <f>ROUND((B$10*D12),0)</f>
        <v>35000</v>
      </c>
      <c r="F12" s="390"/>
      <c r="G12" s="391">
        <f>+O$10+IF($E12&lt;20000,$E12*O$14,20000*O$14+($E12-20000)*O$16)+IF($B12&gt;50,($B12-50)*O$22,0)</f>
        <v>3023.0249999999996</v>
      </c>
      <c r="H12" s="391"/>
      <c r="I12" s="391">
        <f>+Q$10+IF($E12&lt;20000,$E12*Q$14,20000*Q$14+($E12-20000)*Q$16)+IF($B12&gt;50,($B12-50)*Q$22,0)</f>
        <v>2990.2350000000006</v>
      </c>
      <c r="J12" s="390"/>
      <c r="K12" s="388">
        <f>ROUND((+I12-G12)/G12,3)</f>
        <v>-1.0999999999999999E-2</v>
      </c>
      <c r="N12" s="401" t="s">
        <v>406</v>
      </c>
      <c r="O12" s="365">
        <f>SUM(O28,O39:O45,O48,O51:O52)</f>
        <v>0.10004500000000001</v>
      </c>
      <c r="P12" s="400" t="str">
        <f>+N12</f>
        <v>Winter kWh - First 20,000</v>
      </c>
      <c r="Q12" s="365">
        <f>SUM(Q28,Q39:Q45,Q48,Q51:Q52)</f>
        <v>9.7762000000000002E-2</v>
      </c>
      <c r="R12" s="385"/>
      <c r="S12" s="363">
        <f>(Q12-O12)/O12</f>
        <v>-2.2819731120995623E-2</v>
      </c>
    </row>
    <row r="13" spans="1:19">
      <c r="A13" s="386"/>
      <c r="L13" s="386"/>
      <c r="M13" s="386"/>
      <c r="N13" s="401" t="s">
        <v>405</v>
      </c>
      <c r="O13" s="365">
        <f>SUM(O29,O39:O45,O49,O51:O52)</f>
        <v>9.0661000000000005E-2</v>
      </c>
      <c r="P13" s="400" t="str">
        <f>+N13</f>
        <v>Summer kWh - First 20,000</v>
      </c>
      <c r="Q13" s="365">
        <f>SUM(Q29,Q39:Q45,Q49,Q51:Q52)</f>
        <v>8.9234999999999995E-2</v>
      </c>
      <c r="R13" s="385"/>
      <c r="S13" s="363">
        <f>(Q13-O13)/O13</f>
        <v>-1.5728924234235345E-2</v>
      </c>
    </row>
    <row r="14" spans="1:19" ht="15.6">
      <c r="A14" s="386"/>
      <c r="B14" s="390">
        <v>100</v>
      </c>
      <c r="C14" s="390"/>
      <c r="D14" s="390">
        <v>300</v>
      </c>
      <c r="E14" s="393">
        <f>ROUND((B$14*D14),0)</f>
        <v>30000</v>
      </c>
      <c r="F14" s="390"/>
      <c r="G14" s="391">
        <f>+O$10+IF($E14&lt;20000,$E14*O$14,20000*O$14+($E14-20000)*O$16)+IF($B14&gt;50,($B14-50)*O$22,0)</f>
        <v>3103.1</v>
      </c>
      <c r="H14" s="391"/>
      <c r="I14" s="391">
        <f>+Q$10+IF($E14&lt;20000,$E14*Q$14,20000*Q$14+($E14-20000)*Q$16)+IF($B14&gt;50,($B14-50)*Q$22,0)</f>
        <v>3028.8300000000004</v>
      </c>
      <c r="J14" s="390"/>
      <c r="K14" s="388">
        <f>ROUND((+I14-G14)/G14,3)</f>
        <v>-2.4E-2</v>
      </c>
      <c r="L14" s="386"/>
      <c r="M14" s="386"/>
      <c r="N14" s="401" t="s">
        <v>584</v>
      </c>
      <c r="O14" s="365">
        <f>ROUND(SUM(O30,O39:O45,O51:O52)+AVERAGE(O48:O49),6)</f>
        <v>9.5449999999999993E-2</v>
      </c>
      <c r="P14" s="400" t="str">
        <f>+N14</f>
        <v>Average kWh - First 20,000</v>
      </c>
      <c r="Q14" s="365">
        <f>ROUND(SUM(Q30,Q39:Q45,Q51:Q52)+AVERAGE(Q48:Q49),6)</f>
        <v>9.3586000000000003E-2</v>
      </c>
      <c r="R14" s="385"/>
      <c r="S14" s="363">
        <f>(Q14-O14)/O14</f>
        <v>-1.952854897852269E-2</v>
      </c>
    </row>
    <row r="15" spans="1:19" ht="15.6">
      <c r="A15" s="386"/>
      <c r="B15" s="390">
        <f>+B14</f>
        <v>100</v>
      </c>
      <c r="C15" s="390"/>
      <c r="D15" s="390">
        <v>500</v>
      </c>
      <c r="E15" s="393">
        <f>ROUND((B$14*D15),0)</f>
        <v>50000</v>
      </c>
      <c r="F15" s="390"/>
      <c r="G15" s="391">
        <f>+O$10+IF($E15&lt;20000,$E15*O$14,20000*O$14+($E15-20000)*O$16)+IF($B15&gt;50,($B15-50)*O$22,0)</f>
        <v>4516.8</v>
      </c>
      <c r="H15" s="391"/>
      <c r="I15" s="391">
        <f>+Q$10+IF($E15&lt;20000,$E15*Q$14,20000*Q$14+($E15-20000)*Q$16)+IF($B15&gt;50,($B15-50)*Q$22,0)</f>
        <v>4450.4500000000007</v>
      </c>
      <c r="J15" s="390"/>
      <c r="K15" s="388">
        <f>ROUND((+I15-G15)/G15,3)</f>
        <v>-1.4999999999999999E-2</v>
      </c>
      <c r="L15" s="386"/>
      <c r="M15" s="386"/>
      <c r="N15" s="400"/>
      <c r="O15" s="365"/>
      <c r="P15" s="400"/>
      <c r="Q15" s="365"/>
      <c r="R15" s="385"/>
    </row>
    <row r="16" spans="1:19" ht="15.6">
      <c r="A16" s="386"/>
      <c r="B16" s="390">
        <f>+B15</f>
        <v>100</v>
      </c>
      <c r="C16" s="390"/>
      <c r="D16" s="390">
        <v>700</v>
      </c>
      <c r="E16" s="393">
        <f>ROUND((B$14*D16),0)</f>
        <v>70000</v>
      </c>
      <c r="F16" s="390"/>
      <c r="G16" s="391">
        <f>+O$10+IF($E16&lt;20000,$E16*O$14,20000*O$14+($E16-20000)*O$16)+IF($B16&gt;50,($B16-50)*O$22,0)</f>
        <v>5930.5</v>
      </c>
      <c r="H16" s="391"/>
      <c r="I16" s="391">
        <f>+Q$10+IF($E16&lt;20000,$E16*Q$14,20000*Q$14+($E16-20000)*Q$16)+IF($B16&gt;50,($B16-50)*Q$22,0)</f>
        <v>5872.0700000000015</v>
      </c>
      <c r="J16" s="390"/>
      <c r="K16" s="388">
        <f>ROUND((+I16-G16)/G16,3)</f>
        <v>-0.01</v>
      </c>
      <c r="N16" s="401" t="s">
        <v>404</v>
      </c>
      <c r="O16" s="365">
        <f>SUM(O31,O39:O45,O50,O51)</f>
        <v>7.0685000000000012E-2</v>
      </c>
      <c r="P16" s="400" t="str">
        <f>+N16</f>
        <v>kWh - All Over 20,000</v>
      </c>
      <c r="Q16" s="365">
        <f>SUM(Q31,Q39:Q45,Q50,Q51)</f>
        <v>7.1081000000000019E-2</v>
      </c>
      <c r="R16" s="385"/>
      <c r="S16" s="363">
        <f>(Q16-O16)/O16</f>
        <v>5.6023201527906543E-3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1"/>
      <c r="O17" s="365"/>
      <c r="P17" s="401"/>
      <c r="Q17" s="365"/>
      <c r="R17" s="385"/>
      <c r="S17" s="369"/>
    </row>
    <row r="18" spans="1:19" ht="15.6">
      <c r="A18" s="386"/>
      <c r="B18" s="390">
        <v>150</v>
      </c>
      <c r="C18" s="390"/>
      <c r="D18" s="390">
        <v>300</v>
      </c>
      <c r="E18" s="393">
        <f>ROUND((B$18*D18),0)</f>
        <v>45000</v>
      </c>
      <c r="F18" s="390"/>
      <c r="G18" s="391">
        <f>+O$10+IF($E18&lt;20000,$E18*O$14,20000*O$14+($E18-20000)*O$16)+IF($B18&gt;50,($B18-50)*O$22,0)</f>
        <v>4596.875</v>
      </c>
      <c r="H18" s="391"/>
      <c r="I18" s="391">
        <f>+Q$10+IF($E18&lt;20000,$E18*Q$14,20000*Q$14+($E18-20000)*Q$16)+IF($B18&gt;50,($B18-50)*Q$22,0)</f>
        <v>4489.045000000001</v>
      </c>
      <c r="J18" s="390"/>
      <c r="K18" s="388">
        <f>ROUND((+I18-G18)/G18,3)</f>
        <v>-2.3E-2</v>
      </c>
      <c r="L18" s="386"/>
      <c r="M18" s="386"/>
      <c r="N18" s="401" t="s">
        <v>403</v>
      </c>
      <c r="O18" s="365">
        <v>0</v>
      </c>
      <c r="P18" s="400" t="str">
        <f>+N18</f>
        <v>kW - First 50</v>
      </c>
      <c r="Q18" s="365">
        <v>0</v>
      </c>
      <c r="R18" s="385"/>
      <c r="S18" s="369"/>
    </row>
    <row r="19" spans="1:19" ht="15.6">
      <c r="A19" s="386"/>
      <c r="B19" s="390">
        <f>+B18</f>
        <v>150</v>
      </c>
      <c r="C19" s="390"/>
      <c r="D19" s="390">
        <v>500</v>
      </c>
      <c r="E19" s="393">
        <f>ROUND((B$18*D19),0)</f>
        <v>75000</v>
      </c>
      <c r="F19" s="390"/>
      <c r="G19" s="391">
        <f>+O$10+IF($E19&lt;20000,$E19*O$14,20000*O$14+($E19-20000)*O$16)+IF($B19&gt;50,($B19-50)*O$22,0)</f>
        <v>6717.4250000000002</v>
      </c>
      <c r="H19" s="391"/>
      <c r="I19" s="391">
        <f>+Q$10+IF($E19&lt;20000,$E19*Q$14,20000*Q$14+($E19-20000)*Q$16)+IF($B19&gt;50,($B19-50)*Q$22,0)</f>
        <v>6621.4750000000013</v>
      </c>
      <c r="J19" s="390"/>
      <c r="K19" s="388">
        <f>ROUND((+I19-G19)/G19,3)</f>
        <v>-1.4E-2</v>
      </c>
      <c r="L19" s="386"/>
      <c r="M19" s="386"/>
      <c r="N19" s="401"/>
      <c r="O19" s="365"/>
      <c r="P19" s="401"/>
      <c r="Q19" s="365"/>
      <c r="R19" s="397"/>
      <c r="S19" s="345"/>
    </row>
    <row r="20" spans="1:19" ht="15.6">
      <c r="A20" s="386"/>
      <c r="B20" s="390">
        <f>+B19</f>
        <v>150</v>
      </c>
      <c r="C20" s="390"/>
      <c r="D20" s="390">
        <v>700</v>
      </c>
      <c r="E20" s="393">
        <f>ROUND((B$18*D20),0)</f>
        <v>105000</v>
      </c>
      <c r="F20" s="390"/>
      <c r="G20" s="391">
        <f>+O$10+IF($E20&lt;20000,$E20*O$14,20000*O$14+($E20-20000)*O$16)+IF($B20&gt;50,($B20-50)*O$22,0)</f>
        <v>8837.9750000000022</v>
      </c>
      <c r="H20" s="391"/>
      <c r="I20" s="391">
        <f>+Q$10+IF($E20&lt;20000,$E20*Q$14,20000*Q$14+($E20-20000)*Q$16)+IF($B20&gt;50,($B20-50)*Q$22,0)</f>
        <v>8753.9050000000025</v>
      </c>
      <c r="J20" s="390"/>
      <c r="K20" s="388">
        <f>ROUND((+I20-G20)/G20,3)</f>
        <v>-0.01</v>
      </c>
      <c r="N20" s="401" t="s">
        <v>402</v>
      </c>
      <c r="O20" s="421">
        <f>SUM(O33,O47,O53)</f>
        <v>10.37</v>
      </c>
      <c r="P20" s="400" t="str">
        <f>+N20</f>
        <v>Winter kW - Over 50</v>
      </c>
      <c r="Q20" s="421">
        <f>SUM(Q33,Q47,Q53)</f>
        <v>9.42</v>
      </c>
      <c r="R20" s="385"/>
      <c r="S20" s="363">
        <f>(Q20-O20)/O20</f>
        <v>-9.1610414657666284E-2</v>
      </c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401" t="s">
        <v>401</v>
      </c>
      <c r="O21" s="421">
        <f>SUM(O34,O47,O53)</f>
        <v>6.92</v>
      </c>
      <c r="P21" s="400" t="str">
        <f>+N21</f>
        <v>Summer kW - Over 50</v>
      </c>
      <c r="Q21" s="421">
        <f>SUM(Q34,Q47,Q53)</f>
        <v>6.29</v>
      </c>
      <c r="R21" s="385"/>
      <c r="S21" s="363">
        <f>(Q21-O21)/O21</f>
        <v>-9.1040462427745647E-2</v>
      </c>
    </row>
    <row r="22" spans="1:19" ht="15.6">
      <c r="A22" s="386"/>
      <c r="B22" s="390">
        <v>200</v>
      </c>
      <c r="C22" s="390"/>
      <c r="D22" s="390">
        <v>300</v>
      </c>
      <c r="E22" s="393">
        <f>ROUND((B$22*D22),0)</f>
        <v>60000</v>
      </c>
      <c r="F22" s="390"/>
      <c r="G22" s="391">
        <f>+O$10+IF($E22&lt;20000,$E22*O$14,20000*O$14+($E22-20000)*O$16)+IF($B22&gt;50,($B22-50)*O$22,0)</f>
        <v>6090.6500000000005</v>
      </c>
      <c r="H22" s="391"/>
      <c r="I22" s="391">
        <f>+Q$10+IF($E22&lt;20000,$E22*Q$14,20000*Q$14+($E22-20000)*Q$16)+IF($B22&gt;50,($B22-50)*Q$22,0)</f>
        <v>5949.2600000000011</v>
      </c>
      <c r="J22" s="390"/>
      <c r="K22" s="388">
        <f>ROUND((+I22-G22)/G22,3)</f>
        <v>-2.3E-2</v>
      </c>
      <c r="L22" s="386"/>
      <c r="M22" s="386"/>
      <c r="N22" s="401" t="s">
        <v>400</v>
      </c>
      <c r="O22" s="421">
        <f>SUM(O35,O47,O53)</f>
        <v>8.67</v>
      </c>
      <c r="P22" s="400" t="str">
        <f>+N22</f>
        <v>Average kW - Over 50</v>
      </c>
      <c r="Q22" s="421">
        <f>SUM(Q35,Q47,Q53)</f>
        <v>7.88</v>
      </c>
      <c r="R22" s="385"/>
      <c r="S22" s="363">
        <f>(Q22-O22)/O22</f>
        <v>-9.1118800461361019E-2</v>
      </c>
    </row>
    <row r="23" spans="1:19" ht="15.6">
      <c r="A23" s="386"/>
      <c r="B23" s="390">
        <f>+B22</f>
        <v>200</v>
      </c>
      <c r="C23" s="390"/>
      <c r="D23" s="390">
        <v>500</v>
      </c>
      <c r="E23" s="393">
        <f>ROUND((B$22*D23),0)</f>
        <v>100000</v>
      </c>
      <c r="F23" s="390"/>
      <c r="G23" s="391">
        <f>+O$10+IF($E23&lt;20000,$E23*O$14,20000*O$14+($E23-20000)*O$16)+IF($B23&gt;50,($B23-50)*O$22,0)</f>
        <v>8918.0500000000011</v>
      </c>
      <c r="H23" s="391"/>
      <c r="I23" s="391">
        <f>+Q$10+IF($E23&lt;20000,$E23*Q$14,20000*Q$14+($E23-20000)*Q$16)+IF($B23&gt;50,($B23-50)*Q$22,0)</f>
        <v>8792.5000000000018</v>
      </c>
      <c r="J23" s="390"/>
      <c r="K23" s="388">
        <f>ROUND((+I23-G23)/G23,3)</f>
        <v>-1.4E-2</v>
      </c>
      <c r="L23" s="386"/>
      <c r="M23" s="386"/>
      <c r="N23" s="400"/>
      <c r="O23" s="365"/>
      <c r="P23" s="400"/>
      <c r="Q23" s="365"/>
      <c r="R23" s="385"/>
    </row>
    <row r="24" spans="1:19" ht="15.6">
      <c r="A24" s="386"/>
      <c r="B24" s="390">
        <f>+B23</f>
        <v>200</v>
      </c>
      <c r="C24" s="390"/>
      <c r="D24" s="390">
        <v>700</v>
      </c>
      <c r="E24" s="393">
        <f>ROUND((B$22*D24),0)</f>
        <v>140000</v>
      </c>
      <c r="F24" s="390"/>
      <c r="G24" s="391">
        <f>+O$10+IF($E24&lt;20000,$E24*O$14,20000*O$14+($E24-20000)*O$16)+IF($B24&gt;50,($B24-50)*O$22,0)</f>
        <v>11745.45</v>
      </c>
      <c r="H24" s="391"/>
      <c r="I24" s="391">
        <f>+Q$10+IF($E24&lt;20000,$E24*Q$14,20000*Q$14+($E24-20000)*Q$16)+IF($B24&gt;50,($B24-50)*Q$22,0)</f>
        <v>11635.740000000002</v>
      </c>
      <c r="J24" s="390"/>
      <c r="K24" s="388">
        <f>ROUND((+I24-G24)/G24,3)</f>
        <v>-8.9999999999999993E-3</v>
      </c>
      <c r="N24" s="400" t="s">
        <v>399</v>
      </c>
      <c r="O24" s="420">
        <f>+O36</f>
        <v>3.2599999999999999E-3</v>
      </c>
      <c r="P24" s="400" t="str">
        <f>+N24</f>
        <v>kVarh</v>
      </c>
      <c r="Q24" s="420">
        <f>+Q36</f>
        <v>2.96E-3</v>
      </c>
      <c r="R24" s="385"/>
      <c r="S24" s="363">
        <f>(Q24-O24)/O24</f>
        <v>-9.2024539877300596E-2</v>
      </c>
    </row>
    <row r="25" spans="1:19" ht="16.2" thickBot="1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99" t="s">
        <v>25</v>
      </c>
      <c r="O25" s="398" t="s">
        <v>25</v>
      </c>
      <c r="P25" s="399" t="s">
        <v>25</v>
      </c>
      <c r="Q25" s="398" t="s">
        <v>25</v>
      </c>
      <c r="R25" s="385"/>
    </row>
    <row r="26" spans="1:19" ht="15.6">
      <c r="A26" s="386"/>
      <c r="B26" s="390">
        <v>250</v>
      </c>
      <c r="C26" s="390"/>
      <c r="D26" s="390">
        <v>300</v>
      </c>
      <c r="E26" s="393">
        <f>ROUND((B$26*D26),0)</f>
        <v>75000</v>
      </c>
      <c r="F26" s="390"/>
      <c r="G26" s="391">
        <f>+O$10+IF($E26&lt;20000,$E26*O$14,20000*O$14+($E26-20000)*O$16)+IF($B26&gt;50,($B26-50)*O$22,0)</f>
        <v>7584.4250000000002</v>
      </c>
      <c r="H26" s="391"/>
      <c r="I26" s="391">
        <f>+Q$10+IF($E26&lt;20000,$E26*Q$14,20000*Q$14+($E26-20000)*Q$16)+IF($B26&gt;50,($B26-50)*Q$22,0)</f>
        <v>7409.4750000000013</v>
      </c>
      <c r="J26" s="390"/>
      <c r="K26" s="388">
        <f>ROUND((+I26-G26)/G26,3)</f>
        <v>-2.3E-2</v>
      </c>
      <c r="L26" s="386"/>
      <c r="M26" s="386"/>
      <c r="R26" s="385"/>
    </row>
    <row r="27" spans="1:19" ht="15.6">
      <c r="A27" s="386"/>
      <c r="B27" s="390">
        <f>+B26</f>
        <v>250</v>
      </c>
      <c r="C27" s="390"/>
      <c r="D27" s="390">
        <v>500</v>
      </c>
      <c r="E27" s="393">
        <f>ROUND((B$26*D27),0)</f>
        <v>125000</v>
      </c>
      <c r="F27" s="390"/>
      <c r="G27" s="391">
        <f>+O$10+IF($E27&lt;20000,$E27*O$14,20000*O$14+($E27-20000)*O$16)+IF($B27&gt;50,($B27-50)*O$22,0)</f>
        <v>11118.675000000001</v>
      </c>
      <c r="H27" s="391"/>
      <c r="I27" s="391">
        <f>+Q$10+IF($E27&lt;20000,$E27*Q$14,20000*Q$14+($E27-20000)*Q$16)+IF($B27&gt;50,($B27-50)*Q$22,0)</f>
        <v>10963.525000000001</v>
      </c>
      <c r="J27" s="390"/>
      <c r="K27" s="388">
        <f>ROUND((+I27-G27)/G27,3)</f>
        <v>-1.4E-2</v>
      </c>
      <c r="L27" s="386"/>
      <c r="M27" s="386"/>
      <c r="N27" s="337" t="str">
        <f>+N10</f>
        <v>Basic Charge</v>
      </c>
      <c r="O27" s="354">
        <f>+'[2]Exhibit No.__(JAP-Tariff)'!$F$22</f>
        <v>53.75</v>
      </c>
      <c r="Q27" s="354">
        <f>+'[3]Exhibit No.__(JAP-Tariff)'!$F$22</f>
        <v>52.3</v>
      </c>
      <c r="R27" s="385"/>
    </row>
    <row r="28" spans="1:19" ht="15.6">
      <c r="A28" s="386"/>
      <c r="B28" s="390">
        <f>+B27</f>
        <v>250</v>
      </c>
      <c r="C28" s="390"/>
      <c r="D28" s="390">
        <v>700</v>
      </c>
      <c r="E28" s="393">
        <f>ROUND((B$26*D28),0)</f>
        <v>175000</v>
      </c>
      <c r="F28" s="390"/>
      <c r="G28" s="391">
        <f>+O$10+IF($E28&lt;20000,$E28*O$14,20000*O$14+($E28-20000)*O$16)+IF($B28&gt;50,($B28-50)*O$22,0)</f>
        <v>14652.925000000001</v>
      </c>
      <c r="H28" s="391"/>
      <c r="I28" s="391">
        <f>+Q$10+IF($E28&lt;20000,$E28*Q$14,20000*Q$14+($E28-20000)*Q$16)+IF($B28&gt;50,($B28-50)*Q$22,0)</f>
        <v>14517.575000000001</v>
      </c>
      <c r="J28" s="390"/>
      <c r="K28" s="388">
        <f>ROUND((+I28-G28)/G28,3)</f>
        <v>-8.9999999999999993E-3</v>
      </c>
      <c r="N28" s="337" t="str">
        <f>+N12</f>
        <v>Winter kWh - First 20,000</v>
      </c>
      <c r="O28" s="354">
        <f>+'[2]Exhibit No.__(JAP-Tariff)'!$F$24</f>
        <v>9.3432000000000001E-2</v>
      </c>
      <c r="Q28" s="354">
        <f>+'[3]Exhibit No.__(JAP-Tariff)'!$F$24</f>
        <v>9.0753E-2</v>
      </c>
      <c r="R28" s="385"/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337" t="str">
        <f>+N13</f>
        <v>Summer kWh - First 20,000</v>
      </c>
      <c r="O29" s="354">
        <f>+'[2]Exhibit No.__(JAP-Tariff)'!$F$25</f>
        <v>8.4047999999999998E-2</v>
      </c>
      <c r="Q29" s="354">
        <f>+'[3]Exhibit No.__(JAP-Tariff)'!$F$25</f>
        <v>8.2225999999999994E-2</v>
      </c>
      <c r="R29" s="385"/>
    </row>
    <row r="30" spans="1:19" ht="15.6">
      <c r="A30" s="386"/>
      <c r="B30" s="390">
        <v>300</v>
      </c>
      <c r="C30" s="390"/>
      <c r="D30" s="390">
        <v>300</v>
      </c>
      <c r="E30" s="393">
        <f>ROUND((B$30*D30),0)</f>
        <v>90000</v>
      </c>
      <c r="F30" s="390"/>
      <c r="G30" s="391">
        <f>+O$10+IF($E30&lt;20000,$E30*O$14,20000*O$14+($E30-20000)*O$16)+IF($B30&gt;50,($B30-50)*O$22,0)</f>
        <v>9078.2000000000007</v>
      </c>
      <c r="H30" s="391"/>
      <c r="I30" s="391">
        <f>+Q$10+IF($E30&lt;20000,$E30*Q$14,20000*Q$14+($E30-20000)*Q$16)+IF($B30&gt;50,($B30-50)*Q$22,0)</f>
        <v>8869.6900000000023</v>
      </c>
      <c r="J30" s="390"/>
      <c r="K30" s="388">
        <f>ROUND((+I30-G30)/G30,3)</f>
        <v>-2.3E-2</v>
      </c>
      <c r="L30" s="386"/>
      <c r="M30" s="386"/>
      <c r="N30" s="337" t="str">
        <f>+N14</f>
        <v>Average kWh - First 20,000</v>
      </c>
      <c r="O30" s="354">
        <f>+'[2]Exhibit No.__(JAP-SV RD)'!$G$59</f>
        <v>8.8836999999999999E-2</v>
      </c>
      <c r="Q30" s="354">
        <f>+'[3]Exhibit No.__(JAP-SV RD)'!$G$59</f>
        <v>8.6577000000000001E-2</v>
      </c>
      <c r="R30" s="385"/>
    </row>
    <row r="31" spans="1:19" ht="15.6">
      <c r="A31" s="386"/>
      <c r="B31" s="390">
        <f>+B30</f>
        <v>300</v>
      </c>
      <c r="C31" s="390"/>
      <c r="D31" s="390">
        <v>500</v>
      </c>
      <c r="E31" s="393">
        <f>ROUND((B$30*D31),0)</f>
        <v>150000</v>
      </c>
      <c r="F31" s="390"/>
      <c r="G31" s="391">
        <f>+O$10+IF($E31&lt;20000,$E31*O$14,20000*O$14+($E31-20000)*O$16)+IF($B31&gt;50,($B31-50)*O$22,0)</f>
        <v>13319.300000000001</v>
      </c>
      <c r="H31" s="391"/>
      <c r="I31" s="391">
        <f>+Q$10+IF($E31&lt;20000,$E31*Q$14,20000*Q$14+($E31-20000)*Q$16)+IF($B31&gt;50,($B31-50)*Q$22,0)</f>
        <v>13134.550000000001</v>
      </c>
      <c r="J31" s="390"/>
      <c r="K31" s="388">
        <f>ROUND((+I31-G31)/G31,3)</f>
        <v>-1.4E-2</v>
      </c>
      <c r="L31" s="386"/>
      <c r="M31" s="386"/>
      <c r="N31" s="337" t="str">
        <f>+N16</f>
        <v>kWh - All Over 20,000</v>
      </c>
      <c r="O31" s="354">
        <f>+'[2]Exhibit No.__(JAP-Tariff)'!$F$26</f>
        <v>6.4072000000000004E-2</v>
      </c>
      <c r="Q31" s="354">
        <f>+'[3]Exhibit No.__(JAP-Tariff)'!$F$26</f>
        <v>6.4072000000000004E-2</v>
      </c>
      <c r="R31" s="385"/>
    </row>
    <row r="32" spans="1:19" ht="15.6">
      <c r="A32" s="386"/>
      <c r="B32" s="390">
        <f>+B31</f>
        <v>300</v>
      </c>
      <c r="C32" s="390"/>
      <c r="D32" s="390">
        <v>700</v>
      </c>
      <c r="E32" s="393">
        <f>ROUND((B$30*D32),0)</f>
        <v>210000</v>
      </c>
      <c r="F32" s="390"/>
      <c r="G32" s="391">
        <f>+O$10+IF($E32&lt;20000,$E32*O$14,20000*O$14+($E32-20000)*O$16)+IF($B32&gt;50,($B32-50)*O$22,0)</f>
        <v>17560.400000000001</v>
      </c>
      <c r="H32" s="391"/>
      <c r="I32" s="391">
        <f>+Q$10+IF($E32&lt;20000,$E32*Q$14,20000*Q$14+($E32-20000)*Q$16)+IF($B32&gt;50,($B32-50)*Q$22,0)</f>
        <v>17399.410000000003</v>
      </c>
      <c r="J32" s="390"/>
      <c r="K32" s="388">
        <f>ROUND((+I32-G32)/G32,3)</f>
        <v>-8.9999999999999993E-3</v>
      </c>
      <c r="N32" s="337" t="str">
        <f>+N18</f>
        <v>kW - First 50</v>
      </c>
      <c r="O32" s="354">
        <f>+'[2]Exhibit No.__(JAP-Tariff)'!$F$28</f>
        <v>0</v>
      </c>
      <c r="Q32" s="354">
        <v>0</v>
      </c>
      <c r="R32" s="385"/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37" t="str">
        <f>+N20</f>
        <v>Winter kW - Over 50</v>
      </c>
      <c r="O33" s="354">
        <f>+'[2]Exhibit No.__(JAP-Tariff)'!$F$29</f>
        <v>10.37</v>
      </c>
      <c r="Q33" s="354">
        <f>+'[3]Exhibit No.__(JAP-Tariff)'!$F$29</f>
        <v>9.42</v>
      </c>
    </row>
    <row r="34" spans="1:17" ht="15.6">
      <c r="A34" s="386"/>
      <c r="B34" s="390">
        <v>350</v>
      </c>
      <c r="C34" s="390"/>
      <c r="D34" s="390">
        <v>300</v>
      </c>
      <c r="E34" s="393">
        <f>ROUND((B$34*D34),0)</f>
        <v>105000</v>
      </c>
      <c r="F34" s="390"/>
      <c r="G34" s="391">
        <f>+O$10+IF($E34&lt;20000,$E34*O$14,20000*O$14+($E34-20000)*O$16)+IF($B34&gt;50,($B34-50)*O$22,0)</f>
        <v>10571.975000000002</v>
      </c>
      <c r="H34" s="391"/>
      <c r="I34" s="391">
        <f>+Q$10+IF($E34&lt;20000,$E34*Q$14,20000*Q$14+($E34-20000)*Q$16)+IF($B34&gt;50,($B34-50)*Q$22,0)</f>
        <v>10329.905000000002</v>
      </c>
      <c r="J34" s="390"/>
      <c r="K34" s="388">
        <f>ROUND((+I34-G34)/G34,3)</f>
        <v>-2.3E-2</v>
      </c>
      <c r="L34" s="386"/>
      <c r="M34" s="386"/>
      <c r="N34" s="337" t="str">
        <f t="shared" ref="N34:N35" si="0">+N21</f>
        <v>Summer kW - Over 50</v>
      </c>
      <c r="O34" s="354">
        <f>+'[2]Exhibit No.__(JAP-Tariff)'!$F$30</f>
        <v>6.92</v>
      </c>
      <c r="Q34" s="354">
        <f>+'[3]Exhibit No.__(JAP-Tariff)'!$F$30</f>
        <v>6.29</v>
      </c>
    </row>
    <row r="35" spans="1:17" ht="15.6">
      <c r="A35" s="386"/>
      <c r="B35" s="390">
        <f>+B34</f>
        <v>350</v>
      </c>
      <c r="C35" s="390"/>
      <c r="D35" s="390">
        <v>500</v>
      </c>
      <c r="E35" s="393">
        <f>ROUND((B$34*D35),0)</f>
        <v>175000</v>
      </c>
      <c r="F35" s="390"/>
      <c r="G35" s="391">
        <f>+O$10+IF($E35&lt;20000,$E35*O$14,20000*O$14+($E35-20000)*O$16)+IF($B35&gt;50,($B35-50)*O$22,0)</f>
        <v>15519.925000000001</v>
      </c>
      <c r="H35" s="391"/>
      <c r="I35" s="391">
        <f>+Q$10+IF($E35&lt;20000,$E35*Q$14,20000*Q$14+($E35-20000)*Q$16)+IF($B35&gt;50,($B35-50)*Q$22,0)</f>
        <v>15305.575000000001</v>
      </c>
      <c r="J35" s="390"/>
      <c r="K35" s="388">
        <f>ROUND((+I35-G35)/G35,3)</f>
        <v>-1.4E-2</v>
      </c>
      <c r="L35" s="386"/>
      <c r="M35" s="386"/>
      <c r="N35" s="337" t="str">
        <f t="shared" si="0"/>
        <v>Average kW - Over 50</v>
      </c>
      <c r="O35" s="354">
        <f>+'[2]Exhibit No.__(JAP-SV RD)'!$G$60</f>
        <v>8.67</v>
      </c>
      <c r="Q35" s="354">
        <f>+'[3]Exhibit No.__(JAP-SV RD)'!$G$60</f>
        <v>7.88</v>
      </c>
    </row>
    <row r="36" spans="1:17" ht="15.6">
      <c r="A36" s="386"/>
      <c r="B36" s="390">
        <f>+B35</f>
        <v>350</v>
      </c>
      <c r="C36" s="390"/>
      <c r="D36" s="390">
        <v>700</v>
      </c>
      <c r="E36" s="393">
        <f>ROUND((B$34*D36),0)</f>
        <v>245000</v>
      </c>
      <c r="F36" s="390"/>
      <c r="G36" s="391">
        <f>+O$10+IF($E36&lt;20000,$E36*O$14,20000*O$14+($E36-20000)*O$16)+IF($B36&gt;50,($B36-50)*O$22,0)</f>
        <v>20467.875</v>
      </c>
      <c r="H36" s="391"/>
      <c r="I36" s="391">
        <f>+Q$10+IF($E36&lt;20000,$E36*Q$14,20000*Q$14+($E36-20000)*Q$16)+IF($B36&gt;50,($B36-50)*Q$22,0)</f>
        <v>20281.245000000003</v>
      </c>
      <c r="J36" s="390"/>
      <c r="K36" s="388">
        <f>ROUND((+I36-G36)/G36,3)</f>
        <v>-8.9999999999999993E-3</v>
      </c>
      <c r="N36" s="337" t="str">
        <f>+N24</f>
        <v>kVarh</v>
      </c>
      <c r="O36" s="354">
        <f>+'[2]Exhibit No.__(JAP-Tariff)'!$F$32</f>
        <v>3.2599999999999999E-3</v>
      </c>
      <c r="Q36" s="354">
        <f>+'[3]Exhibit No.__(JAP-Tariff)'!$F$32</f>
        <v>2.96E-3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353" t="s">
        <v>360</v>
      </c>
      <c r="O39" s="354">
        <v>0</v>
      </c>
      <c r="Q39" s="354">
        <v>0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498" t="s">
        <v>359</v>
      </c>
      <c r="O40" s="499">
        <f>+'Sch 95a'!$E$14</f>
        <v>-2.0590000000000001E-3</v>
      </c>
      <c r="P40" s="500"/>
      <c r="Q40" s="499">
        <f>+'Sch 95a'!$H$14</f>
        <v>-1.7129999999999999E-3</v>
      </c>
    </row>
    <row r="41" spans="1:17" ht="15.6">
      <c r="A41" s="386"/>
      <c r="B41" s="554" t="s">
        <v>393</v>
      </c>
      <c r="N41" s="498" t="s">
        <v>358</v>
      </c>
      <c r="O41" s="499">
        <f>+'Sch 120'!$E$14</f>
        <v>4.4990000000000004E-3</v>
      </c>
      <c r="P41" s="500"/>
      <c r="Q41" s="499">
        <f>+'Sch 120'!$H$14</f>
        <v>4.2570000000000004E-3</v>
      </c>
    </row>
    <row r="42" spans="1:17" ht="15.6">
      <c r="A42" s="386"/>
      <c r="B42" s="554" t="s">
        <v>654</v>
      </c>
      <c r="N42" s="353" t="s">
        <v>227</v>
      </c>
      <c r="O42" s="354">
        <f>+'Sch 129'!E13</f>
        <v>7.94E-4</v>
      </c>
      <c r="Q42" s="354">
        <f t="shared" ref="Q42:Q44" si="1">+O42</f>
        <v>7.94E-4</v>
      </c>
    </row>
    <row r="43" spans="1:17" ht="15.6">
      <c r="A43" s="386"/>
      <c r="B43" s="554" t="s">
        <v>655</v>
      </c>
      <c r="N43" s="357" t="s">
        <v>228</v>
      </c>
      <c r="O43" s="354">
        <f>+'Sch 132'!E14</f>
        <v>-2.4499999999999999E-4</v>
      </c>
      <c r="Q43" s="354">
        <f t="shared" si="1"/>
        <v>-2.4499999999999999E-4</v>
      </c>
    </row>
    <row r="44" spans="1:17">
      <c r="A44" s="386"/>
      <c r="N44" s="357" t="s">
        <v>356</v>
      </c>
      <c r="O44" s="354">
        <f>+'Sch 137'!E14</f>
        <v>-2.9E-5</v>
      </c>
      <c r="Q44" s="354">
        <f t="shared" si="1"/>
        <v>-2.9E-5</v>
      </c>
    </row>
    <row r="45" spans="1:17">
      <c r="A45" s="386"/>
      <c r="B45" s="554"/>
      <c r="N45" s="501" t="s">
        <v>259</v>
      </c>
      <c r="O45" s="499">
        <f>+'Sch 140'!$E$14</f>
        <v>2.3180000000000002E-3</v>
      </c>
      <c r="P45" s="500"/>
      <c r="Q45" s="499">
        <f>+'Sch 140'!$H$14</f>
        <v>2.421E-3</v>
      </c>
    </row>
    <row r="46" spans="1:17">
      <c r="A46" s="386"/>
      <c r="N46" s="353" t="s">
        <v>398</v>
      </c>
      <c r="O46" s="354">
        <v>0</v>
      </c>
      <c r="Q46" s="354">
        <v>0</v>
      </c>
    </row>
    <row r="47" spans="1:17">
      <c r="A47" s="386"/>
      <c r="N47" s="353" t="s">
        <v>397</v>
      </c>
      <c r="O47" s="354">
        <v>0</v>
      </c>
      <c r="Q47" s="354">
        <v>0</v>
      </c>
    </row>
    <row r="48" spans="1:17">
      <c r="A48" s="386"/>
      <c r="N48" s="353" t="s">
        <v>396</v>
      </c>
      <c r="O48" s="354">
        <v>0</v>
      </c>
      <c r="Q48" s="354">
        <v>0</v>
      </c>
    </row>
    <row r="49" spans="1:17">
      <c r="A49" s="386"/>
      <c r="N49" s="353" t="s">
        <v>395</v>
      </c>
      <c r="O49" s="354">
        <v>0</v>
      </c>
      <c r="Q49" s="354">
        <v>0</v>
      </c>
    </row>
    <row r="50" spans="1:17">
      <c r="N50" s="353" t="s">
        <v>394</v>
      </c>
      <c r="O50" s="354">
        <v>0</v>
      </c>
      <c r="Q50" s="354">
        <v>0</v>
      </c>
    </row>
    <row r="51" spans="1:17">
      <c r="N51" s="501" t="s">
        <v>274</v>
      </c>
      <c r="O51" s="499">
        <f>+'Sch 142 Deferral &amp; K-Factor'!$F$14</f>
        <v>1.335E-3</v>
      </c>
      <c r="P51" s="500"/>
      <c r="Q51" s="499">
        <f>+'Sch 142 Deferral &amp; K-Factor'!$O$14</f>
        <v>1.524E-3</v>
      </c>
    </row>
    <row r="52" spans="1:17">
      <c r="N52" s="353"/>
      <c r="O52" s="352"/>
      <c r="P52" s="352"/>
      <c r="Q52" s="354"/>
    </row>
    <row r="53" spans="1:17">
      <c r="N53" s="353"/>
      <c r="O53" s="352"/>
      <c r="Q53" s="546"/>
    </row>
    <row r="54" spans="1:17">
      <c r="N54" s="350" t="s">
        <v>620</v>
      </c>
      <c r="O54" s="349">
        <f>+'Tax Reform Impacts'!F13</f>
        <v>-2.5263780973538107E-2</v>
      </c>
    </row>
    <row r="55" spans="1:17">
      <c r="N55" s="350"/>
      <c r="O55" s="349"/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topLeftCell="A10" zoomScale="90" zoomScaleNormal="90" zoomScaleSheetLayoutView="75" workbookViewId="0">
      <selection activeCell="Q29" sqref="Q29"/>
    </sheetView>
  </sheetViews>
  <sheetFormatPr defaultColWidth="9.44140625" defaultRowHeight="13.8"/>
  <cols>
    <col min="1" max="1" width="1.77734375" style="337" customWidth="1"/>
    <col min="2" max="2" width="11.5546875" style="337" customWidth="1"/>
    <col min="3" max="3" width="2.6640625" style="337" customWidth="1"/>
    <col min="4" max="4" width="13.6640625" style="337" bestFit="1" customWidth="1"/>
    <col min="5" max="5" width="9" style="337" bestFit="1" customWidth="1"/>
    <col min="6" max="6" width="3.88671875" style="337" customWidth="1"/>
    <col min="7" max="7" width="13" style="337" bestFit="1" customWidth="1"/>
    <col min="8" max="8" width="4" style="337" customWidth="1"/>
    <col min="9" max="9" width="14.33203125" style="337" bestFit="1" customWidth="1"/>
    <col min="10" max="10" width="5" style="337" customWidth="1"/>
    <col min="11" max="11" width="13.77734375" style="337" customWidth="1"/>
    <col min="12" max="12" width="2.6640625" style="337" customWidth="1"/>
    <col min="13" max="13" width="3.33203125" style="337" customWidth="1"/>
    <col min="14" max="14" width="41.109375" style="337" bestFit="1" customWidth="1"/>
    <col min="15" max="15" width="16.88671875" style="337" customWidth="1"/>
    <col min="16" max="17" width="14.33203125" style="337" bestFit="1" customWidth="1"/>
    <col min="18" max="18" width="2.44140625" style="337" customWidth="1"/>
    <col min="19" max="16384" width="9.44140625" style="337"/>
  </cols>
  <sheetData>
    <row r="1" spans="1:19" ht="20.399999999999999">
      <c r="B1" s="417" t="s">
        <v>0</v>
      </c>
      <c r="C1" s="417"/>
      <c r="D1" s="417"/>
      <c r="E1" s="417"/>
      <c r="F1" s="417"/>
      <c r="G1" s="417"/>
      <c r="H1" s="417"/>
      <c r="I1" s="417"/>
      <c r="J1" s="417"/>
      <c r="K1" s="417"/>
      <c r="L1" s="428"/>
      <c r="M1" s="428"/>
    </row>
    <row r="2" spans="1:19" ht="20.399999999999999">
      <c r="B2" s="417" t="s">
        <v>372</v>
      </c>
      <c r="C2" s="417"/>
      <c r="D2" s="417"/>
      <c r="E2" s="417"/>
      <c r="F2" s="417"/>
      <c r="G2" s="417"/>
      <c r="H2" s="417"/>
      <c r="I2" s="417"/>
      <c r="J2" s="417"/>
      <c r="K2" s="417"/>
      <c r="L2" s="428"/>
      <c r="M2" s="428"/>
    </row>
    <row r="3" spans="1:19" ht="20.399999999999999">
      <c r="B3" s="417" t="s">
        <v>424</v>
      </c>
      <c r="C3" s="417"/>
      <c r="D3" s="417"/>
      <c r="E3" s="417"/>
      <c r="F3" s="417"/>
      <c r="G3" s="417"/>
      <c r="H3" s="417"/>
      <c r="I3" s="417"/>
      <c r="J3" s="417"/>
      <c r="K3" s="417"/>
      <c r="L3" s="428"/>
      <c r="M3" s="428"/>
    </row>
    <row r="4" spans="1:19" ht="20.399999999999999">
      <c r="B4" s="429" t="s">
        <v>425</v>
      </c>
      <c r="C4" s="417"/>
      <c r="D4" s="417"/>
      <c r="E4" s="417"/>
      <c r="F4" s="417"/>
      <c r="G4" s="417"/>
      <c r="H4" s="417"/>
      <c r="I4" s="417"/>
      <c r="J4" s="417"/>
      <c r="K4" s="417"/>
      <c r="L4" s="428"/>
      <c r="M4" s="428"/>
    </row>
    <row r="5" spans="1:19">
      <c r="A5" s="386"/>
      <c r="B5" s="427"/>
    </row>
    <row r="6" spans="1:19" ht="15.6">
      <c r="A6" s="386"/>
      <c r="B6" s="425" t="s">
        <v>414</v>
      </c>
      <c r="C6" s="390"/>
      <c r="D6" s="390"/>
      <c r="E6" s="390"/>
      <c r="F6" s="390"/>
      <c r="G6" s="612" t="s">
        <v>413</v>
      </c>
      <c r="H6" s="613"/>
      <c r="I6" s="613"/>
      <c r="J6" s="390"/>
      <c r="K6" s="387"/>
      <c r="L6" s="386"/>
      <c r="M6" s="386"/>
    </row>
    <row r="7" spans="1:19" ht="16.2" thickBot="1">
      <c r="A7" s="386"/>
      <c r="B7" s="426" t="s">
        <v>412</v>
      </c>
      <c r="C7" s="414"/>
      <c r="D7" s="425" t="s">
        <v>411</v>
      </c>
      <c r="E7" s="390"/>
      <c r="F7" s="390"/>
      <c r="G7" s="424" t="s">
        <v>410</v>
      </c>
      <c r="H7" s="387"/>
      <c r="I7" s="424" t="s">
        <v>33</v>
      </c>
      <c r="J7" s="390"/>
      <c r="K7" s="414" t="s">
        <v>388</v>
      </c>
      <c r="L7" s="386"/>
      <c r="M7" s="386"/>
    </row>
    <row r="8" spans="1:19" ht="15.6">
      <c r="A8" s="386"/>
      <c r="B8" s="411" t="s">
        <v>409</v>
      </c>
      <c r="C8" s="407"/>
      <c r="D8" s="423" t="s">
        <v>408</v>
      </c>
      <c r="E8" s="411" t="s">
        <v>368</v>
      </c>
      <c r="F8" s="390"/>
      <c r="G8" s="422" t="s">
        <v>656</v>
      </c>
      <c r="H8" s="422"/>
      <c r="I8" s="422" t="s">
        <v>657</v>
      </c>
      <c r="J8" s="390"/>
      <c r="K8" s="412" t="s">
        <v>37</v>
      </c>
      <c r="L8" s="386"/>
      <c r="M8" s="386"/>
      <c r="N8" s="608" t="s">
        <v>385</v>
      </c>
      <c r="O8" s="610"/>
      <c r="P8" s="611" t="s">
        <v>384</v>
      </c>
      <c r="Q8" s="610"/>
      <c r="R8" s="385"/>
    </row>
    <row r="9" spans="1:19" ht="15.6">
      <c r="A9" s="386"/>
      <c r="B9" s="390"/>
      <c r="C9" s="390"/>
      <c r="D9" s="390"/>
      <c r="E9" s="390"/>
      <c r="F9" s="390"/>
      <c r="G9" s="407"/>
      <c r="H9" s="407"/>
      <c r="I9" s="407"/>
      <c r="J9" s="387"/>
      <c r="K9" s="387"/>
      <c r="N9" s="400"/>
      <c r="O9" s="405"/>
      <c r="P9" s="364"/>
      <c r="Q9" s="405"/>
      <c r="R9" s="385"/>
    </row>
    <row r="10" spans="1:19" ht="15.6">
      <c r="A10" s="386"/>
      <c r="B10" s="390">
        <v>350</v>
      </c>
      <c r="C10" s="390"/>
      <c r="D10" s="390">
        <v>300</v>
      </c>
      <c r="E10" s="393">
        <f>ROUND((B$10*D10),0)</f>
        <v>105000</v>
      </c>
      <c r="F10" s="390"/>
      <c r="G10" s="391">
        <f>+O$10+$B10*O$16+$E10*O$12</f>
        <v>10332.055</v>
      </c>
      <c r="H10" s="391"/>
      <c r="I10" s="391">
        <f>+Q$10+$B10*Q$16+$E10*Q$12</f>
        <v>10114.654999999999</v>
      </c>
      <c r="J10" s="390"/>
      <c r="K10" s="388">
        <f>ROUND((+I10-G10)/G10,3)</f>
        <v>-2.1000000000000001E-2</v>
      </c>
      <c r="L10" s="386"/>
      <c r="M10" s="386"/>
      <c r="N10" s="400" t="s">
        <v>381</v>
      </c>
      <c r="O10" s="370">
        <f>SUM(O21,O35)</f>
        <v>108.66</v>
      </c>
      <c r="P10" s="400" t="str">
        <f>+N10</f>
        <v>Basic Charge</v>
      </c>
      <c r="Q10" s="370">
        <f>SUM(Q21,Q35)</f>
        <v>105.74</v>
      </c>
      <c r="R10" s="397"/>
      <c r="S10" s="363">
        <f>(Q10-O10)/O10</f>
        <v>-2.687281428308487E-2</v>
      </c>
    </row>
    <row r="11" spans="1:19" ht="15.6">
      <c r="A11" s="386"/>
      <c r="B11" s="390">
        <f>+B10</f>
        <v>350</v>
      </c>
      <c r="C11" s="390"/>
      <c r="D11" s="390">
        <v>500</v>
      </c>
      <c r="E11" s="393">
        <f>ROUND((B$10*D11),0)</f>
        <v>175000</v>
      </c>
      <c r="F11" s="390"/>
      <c r="G11" s="391">
        <f>+O$10+$B11*O$16+$E11*O$12</f>
        <v>14818.985000000001</v>
      </c>
      <c r="H11" s="391"/>
      <c r="I11" s="391">
        <f>+Q$10+$B11*Q$16+$E11*Q$12</f>
        <v>14505.264999999998</v>
      </c>
      <c r="J11" s="390"/>
      <c r="K11" s="388">
        <f>ROUND((+I11-G11)/G11,3)</f>
        <v>-2.1000000000000001E-2</v>
      </c>
      <c r="L11" s="386"/>
      <c r="M11" s="386"/>
      <c r="N11" s="400"/>
      <c r="O11" s="402"/>
      <c r="P11" s="404"/>
      <c r="Q11" s="402"/>
      <c r="R11" s="385"/>
    </row>
    <row r="12" spans="1:19" ht="15.6">
      <c r="A12" s="386"/>
      <c r="B12" s="390">
        <f>+B11</f>
        <v>350</v>
      </c>
      <c r="C12" s="390"/>
      <c r="D12" s="390">
        <v>700</v>
      </c>
      <c r="E12" s="393">
        <f>ROUND((B$10*D12),0)</f>
        <v>245000</v>
      </c>
      <c r="F12" s="390"/>
      <c r="G12" s="391">
        <f>+O$10+$B12*O$16+$E12*O$12</f>
        <v>19305.915000000001</v>
      </c>
      <c r="H12" s="391"/>
      <c r="I12" s="391">
        <f>+Q$10+$B12*Q$16+$E12*Q$12</f>
        <v>18895.874999999996</v>
      </c>
      <c r="J12" s="390"/>
      <c r="K12" s="388">
        <f>ROUND((+I12-G12)/G12,3)</f>
        <v>-2.1000000000000001E-2</v>
      </c>
      <c r="N12" s="401" t="s">
        <v>423</v>
      </c>
      <c r="O12" s="365">
        <f>SUM(O22,O28:O34,O39)</f>
        <v>6.4099000000000003E-2</v>
      </c>
      <c r="P12" s="400" t="str">
        <f>+N12</f>
        <v>kWh - All</v>
      </c>
      <c r="Q12" s="365">
        <f>SUM(Q22,Q28:Q34,Q39)</f>
        <v>6.2722999999999987E-2</v>
      </c>
      <c r="R12" s="385"/>
      <c r="S12" s="363">
        <f>(Q12-O12)/O12</f>
        <v>-2.1466793553721837E-2</v>
      </c>
    </row>
    <row r="13" spans="1:19">
      <c r="A13" s="386"/>
      <c r="L13" s="386"/>
      <c r="M13" s="386"/>
      <c r="N13" s="401"/>
      <c r="O13" s="365"/>
      <c r="P13" s="401"/>
      <c r="Q13" s="365"/>
      <c r="R13" s="385"/>
      <c r="S13" s="369"/>
    </row>
    <row r="14" spans="1:19" ht="15.6">
      <c r="A14" s="386"/>
      <c r="B14" s="390">
        <f>+B12+50</f>
        <v>400</v>
      </c>
      <c r="C14" s="390"/>
      <c r="D14" s="390">
        <v>300</v>
      </c>
      <c r="E14" s="393">
        <f>ROUND((B$14*D14),0)</f>
        <v>120000</v>
      </c>
      <c r="F14" s="390"/>
      <c r="G14" s="391">
        <f>+O$10+$B14*O$16+$E14*O$12</f>
        <v>11792.54</v>
      </c>
      <c r="H14" s="391"/>
      <c r="I14" s="391">
        <f>+Q$10+$B14*Q$16+$E14*Q$12</f>
        <v>11544.499999999998</v>
      </c>
      <c r="J14" s="390"/>
      <c r="K14" s="388">
        <f>ROUND((+I14-G14)/G14,3)</f>
        <v>-2.1000000000000001E-2</v>
      </c>
      <c r="L14" s="386"/>
      <c r="M14" s="386"/>
      <c r="N14" s="401" t="s">
        <v>422</v>
      </c>
      <c r="O14" s="421">
        <f>SUM(O23,O36,O40)</f>
        <v>12.07</v>
      </c>
      <c r="P14" s="400" t="str">
        <f>+N14</f>
        <v>Winter kW</v>
      </c>
      <c r="Q14" s="421">
        <f>SUM(Q23,Q36,Q40)</f>
        <v>11.82</v>
      </c>
      <c r="R14" s="385"/>
      <c r="S14" s="363">
        <f>(Q14-O14)/O14</f>
        <v>-2.0712510356255178E-2</v>
      </c>
    </row>
    <row r="15" spans="1:19" ht="15.6">
      <c r="A15" s="386"/>
      <c r="B15" s="390">
        <f>+B14</f>
        <v>400</v>
      </c>
      <c r="C15" s="390"/>
      <c r="D15" s="390">
        <v>500</v>
      </c>
      <c r="E15" s="393">
        <f>ROUND((B$14*D15),0)</f>
        <v>200000</v>
      </c>
      <c r="F15" s="390"/>
      <c r="G15" s="391">
        <f>+O$10+$B15*O$16+$E15*O$12</f>
        <v>16920.46</v>
      </c>
      <c r="H15" s="391"/>
      <c r="I15" s="391">
        <f>+Q$10+$B15*Q$16+$E15*Q$12</f>
        <v>16562.339999999997</v>
      </c>
      <c r="J15" s="390"/>
      <c r="K15" s="388">
        <f>ROUND((+I15-G15)/G15,3)</f>
        <v>-2.1000000000000001E-2</v>
      </c>
      <c r="L15" s="386"/>
      <c r="M15" s="386"/>
      <c r="N15" s="401" t="s">
        <v>421</v>
      </c>
      <c r="O15" s="421">
        <f>SUM(O24,O37,O40)</f>
        <v>7.99</v>
      </c>
      <c r="P15" s="400" t="str">
        <f>+N15</f>
        <v>Summer kW</v>
      </c>
      <c r="Q15" s="421">
        <f>SUM(Q24,Q37,Q40)</f>
        <v>7.8500000000000005</v>
      </c>
      <c r="R15" s="385"/>
      <c r="S15" s="363">
        <f>(Q15-O15)/O15</f>
        <v>-1.7521902377972427E-2</v>
      </c>
    </row>
    <row r="16" spans="1:19" ht="15.6">
      <c r="A16" s="386"/>
      <c r="B16" s="390">
        <f>+B15</f>
        <v>400</v>
      </c>
      <c r="C16" s="390"/>
      <c r="D16" s="390">
        <v>700</v>
      </c>
      <c r="E16" s="393">
        <f>ROUND((B$14*D16),0)</f>
        <v>280000</v>
      </c>
      <c r="F16" s="390"/>
      <c r="G16" s="391">
        <f>+O$10+$B16*O$16+$E16*O$12</f>
        <v>22048.38</v>
      </c>
      <c r="H16" s="391"/>
      <c r="I16" s="391">
        <f>+Q$10+$B16*Q$16+$E16*Q$12</f>
        <v>21580.179999999993</v>
      </c>
      <c r="J16" s="390"/>
      <c r="K16" s="388">
        <f>ROUND((+I16-G16)/G16,3)</f>
        <v>-2.1000000000000001E-2</v>
      </c>
      <c r="N16" s="401" t="s">
        <v>420</v>
      </c>
      <c r="O16" s="421">
        <f>ROUND(SUM(O25,O40)+AVERAGE(O36:O37),2)</f>
        <v>9.98</v>
      </c>
      <c r="P16" s="400" t="str">
        <f>+N16</f>
        <v>Average kW</v>
      </c>
      <c r="Q16" s="421">
        <f>ROUND(SUM(Q25,Q40)+AVERAGE(Q36:Q37),2)</f>
        <v>9.7799999999999994</v>
      </c>
      <c r="R16" s="385"/>
      <c r="S16" s="363">
        <f>(Q16-O16)/O16</f>
        <v>-2.0040080160320748E-2</v>
      </c>
    </row>
    <row r="17" spans="1:19" ht="15.6">
      <c r="A17" s="386"/>
      <c r="B17" s="390"/>
      <c r="C17" s="390"/>
      <c r="D17" s="390"/>
      <c r="E17" s="390"/>
      <c r="F17" s="390"/>
      <c r="G17" s="391"/>
      <c r="H17" s="391"/>
      <c r="I17" s="391"/>
      <c r="J17" s="387"/>
      <c r="K17" s="389"/>
      <c r="L17" s="386"/>
      <c r="M17" s="386"/>
      <c r="N17" s="400"/>
      <c r="O17" s="365"/>
      <c r="P17" s="400"/>
      <c r="Q17" s="365"/>
      <c r="R17" s="385"/>
    </row>
    <row r="18" spans="1:19" ht="15.6">
      <c r="A18" s="386"/>
      <c r="B18" s="390">
        <f>+B16+100</f>
        <v>500</v>
      </c>
      <c r="C18" s="390"/>
      <c r="D18" s="390">
        <v>300</v>
      </c>
      <c r="E18" s="393">
        <f>ROUND((B$18*D18),0)</f>
        <v>150000</v>
      </c>
      <c r="F18" s="390"/>
      <c r="G18" s="391">
        <f>+O$10+$B18*O$16+$E18*O$12</f>
        <v>14713.51</v>
      </c>
      <c r="H18" s="391"/>
      <c r="I18" s="391">
        <f>+Q$10+$B18*Q$16+$E18*Q$12</f>
        <v>14404.189999999999</v>
      </c>
      <c r="J18" s="390"/>
      <c r="K18" s="388">
        <f>ROUND((+I18-G18)/G18,3)</f>
        <v>-2.1000000000000001E-2</v>
      </c>
      <c r="L18" s="386"/>
      <c r="M18" s="386"/>
      <c r="N18" s="400" t="s">
        <v>399</v>
      </c>
      <c r="O18" s="420">
        <f>SUM(O26,O38)</f>
        <v>1.2899999999999999E-3</v>
      </c>
      <c r="P18" s="400" t="str">
        <f>+N18</f>
        <v>kVarh</v>
      </c>
      <c r="Q18" s="420">
        <f>SUM(Q26,Q38)</f>
        <v>1.2600000000000001E-3</v>
      </c>
      <c r="R18" s="385"/>
      <c r="S18" s="363">
        <f>(Q18-O18)/O18</f>
        <v>-2.3255813953488268E-2</v>
      </c>
    </row>
    <row r="19" spans="1:19" ht="16.2" thickBot="1">
      <c r="A19" s="386"/>
      <c r="B19" s="390">
        <f>+B18</f>
        <v>500</v>
      </c>
      <c r="C19" s="390"/>
      <c r="D19" s="390">
        <v>500</v>
      </c>
      <c r="E19" s="393">
        <f>ROUND((B$18*D19),0)</f>
        <v>250000</v>
      </c>
      <c r="F19" s="390"/>
      <c r="G19" s="391">
        <f>+O$10+$B19*O$16+$E19*O$12</f>
        <v>21123.41</v>
      </c>
      <c r="H19" s="391"/>
      <c r="I19" s="391">
        <f>+Q$10+$B19*Q$16+$E19*Q$12</f>
        <v>20676.489999999998</v>
      </c>
      <c r="J19" s="390"/>
      <c r="K19" s="388">
        <f>ROUND((+I19-G19)/G19,3)</f>
        <v>-2.1000000000000001E-2</v>
      </c>
      <c r="L19" s="386"/>
      <c r="M19" s="386"/>
      <c r="N19" s="399" t="s">
        <v>25</v>
      </c>
      <c r="O19" s="398" t="s">
        <v>25</v>
      </c>
      <c r="P19" s="399" t="s">
        <v>25</v>
      </c>
      <c r="Q19" s="398" t="s">
        <v>25</v>
      </c>
      <c r="R19" s="385"/>
    </row>
    <row r="20" spans="1:19" ht="15.6">
      <c r="A20" s="386"/>
      <c r="B20" s="390">
        <f>+B19</f>
        <v>500</v>
      </c>
      <c r="C20" s="390"/>
      <c r="D20" s="390">
        <v>700</v>
      </c>
      <c r="E20" s="393">
        <f>ROUND((B$18*D20),0)</f>
        <v>350000</v>
      </c>
      <c r="F20" s="390"/>
      <c r="G20" s="391">
        <f>+O$10+$B20*O$16+$E20*O$12</f>
        <v>27533.31</v>
      </c>
      <c r="H20" s="391"/>
      <c r="I20" s="391">
        <f>+Q$10+$B20*Q$16+$E20*Q$12</f>
        <v>26948.789999999994</v>
      </c>
      <c r="J20" s="390"/>
      <c r="K20" s="388">
        <f>ROUND((+I20-G20)/G20,3)</f>
        <v>-2.1000000000000001E-2</v>
      </c>
      <c r="R20" s="385"/>
    </row>
    <row r="21" spans="1:19" ht="15.6">
      <c r="A21" s="386"/>
      <c r="B21" s="390"/>
      <c r="C21" s="390"/>
      <c r="D21" s="390"/>
      <c r="E21" s="390"/>
      <c r="F21" s="390"/>
      <c r="G21" s="391"/>
      <c r="H21" s="391"/>
      <c r="I21" s="391"/>
      <c r="J21" s="387"/>
      <c r="K21" s="389"/>
      <c r="L21" s="386"/>
      <c r="M21" s="386"/>
      <c r="N21" s="337" t="str">
        <f>+N10</f>
        <v>Basic Charge</v>
      </c>
      <c r="O21" s="354">
        <f>+'[2]Exhibit No.__(JAP-Tariff)'!$F$35</f>
        <v>108.66</v>
      </c>
      <c r="P21" s="354"/>
      <c r="Q21" s="354">
        <f>+'[3]Exhibit No.__(JAP-Tariff)'!$F$35</f>
        <v>105.74</v>
      </c>
      <c r="R21" s="385"/>
    </row>
    <row r="22" spans="1:19" ht="15.6">
      <c r="A22" s="386"/>
      <c r="B22" s="390">
        <f>+B20+100</f>
        <v>600</v>
      </c>
      <c r="C22" s="390"/>
      <c r="D22" s="390">
        <v>300</v>
      </c>
      <c r="E22" s="393">
        <f>ROUND((B$22*D22),0)</f>
        <v>180000</v>
      </c>
      <c r="F22" s="390"/>
      <c r="G22" s="391">
        <f>+O$10+$B22*O$16+$E22*O$12</f>
        <v>17634.48</v>
      </c>
      <c r="H22" s="391"/>
      <c r="I22" s="391">
        <f>+Q$10+$B22*Q$16+$E22*Q$12</f>
        <v>17263.879999999997</v>
      </c>
      <c r="J22" s="390"/>
      <c r="K22" s="388">
        <f>ROUND((+I22-G22)/G22,3)</f>
        <v>-2.1000000000000001E-2</v>
      </c>
      <c r="L22" s="386"/>
      <c r="M22" s="386"/>
      <c r="N22" s="337" t="str">
        <f>+N12</f>
        <v>kWh - All</v>
      </c>
      <c r="O22" s="354">
        <f>+'[2]Exhibit No.__(JAP-Tariff)'!$F$37</f>
        <v>5.8765000000000005E-2</v>
      </c>
      <c r="P22" s="354"/>
      <c r="Q22" s="354">
        <f>+'[3]Exhibit No.__(JAP-Tariff)'!$F$37</f>
        <v>5.7180999999999996E-2</v>
      </c>
      <c r="R22" s="385"/>
    </row>
    <row r="23" spans="1:19" ht="15.6">
      <c r="A23" s="386"/>
      <c r="B23" s="390">
        <f>+B22</f>
        <v>600</v>
      </c>
      <c r="C23" s="390"/>
      <c r="D23" s="390">
        <v>500</v>
      </c>
      <c r="E23" s="393">
        <f>ROUND((B$22*D23),0)</f>
        <v>300000</v>
      </c>
      <c r="F23" s="390"/>
      <c r="G23" s="391">
        <f>+O$10+$B23*O$16+$E23*O$12</f>
        <v>25326.36</v>
      </c>
      <c r="H23" s="391"/>
      <c r="I23" s="391">
        <f>+Q$10+$B23*Q$16+$E23*Q$12</f>
        <v>24790.639999999999</v>
      </c>
      <c r="J23" s="390"/>
      <c r="K23" s="388">
        <f>ROUND((+I23-G23)/G23,3)</f>
        <v>-2.1000000000000001E-2</v>
      </c>
      <c r="L23" s="386"/>
      <c r="M23" s="386"/>
      <c r="N23" s="337" t="str">
        <f>+N14</f>
        <v>Winter kW</v>
      </c>
      <c r="O23" s="354">
        <f>+'[2]Exhibit No.__(JAP-Tariff)'!$F$39</f>
        <v>12.24</v>
      </c>
      <c r="P23" s="354"/>
      <c r="Q23" s="354">
        <f>+'[3]Exhibit No.__(JAP-Tariff)'!$F$39</f>
        <v>11.91</v>
      </c>
      <c r="R23" s="385"/>
    </row>
    <row r="24" spans="1:19" ht="15.6">
      <c r="A24" s="386"/>
      <c r="B24" s="390">
        <f>+B23</f>
        <v>600</v>
      </c>
      <c r="C24" s="390"/>
      <c r="D24" s="390">
        <v>700</v>
      </c>
      <c r="E24" s="393">
        <f>ROUND((B$22*D24),0)</f>
        <v>420000</v>
      </c>
      <c r="F24" s="390"/>
      <c r="G24" s="391">
        <f>+O$10+$B24*O$16+$E24*O$12</f>
        <v>33018.240000000005</v>
      </c>
      <c r="H24" s="391"/>
      <c r="I24" s="391">
        <f>+Q$10+$B24*Q$16+$E24*Q$12</f>
        <v>32317.399999999994</v>
      </c>
      <c r="J24" s="390"/>
      <c r="K24" s="388">
        <f>ROUND((+I24-G24)/G24,3)</f>
        <v>-2.1000000000000001E-2</v>
      </c>
      <c r="N24" s="337" t="str">
        <f>+N15</f>
        <v>Summer kW</v>
      </c>
      <c r="O24" s="354">
        <f>+'[2]Exhibit No.__(JAP-Tariff)'!$F$40</f>
        <v>8.16</v>
      </c>
      <c r="P24" s="354"/>
      <c r="Q24" s="354">
        <f>+'[3]Exhibit No.__(JAP-Tariff)'!$F$40</f>
        <v>7.94</v>
      </c>
      <c r="R24" s="385"/>
    </row>
    <row r="25" spans="1:19" ht="15.6">
      <c r="A25" s="386"/>
      <c r="B25" s="390"/>
      <c r="C25" s="390"/>
      <c r="D25" s="390"/>
      <c r="E25" s="390"/>
      <c r="F25" s="390"/>
      <c r="G25" s="391"/>
      <c r="H25" s="391"/>
      <c r="I25" s="391"/>
      <c r="J25" s="387"/>
      <c r="K25" s="389"/>
      <c r="L25" s="386"/>
      <c r="M25" s="386"/>
      <c r="N25" s="337" t="str">
        <f>+N16</f>
        <v>Average kW</v>
      </c>
      <c r="O25" s="354">
        <f>+'[2]Exhibit No.__(JAP-SV RD)'!$G$81</f>
        <v>10.15</v>
      </c>
      <c r="P25" s="354"/>
      <c r="Q25" s="354">
        <f>+'[3]Exhibit No.__(JAP-SV RD)'!$G$81</f>
        <v>9.8699999999999992</v>
      </c>
      <c r="R25" s="385"/>
    </row>
    <row r="26" spans="1:19" ht="15.6">
      <c r="A26" s="386"/>
      <c r="B26" s="390">
        <f>+B24+100</f>
        <v>700</v>
      </c>
      <c r="C26" s="390"/>
      <c r="D26" s="390">
        <v>300</v>
      </c>
      <c r="E26" s="393">
        <f>ROUND((B$26*D26),0)</f>
        <v>210000</v>
      </c>
      <c r="F26" s="390"/>
      <c r="G26" s="391">
        <f>+O$10+$B26*O$16+$E26*O$12</f>
        <v>20555.45</v>
      </c>
      <c r="H26" s="391"/>
      <c r="I26" s="391">
        <f>+Q$10+$B26*Q$16+$E26*Q$12</f>
        <v>20123.57</v>
      </c>
      <c r="J26" s="390"/>
      <c r="K26" s="388">
        <f>ROUND((+I26-G26)/G26,3)</f>
        <v>-2.1000000000000001E-2</v>
      </c>
      <c r="L26" s="386"/>
      <c r="M26" s="386"/>
      <c r="N26" s="337" t="str">
        <f>+N18</f>
        <v>kVarh</v>
      </c>
      <c r="O26" s="354">
        <f>+'[2]Exhibit No.__(JAP-Tariff)'!$F$42</f>
        <v>1.2899999999999999E-3</v>
      </c>
      <c r="P26" s="354"/>
      <c r="Q26" s="354">
        <f>+'[3]Exhibit No.__(JAP-Tariff)'!$F$42</f>
        <v>1.2600000000000001E-3</v>
      </c>
      <c r="R26" s="385"/>
    </row>
    <row r="27" spans="1:19" ht="15.6">
      <c r="A27" s="386"/>
      <c r="B27" s="390">
        <f>+B26</f>
        <v>700</v>
      </c>
      <c r="C27" s="390"/>
      <c r="D27" s="390">
        <v>500</v>
      </c>
      <c r="E27" s="393">
        <f>ROUND((B$26*D27),0)</f>
        <v>350000</v>
      </c>
      <c r="F27" s="390"/>
      <c r="G27" s="391">
        <f>+O$10+$B27*O$16+$E27*O$12</f>
        <v>29529.31</v>
      </c>
      <c r="H27" s="391"/>
      <c r="I27" s="391">
        <f>+Q$10+$B27*Q$16+$E27*Q$12</f>
        <v>28904.789999999994</v>
      </c>
      <c r="J27" s="390"/>
      <c r="K27" s="388">
        <f>ROUND((+I27-G27)/G27,3)</f>
        <v>-2.1000000000000001E-2</v>
      </c>
      <c r="L27" s="386"/>
      <c r="M27" s="386"/>
    </row>
    <row r="28" spans="1:19" ht="15.6">
      <c r="A28" s="386"/>
      <c r="B28" s="390">
        <f>+B27</f>
        <v>700</v>
      </c>
      <c r="C28" s="390"/>
      <c r="D28" s="390">
        <v>700</v>
      </c>
      <c r="E28" s="393">
        <f>ROUND((B$26*D28),0)</f>
        <v>490000</v>
      </c>
      <c r="F28" s="390"/>
      <c r="G28" s="391">
        <f>+O$10+$B28*O$16+$E28*O$12</f>
        <v>38503.17</v>
      </c>
      <c r="H28" s="391"/>
      <c r="I28" s="391">
        <f>+Q$10+$B28*Q$16+$E28*Q$12</f>
        <v>37686.009999999995</v>
      </c>
      <c r="J28" s="390"/>
      <c r="K28" s="388">
        <f>ROUND((+I28-G28)/G28,3)</f>
        <v>-2.1000000000000001E-2</v>
      </c>
      <c r="N28" s="353" t="s">
        <v>360</v>
      </c>
      <c r="O28" s="354">
        <v>0</v>
      </c>
      <c r="Q28" s="354">
        <v>0</v>
      </c>
    </row>
    <row r="29" spans="1:19" ht="15.6">
      <c r="A29" s="386"/>
      <c r="B29" s="390"/>
      <c r="C29" s="390"/>
      <c r="D29" s="390"/>
      <c r="E29" s="390"/>
      <c r="F29" s="390"/>
      <c r="G29" s="391"/>
      <c r="H29" s="391"/>
      <c r="I29" s="391"/>
      <c r="J29" s="387"/>
      <c r="K29" s="389"/>
      <c r="L29" s="386"/>
      <c r="M29" s="386"/>
      <c r="N29" s="498" t="s">
        <v>359</v>
      </c>
      <c r="O29" s="499">
        <f>+'Sch 95a'!$E$16</f>
        <v>-2.147E-3</v>
      </c>
      <c r="P29" s="500"/>
      <c r="Q29" s="499">
        <f>+'Sch 95a'!$H$16</f>
        <v>-1.786E-3</v>
      </c>
    </row>
    <row r="30" spans="1:19" ht="15.6">
      <c r="A30" s="386"/>
      <c r="B30" s="390">
        <f>+B28+100</f>
        <v>800</v>
      </c>
      <c r="C30" s="390"/>
      <c r="D30" s="390">
        <v>300</v>
      </c>
      <c r="E30" s="393">
        <f>ROUND((B$30*D30),0)</f>
        <v>240000</v>
      </c>
      <c r="F30" s="390"/>
      <c r="G30" s="391">
        <f>+O$10+$B30*O$16+$E30*O$12</f>
        <v>23476.42</v>
      </c>
      <c r="H30" s="391"/>
      <c r="I30" s="391">
        <f>+Q$10+$B30*Q$16+$E30*Q$12</f>
        <v>22983.259999999995</v>
      </c>
      <c r="J30" s="390"/>
      <c r="K30" s="388">
        <f>ROUND((+I30-G30)/G30,3)</f>
        <v>-2.1000000000000001E-2</v>
      </c>
      <c r="L30" s="386"/>
      <c r="M30" s="386"/>
      <c r="N30" s="498" t="s">
        <v>358</v>
      </c>
      <c r="O30" s="499">
        <f>+'Sch 120'!$E$15</f>
        <v>4.7999999999999996E-3</v>
      </c>
      <c r="P30" s="500"/>
      <c r="Q30" s="499">
        <f>+'Sch 120'!$H$15</f>
        <v>4.3249999999999999E-3</v>
      </c>
    </row>
    <row r="31" spans="1:19" ht="15.6">
      <c r="A31" s="386"/>
      <c r="B31" s="390">
        <f>+B30</f>
        <v>800</v>
      </c>
      <c r="C31" s="390"/>
      <c r="D31" s="390">
        <v>500</v>
      </c>
      <c r="E31" s="393">
        <f>ROUND((B$30*D31),0)</f>
        <v>400000</v>
      </c>
      <c r="F31" s="390"/>
      <c r="G31" s="391">
        <f>+O$10+$B31*O$16+$E31*O$12</f>
        <v>33732.26</v>
      </c>
      <c r="H31" s="391"/>
      <c r="I31" s="391">
        <f>+Q$10+$B31*Q$16+$E31*Q$12</f>
        <v>33018.939999999995</v>
      </c>
      <c r="J31" s="390"/>
      <c r="K31" s="388">
        <f>ROUND((+I31-G31)/G31,3)</f>
        <v>-2.1000000000000001E-2</v>
      </c>
      <c r="L31" s="386"/>
      <c r="M31" s="386"/>
      <c r="N31" s="353" t="s">
        <v>227</v>
      </c>
      <c r="O31" s="354">
        <f>+'Sch 129'!E16</f>
        <v>7.0699999999999995E-4</v>
      </c>
      <c r="Q31" s="354">
        <f t="shared" ref="Q31:Q33" si="0">+O31</f>
        <v>7.0699999999999995E-4</v>
      </c>
    </row>
    <row r="32" spans="1:19" ht="15.6">
      <c r="A32" s="386"/>
      <c r="B32" s="390">
        <f>+B31</f>
        <v>800</v>
      </c>
      <c r="C32" s="390"/>
      <c r="D32" s="390">
        <v>700</v>
      </c>
      <c r="E32" s="393">
        <f>ROUND((B$30*D32),0)</f>
        <v>560000</v>
      </c>
      <c r="F32" s="390"/>
      <c r="G32" s="391">
        <f>+O$10+$B32*O$16+$E32*O$12</f>
        <v>43988.100000000006</v>
      </c>
      <c r="H32" s="391"/>
      <c r="I32" s="391">
        <f>+Q$10+$B32*Q$16+$E32*Q$12</f>
        <v>43054.619999999988</v>
      </c>
      <c r="J32" s="390"/>
      <c r="K32" s="388">
        <f>ROUND((+I32-G32)/G32,3)</f>
        <v>-2.1000000000000001E-2</v>
      </c>
      <c r="N32" s="357" t="s">
        <v>228</v>
      </c>
      <c r="O32" s="354">
        <f>+'Sch 132'!E16</f>
        <v>-2.02E-4</v>
      </c>
      <c r="Q32" s="352">
        <f t="shared" si="0"/>
        <v>-2.02E-4</v>
      </c>
    </row>
    <row r="33" spans="1:17" ht="15.6">
      <c r="A33" s="386"/>
      <c r="B33" s="390"/>
      <c r="C33" s="390"/>
      <c r="D33" s="390"/>
      <c r="E33" s="390"/>
      <c r="F33" s="390"/>
      <c r="G33" s="391"/>
      <c r="H33" s="391"/>
      <c r="I33" s="391"/>
      <c r="J33" s="387"/>
      <c r="K33" s="389"/>
      <c r="L33" s="386"/>
      <c r="M33" s="386"/>
      <c r="N33" s="357" t="s">
        <v>356</v>
      </c>
      <c r="O33" s="354">
        <f>+'Sch 137'!E16</f>
        <v>-3.0000000000000001E-5</v>
      </c>
      <c r="Q33" s="352">
        <f t="shared" si="0"/>
        <v>-3.0000000000000001E-5</v>
      </c>
    </row>
    <row r="34" spans="1:17" ht="15.6">
      <c r="A34" s="386"/>
      <c r="B34" s="390">
        <f>+B32+200</f>
        <v>1000</v>
      </c>
      <c r="C34" s="390"/>
      <c r="D34" s="390">
        <v>300</v>
      </c>
      <c r="E34" s="393">
        <f>ROUND((B$34*D34),0)</f>
        <v>300000</v>
      </c>
      <c r="F34" s="390"/>
      <c r="G34" s="391">
        <f>+O$10+$B34*O$16+$E34*O$12</f>
        <v>29318.36</v>
      </c>
      <c r="H34" s="391"/>
      <c r="I34" s="391">
        <f>+Q$10+$B34*Q$16+$E34*Q$12</f>
        <v>28702.639999999999</v>
      </c>
      <c r="J34" s="390"/>
      <c r="K34" s="388">
        <f>ROUND((+I34-G34)/G34,3)</f>
        <v>-2.1000000000000001E-2</v>
      </c>
      <c r="L34" s="386"/>
      <c r="M34" s="386"/>
      <c r="N34" s="501" t="s">
        <v>259</v>
      </c>
      <c r="O34" s="503">
        <f>+'Sch 140'!$E$15</f>
        <v>2.2060000000000001E-3</v>
      </c>
      <c r="P34" s="500"/>
      <c r="Q34" s="503">
        <f>+'Sch 140'!$H$15</f>
        <v>2.2239999999999998E-3</v>
      </c>
    </row>
    <row r="35" spans="1:17" ht="15.6">
      <c r="A35" s="386"/>
      <c r="B35" s="390">
        <f>+B34</f>
        <v>1000</v>
      </c>
      <c r="C35" s="390"/>
      <c r="D35" s="390">
        <v>500</v>
      </c>
      <c r="E35" s="393">
        <f>ROUND((B$34*D35),0)</f>
        <v>500000</v>
      </c>
      <c r="F35" s="390"/>
      <c r="G35" s="391">
        <f>+O$10+$B35*O$16+$E35*O$12</f>
        <v>42138.16</v>
      </c>
      <c r="H35" s="391"/>
      <c r="I35" s="391">
        <f>+Q$10+$B35*Q$16+$E35*Q$12</f>
        <v>41247.239999999991</v>
      </c>
      <c r="J35" s="390"/>
      <c r="K35" s="388">
        <f>ROUND((+I35-G35)/G35,3)</f>
        <v>-2.1000000000000001E-2</v>
      </c>
      <c r="L35" s="386"/>
      <c r="M35" s="386"/>
      <c r="N35" s="353" t="s">
        <v>398</v>
      </c>
      <c r="O35" s="492">
        <v>0</v>
      </c>
      <c r="Q35" s="356">
        <v>0</v>
      </c>
    </row>
    <row r="36" spans="1:17" ht="15.6">
      <c r="A36" s="386"/>
      <c r="B36" s="390">
        <f>+B35</f>
        <v>1000</v>
      </c>
      <c r="C36" s="390"/>
      <c r="D36" s="390">
        <v>700</v>
      </c>
      <c r="E36" s="393">
        <f>ROUND((B$34*D36),0)</f>
        <v>700000</v>
      </c>
      <c r="F36" s="390"/>
      <c r="G36" s="391">
        <f>+O$10+$B36*O$16+$E36*O$12</f>
        <v>54957.960000000006</v>
      </c>
      <c r="H36" s="391"/>
      <c r="I36" s="391">
        <f>+Q$10+$B36*Q$16+$E36*Q$12</f>
        <v>53791.839999999989</v>
      </c>
      <c r="J36" s="390"/>
      <c r="K36" s="388">
        <f>ROUND((+I36-G36)/G36,3)</f>
        <v>-2.1000000000000001E-2</v>
      </c>
      <c r="N36" s="353" t="s">
        <v>419</v>
      </c>
      <c r="O36" s="492">
        <v>0</v>
      </c>
      <c r="Q36" s="356">
        <v>0</v>
      </c>
    </row>
    <row r="37" spans="1:17" ht="15.6">
      <c r="A37" s="386"/>
      <c r="B37" s="419"/>
      <c r="C37" s="419"/>
      <c r="D37" s="419"/>
      <c r="E37" s="419"/>
      <c r="F37" s="419"/>
      <c r="G37" s="419"/>
      <c r="H37" s="419"/>
      <c r="I37" s="419"/>
      <c r="J37" s="418"/>
      <c r="K37" s="418"/>
      <c r="L37" s="386"/>
      <c r="M37" s="386"/>
      <c r="N37" s="353" t="s">
        <v>418</v>
      </c>
      <c r="O37" s="502">
        <v>0</v>
      </c>
      <c r="Q37" s="352">
        <v>0</v>
      </c>
    </row>
    <row r="38" spans="1:17" ht="15.6">
      <c r="A38" s="386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N38" s="353" t="s">
        <v>417</v>
      </c>
      <c r="O38" s="502">
        <v>0</v>
      </c>
      <c r="Q38" s="352">
        <v>0</v>
      </c>
    </row>
    <row r="39" spans="1:17" ht="15.6">
      <c r="B39" s="387" t="s">
        <v>350</v>
      </c>
      <c r="C39" s="387"/>
      <c r="D39" s="387"/>
      <c r="E39" s="387"/>
      <c r="F39" s="387"/>
      <c r="G39" s="387"/>
      <c r="H39" s="387"/>
      <c r="I39" s="387"/>
      <c r="J39" s="387"/>
      <c r="K39" s="387"/>
      <c r="N39" s="498" t="s">
        <v>686</v>
      </c>
      <c r="O39" s="503">
        <v>0</v>
      </c>
      <c r="P39" s="500"/>
      <c r="Q39" s="503">
        <f>+'Sch 142 Deferral &amp; K-Factor'!$O$16</f>
        <v>3.0400000000000002E-4</v>
      </c>
    </row>
    <row r="40" spans="1:17" ht="16.2">
      <c r="B40" s="554" t="s">
        <v>653</v>
      </c>
      <c r="C40" s="387"/>
      <c r="D40" s="387"/>
      <c r="E40" s="387"/>
      <c r="F40" s="387"/>
      <c r="G40" s="387"/>
      <c r="H40" s="387"/>
      <c r="I40" s="387"/>
      <c r="J40" s="387"/>
      <c r="K40" s="387"/>
      <c r="N40" s="498" t="s">
        <v>622</v>
      </c>
      <c r="O40" s="528">
        <f>+'Sch 142 Deferral &amp; K-Factor'!$F$16</f>
        <v>-0.17</v>
      </c>
      <c r="P40" s="528"/>
      <c r="Q40" s="528">
        <f>+'Sch 142 Deferral &amp; K-Factor'!$P$16</f>
        <v>-0.09</v>
      </c>
    </row>
    <row r="41" spans="1:17" ht="15.6">
      <c r="A41" s="386"/>
      <c r="B41" s="554" t="s">
        <v>658</v>
      </c>
    </row>
    <row r="42" spans="1:17" ht="15.6">
      <c r="A42" s="386"/>
      <c r="B42" s="554" t="s">
        <v>654</v>
      </c>
      <c r="N42" s="350" t="s">
        <v>620</v>
      </c>
      <c r="O42" s="349">
        <f>+'Tax Reform Impacts'!F14</f>
        <v>-2.5510289967356402E-2</v>
      </c>
    </row>
    <row r="43" spans="1:17" ht="15.6">
      <c r="A43" s="386"/>
      <c r="B43" s="554" t="s">
        <v>655</v>
      </c>
      <c r="N43" s="350"/>
      <c r="O43" s="349"/>
    </row>
    <row r="44" spans="1:17">
      <c r="A44" s="386"/>
    </row>
    <row r="45" spans="1:17">
      <c r="A45" s="386"/>
    </row>
    <row r="46" spans="1:17">
      <c r="A46" s="386"/>
    </row>
    <row r="47" spans="1:17">
      <c r="A47" s="386"/>
    </row>
    <row r="48" spans="1:17">
      <c r="A48" s="386"/>
    </row>
    <row r="49" spans="1:1">
      <c r="A49" s="386"/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62"/>
  <sheetViews>
    <sheetView topLeftCell="D25" zoomScaleNormal="100" zoomScaleSheetLayoutView="75" workbookViewId="0">
      <selection activeCell="Q45" sqref="Q45"/>
    </sheetView>
  </sheetViews>
  <sheetFormatPr defaultColWidth="9.44140625" defaultRowHeight="13.8"/>
  <cols>
    <col min="1" max="1" width="2.109375" style="337" customWidth="1"/>
    <col min="2" max="2" width="10.5546875" style="337" customWidth="1"/>
    <col min="3" max="3" width="1.88671875" style="337" customWidth="1"/>
    <col min="4" max="4" width="12.44140625" style="337" bestFit="1" customWidth="1"/>
    <col min="5" max="5" width="8.21875" style="337" bestFit="1" customWidth="1"/>
    <col min="6" max="6" width="3.5546875" style="337" customWidth="1"/>
    <col min="7" max="7" width="13.109375" style="337" bestFit="1" customWidth="1"/>
    <col min="8" max="8" width="2.33203125" style="337" customWidth="1"/>
    <col min="9" max="9" width="13.109375" style="337" bestFit="1" customWidth="1"/>
    <col min="10" max="10" width="1.88671875" style="337" customWidth="1"/>
    <col min="11" max="11" width="8.109375" style="337" customWidth="1"/>
    <col min="12" max="12" width="3.21875" style="337" customWidth="1"/>
    <col min="13" max="13" width="2.109375" style="337" customWidth="1"/>
    <col min="14" max="14" width="41.109375" style="337" bestFit="1" customWidth="1"/>
    <col min="15" max="15" width="12.33203125" style="337" customWidth="1"/>
    <col min="16" max="16" width="25.6640625" style="337" customWidth="1"/>
    <col min="17" max="17" width="14.21875" style="337" customWidth="1"/>
    <col min="18" max="18" width="2.44140625" style="337" customWidth="1"/>
    <col min="19" max="19" width="6.88671875" style="337" bestFit="1" customWidth="1"/>
    <col min="20" max="16384" width="9.44140625" style="337"/>
  </cols>
  <sheetData>
    <row r="1" spans="2:19" ht="20.399999999999999">
      <c r="B1" s="417" t="s">
        <v>0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2:19" ht="20.399999999999999">
      <c r="B2" s="417" t="s">
        <v>372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2:19" ht="20.399999999999999">
      <c r="B3" s="417" t="s">
        <v>435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</row>
    <row r="4" spans="2:19" ht="17.399999999999999">
      <c r="B4" s="438" t="s">
        <v>436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</row>
    <row r="5" spans="2:19">
      <c r="G5" s="381"/>
      <c r="H5" s="381"/>
      <c r="I5" s="381"/>
      <c r="J5" s="381"/>
      <c r="K5" s="382"/>
      <c r="L5" s="382"/>
    </row>
    <row r="6" spans="2:19" ht="15.6">
      <c r="B6" s="437" t="s">
        <v>414</v>
      </c>
      <c r="G6" s="612" t="s">
        <v>413</v>
      </c>
      <c r="H6" s="613"/>
      <c r="I6" s="613"/>
      <c r="J6" s="381"/>
      <c r="K6" s="382"/>
      <c r="L6" s="382"/>
    </row>
    <row r="7" spans="2:19" ht="14.4" thickBot="1">
      <c r="B7" s="436" t="s">
        <v>412</v>
      </c>
      <c r="C7" s="382"/>
      <c r="D7" s="382" t="s">
        <v>411</v>
      </c>
      <c r="G7" s="382" t="s">
        <v>410</v>
      </c>
      <c r="H7" s="381"/>
      <c r="I7" s="382" t="s">
        <v>33</v>
      </c>
      <c r="J7" s="381"/>
      <c r="K7" s="381"/>
      <c r="L7" s="381"/>
    </row>
    <row r="8" spans="2:19" ht="15.6">
      <c r="B8" s="435" t="s">
        <v>409</v>
      </c>
      <c r="C8" s="382"/>
      <c r="D8" s="434" t="s">
        <v>408</v>
      </c>
      <c r="E8" s="377" t="s">
        <v>368</v>
      </c>
      <c r="G8" s="422" t="s">
        <v>659</v>
      </c>
      <c r="H8" s="422"/>
      <c r="I8" s="422" t="s">
        <v>660</v>
      </c>
      <c r="J8" s="381"/>
      <c r="K8" s="377" t="s">
        <v>434</v>
      </c>
      <c r="L8" s="381"/>
      <c r="M8" s="381"/>
      <c r="N8" s="608" t="s">
        <v>385</v>
      </c>
      <c r="O8" s="610"/>
      <c r="P8" s="611" t="s">
        <v>384</v>
      </c>
      <c r="Q8" s="610"/>
      <c r="R8" s="385"/>
    </row>
    <row r="9" spans="2:19">
      <c r="B9" s="381"/>
      <c r="C9" s="382"/>
      <c r="D9" s="434"/>
      <c r="E9" s="381"/>
      <c r="G9" s="381"/>
      <c r="H9" s="381"/>
      <c r="I9" s="381"/>
      <c r="J9" s="381"/>
      <c r="K9" s="381"/>
      <c r="L9" s="381"/>
      <c r="M9" s="381"/>
      <c r="N9" s="400"/>
      <c r="O9" s="405"/>
      <c r="P9" s="364"/>
      <c r="Q9" s="405"/>
      <c r="R9" s="385"/>
    </row>
    <row r="10" spans="2:19">
      <c r="B10" s="433" t="s">
        <v>383</v>
      </c>
      <c r="C10" s="432"/>
      <c r="G10" s="432"/>
      <c r="H10" s="432"/>
      <c r="N10" s="401" t="s">
        <v>433</v>
      </c>
      <c r="O10" s="370">
        <f>SUM(O30,O51)</f>
        <v>9.94</v>
      </c>
      <c r="P10" s="400" t="str">
        <f>+N10</f>
        <v>Basic Charge (1 Phase)</v>
      </c>
      <c r="Q10" s="370">
        <f>SUM(Q30,Q51)</f>
        <v>9.68</v>
      </c>
      <c r="R10" s="397"/>
      <c r="S10" s="363">
        <f>(Q10-O10)/O10</f>
        <v>-2.6156941649899377E-2</v>
      </c>
    </row>
    <row r="11" spans="2:19">
      <c r="B11" s="337">
        <v>25</v>
      </c>
      <c r="D11" s="348">
        <v>200</v>
      </c>
      <c r="E11" s="348">
        <f>ROUND((B$11*D11),0)</f>
        <v>5000</v>
      </c>
      <c r="G11" s="431">
        <f>ROUND(+O$10+IF(E11&gt;20000,20000*O$15+(E11-20000)*O$19,E11*O$15)+IF(B11&gt;50,(B11-50)*O$25,0),0)</f>
        <v>349</v>
      </c>
      <c r="H11" s="431"/>
      <c r="I11" s="431">
        <f>ROUND(+Q$10+IF(E11&gt;20000,20000*Q$15+(E11-20000)*Q$19,E11*Q$15)+IF(B11&gt;50,(B11-50)*Q$25,0),0)</f>
        <v>336</v>
      </c>
      <c r="J11" s="431"/>
      <c r="K11" s="344">
        <f>ROUND((I11-G11)/G11,4)</f>
        <v>-3.7199999999999997E-2</v>
      </c>
      <c r="L11" s="344"/>
      <c r="M11" s="344"/>
      <c r="N11" s="401" t="s">
        <v>432</v>
      </c>
      <c r="O11" s="370">
        <f>SUM(O31,O52)</f>
        <v>25.26</v>
      </c>
      <c r="P11" s="400" t="str">
        <f>+N11</f>
        <v>Basic Charge (3 Phase)</v>
      </c>
      <c r="Q11" s="370">
        <f>SUM(Q31,Q52)</f>
        <v>24.58</v>
      </c>
      <c r="R11" s="385"/>
      <c r="S11" s="363">
        <f>(Q11-O11)/O11</f>
        <v>-2.6920031670625622E-2</v>
      </c>
    </row>
    <row r="12" spans="2:19">
      <c r="B12" s="337">
        <f>+B11</f>
        <v>25</v>
      </c>
      <c r="D12" s="348">
        <v>300</v>
      </c>
      <c r="E12" s="348">
        <f>ROUND((B$11*D12),0)</f>
        <v>7500</v>
      </c>
      <c r="G12" s="431">
        <f>ROUND(+O$10+IF(E12&gt;20000,20000*O$15+(E12-20000)*O$19,E12*O$15)+IF(B12&gt;50,(B12-50)*O$25,0),0)</f>
        <v>519</v>
      </c>
      <c r="H12" s="431"/>
      <c r="I12" s="431">
        <f>ROUND(+Q$10+IF(E12&gt;20000,20000*Q$15+(E12-20000)*Q$19,E12*Q$15)+IF(B12&gt;50,(B12-50)*Q$25,0),0)</f>
        <v>499</v>
      </c>
      <c r="J12" s="431"/>
      <c r="K12" s="344">
        <f>ROUND((I12-G12)/G12,4)</f>
        <v>-3.85E-2</v>
      </c>
      <c r="L12" s="344"/>
      <c r="M12" s="344"/>
      <c r="N12" s="400"/>
      <c r="O12" s="365"/>
      <c r="P12" s="400"/>
      <c r="Q12" s="365"/>
    </row>
    <row r="13" spans="2:19">
      <c r="B13" s="337">
        <f>+B12</f>
        <v>25</v>
      </c>
      <c r="D13" s="348">
        <v>500</v>
      </c>
      <c r="E13" s="348">
        <f>ROUND((B$11*D13),0)</f>
        <v>12500</v>
      </c>
      <c r="G13" s="431">
        <f>ROUND(+O$10+IF(E13&gt;20000,20000*O$15+(E13-20000)*O$19,E13*O$15)+IF(B13&gt;50,(B13-50)*O$25,0),0)</f>
        <v>859</v>
      </c>
      <c r="H13" s="431"/>
      <c r="I13" s="431">
        <f>ROUND(+Q$10+IF(E13&gt;20000,20000*Q$15+(E13-20000)*Q$19,E13*Q$15)+IF(B13&gt;50,(B13-50)*Q$25,0),0)</f>
        <v>826</v>
      </c>
      <c r="J13" s="431"/>
      <c r="K13" s="344">
        <f>ROUND((I13-G13)/G13,4)</f>
        <v>-3.8399999999999997E-2</v>
      </c>
      <c r="L13" s="344"/>
      <c r="M13" s="344"/>
      <c r="N13" s="401" t="s">
        <v>406</v>
      </c>
      <c r="O13" s="365">
        <f>SUM(O32,O44:O50,O53,O57:O59)</f>
        <v>9.2579162000000007E-2</v>
      </c>
      <c r="P13" s="400" t="str">
        <f>+N13</f>
        <v>Winter kWh - First 20,000</v>
      </c>
      <c r="Q13" s="365">
        <f>SUM(Q32,Q44:Q50,Q53,Q57:Q59)</f>
        <v>8.9292162000000022E-2</v>
      </c>
      <c r="R13" s="385"/>
      <c r="S13" s="363">
        <f>(Q13-O13)/O13</f>
        <v>-3.5504749978186062E-2</v>
      </c>
    </row>
    <row r="14" spans="2:19">
      <c r="G14" s="431"/>
      <c r="H14" s="431"/>
      <c r="I14" s="431"/>
      <c r="J14" s="431"/>
      <c r="N14" s="401" t="s">
        <v>405</v>
      </c>
      <c r="O14" s="365">
        <f>SUM(O33,O44:O50,O54,O57:O59)</f>
        <v>6.396516200000002E-2</v>
      </c>
      <c r="P14" s="400" t="str">
        <f>+N14</f>
        <v>Summer kWh - First 20,000</v>
      </c>
      <c r="Q14" s="365">
        <f>SUM(Q33,Q44:Q50,Q54,Q57:Q59)</f>
        <v>6.1449162000000015E-2</v>
      </c>
      <c r="R14" s="385"/>
      <c r="S14" s="363">
        <f>(Q14-O14)/O14</f>
        <v>-3.9333911168707797E-2</v>
      </c>
    </row>
    <row r="15" spans="2:19">
      <c r="B15" s="337">
        <v>50</v>
      </c>
      <c r="D15" s="348">
        <v>200</v>
      </c>
      <c r="E15" s="348">
        <f>ROUND((B$15*D15),0)</f>
        <v>10000</v>
      </c>
      <c r="G15" s="431">
        <f>ROUND(+O$10+IF(E15&gt;20000,20000*O$15+(E15-20000)*O$19,E15*O$15)+IF(B15&gt;50,(B15-50)*O$25,0),0)</f>
        <v>689</v>
      </c>
      <c r="H15" s="431"/>
      <c r="I15" s="431">
        <f>ROUND(+Q$10+IF(E15&gt;20000,20000*Q$15+(E15-20000)*Q$19,E15*Q$15)+IF(B15&gt;50,(B15-50)*Q$25,0),0)</f>
        <v>662</v>
      </c>
      <c r="J15" s="431"/>
      <c r="K15" s="344">
        <f>ROUND((I15-G15)/G15,4)</f>
        <v>-3.9199999999999999E-2</v>
      </c>
      <c r="L15" s="344"/>
      <c r="M15" s="344"/>
      <c r="N15" s="400" t="s">
        <v>378</v>
      </c>
      <c r="O15" s="365">
        <f>SUM(O34,O44:O50,O57:O59)+AVERAGE(O53:O54)</f>
        <v>6.7889162000000017E-2</v>
      </c>
      <c r="P15" s="400" t="str">
        <f>+N15</f>
        <v>Average kWh</v>
      </c>
      <c r="Q15" s="365">
        <f>SUM(Q34,Q44:Q50,Q57:Q59)+AVERAGE(Q53:Q54)</f>
        <v>6.5267162000000031E-2</v>
      </c>
      <c r="R15" s="385"/>
      <c r="S15" s="363">
        <f>(Q15-O15)/O15</f>
        <v>-3.8621775888174684E-2</v>
      </c>
    </row>
    <row r="16" spans="2:19">
      <c r="B16" s="337">
        <f>+B15</f>
        <v>50</v>
      </c>
      <c r="D16" s="348">
        <v>300</v>
      </c>
      <c r="E16" s="348">
        <f>ROUND((B$15*D16),0)</f>
        <v>15000</v>
      </c>
      <c r="G16" s="431">
        <f>ROUND(+O$10+IF(E16&gt;20000,20000*O$15+(E16-20000)*O$19,E16*O$15)+IF(B16&gt;50,(B16-50)*O$25,0),0)</f>
        <v>1028</v>
      </c>
      <c r="H16" s="431"/>
      <c r="I16" s="431">
        <f>ROUND(+Q$10+IF(E16&gt;20000,20000*Q$15+(E16-20000)*Q$19,E16*Q$15)+IF(B16&gt;50,(B16-50)*Q$25,0),0)</f>
        <v>989</v>
      </c>
      <c r="J16" s="431"/>
      <c r="K16" s="344">
        <f>ROUND((I16-G16)/G16,4)</f>
        <v>-3.7900000000000003E-2</v>
      </c>
      <c r="L16" s="344"/>
      <c r="M16" s="344"/>
      <c r="N16" s="400"/>
      <c r="O16" s="365"/>
      <c r="P16" s="400"/>
      <c r="Q16" s="365"/>
      <c r="R16" s="385"/>
    </row>
    <row r="17" spans="2:19">
      <c r="B17" s="337">
        <f>+B16</f>
        <v>50</v>
      </c>
      <c r="D17" s="348">
        <v>500</v>
      </c>
      <c r="E17" s="348">
        <f>ROUND((B$15*D17),0)</f>
        <v>25000</v>
      </c>
      <c r="G17" s="431">
        <f>ROUND(+O$10+IF(E17&gt;20000,20000*O$15+(E17-20000)*O$19,E17*O$15)+IF(B17&gt;50,(B17-50)*O$25,0),0)</f>
        <v>1645</v>
      </c>
      <c r="H17" s="431"/>
      <c r="I17" s="431">
        <f>ROUND(+Q$10+IF(E17&gt;20000,20000*Q$15+(E17-20000)*Q$19,E17*Q$15)+IF(B17&gt;50,(B17-50)*Q$25,0),0)</f>
        <v>1581</v>
      </c>
      <c r="J17" s="431"/>
      <c r="K17" s="344">
        <f>ROUND((I17-G17)/G17,4)</f>
        <v>-3.8899999999999997E-2</v>
      </c>
      <c r="L17" s="344"/>
      <c r="M17" s="344"/>
      <c r="N17" s="401" t="s">
        <v>431</v>
      </c>
      <c r="O17" s="365">
        <f>SUM(O35,O44:O50,O55,O57:O59)</f>
        <v>7.0165162000000017E-2</v>
      </c>
      <c r="P17" s="400" t="str">
        <f>+N17</f>
        <v>Winter kWh - Over 20,000</v>
      </c>
      <c r="Q17" s="365">
        <f>SUM(Q35,Q44:Q50,Q55,Q57:Q59)</f>
        <v>6.7482162000000026E-2</v>
      </c>
      <c r="R17" s="385"/>
      <c r="S17" s="363">
        <f>(Q17-O17)/O17</f>
        <v>-3.8238349681284714E-2</v>
      </c>
    </row>
    <row r="18" spans="2:19">
      <c r="G18" s="431"/>
      <c r="H18" s="431"/>
      <c r="I18" s="431"/>
      <c r="J18" s="431"/>
      <c r="N18" s="401" t="s">
        <v>430</v>
      </c>
      <c r="O18" s="365">
        <f>SUM(O36,O44:O50,O56,O57:O59)</f>
        <v>5.472016200000001E-2</v>
      </c>
      <c r="P18" s="400" t="str">
        <f>+N18</f>
        <v>Summer kWh - Over 20,000</v>
      </c>
      <c r="Q18" s="365">
        <f>SUM(Q36,Q44:Q50,Q56,Q57:Q59)</f>
        <v>5.2453161999999991E-2</v>
      </c>
      <c r="R18" s="385"/>
      <c r="S18" s="363">
        <f>(Q18-O18)/O18</f>
        <v>-4.142897091569317E-2</v>
      </c>
    </row>
    <row r="19" spans="2:19">
      <c r="B19" s="337">
        <v>75</v>
      </c>
      <c r="D19" s="348">
        <v>200</v>
      </c>
      <c r="E19" s="348">
        <f>ROUND((B$15*D19),0)</f>
        <v>10000</v>
      </c>
      <c r="G19" s="431">
        <f>ROUND(+O$10+IF(E19&gt;20000,20000*O$15+(E19-20000)*O$19,E19*O$15)+IF(B19&gt;50,(B19-50)*O$25,0),0)</f>
        <v>844</v>
      </c>
      <c r="H19" s="431"/>
      <c r="I19" s="431">
        <f>ROUND(+Q$10+IF(E19&gt;20000,20000*Q$15+(E19-20000)*Q$19,E19*Q$15)+IF(B19&gt;50,(B19-50)*Q$25,0),0)</f>
        <v>813</v>
      </c>
      <c r="J19" s="431"/>
      <c r="K19" s="344">
        <f>ROUND((I19-G19)/G19,4)</f>
        <v>-3.6700000000000003E-2</v>
      </c>
      <c r="L19" s="344"/>
      <c r="M19" s="344"/>
      <c r="N19" s="401" t="s">
        <v>404</v>
      </c>
      <c r="O19" s="365">
        <f>SUM(O37,O44:O50,O57:O59)+AVERAGE(O55:O56)</f>
        <v>5.5481162000000001E-2</v>
      </c>
      <c r="P19" s="400" t="str">
        <f>+N19</f>
        <v>kWh - All Over 20,000</v>
      </c>
      <c r="Q19" s="365">
        <f>SUM(Q37,Q44:Q50,Q57:Q59)+AVERAGE(Q55:Q56)</f>
        <v>5.3193161999999995E-2</v>
      </c>
      <c r="R19" s="385"/>
      <c r="S19" s="363">
        <f>(Q19-O19)/O19</f>
        <v>-4.1239222783401787E-2</v>
      </c>
    </row>
    <row r="20" spans="2:19">
      <c r="B20" s="337">
        <f>+B19</f>
        <v>75</v>
      </c>
      <c r="D20" s="348">
        <v>300</v>
      </c>
      <c r="E20" s="348">
        <f>ROUND((B$15*D20),0)</f>
        <v>15000</v>
      </c>
      <c r="G20" s="431">
        <f>ROUND(+O$10+IF(E20&gt;20000,20000*O$15+(E20-20000)*O$19,E20*O$15)+IF(B20&gt;50,(B20-50)*O$25,0),0)</f>
        <v>1184</v>
      </c>
      <c r="H20" s="431"/>
      <c r="I20" s="431">
        <f>ROUND(+Q$10+IF(E20&gt;20000,20000*Q$15+(E20-20000)*Q$19,E20*Q$15)+IF(B20&gt;50,(B20-50)*Q$25,0),0)</f>
        <v>1139</v>
      </c>
      <c r="J20" s="431"/>
      <c r="K20" s="344">
        <f>ROUND((I20-G20)/G20,4)</f>
        <v>-3.7999999999999999E-2</v>
      </c>
      <c r="L20" s="344"/>
      <c r="M20" s="344"/>
      <c r="N20" s="401"/>
      <c r="O20" s="365"/>
      <c r="P20" s="401"/>
      <c r="Q20" s="365"/>
      <c r="R20" s="385"/>
      <c r="S20" s="369"/>
    </row>
    <row r="21" spans="2:19">
      <c r="B21" s="337">
        <f>+B20</f>
        <v>75</v>
      </c>
      <c r="D21" s="348">
        <v>500</v>
      </c>
      <c r="E21" s="348">
        <f>ROUND((B$15*D21),0)</f>
        <v>25000</v>
      </c>
      <c r="G21" s="431">
        <f>ROUND(+O$10+IF(E21&gt;20000,20000*O$15+(E21-20000)*O$19,E21*O$15)+IF(B21&gt;50,(B21-50)*O$25,0),0)</f>
        <v>1800</v>
      </c>
      <c r="H21" s="431"/>
      <c r="I21" s="431">
        <f>ROUND(+Q$10+IF(E21&gt;20000,20000*Q$15+(E21-20000)*Q$19,E21*Q$15)+IF(B21&gt;50,(B21-50)*Q$25,0),0)</f>
        <v>1732</v>
      </c>
      <c r="J21" s="431"/>
      <c r="K21" s="344">
        <f>ROUND((I21-G21)/G21,4)</f>
        <v>-3.78E-2</v>
      </c>
      <c r="L21" s="344"/>
      <c r="M21" s="344"/>
      <c r="N21" s="401" t="s">
        <v>403</v>
      </c>
      <c r="O21" s="365">
        <v>0</v>
      </c>
      <c r="P21" s="400" t="str">
        <f>+N21</f>
        <v>kW - First 50</v>
      </c>
      <c r="Q21" s="365">
        <v>0</v>
      </c>
      <c r="R21" s="385"/>
      <c r="S21" s="369"/>
    </row>
    <row r="22" spans="2:19">
      <c r="N22" s="401"/>
      <c r="O22" s="365"/>
      <c r="P22" s="401"/>
      <c r="Q22" s="365"/>
      <c r="R22" s="397"/>
      <c r="S22" s="345"/>
    </row>
    <row r="23" spans="2:19">
      <c r="B23" s="433" t="s">
        <v>382</v>
      </c>
      <c r="C23" s="432"/>
      <c r="G23" s="431"/>
      <c r="H23" s="431"/>
      <c r="I23" s="431"/>
      <c r="J23" s="431"/>
      <c r="N23" s="401" t="s">
        <v>402</v>
      </c>
      <c r="O23" s="421">
        <f>SUM(O39)</f>
        <v>9.19</v>
      </c>
      <c r="P23" s="400" t="str">
        <f>+N23</f>
        <v>Winter kW - Over 50</v>
      </c>
      <c r="Q23" s="421">
        <f>SUM(Q39)</f>
        <v>8.94</v>
      </c>
      <c r="R23" s="385"/>
      <c r="S23" s="363">
        <f>(Q23-O23)/O23</f>
        <v>-2.720348204570185E-2</v>
      </c>
    </row>
    <row r="24" spans="2:19">
      <c r="B24" s="337">
        <v>100</v>
      </c>
      <c r="D24" s="348">
        <v>200</v>
      </c>
      <c r="E24" s="348">
        <f>ROUND((B$24*D24),0)</f>
        <v>20000</v>
      </c>
      <c r="G24" s="431">
        <f>ROUND(+O$11+IF(E24&gt;20000,20000*O$15+(E24-20000)*O$19,E24*O$15)+IF(B24&gt;50,(B24-50)*O$25,0),0)</f>
        <v>1694</v>
      </c>
      <c r="H24" s="431"/>
      <c r="I24" s="431">
        <f>ROUND(+Q$11+IF(E24&gt;20000,20000*Q$15+(E24-20000)*Q$19,E24*Q$15)+IF(B24&gt;50,(B24-50)*Q$25,0),0)</f>
        <v>1631</v>
      </c>
      <c r="J24" s="431"/>
      <c r="K24" s="344">
        <f>ROUND((I24-G24)/G24,4)</f>
        <v>-3.7199999999999997E-2</v>
      </c>
      <c r="L24" s="344"/>
      <c r="M24" s="344"/>
      <c r="N24" s="401" t="s">
        <v>401</v>
      </c>
      <c r="O24" s="421">
        <f>SUM(O40)</f>
        <v>4.53</v>
      </c>
      <c r="P24" s="400" t="str">
        <f>+N24</f>
        <v>Summer kW - Over 50</v>
      </c>
      <c r="Q24" s="421">
        <f>SUM(Q40)</f>
        <v>4.4000000000000004</v>
      </c>
      <c r="R24" s="385"/>
      <c r="S24" s="363">
        <f>(Q24-O24)/O24</f>
        <v>-2.8697571743929336E-2</v>
      </c>
    </row>
    <row r="25" spans="2:19">
      <c r="B25" s="337">
        <f>+B24</f>
        <v>100</v>
      </c>
      <c r="D25" s="348">
        <v>300</v>
      </c>
      <c r="E25" s="348">
        <f>ROUND((B$24*D25),0)</f>
        <v>30000</v>
      </c>
      <c r="G25" s="431">
        <f>ROUND(+O$11+IF(E25&gt;20000,20000*O$15+(E25-20000)*O$19,E25*O$15)+IF(B25&gt;50,(B25-50)*O$25,0),0)</f>
        <v>2248</v>
      </c>
      <c r="H25" s="431"/>
      <c r="I25" s="431">
        <f>ROUND(+Q$11+IF(E25&gt;20000,20000*Q$15+(E25-20000)*Q$19,E25*Q$15)+IF(B25&gt;50,(B25-50)*Q$25,0),0)</f>
        <v>2163</v>
      </c>
      <c r="J25" s="431"/>
      <c r="K25" s="344">
        <f>ROUND((I25-G25)/G25,4)</f>
        <v>-3.78E-2</v>
      </c>
      <c r="L25" s="344"/>
      <c r="M25" s="344"/>
      <c r="N25" s="401" t="s">
        <v>400</v>
      </c>
      <c r="O25" s="421">
        <f>SUM(O41)</f>
        <v>6.21</v>
      </c>
      <c r="P25" s="400" t="str">
        <f>+N25</f>
        <v>Average kW - Over 50</v>
      </c>
      <c r="Q25" s="421">
        <f>SUM(Q41)</f>
        <v>6.03</v>
      </c>
      <c r="R25" s="385"/>
      <c r="S25" s="363">
        <f>(Q25-O25)/O25</f>
        <v>-2.8985507246376767E-2</v>
      </c>
    </row>
    <row r="26" spans="2:19">
      <c r="B26" s="337">
        <f>+B25</f>
        <v>100</v>
      </c>
      <c r="D26" s="348">
        <v>500</v>
      </c>
      <c r="E26" s="348">
        <f>ROUND((B$24*D26),0)</f>
        <v>50000</v>
      </c>
      <c r="G26" s="431">
        <f>ROUND(+O$11+IF(E26&gt;20000,20000*O$15+(E26-20000)*O$19,E26*O$15)+IF(B26&gt;50,(B26-50)*O$25,0),0)</f>
        <v>3358</v>
      </c>
      <c r="H26" s="431"/>
      <c r="I26" s="431">
        <f>ROUND(+Q$11+IF(E26&gt;20000,20000*Q$15+(E26-20000)*Q$19,E26*Q$15)+IF(B26&gt;50,(B26-50)*Q$25,0),0)</f>
        <v>3227</v>
      </c>
      <c r="J26" s="431"/>
      <c r="K26" s="344">
        <f>ROUND((I26-G26)/G26,4)</f>
        <v>-3.9E-2</v>
      </c>
      <c r="L26" s="344"/>
      <c r="M26" s="344"/>
      <c r="N26" s="400"/>
      <c r="O26" s="365"/>
      <c r="P26" s="400"/>
      <c r="Q26" s="365"/>
      <c r="R26" s="385"/>
    </row>
    <row r="27" spans="2:19">
      <c r="N27" s="400" t="s">
        <v>399</v>
      </c>
      <c r="O27" s="420">
        <f>SUM(O42)</f>
        <v>2.9199999999999999E-3</v>
      </c>
      <c r="P27" s="400" t="str">
        <f>+N27</f>
        <v>kVarh</v>
      </c>
      <c r="Q27" s="420">
        <f>SUM(Q42)</f>
        <v>2.8400000000000001E-3</v>
      </c>
      <c r="R27" s="385"/>
      <c r="S27" s="363">
        <f>(Q27-O27)/O27</f>
        <v>-2.7397260273972528E-2</v>
      </c>
    </row>
    <row r="28" spans="2:19" ht="14.4" thickBot="1">
      <c r="B28" s="337">
        <v>150</v>
      </c>
      <c r="D28" s="348">
        <v>200</v>
      </c>
      <c r="E28" s="348">
        <f>ROUND((B$28*D28),0)</f>
        <v>30000</v>
      </c>
      <c r="G28" s="431">
        <f>ROUND(+O$11+IF(E28&gt;20000,20000*O$15+(E28-20000)*O$19,E28*O$15)+IF(B28&gt;50,(B28-50)*O$25,0),0)</f>
        <v>2559</v>
      </c>
      <c r="H28" s="431"/>
      <c r="I28" s="431">
        <f>ROUND(+Q$11+IF(E28&gt;20000,20000*Q$15+(E28-20000)*Q$19,E28*Q$15)+IF(B28&gt;50,(B28-50)*Q$25,0),0)</f>
        <v>2465</v>
      </c>
      <c r="J28" s="431"/>
      <c r="K28" s="344">
        <f>ROUND((I28-G28)/G28,4)</f>
        <v>-3.6700000000000003E-2</v>
      </c>
      <c r="L28" s="344"/>
      <c r="M28" s="344"/>
      <c r="N28" s="399" t="s">
        <v>25</v>
      </c>
      <c r="O28" s="398" t="s">
        <v>25</v>
      </c>
      <c r="P28" s="399" t="s">
        <v>25</v>
      </c>
      <c r="Q28" s="398" t="s">
        <v>25</v>
      </c>
      <c r="R28" s="385"/>
    </row>
    <row r="29" spans="2:19">
      <c r="B29" s="337">
        <f>+B28</f>
        <v>150</v>
      </c>
      <c r="D29" s="348">
        <v>300</v>
      </c>
      <c r="E29" s="348">
        <f>ROUND((B$28*D29),0)</f>
        <v>45000</v>
      </c>
      <c r="G29" s="431">
        <f>ROUND(+O$11+IF(E29&gt;20000,20000*O$15+(E29-20000)*O$19,E29*O$15)+IF(B29&gt;50,(B29-50)*O$25,0),0)</f>
        <v>3391</v>
      </c>
      <c r="H29" s="431"/>
      <c r="I29" s="431">
        <f>ROUND(+Q$11+IF(E29&gt;20000,20000*Q$15+(E29-20000)*Q$19,E29*Q$15)+IF(B29&gt;50,(B29-50)*Q$25,0),0)</f>
        <v>3263</v>
      </c>
      <c r="J29" s="431"/>
      <c r="K29" s="344">
        <f>ROUND((I29-G29)/G29,4)</f>
        <v>-3.7699999999999997E-2</v>
      </c>
      <c r="L29" s="344"/>
      <c r="M29" s="344"/>
      <c r="R29" s="385"/>
    </row>
    <row r="30" spans="2:19">
      <c r="B30" s="337">
        <f>+B29</f>
        <v>150</v>
      </c>
      <c r="D30" s="348">
        <v>500</v>
      </c>
      <c r="E30" s="348">
        <f>ROUND((B$28*D30),0)</f>
        <v>75000</v>
      </c>
      <c r="G30" s="431">
        <f>ROUND(+O$11+IF(E30&gt;20000,20000*O$15+(E30-20000)*O$19,E30*O$15)+IF(B30&gt;50,(B30-50)*O$25,0),0)</f>
        <v>5056</v>
      </c>
      <c r="H30" s="431"/>
      <c r="I30" s="431">
        <f>ROUND(+Q$11+IF(E30&gt;20000,20000*Q$15+(E30-20000)*Q$19,E30*Q$15)+IF(B30&gt;50,(B30-50)*Q$25,0),0)</f>
        <v>4859</v>
      </c>
      <c r="J30" s="431"/>
      <c r="K30" s="344">
        <f>ROUND((I30-G30)/G30,4)</f>
        <v>-3.9E-2</v>
      </c>
      <c r="L30" s="344"/>
      <c r="M30" s="344"/>
      <c r="N30" s="337" t="str">
        <f>+N10</f>
        <v>Basic Charge (1 Phase)</v>
      </c>
      <c r="O30" s="502">
        <f>+'[2]Exhibit No.__(JAP-Tariff)'!$F$55</f>
        <v>9.94</v>
      </c>
      <c r="P30" s="502"/>
      <c r="Q30" s="502">
        <f>+'[3]Exhibit No.__(JAP-Tariff)'!$F$55</f>
        <v>9.68</v>
      </c>
      <c r="R30" s="385"/>
    </row>
    <row r="31" spans="2:19">
      <c r="N31" s="337" t="str">
        <f t="shared" ref="N31" si="0">+N11</f>
        <v>Basic Charge (3 Phase)</v>
      </c>
      <c r="O31" s="502">
        <f>+'[2]Exhibit No.__(JAP-Tariff)'!$F$56</f>
        <v>25.26</v>
      </c>
      <c r="P31" s="502"/>
      <c r="Q31" s="502">
        <f>+'[3]Exhibit No.__(JAP-Tariff)'!$F$56</f>
        <v>24.58</v>
      </c>
      <c r="R31" s="385"/>
    </row>
    <row r="32" spans="2:19">
      <c r="B32" s="337">
        <v>200</v>
      </c>
      <c r="D32" s="348">
        <v>200</v>
      </c>
      <c r="E32" s="348">
        <f>ROUND((B$32*D32),0)</f>
        <v>40000</v>
      </c>
      <c r="G32" s="431">
        <f>ROUND(+O$11+IF(E32&gt;20000,20000*O$15+(E32-20000)*O$19,E32*O$15)+IF(B32&gt;50,(B32-50)*O$25,0),0)</f>
        <v>3424</v>
      </c>
      <c r="H32" s="431"/>
      <c r="I32" s="431">
        <f>ROUND(+Q$11+IF(E32&gt;20000,20000*Q$15+(E32-20000)*Q$19,E32*Q$15)+IF(B32&gt;50,(B32-50)*Q$25,0),0)</f>
        <v>3298</v>
      </c>
      <c r="J32" s="431"/>
      <c r="K32" s="344">
        <f>ROUND((I32-G32)/G32,4)</f>
        <v>-3.6799999999999999E-2</v>
      </c>
      <c r="L32" s="344"/>
      <c r="M32" s="344"/>
      <c r="N32" s="337" t="str">
        <f>+N13</f>
        <v>Winter kWh - First 20,000</v>
      </c>
      <c r="O32" s="502">
        <f>+'[2]Exhibit No.__(JAP-Tariff)'!$F$58</f>
        <v>9.3187999999999993E-2</v>
      </c>
      <c r="P32" s="502"/>
      <c r="Q32" s="502">
        <f>+'[3]Exhibit No.__(JAP-Tariff)'!$F$58</f>
        <v>9.0677999999999995E-2</v>
      </c>
      <c r="R32" s="385"/>
    </row>
    <row r="33" spans="2:18">
      <c r="B33" s="337">
        <f>+B32</f>
        <v>200</v>
      </c>
      <c r="D33" s="348">
        <v>300</v>
      </c>
      <c r="E33" s="348">
        <f>ROUND((B$32*D33),0)</f>
        <v>60000</v>
      </c>
      <c r="G33" s="431">
        <f>ROUND(+O$11+IF(E33&gt;20000,20000*O$15+(E33-20000)*O$19,E33*O$15)+IF(B33&gt;50,(B33-50)*O$25,0),0)</f>
        <v>4534</v>
      </c>
      <c r="H33" s="431"/>
      <c r="I33" s="431">
        <f>ROUND(+Q$11+IF(E33&gt;20000,20000*Q$15+(E33-20000)*Q$19,E33*Q$15)+IF(B33&gt;50,(B33-50)*Q$25,0),0)</f>
        <v>4362</v>
      </c>
      <c r="J33" s="431"/>
      <c r="K33" s="344">
        <f>ROUND((I33-G33)/G33,4)</f>
        <v>-3.7900000000000003E-2</v>
      </c>
      <c r="L33" s="344"/>
      <c r="M33" s="344"/>
      <c r="N33" s="337" t="str">
        <f>+N14</f>
        <v>Summer kWh - First 20,000</v>
      </c>
      <c r="O33" s="502">
        <f>+'[2]Exhibit No.__(JAP-Tariff)'!$F$60</f>
        <v>6.4574000000000006E-2</v>
      </c>
      <c r="P33" s="502"/>
      <c r="Q33" s="502">
        <f>+'[3]Exhibit No.__(JAP-Tariff)'!$F$60</f>
        <v>6.2835000000000002E-2</v>
      </c>
      <c r="R33" s="385"/>
    </row>
    <row r="34" spans="2:18">
      <c r="B34" s="337">
        <f>+B33</f>
        <v>200</v>
      </c>
      <c r="D34" s="348">
        <v>500</v>
      </c>
      <c r="E34" s="348">
        <f>ROUND((B$32*D34),0)</f>
        <v>100000</v>
      </c>
      <c r="G34" s="431">
        <f>ROUND(+O$11+IF(E34&gt;20000,20000*O$15+(E34-20000)*O$19,E34*O$15)+IF(B34&gt;50,(B34-50)*O$25,0),0)</f>
        <v>6753</v>
      </c>
      <c r="H34" s="431"/>
      <c r="I34" s="431">
        <f>ROUND(+Q$11+IF(E34&gt;20000,20000*Q$15+(E34-20000)*Q$19,E34*Q$15)+IF(B34&gt;50,(B34-50)*Q$25,0),0)</f>
        <v>6490</v>
      </c>
      <c r="J34" s="431"/>
      <c r="K34" s="344">
        <f>ROUND((I34-G34)/G34,4)</f>
        <v>-3.8899999999999997E-2</v>
      </c>
      <c r="L34" s="344"/>
      <c r="M34" s="344"/>
      <c r="N34" s="337" t="s">
        <v>623</v>
      </c>
      <c r="O34" s="502">
        <f>+'[2]Exhibit No.__(JAP-SV RD)'!$G$141</f>
        <v>6.8498000000000003E-2</v>
      </c>
      <c r="P34" s="502"/>
      <c r="Q34" s="502">
        <f>+'[3]Exhibit No.__(JAP-SV RD)'!$G$141</f>
        <v>6.6653000000000004E-2</v>
      </c>
      <c r="R34" s="385"/>
    </row>
    <row r="35" spans="2:18">
      <c r="G35" s="431"/>
      <c r="H35" s="431"/>
      <c r="I35" s="431"/>
      <c r="J35" s="431"/>
      <c r="N35" s="337" t="str">
        <f>+N17</f>
        <v>Winter kWh - Over 20,000</v>
      </c>
      <c r="O35" s="502">
        <f>+'[2]Exhibit No.__(JAP-Tariff)'!$F$59</f>
        <v>7.0774000000000004E-2</v>
      </c>
      <c r="P35" s="502"/>
      <c r="Q35" s="502">
        <f>+'[3]Exhibit No.__(JAP-Tariff)'!$F$59</f>
        <v>6.8867999999999999E-2</v>
      </c>
      <c r="R35" s="385"/>
    </row>
    <row r="36" spans="2:18">
      <c r="B36" s="337">
        <v>300</v>
      </c>
      <c r="D36" s="348">
        <v>200</v>
      </c>
      <c r="E36" s="348">
        <f>ROUND((B$36*D36),0)</f>
        <v>60000</v>
      </c>
      <c r="G36" s="431">
        <f>ROUND(+O$11+IF(E36&gt;20000,20000*O$15+(E36-20000)*O$19,E36*O$15)+IF(B36&gt;50,(B36-50)*O$25,0),0)</f>
        <v>5155</v>
      </c>
      <c r="H36" s="431"/>
      <c r="I36" s="431">
        <f>ROUND(+Q$11+IF(E36&gt;20000,20000*Q$15+(E36-20000)*Q$19,E36*Q$15)+IF(B36&gt;50,(B36-50)*Q$25,0),0)</f>
        <v>4965</v>
      </c>
      <c r="J36" s="431"/>
      <c r="K36" s="344">
        <f>ROUND((I36-G36)/G36,4)</f>
        <v>-3.6900000000000002E-2</v>
      </c>
      <c r="L36" s="344"/>
      <c r="M36" s="344"/>
      <c r="N36" s="337" t="str">
        <f>+N18</f>
        <v>Summer kWh - Over 20,000</v>
      </c>
      <c r="O36" s="502">
        <f>+'[2]Exhibit No.__(JAP-Tariff)'!$F$61</f>
        <v>5.5329000000000003E-2</v>
      </c>
      <c r="P36" s="502"/>
      <c r="Q36" s="502">
        <f>+'[3]Exhibit No.__(JAP-Tariff)'!$F$61</f>
        <v>5.3838999999999998E-2</v>
      </c>
    </row>
    <row r="37" spans="2:18">
      <c r="B37" s="337">
        <f>+B36</f>
        <v>300</v>
      </c>
      <c r="D37" s="348">
        <v>300</v>
      </c>
      <c r="E37" s="348">
        <f>ROUND((B$36*D37),0)</f>
        <v>90000</v>
      </c>
      <c r="G37" s="431">
        <f>ROUND(+O$11+IF(E37&gt;20000,20000*O$15+(E37-20000)*O$19,E37*O$15)+IF(B37&gt;50,(B37-50)*O$25,0),0)</f>
        <v>6819</v>
      </c>
      <c r="H37" s="431"/>
      <c r="I37" s="431">
        <f>ROUND(+Q$11+IF(E37&gt;20000,20000*Q$15+(E37-20000)*Q$19,E37*Q$15)+IF(B37&gt;50,(B37-50)*Q$25,0),0)</f>
        <v>6561</v>
      </c>
      <c r="J37" s="431"/>
      <c r="K37" s="344">
        <f>ROUND((I37-G37)/G37,4)</f>
        <v>-3.78E-2</v>
      </c>
      <c r="L37" s="344"/>
      <c r="M37" s="344"/>
      <c r="N37" s="545" t="s">
        <v>624</v>
      </c>
      <c r="O37" s="502">
        <f>+'[2]Exhibit No.__(JAP-SV RD)'!$G$142</f>
        <v>5.6090000000000001E-2</v>
      </c>
      <c r="P37" s="502"/>
      <c r="Q37" s="502">
        <f>+'[3]Exhibit No.__(JAP-SV RD)'!$G$142</f>
        <v>5.4579000000000003E-2</v>
      </c>
    </row>
    <row r="38" spans="2:18">
      <c r="B38" s="337">
        <f>+B37</f>
        <v>300</v>
      </c>
      <c r="D38" s="348">
        <v>500</v>
      </c>
      <c r="E38" s="348">
        <f>ROUND((B$36*D38),0)</f>
        <v>150000</v>
      </c>
      <c r="G38" s="431">
        <f>ROUND(+O$11+IF(E38&gt;20000,20000*O$15+(E38-20000)*O$19,E38*O$15)+IF(B38&gt;50,(B38-50)*O$25,0),0)</f>
        <v>10148</v>
      </c>
      <c r="H38" s="431"/>
      <c r="I38" s="431">
        <f>ROUND(+Q$11+IF(E38&gt;20000,20000*Q$15+(E38-20000)*Q$19,E38*Q$15)+IF(B38&gt;50,(B38-50)*Q$25,0),0)</f>
        <v>9753</v>
      </c>
      <c r="J38" s="431"/>
      <c r="K38" s="344">
        <f>ROUND((I38-G38)/G38,4)</f>
        <v>-3.8899999999999997E-2</v>
      </c>
      <c r="L38" s="344"/>
      <c r="M38" s="344"/>
      <c r="N38" s="337" t="str">
        <f>+N21</f>
        <v>kW - First 50</v>
      </c>
      <c r="O38" s="502">
        <f>+'[3]Exhibit No.__(JAP-Tariff)'!$E$63</f>
        <v>0</v>
      </c>
      <c r="P38" s="502"/>
      <c r="Q38" s="502">
        <f>+'[3]Exhibit No.__(JAP-Tariff)'!$F$63</f>
        <v>0</v>
      </c>
    </row>
    <row r="39" spans="2:18"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64"/>
      <c r="N39" s="337" t="str">
        <f>+N23</f>
        <v>Winter kW - Over 50</v>
      </c>
      <c r="O39" s="502">
        <f>+'[2]Exhibit No.__(JAP-Tariff)'!$F$64</f>
        <v>9.19</v>
      </c>
      <c r="P39" s="502"/>
      <c r="Q39" s="502">
        <f>+'[3]Exhibit No.__(JAP-Tariff)'!$F$64</f>
        <v>8.94</v>
      </c>
    </row>
    <row r="40" spans="2:18">
      <c r="N40" s="337" t="str">
        <f>+N24</f>
        <v>Summer kW - Over 50</v>
      </c>
      <c r="O40" s="502">
        <f>+'[2]Exhibit No.__(JAP-Tariff)'!$F$65</f>
        <v>4.53</v>
      </c>
      <c r="P40" s="502"/>
      <c r="Q40" s="502">
        <f>+'[3]Exhibit No.__(JAP-Tariff)'!$F$65</f>
        <v>4.4000000000000004</v>
      </c>
    </row>
    <row r="41" spans="2:18">
      <c r="C41" s="339"/>
      <c r="N41" s="337" t="str">
        <f t="shared" ref="N41" si="1">+N25</f>
        <v>Average kW - Over 50</v>
      </c>
      <c r="O41" s="502">
        <f>+'[2]Exhibit No.__(JAP-SV RD)'!$G$143</f>
        <v>6.21</v>
      </c>
      <c r="P41" s="502"/>
      <c r="Q41" s="502">
        <f>+'[3]Exhibit No.__(JAP-SV RD)'!$G$143</f>
        <v>6.03</v>
      </c>
    </row>
    <row r="42" spans="2:18" ht="15.6">
      <c r="B42" s="387" t="s">
        <v>350</v>
      </c>
      <c r="C42" s="339"/>
      <c r="N42" s="337" t="str">
        <f>+N27</f>
        <v>kVarh</v>
      </c>
      <c r="O42" s="502">
        <f>+'[2]Exhibit No.__(JAP-Tariff)'!$F$67</f>
        <v>2.9199999999999999E-3</v>
      </c>
      <c r="P42" s="502"/>
      <c r="Q42" s="502">
        <f>+'[3]Exhibit No.__(JAP-Tariff)'!$F$67</f>
        <v>2.8400000000000001E-3</v>
      </c>
    </row>
    <row r="43" spans="2:18" ht="15.6">
      <c r="B43" s="554" t="s">
        <v>653</v>
      </c>
      <c r="C43" s="339"/>
    </row>
    <row r="44" spans="2:18" ht="15.6">
      <c r="B44" s="554" t="s">
        <v>393</v>
      </c>
      <c r="C44" s="339"/>
      <c r="N44" s="353" t="s">
        <v>360</v>
      </c>
      <c r="O44" s="354">
        <v>0</v>
      </c>
      <c r="Q44" s="354">
        <v>0</v>
      </c>
    </row>
    <row r="45" spans="2:18" ht="15.6">
      <c r="B45" s="554" t="s">
        <v>654</v>
      </c>
      <c r="N45" s="498" t="s">
        <v>359</v>
      </c>
      <c r="O45" s="499">
        <f>+'Sch 95a'!$E$17</f>
        <v>-1.877E-3</v>
      </c>
      <c r="P45" s="500"/>
      <c r="Q45" s="499">
        <f>+'Sch 95a'!$H$17</f>
        <v>-1.562E-3</v>
      </c>
    </row>
    <row r="46" spans="2:18" ht="15.6">
      <c r="B46" s="554" t="s">
        <v>655</v>
      </c>
      <c r="N46" s="498" t="s">
        <v>358</v>
      </c>
      <c r="O46" s="499">
        <f>+'Sch 120'!$E$17</f>
        <v>4.5799999999999999E-3</v>
      </c>
      <c r="P46" s="500"/>
      <c r="Q46" s="499">
        <f>+'Sch 120'!$H$17</f>
        <v>3.1960000000000001E-3</v>
      </c>
    </row>
    <row r="47" spans="2:18">
      <c r="N47" s="353" t="s">
        <v>227</v>
      </c>
      <c r="O47" s="354">
        <f>+'Sch 129'!E17</f>
        <v>7.1199999999999996E-4</v>
      </c>
      <c r="Q47" s="354">
        <f t="shared" ref="Q47:Q49" si="2">+O47</f>
        <v>7.1199999999999996E-4</v>
      </c>
    </row>
    <row r="48" spans="2:18">
      <c r="N48" s="357" t="s">
        <v>228</v>
      </c>
      <c r="O48" s="352">
        <f>+'Sch 132'!E17</f>
        <v>-2.4499999999999999E-4</v>
      </c>
      <c r="Q48" s="352">
        <f t="shared" si="2"/>
        <v>-2.4499999999999999E-4</v>
      </c>
    </row>
    <row r="49" spans="14:17">
      <c r="N49" s="357" t="s">
        <v>356</v>
      </c>
      <c r="O49" s="352">
        <f>+'Sch 137'!E17</f>
        <v>-2.5999999999999998E-5</v>
      </c>
      <c r="Q49" s="352">
        <f t="shared" si="2"/>
        <v>-2.5999999999999998E-5</v>
      </c>
    </row>
    <row r="50" spans="14:17">
      <c r="N50" s="501" t="s">
        <v>259</v>
      </c>
      <c r="O50" s="503">
        <f>+'Sch 140'!$E$17</f>
        <v>2.3180000000000002E-3</v>
      </c>
      <c r="P50" s="500"/>
      <c r="Q50" s="503">
        <f>+'Sch 140'!$H$17</f>
        <v>2.421E-3</v>
      </c>
    </row>
    <row r="51" spans="14:17">
      <c r="N51" s="353" t="s">
        <v>377</v>
      </c>
      <c r="O51" s="356">
        <v>0</v>
      </c>
      <c r="Q51" s="356">
        <v>0</v>
      </c>
    </row>
    <row r="52" spans="14:17">
      <c r="N52" s="353" t="s">
        <v>429</v>
      </c>
      <c r="O52" s="356">
        <v>0</v>
      </c>
      <c r="Q52" s="356">
        <v>0</v>
      </c>
    </row>
    <row r="53" spans="14:17">
      <c r="N53" s="353" t="s">
        <v>396</v>
      </c>
      <c r="O53" s="352">
        <v>0</v>
      </c>
      <c r="Q53" s="352">
        <v>0</v>
      </c>
    </row>
    <row r="54" spans="14:17">
      <c r="N54" s="353" t="s">
        <v>395</v>
      </c>
      <c r="O54" s="352">
        <v>0</v>
      </c>
      <c r="Q54" s="352">
        <v>0</v>
      </c>
    </row>
    <row r="55" spans="14:17">
      <c r="N55" s="353" t="s">
        <v>428</v>
      </c>
      <c r="O55" s="352">
        <v>0</v>
      </c>
      <c r="Q55" s="352">
        <v>0</v>
      </c>
    </row>
    <row r="56" spans="14:17">
      <c r="N56" s="353" t="s">
        <v>427</v>
      </c>
      <c r="O56" s="352">
        <v>0</v>
      </c>
      <c r="Q56" s="352">
        <v>0</v>
      </c>
    </row>
    <row r="57" spans="14:17">
      <c r="N57" s="501" t="s">
        <v>274</v>
      </c>
      <c r="O57" s="503">
        <f>+'Sch 142 Deferral &amp; K-Factor'!$F$17</f>
        <v>1.335E-3</v>
      </c>
      <c r="P57" s="500"/>
      <c r="Q57" s="503">
        <f>+'Sch 142 Deferral &amp; K-Factor'!$O$17</f>
        <v>1.524E-3</v>
      </c>
    </row>
    <row r="58" spans="14:17">
      <c r="N58" s="353"/>
      <c r="O58" s="352"/>
      <c r="P58" s="352"/>
      <c r="Q58" s="352"/>
    </row>
    <row r="59" spans="14:17">
      <c r="N59" s="353" t="s">
        <v>426</v>
      </c>
      <c r="O59" s="352">
        <f>+'Sch 194'!E17</f>
        <v>-7.4058380000000005E-3</v>
      </c>
      <c r="Q59" s="352">
        <f>+O59</f>
        <v>-7.4058380000000005E-3</v>
      </c>
    </row>
    <row r="61" spans="14:17">
      <c r="N61" s="350" t="s">
        <v>620</v>
      </c>
      <c r="O61" s="349">
        <f>+'Tax Reform Impacts'!F15</f>
        <v>-2.7257240204429302E-2</v>
      </c>
    </row>
    <row r="62" spans="14:17">
      <c r="N62" s="350"/>
      <c r="O62" s="349"/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61" orientation="landscape" r:id="rId1"/>
  <headerFooter alignWithMargins="0">
    <oddFooter>&amp;L&amp;"Times New Roman,Regular"&amp;F
&amp;A&amp;R&amp;"Times New Roman,Regular"Page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8D9F93-0547-4CB2-87DA-58EC1EA13B7E}"/>
</file>

<file path=customXml/itemProps2.xml><?xml version="1.0" encoding="utf-8"?>
<ds:datastoreItem xmlns:ds="http://schemas.openxmlformats.org/officeDocument/2006/customXml" ds:itemID="{F3EDD63C-3049-4250-B66C-E7496DCC4A89}"/>
</file>

<file path=customXml/itemProps3.xml><?xml version="1.0" encoding="utf-8"?>
<ds:datastoreItem xmlns:ds="http://schemas.openxmlformats.org/officeDocument/2006/customXml" ds:itemID="{6ECC0D21-0044-4CCE-9774-56959E755D06}"/>
</file>

<file path=customXml/itemProps4.xml><?xml version="1.0" encoding="utf-8"?>
<ds:datastoreItem xmlns:ds="http://schemas.openxmlformats.org/officeDocument/2006/customXml" ds:itemID="{805A4985-CE25-4A03-9117-0A6259FC79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19</vt:i4>
      </vt:variant>
    </vt:vector>
  </HeadingPairs>
  <TitlesOfParts>
    <vt:vector size="59" baseType="lpstr">
      <vt:lpstr>May 2018 Impacts</vt:lpstr>
      <vt:lpstr>Tax Reform Impacts</vt:lpstr>
      <vt:lpstr>GRC Tax Reform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Revenue Impacts</vt:lpstr>
      <vt:lpstr>Exhibit No.__(JAP-Prof-Prop)</vt:lpstr>
      <vt:lpstr>Sch 95</vt:lpstr>
      <vt:lpstr>Sch 95a</vt:lpstr>
      <vt:lpstr>Sch 120</vt:lpstr>
      <vt:lpstr>Sch 129</vt:lpstr>
      <vt:lpstr>Sch 132</vt:lpstr>
      <vt:lpstr>Sch 137</vt:lpstr>
      <vt:lpstr>Sch 140</vt:lpstr>
      <vt:lpstr>Sch 141</vt:lpstr>
      <vt:lpstr>Sch 142 Deferral &amp; K-Factor</vt:lpstr>
      <vt:lpstr>Sch 142 Rate Plan Lights</vt:lpstr>
      <vt:lpstr>Sch 142 Rate Plan Sch 449</vt:lpstr>
      <vt:lpstr>Sch 194</vt:lpstr>
      <vt:lpstr>Proposed Filings 5-2018</vt:lpstr>
      <vt:lpstr>Proposed Sch 95A</vt:lpstr>
      <vt:lpstr>Proposed Sch 120 </vt:lpstr>
      <vt:lpstr>Proposed Sch 140</vt:lpstr>
      <vt:lpstr>Proposed Sch 142</vt:lpstr>
      <vt:lpstr>Compliance Filings</vt:lpstr>
      <vt:lpstr>Compliance Sch 95</vt:lpstr>
      <vt:lpstr>Compliance Sch 120</vt:lpstr>
      <vt:lpstr>Compliance Sch 129</vt:lpstr>
      <vt:lpstr>Proposed Sch 132</vt:lpstr>
      <vt:lpstr>Proposed Sch 137</vt:lpstr>
      <vt:lpstr>Compliance Sch 140</vt:lpstr>
      <vt:lpstr>Compliance Sch 142</vt:lpstr>
      <vt:lpstr>Compliance Sch 194</vt:lpstr>
      <vt:lpstr>'Compliance Sch 120'!Print_Area</vt:lpstr>
      <vt:lpstr>'Compliance Sch 140'!Print_Area</vt:lpstr>
      <vt:lpstr>'Exhibit No.__(JAP-Prof-Prop)'!Print_Area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Tax Reform Impacts'!Print_Area</vt:lpstr>
      <vt:lpstr>'May 2018 Impacts'!Print_Area</vt:lpstr>
      <vt:lpstr>'Tax Reform Impacts'!Print_Area</vt:lpstr>
      <vt:lpstr>'GRC Tax Reform Impacts'!Print_Titles</vt:lpstr>
      <vt:lpstr>'May 2018 Impacts'!Print_Titles</vt:lpstr>
      <vt:lpstr>'Sch 142 Rate Plan Lights'!Print_Titles</vt:lpstr>
      <vt:lpstr>'Tax Reform Impacts'!Print_Titles</vt:lpstr>
      <vt:lpstr>'Exhibit No.__(JAP-Prof-Prop)'!TABLEA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prasan</cp:lastModifiedBy>
  <cp:lastPrinted>2018-03-20T15:52:37Z</cp:lastPrinted>
  <dcterms:created xsi:type="dcterms:W3CDTF">2016-12-27T22:31:24Z</dcterms:created>
  <dcterms:modified xsi:type="dcterms:W3CDTF">2018-04-09T16:27:06Z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